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omments1.xml" ContentType="application/vnd.openxmlformats-officedocument.spreadsheetml.comments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Мой диск\"/>
    </mc:Choice>
  </mc:AlternateContent>
  <xr:revisionPtr revIDLastSave="0" documentId="13_ncr:1_{C7CE1112-EE0E-45BE-A776-0FF1F93DB0C0}" xr6:coauthVersionLast="47" xr6:coauthVersionMax="47" xr10:uidLastSave="{00000000-0000-0000-0000-000000000000}"/>
  <bookViews>
    <workbookView xWindow="-98" yWindow="-98" windowWidth="19396" windowHeight="11475" activeTab="4" xr2:uid="{00000000-000D-0000-FFFF-FFFF00000000}"/>
  </bookViews>
  <sheets>
    <sheet name="CPU, DDR, HDD" sheetId="1" r:id="rId1"/>
    <sheet name="MB, GPU" sheetId="2" r:id="rId2"/>
    <sheet name="Monitors" sheetId="3" r:id="rId3"/>
    <sheet name="Printers, scanners" sheetId="4" r:id="rId4"/>
    <sheet name="Notebook, AIO" sheetId="5" r:id="rId5"/>
    <sheet name="Cooler, PowerSupply, UPS" sheetId="6" r:id="rId6"/>
    <sheet name="Интерактивная панель" sheetId="7" r:id="rId7"/>
    <sheet name="ВКС" sheetId="8" r:id="rId8"/>
    <sheet name="Экраны, проекторы, камеры" sheetId="9" r:id="rId9"/>
    <sheet name="Lenovo Аксессуары" sheetId="10" r:id="rId10"/>
    <sheet name="HP Аксессуары" sheetId="11" r:id="rId11"/>
    <sheet name="Deepcool GamerStorm" sheetId="12" r:id="rId12"/>
    <sheet name="TRYX" sheetId="13" r:id="rId13"/>
    <sheet name="Gembird" sheetId="14" r:id="rId14"/>
    <sheet name="ID Cooling" sheetId="15" r:id="rId15"/>
    <sheet name="Genius" sheetId="16" r:id="rId16"/>
    <sheet name="Gigabyte" sheetId="17" r:id="rId17"/>
    <sheet name="DXRacer" sheetId="18" r:id="rId18"/>
    <sheet name="Gamdias" sheetId="19" r:id="rId19"/>
    <sheet name="MSI" sheetId="20" r:id="rId20"/>
    <sheet name="Montech" sheetId="21" r:id="rId21"/>
    <sheet name="Defender" sheetId="22" r:id="rId22"/>
    <sheet name="Aula" sheetId="23" r:id="rId23"/>
    <sheet name="Lian Li" sheetId="24" r:id="rId24"/>
    <sheet name="FSP" sheetId="25" r:id="rId25"/>
    <sheet name="Thermaltake" sheetId="26" r:id="rId26"/>
    <sheet name="Jonsbo" sheetId="27" r:id="rId27"/>
    <sheet name="Meetion" sheetId="28" r:id="rId28"/>
    <sheet name="PowerCase" sheetId="29" r:id="rId29"/>
    <sheet name="Игравые Кресла" sheetId="30" r:id="rId30"/>
    <sheet name="CoolerMaster" sheetId="31" r:id="rId31"/>
    <sheet name="Redragon" sheetId="32" r:id="rId32"/>
    <sheet name="Sharkoon" sheetId="33" r:id="rId33"/>
    <sheet name="Fenda" sheetId="34" r:id="rId34"/>
    <sheet name="Edifier" sheetId="35" r:id="rId35"/>
    <sheet name="Koss" sheetId="36" r:id="rId36"/>
    <sheet name="Audio-technica" sheetId="37" r:id="rId37"/>
    <sheet name="Export" sheetId="38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13" i="38" l="1"/>
  <c r="B1913" i="38"/>
  <c r="A1913" i="38"/>
  <c r="C1912" i="38"/>
  <c r="B1912" i="38"/>
  <c r="A1912" i="38"/>
  <c r="C1911" i="38"/>
  <c r="B1911" i="38"/>
  <c r="A1911" i="38"/>
  <c r="C1910" i="38"/>
  <c r="B1910" i="38"/>
  <c r="A1910" i="38"/>
  <c r="C1909" i="38"/>
  <c r="B1909" i="38"/>
  <c r="A1909" i="38"/>
  <c r="C1908" i="38"/>
  <c r="B1908" i="38"/>
  <c r="A1908" i="38"/>
  <c r="C1907" i="38"/>
  <c r="B1907" i="38"/>
  <c r="A1907" i="38"/>
  <c r="C1906" i="38"/>
  <c r="B1906" i="38"/>
  <c r="A1906" i="38"/>
  <c r="C1905" i="38"/>
  <c r="B1905" i="38"/>
  <c r="A1905" i="38"/>
  <c r="C1904" i="38"/>
  <c r="B1904" i="38"/>
  <c r="A1904" i="38"/>
  <c r="C1903" i="38"/>
  <c r="B1903" i="38"/>
  <c r="A1903" i="38"/>
  <c r="C1902" i="38"/>
  <c r="B1902" i="38"/>
  <c r="A1902" i="38"/>
  <c r="C1901" i="38"/>
  <c r="B1901" i="38"/>
  <c r="A1901" i="38"/>
  <c r="C1900" i="38"/>
  <c r="B1900" i="38"/>
  <c r="A1900" i="38"/>
  <c r="C1899" i="38"/>
  <c r="B1899" i="38"/>
  <c r="A1899" i="38"/>
  <c r="C1898" i="38"/>
  <c r="B1898" i="38"/>
  <c r="A1898" i="38"/>
  <c r="C1897" i="38"/>
  <c r="B1897" i="38"/>
  <c r="A1897" i="38"/>
  <c r="C1896" i="38"/>
  <c r="B1896" i="38"/>
  <c r="A1896" i="38"/>
  <c r="C1895" i="38"/>
  <c r="B1895" i="38"/>
  <c r="A1895" i="38"/>
  <c r="C1894" i="38"/>
  <c r="B1894" i="38"/>
  <c r="A1894" i="38"/>
  <c r="C1893" i="38"/>
  <c r="B1893" i="38"/>
  <c r="A1893" i="38"/>
  <c r="C1892" i="38"/>
  <c r="B1892" i="38"/>
  <c r="A1892" i="38"/>
  <c r="C1891" i="38"/>
  <c r="B1891" i="38"/>
  <c r="A1891" i="38"/>
  <c r="C1890" i="38"/>
  <c r="B1890" i="38"/>
  <c r="A1890" i="38"/>
  <c r="C1889" i="38"/>
  <c r="B1889" i="38"/>
  <c r="A1889" i="38"/>
  <c r="C1888" i="38"/>
  <c r="B1888" i="38"/>
  <c r="A1888" i="38"/>
  <c r="C1887" i="38"/>
  <c r="B1887" i="38"/>
  <c r="A1887" i="38"/>
  <c r="C1886" i="38"/>
  <c r="B1886" i="38"/>
  <c r="A1886" i="38"/>
  <c r="C1885" i="38"/>
  <c r="B1885" i="38"/>
  <c r="A1885" i="38"/>
  <c r="C1884" i="38"/>
  <c r="B1884" i="38"/>
  <c r="A1884" i="38"/>
  <c r="C1883" i="38"/>
  <c r="B1883" i="38"/>
  <c r="A1883" i="38"/>
  <c r="C1882" i="38"/>
  <c r="B1882" i="38"/>
  <c r="A1882" i="38"/>
  <c r="C1881" i="38"/>
  <c r="B1881" i="38"/>
  <c r="A1881" i="38"/>
  <c r="C1880" i="38"/>
  <c r="B1880" i="38"/>
  <c r="A1880" i="38"/>
  <c r="C1879" i="38"/>
  <c r="B1879" i="38"/>
  <c r="A1879" i="38"/>
  <c r="C1878" i="38"/>
  <c r="B1878" i="38"/>
  <c r="A1878" i="38"/>
  <c r="C1877" i="38"/>
  <c r="B1877" i="38"/>
  <c r="A1877" i="38"/>
  <c r="C1876" i="38"/>
  <c r="B1876" i="38"/>
  <c r="A1876" i="38"/>
  <c r="C1875" i="38"/>
  <c r="B1875" i="38"/>
  <c r="A1875" i="38"/>
  <c r="C1874" i="38"/>
  <c r="B1874" i="38"/>
  <c r="A1874" i="38"/>
  <c r="C1873" i="38"/>
  <c r="B1873" i="38"/>
  <c r="A1873" i="38"/>
  <c r="C1872" i="38"/>
  <c r="B1872" i="38"/>
  <c r="A1872" i="38"/>
  <c r="C1871" i="38"/>
  <c r="B1871" i="38"/>
  <c r="A1871" i="38"/>
  <c r="C1870" i="38"/>
  <c r="B1870" i="38"/>
  <c r="A1870" i="38"/>
  <c r="C1869" i="38"/>
  <c r="B1869" i="38"/>
  <c r="A1869" i="38"/>
  <c r="C1868" i="38"/>
  <c r="B1868" i="38"/>
  <c r="A1868" i="38"/>
  <c r="C1867" i="38"/>
  <c r="B1867" i="38"/>
  <c r="A1867" i="38"/>
  <c r="C1866" i="38"/>
  <c r="B1866" i="38"/>
  <c r="A1866" i="38"/>
  <c r="C1865" i="38"/>
  <c r="B1865" i="38"/>
  <c r="A1865" i="38"/>
  <c r="C1864" i="38"/>
  <c r="B1864" i="38"/>
  <c r="A1864" i="38"/>
  <c r="C1863" i="38"/>
  <c r="B1863" i="38"/>
  <c r="A1863" i="38"/>
  <c r="C1862" i="38"/>
  <c r="B1862" i="38"/>
  <c r="A1862" i="38"/>
  <c r="C1861" i="38"/>
  <c r="B1861" i="38"/>
  <c r="A1861" i="38"/>
  <c r="C1860" i="38"/>
  <c r="B1860" i="38"/>
  <c r="A1860" i="38"/>
  <c r="C1859" i="38"/>
  <c r="B1859" i="38"/>
  <c r="A1859" i="38"/>
  <c r="C1858" i="38"/>
  <c r="B1858" i="38"/>
  <c r="A1858" i="38"/>
  <c r="C1857" i="38"/>
  <c r="B1857" i="38"/>
  <c r="A1857" i="38"/>
  <c r="C1856" i="38"/>
  <c r="B1856" i="38"/>
  <c r="A1856" i="38"/>
  <c r="C1855" i="38"/>
  <c r="B1855" i="38"/>
  <c r="A1855" i="38"/>
  <c r="C1854" i="38"/>
  <c r="B1854" i="38"/>
  <c r="A1854" i="38"/>
  <c r="C1853" i="38"/>
  <c r="B1853" i="38"/>
  <c r="A1853" i="38"/>
  <c r="C1852" i="38"/>
  <c r="B1852" i="38"/>
  <c r="A1852" i="38"/>
  <c r="C1851" i="38"/>
  <c r="B1851" i="38"/>
  <c r="A1851" i="38"/>
  <c r="C1850" i="38"/>
  <c r="B1850" i="38"/>
  <c r="A1850" i="38"/>
  <c r="C1849" i="38"/>
  <c r="B1849" i="38"/>
  <c r="A1849" i="38"/>
  <c r="C1848" i="38"/>
  <c r="B1848" i="38"/>
  <c r="A1848" i="38"/>
  <c r="C1847" i="38"/>
  <c r="B1847" i="38"/>
  <c r="A1847" i="38"/>
  <c r="C1846" i="38"/>
  <c r="B1846" i="38"/>
  <c r="A1846" i="38"/>
  <c r="C1845" i="38"/>
  <c r="B1845" i="38"/>
  <c r="A1845" i="38"/>
  <c r="C1844" i="38"/>
  <c r="B1844" i="38"/>
  <c r="A1844" i="38"/>
  <c r="C1843" i="38"/>
  <c r="B1843" i="38"/>
  <c r="A1843" i="38"/>
  <c r="C1842" i="38"/>
  <c r="B1842" i="38"/>
  <c r="A1842" i="38"/>
  <c r="C1841" i="38"/>
  <c r="B1841" i="38"/>
  <c r="A1841" i="38"/>
  <c r="C1840" i="38"/>
  <c r="B1840" i="38"/>
  <c r="A1840" i="38"/>
  <c r="C1839" i="38"/>
  <c r="B1839" i="38"/>
  <c r="A1839" i="38"/>
  <c r="C1838" i="38"/>
  <c r="B1838" i="38"/>
  <c r="A1838" i="38"/>
  <c r="C1837" i="38"/>
  <c r="B1837" i="38"/>
  <c r="A1837" i="38"/>
  <c r="C1836" i="38"/>
  <c r="B1836" i="38"/>
  <c r="A1836" i="38"/>
  <c r="C1835" i="38"/>
  <c r="B1835" i="38"/>
  <c r="A1835" i="38"/>
  <c r="C1834" i="38"/>
  <c r="B1834" i="38"/>
  <c r="A1834" i="38"/>
  <c r="C1833" i="38"/>
  <c r="B1833" i="38"/>
  <c r="A1833" i="38"/>
  <c r="C1832" i="38"/>
  <c r="B1832" i="38"/>
  <c r="A1832" i="38"/>
  <c r="C1831" i="38"/>
  <c r="B1831" i="38"/>
  <c r="A1831" i="38"/>
  <c r="C1830" i="38"/>
  <c r="B1830" i="38"/>
  <c r="A1830" i="38"/>
  <c r="C1829" i="38"/>
  <c r="B1829" i="38"/>
  <c r="A1829" i="38"/>
  <c r="C1828" i="38"/>
  <c r="B1828" i="38"/>
  <c r="A1828" i="38"/>
  <c r="C1827" i="38"/>
  <c r="B1827" i="38"/>
  <c r="A1827" i="38"/>
  <c r="C1826" i="38"/>
  <c r="B1826" i="38"/>
  <c r="A1826" i="38"/>
  <c r="C1825" i="38"/>
  <c r="B1825" i="38"/>
  <c r="A1825" i="38"/>
  <c r="C1824" i="38"/>
  <c r="B1824" i="38"/>
  <c r="A1824" i="38"/>
  <c r="C1823" i="38"/>
  <c r="B1823" i="38"/>
  <c r="A1823" i="38"/>
  <c r="C1822" i="38"/>
  <c r="B1822" i="38"/>
  <c r="A1822" i="38"/>
  <c r="C1821" i="38"/>
  <c r="B1821" i="38"/>
  <c r="A1821" i="38"/>
  <c r="C1820" i="38"/>
  <c r="B1820" i="38"/>
  <c r="A1820" i="38"/>
  <c r="C1819" i="38"/>
  <c r="B1819" i="38"/>
  <c r="A1819" i="38"/>
  <c r="C1818" i="38"/>
  <c r="B1818" i="38"/>
  <c r="A1818" i="38"/>
  <c r="C1817" i="38"/>
  <c r="B1817" i="38"/>
  <c r="A1817" i="38"/>
  <c r="C1816" i="38"/>
  <c r="B1816" i="38"/>
  <c r="A1816" i="38"/>
  <c r="C1815" i="38"/>
  <c r="B1815" i="38"/>
  <c r="A1815" i="38"/>
  <c r="C1814" i="38"/>
  <c r="B1814" i="38"/>
  <c r="A1814" i="38"/>
  <c r="C1813" i="38"/>
  <c r="B1813" i="38"/>
  <c r="A1813" i="38"/>
  <c r="C1812" i="38"/>
  <c r="B1812" i="38"/>
  <c r="A1812" i="38"/>
  <c r="C1811" i="38"/>
  <c r="B1811" i="38"/>
  <c r="A1811" i="38"/>
  <c r="C1810" i="38"/>
  <c r="B1810" i="38"/>
  <c r="A1810" i="38"/>
  <c r="C1809" i="38"/>
  <c r="B1809" i="38"/>
  <c r="A1809" i="38"/>
  <c r="C1808" i="38"/>
  <c r="B1808" i="38"/>
  <c r="A1808" i="38"/>
  <c r="C1807" i="38"/>
  <c r="B1807" i="38"/>
  <c r="A1807" i="38"/>
  <c r="C1806" i="38"/>
  <c r="B1806" i="38"/>
  <c r="A1806" i="38"/>
  <c r="C1805" i="38"/>
  <c r="B1805" i="38"/>
  <c r="A1805" i="38"/>
  <c r="C1804" i="38"/>
  <c r="B1804" i="38"/>
  <c r="A1804" i="38"/>
  <c r="C1803" i="38"/>
  <c r="B1803" i="38"/>
  <c r="A1803" i="38"/>
  <c r="C1802" i="38"/>
  <c r="B1802" i="38"/>
  <c r="A1802" i="38"/>
  <c r="C1801" i="38"/>
  <c r="B1801" i="38"/>
  <c r="A1801" i="38"/>
  <c r="C1800" i="38"/>
  <c r="B1800" i="38"/>
  <c r="A1800" i="38"/>
  <c r="C1799" i="38"/>
  <c r="B1799" i="38"/>
  <c r="A1799" i="38"/>
  <c r="C1798" i="38"/>
  <c r="B1798" i="38"/>
  <c r="A1798" i="38"/>
  <c r="C1797" i="38"/>
  <c r="B1797" i="38"/>
  <c r="A1797" i="38"/>
  <c r="C1796" i="38"/>
  <c r="B1796" i="38"/>
  <c r="A1796" i="38"/>
  <c r="C1795" i="38"/>
  <c r="B1795" i="38"/>
  <c r="A1795" i="38"/>
  <c r="C1794" i="38"/>
  <c r="B1794" i="38"/>
  <c r="A1794" i="38"/>
  <c r="C1793" i="38"/>
  <c r="B1793" i="38"/>
  <c r="A1793" i="38"/>
  <c r="C1792" i="38"/>
  <c r="B1792" i="38"/>
  <c r="A1792" i="38"/>
  <c r="C1791" i="38"/>
  <c r="B1791" i="38"/>
  <c r="A1791" i="38"/>
  <c r="C1790" i="38"/>
  <c r="B1790" i="38"/>
  <c r="A1790" i="38"/>
  <c r="C1789" i="38"/>
  <c r="B1789" i="38"/>
  <c r="A1789" i="38"/>
  <c r="C1788" i="38"/>
  <c r="B1788" i="38"/>
  <c r="A1788" i="38"/>
  <c r="C1787" i="38"/>
  <c r="B1787" i="38"/>
  <c r="A1787" i="38"/>
  <c r="C1786" i="38"/>
  <c r="B1786" i="38"/>
  <c r="A1786" i="38"/>
  <c r="C1785" i="38"/>
  <c r="B1785" i="38"/>
  <c r="A1785" i="38"/>
  <c r="C1784" i="38"/>
  <c r="B1784" i="38"/>
  <c r="A1784" i="38"/>
  <c r="C1783" i="38"/>
  <c r="B1783" i="38"/>
  <c r="A1783" i="38"/>
  <c r="C1782" i="38"/>
  <c r="B1782" i="38"/>
  <c r="A1782" i="38"/>
  <c r="C1781" i="38"/>
  <c r="B1781" i="38"/>
  <c r="A1781" i="38"/>
  <c r="C1780" i="38"/>
  <c r="B1780" i="38"/>
  <c r="A1780" i="38"/>
  <c r="C1779" i="38"/>
  <c r="B1779" i="38"/>
  <c r="A1779" i="38"/>
  <c r="C1778" i="38"/>
  <c r="B1778" i="38"/>
  <c r="A1778" i="38"/>
  <c r="C1777" i="38"/>
  <c r="B1777" i="38"/>
  <c r="A1777" i="38"/>
  <c r="C1776" i="38"/>
  <c r="B1776" i="38"/>
  <c r="A1776" i="38"/>
  <c r="C1775" i="38"/>
  <c r="B1775" i="38"/>
  <c r="A1775" i="38"/>
  <c r="C1774" i="38"/>
  <c r="B1774" i="38"/>
  <c r="A1774" i="38"/>
  <c r="C1773" i="38"/>
  <c r="B1773" i="38"/>
  <c r="A1773" i="38"/>
  <c r="C1772" i="38"/>
  <c r="B1772" i="38"/>
  <c r="A1772" i="38"/>
  <c r="C1771" i="38"/>
  <c r="B1771" i="38"/>
  <c r="A1771" i="38"/>
  <c r="C1770" i="38"/>
  <c r="B1770" i="38"/>
  <c r="A1770" i="38"/>
  <c r="C1769" i="38"/>
  <c r="B1769" i="38"/>
  <c r="A1769" i="38"/>
  <c r="C1768" i="38"/>
  <c r="B1768" i="38"/>
  <c r="A1768" i="38"/>
  <c r="C1767" i="38"/>
  <c r="B1767" i="38"/>
  <c r="A1767" i="38"/>
  <c r="C1766" i="38"/>
  <c r="B1766" i="38"/>
  <c r="A1766" i="38"/>
  <c r="C1765" i="38"/>
  <c r="B1765" i="38"/>
  <c r="A1765" i="38"/>
  <c r="C1764" i="38"/>
  <c r="B1764" i="38"/>
  <c r="A1764" i="38"/>
  <c r="C1763" i="38"/>
  <c r="B1763" i="38"/>
  <c r="A1763" i="38"/>
  <c r="C1762" i="38"/>
  <c r="B1762" i="38"/>
  <c r="A1762" i="38"/>
  <c r="C1761" i="38"/>
  <c r="B1761" i="38"/>
  <c r="A1761" i="38"/>
  <c r="C1760" i="38"/>
  <c r="B1760" i="38"/>
  <c r="A1760" i="38"/>
  <c r="C1759" i="38"/>
  <c r="B1759" i="38"/>
  <c r="A1759" i="38"/>
  <c r="C1758" i="38"/>
  <c r="B1758" i="38"/>
  <c r="A1758" i="38"/>
  <c r="C1757" i="38"/>
  <c r="B1757" i="38"/>
  <c r="A1757" i="38"/>
  <c r="C1756" i="38"/>
  <c r="B1756" i="38"/>
  <c r="A1756" i="38"/>
  <c r="C1755" i="38"/>
  <c r="B1755" i="38"/>
  <c r="A1755" i="38"/>
  <c r="C1754" i="38"/>
  <c r="B1754" i="38"/>
  <c r="A1754" i="38"/>
  <c r="C1753" i="38"/>
  <c r="B1753" i="38"/>
  <c r="A1753" i="38"/>
  <c r="C1752" i="38"/>
  <c r="B1752" i="38"/>
  <c r="A1752" i="38"/>
  <c r="C1751" i="38"/>
  <c r="B1751" i="38"/>
  <c r="A1751" i="38"/>
  <c r="C1750" i="38"/>
  <c r="B1750" i="38"/>
  <c r="A1750" i="38"/>
  <c r="C1749" i="38"/>
  <c r="B1749" i="38"/>
  <c r="A1749" i="38"/>
  <c r="C1748" i="38"/>
  <c r="B1748" i="38"/>
  <c r="A1748" i="38"/>
  <c r="C1747" i="38"/>
  <c r="B1747" i="38"/>
  <c r="A1747" i="38"/>
  <c r="C1746" i="38"/>
  <c r="B1746" i="38"/>
  <c r="A1746" i="38"/>
  <c r="C1745" i="38"/>
  <c r="B1745" i="38"/>
  <c r="A1745" i="38"/>
  <c r="C1744" i="38"/>
  <c r="B1744" i="38"/>
  <c r="A1744" i="38"/>
  <c r="C1743" i="38"/>
  <c r="B1743" i="38"/>
  <c r="A1743" i="38"/>
  <c r="C1742" i="38"/>
  <c r="B1742" i="38"/>
  <c r="A1742" i="38"/>
  <c r="C1741" i="38"/>
  <c r="B1741" i="38"/>
  <c r="A1741" i="38"/>
  <c r="C1740" i="38"/>
  <c r="B1740" i="38"/>
  <c r="A1740" i="38"/>
  <c r="C1739" i="38"/>
  <c r="B1739" i="38"/>
  <c r="A1739" i="38"/>
  <c r="C1738" i="38"/>
  <c r="B1738" i="38"/>
  <c r="A1738" i="38"/>
  <c r="C1737" i="38"/>
  <c r="B1737" i="38"/>
  <c r="A1737" i="38"/>
  <c r="C1736" i="38"/>
  <c r="B1736" i="38"/>
  <c r="A1736" i="38"/>
  <c r="C1735" i="38"/>
  <c r="B1735" i="38"/>
  <c r="A1735" i="38"/>
  <c r="C1734" i="38"/>
  <c r="B1734" i="38"/>
  <c r="A1734" i="38"/>
  <c r="C1733" i="38"/>
  <c r="B1733" i="38"/>
  <c r="A1733" i="38"/>
  <c r="C1732" i="38"/>
  <c r="B1732" i="38"/>
  <c r="A1732" i="38"/>
  <c r="C1731" i="38"/>
  <c r="B1731" i="38"/>
  <c r="A1731" i="38"/>
  <c r="C1730" i="38"/>
  <c r="B1730" i="38"/>
  <c r="A1730" i="38"/>
  <c r="C1729" i="38"/>
  <c r="B1729" i="38"/>
  <c r="A1729" i="38"/>
  <c r="C1728" i="38"/>
  <c r="B1728" i="38"/>
  <c r="A1728" i="38"/>
  <c r="C1727" i="38"/>
  <c r="B1727" i="38"/>
  <c r="A1727" i="38"/>
  <c r="C1726" i="38"/>
  <c r="B1726" i="38"/>
  <c r="A1726" i="38"/>
  <c r="C1725" i="38"/>
  <c r="B1725" i="38"/>
  <c r="A1725" i="38"/>
  <c r="C1724" i="38"/>
  <c r="B1724" i="38"/>
  <c r="A1724" i="38"/>
  <c r="C1723" i="38"/>
  <c r="B1723" i="38"/>
  <c r="A1723" i="38"/>
  <c r="C1722" i="38"/>
  <c r="B1722" i="38"/>
  <c r="A1722" i="38"/>
  <c r="C1721" i="38"/>
  <c r="B1721" i="38"/>
  <c r="A1721" i="38"/>
  <c r="C1720" i="38"/>
  <c r="B1720" i="38"/>
  <c r="A1720" i="38"/>
  <c r="C1719" i="38"/>
  <c r="B1719" i="38"/>
  <c r="A1719" i="38"/>
  <c r="C1718" i="38"/>
  <c r="B1718" i="38"/>
  <c r="A1718" i="38"/>
  <c r="C1717" i="38"/>
  <c r="B1717" i="38"/>
  <c r="A1717" i="38"/>
  <c r="C1716" i="38"/>
  <c r="B1716" i="38"/>
  <c r="A1716" i="38"/>
  <c r="C1715" i="38"/>
  <c r="B1715" i="38"/>
  <c r="A1715" i="38"/>
  <c r="C1714" i="38"/>
  <c r="B1714" i="38"/>
  <c r="A1714" i="38"/>
  <c r="C1713" i="38"/>
  <c r="B1713" i="38"/>
  <c r="A1713" i="38"/>
  <c r="C1712" i="38"/>
  <c r="B1712" i="38"/>
  <c r="A1712" i="38"/>
  <c r="C1711" i="38"/>
  <c r="B1711" i="38"/>
  <c r="A1711" i="38"/>
  <c r="C1710" i="38"/>
  <c r="B1710" i="38"/>
  <c r="A1710" i="38"/>
  <c r="C1709" i="38"/>
  <c r="B1709" i="38"/>
  <c r="A1709" i="38"/>
  <c r="C1708" i="38"/>
  <c r="B1708" i="38"/>
  <c r="A1708" i="38"/>
  <c r="C1707" i="38"/>
  <c r="B1707" i="38"/>
  <c r="A1707" i="38"/>
  <c r="C1706" i="38"/>
  <c r="B1706" i="38"/>
  <c r="A1706" i="38"/>
  <c r="C1705" i="38"/>
  <c r="B1705" i="38"/>
  <c r="A1705" i="38"/>
  <c r="C1704" i="38"/>
  <c r="B1704" i="38"/>
  <c r="A1704" i="38"/>
  <c r="C1703" i="38"/>
  <c r="B1703" i="38"/>
  <c r="A1703" i="38"/>
  <c r="C1702" i="38"/>
  <c r="B1702" i="38"/>
  <c r="A1702" i="38"/>
  <c r="C1701" i="38"/>
  <c r="B1701" i="38"/>
  <c r="A1701" i="38"/>
  <c r="C1700" i="38"/>
  <c r="B1700" i="38"/>
  <c r="A1700" i="38"/>
  <c r="C1699" i="38"/>
  <c r="B1699" i="38"/>
  <c r="A1699" i="38"/>
  <c r="C1698" i="38"/>
  <c r="B1698" i="38"/>
  <c r="A1698" i="38"/>
  <c r="C1697" i="38"/>
  <c r="B1697" i="38"/>
  <c r="A1697" i="38"/>
  <c r="C1696" i="38"/>
  <c r="B1696" i="38"/>
  <c r="A1696" i="38"/>
  <c r="C1695" i="38"/>
  <c r="B1695" i="38"/>
  <c r="A1695" i="38"/>
  <c r="C1694" i="38"/>
  <c r="B1694" i="38"/>
  <c r="A1694" i="38"/>
  <c r="C1693" i="38"/>
  <c r="B1693" i="38"/>
  <c r="A1693" i="38"/>
  <c r="C1692" i="38"/>
  <c r="B1692" i="38"/>
  <c r="A1692" i="38"/>
  <c r="C1691" i="38"/>
  <c r="B1691" i="38"/>
  <c r="A1691" i="38"/>
  <c r="C1690" i="38"/>
  <c r="B1690" i="38"/>
  <c r="A1690" i="38"/>
  <c r="C1689" i="38"/>
  <c r="B1689" i="38"/>
  <c r="A1689" i="38"/>
  <c r="C1688" i="38"/>
  <c r="B1688" i="38"/>
  <c r="A1688" i="38"/>
  <c r="C1687" i="38"/>
  <c r="B1687" i="38"/>
  <c r="A1687" i="38"/>
  <c r="C1686" i="38"/>
  <c r="B1686" i="38"/>
  <c r="A1686" i="38"/>
  <c r="C1685" i="38"/>
  <c r="B1685" i="38"/>
  <c r="A1685" i="38"/>
  <c r="C1684" i="38"/>
  <c r="B1684" i="38"/>
  <c r="A1684" i="38"/>
  <c r="C1683" i="38"/>
  <c r="B1683" i="38"/>
  <c r="A1683" i="38"/>
  <c r="C1682" i="38"/>
  <c r="B1682" i="38"/>
  <c r="A1682" i="38"/>
  <c r="C1681" i="38"/>
  <c r="B1681" i="38"/>
  <c r="A1681" i="38"/>
  <c r="C1680" i="38"/>
  <c r="B1680" i="38"/>
  <c r="A1680" i="38"/>
  <c r="C1679" i="38"/>
  <c r="B1679" i="38"/>
  <c r="A1679" i="38"/>
  <c r="C1678" i="38"/>
  <c r="B1678" i="38"/>
  <c r="A1678" i="38"/>
  <c r="C1677" i="38"/>
  <c r="B1677" i="38"/>
  <c r="A1677" i="38"/>
  <c r="C1676" i="38"/>
  <c r="B1676" i="38"/>
  <c r="A1676" i="38"/>
  <c r="C1675" i="38"/>
  <c r="B1675" i="38"/>
  <c r="A1675" i="38"/>
  <c r="C1674" i="38"/>
  <c r="B1674" i="38"/>
  <c r="A1674" i="38"/>
  <c r="C1673" i="38"/>
  <c r="B1673" i="38"/>
  <c r="A1673" i="38"/>
  <c r="C1672" i="38"/>
  <c r="B1672" i="38"/>
  <c r="A1672" i="38"/>
  <c r="C1671" i="38"/>
  <c r="B1671" i="38"/>
  <c r="A1671" i="38"/>
  <c r="C1670" i="38"/>
  <c r="B1670" i="38"/>
  <c r="A1670" i="38"/>
  <c r="C1669" i="38"/>
  <c r="B1669" i="38"/>
  <c r="A1669" i="38"/>
  <c r="C1668" i="38"/>
  <c r="B1668" i="38"/>
  <c r="A1668" i="38"/>
  <c r="C1667" i="38"/>
  <c r="B1667" i="38"/>
  <c r="A1667" i="38"/>
  <c r="C1666" i="38"/>
  <c r="B1666" i="38"/>
  <c r="A1666" i="38"/>
  <c r="C1665" i="38"/>
  <c r="B1665" i="38"/>
  <c r="A1665" i="38"/>
  <c r="C1664" i="38"/>
  <c r="B1664" i="38"/>
  <c r="A1664" i="38"/>
  <c r="C1663" i="38"/>
  <c r="B1663" i="38"/>
  <c r="A1663" i="38"/>
  <c r="C1662" i="38"/>
  <c r="B1662" i="38"/>
  <c r="A1662" i="38"/>
  <c r="C1661" i="38"/>
  <c r="B1661" i="38"/>
  <c r="A1661" i="38"/>
  <c r="C1660" i="38"/>
  <c r="B1660" i="38"/>
  <c r="A1660" i="38"/>
  <c r="C1659" i="38"/>
  <c r="B1659" i="38"/>
  <c r="A1659" i="38"/>
  <c r="C1658" i="38"/>
  <c r="B1658" i="38"/>
  <c r="A1658" i="38"/>
  <c r="C1657" i="38"/>
  <c r="B1657" i="38"/>
  <c r="A1657" i="38"/>
  <c r="C1656" i="38"/>
  <c r="B1656" i="38"/>
  <c r="A1656" i="38"/>
  <c r="C1655" i="38"/>
  <c r="B1655" i="38"/>
  <c r="A1655" i="38"/>
  <c r="C1654" i="38"/>
  <c r="B1654" i="38"/>
  <c r="A1654" i="38"/>
  <c r="C1653" i="38"/>
  <c r="B1653" i="38"/>
  <c r="A1653" i="38"/>
  <c r="C1652" i="38"/>
  <c r="B1652" i="38"/>
  <c r="A1652" i="38"/>
  <c r="C1651" i="38"/>
  <c r="B1651" i="38"/>
  <c r="A1651" i="38"/>
  <c r="C1650" i="38"/>
  <c r="B1650" i="38"/>
  <c r="A1650" i="38"/>
  <c r="C1649" i="38"/>
  <c r="B1649" i="38"/>
  <c r="A1649" i="38"/>
  <c r="C1648" i="38"/>
  <c r="B1648" i="38"/>
  <c r="A1648" i="38"/>
  <c r="C1647" i="38"/>
  <c r="B1647" i="38"/>
  <c r="A1647" i="38"/>
  <c r="C1646" i="38"/>
  <c r="B1646" i="38"/>
  <c r="A1646" i="38"/>
  <c r="C1645" i="38"/>
  <c r="B1645" i="38"/>
  <c r="A1645" i="38"/>
  <c r="C1644" i="38"/>
  <c r="B1644" i="38"/>
  <c r="A1644" i="38"/>
  <c r="C1643" i="38"/>
  <c r="B1643" i="38"/>
  <c r="A1643" i="38"/>
  <c r="C1642" i="38"/>
  <c r="B1642" i="38"/>
  <c r="A1642" i="38"/>
  <c r="C1641" i="38"/>
  <c r="B1641" i="38"/>
  <c r="A1641" i="38"/>
  <c r="C1640" i="38"/>
  <c r="B1640" i="38"/>
  <c r="A1640" i="38"/>
  <c r="C1639" i="38"/>
  <c r="B1639" i="38"/>
  <c r="A1639" i="38"/>
  <c r="C1638" i="38"/>
  <c r="B1638" i="38"/>
  <c r="A1638" i="38"/>
  <c r="C1637" i="38"/>
  <c r="B1637" i="38"/>
  <c r="A1637" i="38"/>
  <c r="C1636" i="38"/>
  <c r="B1636" i="38"/>
  <c r="A1636" i="38"/>
  <c r="C1635" i="38"/>
  <c r="B1635" i="38"/>
  <c r="A1635" i="38"/>
  <c r="C1634" i="38"/>
  <c r="B1634" i="38"/>
  <c r="A1634" i="38"/>
  <c r="C1633" i="38"/>
  <c r="B1633" i="38"/>
  <c r="A1633" i="38"/>
  <c r="C1632" i="38"/>
  <c r="B1632" i="38"/>
  <c r="A1632" i="38"/>
  <c r="C1631" i="38"/>
  <c r="B1631" i="38"/>
  <c r="A1631" i="38"/>
  <c r="C1630" i="38"/>
  <c r="B1630" i="38"/>
  <c r="A1630" i="38"/>
  <c r="C1629" i="38"/>
  <c r="B1629" i="38"/>
  <c r="A1629" i="38"/>
  <c r="C1628" i="38"/>
  <c r="B1628" i="38"/>
  <c r="A1628" i="38"/>
  <c r="C1627" i="38"/>
  <c r="B1627" i="38"/>
  <c r="A1627" i="38"/>
  <c r="C1626" i="38"/>
  <c r="B1626" i="38"/>
  <c r="A1626" i="38"/>
  <c r="C1625" i="38"/>
  <c r="B1625" i="38"/>
  <c r="A1625" i="38"/>
  <c r="C1624" i="38"/>
  <c r="B1624" i="38"/>
  <c r="A1624" i="38"/>
  <c r="C1623" i="38"/>
  <c r="B1623" i="38"/>
  <c r="A1623" i="38"/>
  <c r="C1622" i="38"/>
  <c r="B1622" i="38"/>
  <c r="A1622" i="38"/>
  <c r="C1621" i="38"/>
  <c r="B1621" i="38"/>
  <c r="A1621" i="38"/>
  <c r="C1620" i="38"/>
  <c r="B1620" i="38"/>
  <c r="A1620" i="38"/>
  <c r="C1619" i="38"/>
  <c r="B1619" i="38"/>
  <c r="A1619" i="38"/>
  <c r="C1618" i="38"/>
  <c r="B1618" i="38"/>
  <c r="A1618" i="38"/>
  <c r="C1617" i="38"/>
  <c r="B1617" i="38"/>
  <c r="A1617" i="38"/>
  <c r="C1616" i="38"/>
  <c r="B1616" i="38"/>
  <c r="A1616" i="38"/>
  <c r="C1615" i="38"/>
  <c r="B1615" i="38"/>
  <c r="A1615" i="38"/>
  <c r="C1614" i="38"/>
  <c r="B1614" i="38"/>
  <c r="A1614" i="38"/>
  <c r="C1613" i="38"/>
  <c r="B1613" i="38"/>
  <c r="A1613" i="38"/>
  <c r="C1612" i="38"/>
  <c r="B1612" i="38"/>
  <c r="A1612" i="38"/>
  <c r="C1611" i="38"/>
  <c r="B1611" i="38"/>
  <c r="A1611" i="38"/>
  <c r="C1610" i="38"/>
  <c r="B1610" i="38"/>
  <c r="A1610" i="38"/>
  <c r="C1609" i="38"/>
  <c r="B1609" i="38"/>
  <c r="A1609" i="38"/>
  <c r="C1608" i="38"/>
  <c r="B1608" i="38"/>
  <c r="A1608" i="38"/>
  <c r="C1607" i="38"/>
  <c r="B1607" i="38"/>
  <c r="A1607" i="38"/>
  <c r="C1606" i="38"/>
  <c r="B1606" i="38"/>
  <c r="A1606" i="38"/>
  <c r="C1605" i="38"/>
  <c r="B1605" i="38"/>
  <c r="A1605" i="38"/>
  <c r="C1604" i="38"/>
  <c r="B1604" i="38"/>
  <c r="A1604" i="38"/>
  <c r="C1603" i="38"/>
  <c r="B1603" i="38"/>
  <c r="A1603" i="38"/>
  <c r="C1602" i="38"/>
  <c r="B1602" i="38"/>
  <c r="A1602" i="38"/>
  <c r="C1601" i="38"/>
  <c r="B1601" i="38"/>
  <c r="A1601" i="38"/>
  <c r="C1600" i="38"/>
  <c r="B1600" i="38"/>
  <c r="A1600" i="38"/>
  <c r="C1599" i="38"/>
  <c r="B1599" i="38"/>
  <c r="A1599" i="38"/>
  <c r="C1598" i="38"/>
  <c r="B1598" i="38"/>
  <c r="A1598" i="38"/>
  <c r="C1597" i="38"/>
  <c r="B1597" i="38"/>
  <c r="A1597" i="38"/>
  <c r="C1596" i="38"/>
  <c r="B1596" i="38"/>
  <c r="A1596" i="38"/>
  <c r="C1595" i="38"/>
  <c r="B1595" i="38"/>
  <c r="A1595" i="38"/>
  <c r="C1594" i="38"/>
  <c r="B1594" i="38"/>
  <c r="A1594" i="38"/>
  <c r="C1593" i="38"/>
  <c r="B1593" i="38"/>
  <c r="A1593" i="38"/>
  <c r="C1592" i="38"/>
  <c r="B1592" i="38"/>
  <c r="A1592" i="38"/>
  <c r="C1591" i="38"/>
  <c r="B1591" i="38"/>
  <c r="A1591" i="38"/>
  <c r="C1590" i="38"/>
  <c r="B1590" i="38"/>
  <c r="A1590" i="38"/>
  <c r="C1589" i="38"/>
  <c r="B1589" i="38"/>
  <c r="A1589" i="38"/>
  <c r="C1588" i="38"/>
  <c r="B1588" i="38"/>
  <c r="A1588" i="38"/>
  <c r="C1587" i="38"/>
  <c r="B1587" i="38"/>
  <c r="A1587" i="38"/>
  <c r="C1586" i="38"/>
  <c r="B1586" i="38"/>
  <c r="A1586" i="38"/>
  <c r="C1585" i="38"/>
  <c r="B1585" i="38"/>
  <c r="A1585" i="38"/>
  <c r="C1584" i="38"/>
  <c r="B1584" i="38"/>
  <c r="A1584" i="38"/>
  <c r="C1583" i="38"/>
  <c r="B1583" i="38"/>
  <c r="A1583" i="38"/>
  <c r="C1582" i="38"/>
  <c r="B1582" i="38"/>
  <c r="A1582" i="38"/>
  <c r="C1581" i="38"/>
  <c r="B1581" i="38"/>
  <c r="A1581" i="38"/>
  <c r="C1580" i="38"/>
  <c r="B1580" i="38"/>
  <c r="A1580" i="38"/>
  <c r="C1579" i="38"/>
  <c r="B1579" i="38"/>
  <c r="A1579" i="38"/>
  <c r="C1578" i="38"/>
  <c r="B1578" i="38"/>
  <c r="A1578" i="38"/>
  <c r="C1577" i="38"/>
  <c r="B1577" i="38"/>
  <c r="A1577" i="38"/>
  <c r="C1576" i="38"/>
  <c r="B1576" i="38"/>
  <c r="A1576" i="38"/>
  <c r="C1575" i="38"/>
  <c r="B1575" i="38"/>
  <c r="A1575" i="38"/>
  <c r="C1574" i="38"/>
  <c r="B1574" i="38"/>
  <c r="A1574" i="38"/>
  <c r="C1573" i="38"/>
  <c r="B1573" i="38"/>
  <c r="A1573" i="38"/>
  <c r="C1572" i="38"/>
  <c r="B1572" i="38"/>
  <c r="A1572" i="38"/>
  <c r="C1571" i="38"/>
  <c r="B1571" i="38"/>
  <c r="A1571" i="38"/>
  <c r="C1570" i="38"/>
  <c r="B1570" i="38"/>
  <c r="A1570" i="38"/>
  <c r="C1569" i="38"/>
  <c r="B1569" i="38"/>
  <c r="A1569" i="38"/>
  <c r="C1568" i="38"/>
  <c r="B1568" i="38"/>
  <c r="A1568" i="38"/>
  <c r="C1567" i="38"/>
  <c r="B1567" i="38"/>
  <c r="A1567" i="38"/>
  <c r="C1566" i="38"/>
  <c r="B1566" i="38"/>
  <c r="A1566" i="38"/>
  <c r="C1565" i="38"/>
  <c r="B1565" i="38"/>
  <c r="A1565" i="38"/>
  <c r="C1564" i="38"/>
  <c r="B1564" i="38"/>
  <c r="A1564" i="38"/>
  <c r="C1563" i="38"/>
  <c r="B1563" i="38"/>
  <c r="A1563" i="38"/>
  <c r="C1562" i="38"/>
  <c r="B1562" i="38"/>
  <c r="A1562" i="38"/>
  <c r="C1561" i="38"/>
  <c r="B1561" i="38"/>
  <c r="A1561" i="38"/>
  <c r="C1560" i="38"/>
  <c r="B1560" i="38"/>
  <c r="A1560" i="38"/>
  <c r="C1559" i="38"/>
  <c r="B1559" i="38"/>
  <c r="A1559" i="38"/>
  <c r="C1558" i="38"/>
  <c r="B1558" i="38"/>
  <c r="A1558" i="38"/>
  <c r="C1557" i="38"/>
  <c r="B1557" i="38"/>
  <c r="A1557" i="38"/>
  <c r="C1556" i="38"/>
  <c r="B1556" i="38"/>
  <c r="A1556" i="38"/>
  <c r="C1555" i="38"/>
  <c r="B1555" i="38"/>
  <c r="A1555" i="38"/>
  <c r="C1554" i="38"/>
  <c r="B1554" i="38"/>
  <c r="A1554" i="38"/>
  <c r="C1553" i="38"/>
  <c r="B1553" i="38"/>
  <c r="A1553" i="38"/>
  <c r="C1552" i="38"/>
  <c r="B1552" i="38"/>
  <c r="A1552" i="38"/>
  <c r="C1551" i="38"/>
  <c r="B1551" i="38"/>
  <c r="A1551" i="38"/>
  <c r="C1550" i="38"/>
  <c r="B1550" i="38"/>
  <c r="A1550" i="38"/>
  <c r="C1549" i="38"/>
  <c r="B1549" i="38"/>
  <c r="A1549" i="38"/>
  <c r="C1548" i="38"/>
  <c r="B1548" i="38"/>
  <c r="A1548" i="38"/>
  <c r="C1547" i="38"/>
  <c r="B1547" i="38"/>
  <c r="A1547" i="38"/>
  <c r="C1546" i="38"/>
  <c r="B1546" i="38"/>
  <c r="A1546" i="38"/>
  <c r="C1545" i="38"/>
  <c r="B1545" i="38"/>
  <c r="A1545" i="38"/>
  <c r="C1544" i="38"/>
  <c r="B1544" i="38"/>
  <c r="A1544" i="38"/>
  <c r="C1543" i="38"/>
  <c r="B1543" i="38"/>
  <c r="A1543" i="38"/>
  <c r="C1542" i="38"/>
  <c r="B1542" i="38"/>
  <c r="A1542" i="38"/>
  <c r="C1541" i="38"/>
  <c r="B1541" i="38"/>
  <c r="A1541" i="38"/>
  <c r="C1540" i="38"/>
  <c r="B1540" i="38"/>
  <c r="A1540" i="38"/>
  <c r="C1539" i="38"/>
  <c r="B1539" i="38"/>
  <c r="A1539" i="38"/>
  <c r="C1538" i="38"/>
  <c r="B1538" i="38"/>
  <c r="A1538" i="38"/>
  <c r="C1537" i="38"/>
  <c r="B1537" i="38"/>
  <c r="A1537" i="38"/>
  <c r="C1536" i="38"/>
  <c r="B1536" i="38"/>
  <c r="A1536" i="38"/>
  <c r="C1535" i="38"/>
  <c r="B1535" i="38"/>
  <c r="A1535" i="38"/>
  <c r="C1534" i="38"/>
  <c r="B1534" i="38"/>
  <c r="A1534" i="38"/>
  <c r="C1533" i="38"/>
  <c r="B1533" i="38"/>
  <c r="A1533" i="38"/>
  <c r="C1532" i="38"/>
  <c r="B1532" i="38"/>
  <c r="A1532" i="38"/>
  <c r="C1531" i="38"/>
  <c r="B1531" i="38"/>
  <c r="A1531" i="38"/>
  <c r="C1530" i="38"/>
  <c r="B1530" i="38"/>
  <c r="A1530" i="38"/>
  <c r="C1529" i="38"/>
  <c r="B1529" i="38"/>
  <c r="A1529" i="38"/>
  <c r="C1528" i="38"/>
  <c r="B1528" i="38"/>
  <c r="A1528" i="38"/>
  <c r="C1527" i="38"/>
  <c r="B1527" i="38"/>
  <c r="A1527" i="38"/>
  <c r="C1526" i="38"/>
  <c r="B1526" i="38"/>
  <c r="A1526" i="38"/>
  <c r="C1525" i="38"/>
  <c r="B1525" i="38"/>
  <c r="A1525" i="38"/>
  <c r="C1524" i="38"/>
  <c r="B1524" i="38"/>
  <c r="A1524" i="38"/>
  <c r="C1523" i="38"/>
  <c r="B1523" i="38"/>
  <c r="A1523" i="38"/>
  <c r="C1522" i="38"/>
  <c r="B1522" i="38"/>
  <c r="A1522" i="38"/>
  <c r="C1521" i="38"/>
  <c r="B1521" i="38"/>
  <c r="A1521" i="38"/>
  <c r="C1520" i="38"/>
  <c r="B1520" i="38"/>
  <c r="A1520" i="38"/>
  <c r="C1519" i="38"/>
  <c r="B1519" i="38"/>
  <c r="A1519" i="38"/>
  <c r="C1518" i="38"/>
  <c r="B1518" i="38"/>
  <c r="A1518" i="38"/>
  <c r="C1517" i="38"/>
  <c r="B1517" i="38"/>
  <c r="A1517" i="38"/>
  <c r="C1516" i="38"/>
  <c r="B1516" i="38"/>
  <c r="A1516" i="38"/>
  <c r="C1515" i="38"/>
  <c r="B1515" i="38"/>
  <c r="A1515" i="38"/>
  <c r="C1514" i="38"/>
  <c r="B1514" i="38"/>
  <c r="A1514" i="38"/>
  <c r="C1513" i="38"/>
  <c r="B1513" i="38"/>
  <c r="A1513" i="38"/>
  <c r="C1512" i="38"/>
  <c r="B1512" i="38"/>
  <c r="A1512" i="38"/>
  <c r="C1511" i="38"/>
  <c r="B1511" i="38"/>
  <c r="A1511" i="38"/>
  <c r="C1510" i="38"/>
  <c r="B1510" i="38"/>
  <c r="A1510" i="38"/>
  <c r="C1509" i="38"/>
  <c r="B1509" i="38"/>
  <c r="A1509" i="38"/>
  <c r="C1508" i="38"/>
  <c r="B1508" i="38"/>
  <c r="A1508" i="38"/>
  <c r="C1507" i="38"/>
  <c r="B1507" i="38"/>
  <c r="A1507" i="38"/>
  <c r="C1506" i="38"/>
  <c r="B1506" i="38"/>
  <c r="A1506" i="38"/>
  <c r="C1505" i="38"/>
  <c r="B1505" i="38"/>
  <c r="A1505" i="38"/>
  <c r="C1504" i="38"/>
  <c r="B1504" i="38"/>
  <c r="A1504" i="38"/>
  <c r="C1503" i="38"/>
  <c r="B1503" i="38"/>
  <c r="A1503" i="38"/>
  <c r="C1502" i="38"/>
  <c r="B1502" i="38"/>
  <c r="A1502" i="38"/>
  <c r="C1501" i="38"/>
  <c r="B1501" i="38"/>
  <c r="A1501" i="38"/>
  <c r="C1500" i="38"/>
  <c r="B1500" i="38"/>
  <c r="A1500" i="38"/>
  <c r="C1499" i="38"/>
  <c r="B1499" i="38"/>
  <c r="A1499" i="38"/>
  <c r="C1498" i="38"/>
  <c r="B1498" i="38"/>
  <c r="A1498" i="38"/>
  <c r="C1497" i="38"/>
  <c r="B1497" i="38"/>
  <c r="A1497" i="38"/>
  <c r="C1496" i="38"/>
  <c r="B1496" i="38"/>
  <c r="A1496" i="38"/>
  <c r="C1495" i="38"/>
  <c r="B1495" i="38"/>
  <c r="A1495" i="38"/>
  <c r="C1494" i="38"/>
  <c r="B1494" i="38"/>
  <c r="A1494" i="38"/>
  <c r="C1493" i="38"/>
  <c r="B1493" i="38"/>
  <c r="A1493" i="38"/>
  <c r="C1492" i="38"/>
  <c r="B1492" i="38"/>
  <c r="A1492" i="38"/>
  <c r="C1491" i="38"/>
  <c r="B1491" i="38"/>
  <c r="A1491" i="38"/>
  <c r="C1490" i="38"/>
  <c r="B1490" i="38"/>
  <c r="A1490" i="38"/>
  <c r="C1489" i="38"/>
  <c r="B1489" i="38"/>
  <c r="A1489" i="38"/>
  <c r="C1488" i="38"/>
  <c r="B1488" i="38"/>
  <c r="A1488" i="38"/>
  <c r="C1487" i="38"/>
  <c r="B1487" i="38"/>
  <c r="A1487" i="38"/>
  <c r="C1486" i="38"/>
  <c r="B1486" i="38"/>
  <c r="A1486" i="38"/>
  <c r="C1485" i="38"/>
  <c r="B1485" i="38"/>
  <c r="A1485" i="38"/>
  <c r="C1484" i="38"/>
  <c r="B1484" i="38"/>
  <c r="A1484" i="38"/>
  <c r="C1483" i="38"/>
  <c r="B1483" i="38"/>
  <c r="A1483" i="38"/>
  <c r="C1482" i="38"/>
  <c r="B1482" i="38"/>
  <c r="A1482" i="38"/>
  <c r="C1481" i="38"/>
  <c r="B1481" i="38"/>
  <c r="A1481" i="38"/>
  <c r="C1480" i="38"/>
  <c r="B1480" i="38"/>
  <c r="A1480" i="38"/>
  <c r="C1479" i="38"/>
  <c r="B1479" i="38"/>
  <c r="A1479" i="38"/>
  <c r="C1478" i="38"/>
  <c r="B1478" i="38"/>
  <c r="A1478" i="38"/>
  <c r="C1477" i="38"/>
  <c r="B1477" i="38"/>
  <c r="A1477" i="38"/>
  <c r="C1476" i="38"/>
  <c r="B1476" i="38"/>
  <c r="A1476" i="38"/>
  <c r="C1475" i="38"/>
  <c r="B1475" i="38"/>
  <c r="A1475" i="38"/>
  <c r="C1474" i="38"/>
  <c r="B1474" i="38"/>
  <c r="A1474" i="38"/>
  <c r="C1473" i="38"/>
  <c r="B1473" i="38"/>
  <c r="A1473" i="38"/>
  <c r="C1472" i="38"/>
  <c r="B1472" i="38"/>
  <c r="A1472" i="38"/>
  <c r="C1471" i="38"/>
  <c r="B1471" i="38"/>
  <c r="A1471" i="38"/>
  <c r="C1470" i="38"/>
  <c r="B1470" i="38"/>
  <c r="A1470" i="38"/>
  <c r="C1469" i="38"/>
  <c r="B1469" i="38"/>
  <c r="A1469" i="38"/>
  <c r="C1468" i="38"/>
  <c r="B1468" i="38"/>
  <c r="A1468" i="38"/>
  <c r="C1467" i="38"/>
  <c r="B1467" i="38"/>
  <c r="A1467" i="38"/>
  <c r="C1466" i="38"/>
  <c r="B1466" i="38"/>
  <c r="A1466" i="38"/>
  <c r="C1465" i="38"/>
  <c r="B1465" i="38"/>
  <c r="A1465" i="38"/>
  <c r="C1464" i="38"/>
  <c r="B1464" i="38"/>
  <c r="A1464" i="38"/>
  <c r="C1463" i="38"/>
  <c r="B1463" i="38"/>
  <c r="A1463" i="38"/>
  <c r="C1462" i="38"/>
  <c r="B1462" i="38"/>
  <c r="A1462" i="38"/>
  <c r="C1461" i="38"/>
  <c r="B1461" i="38"/>
  <c r="A1461" i="38"/>
  <c r="C1460" i="38"/>
  <c r="B1460" i="38"/>
  <c r="A1460" i="38"/>
  <c r="C1459" i="38"/>
  <c r="B1459" i="38"/>
  <c r="A1459" i="38"/>
  <c r="C1458" i="38"/>
  <c r="B1458" i="38"/>
  <c r="A1458" i="38"/>
  <c r="C1457" i="38"/>
  <c r="B1457" i="38"/>
  <c r="A1457" i="38"/>
  <c r="C1456" i="38"/>
  <c r="B1456" i="38"/>
  <c r="A1456" i="38"/>
  <c r="C1455" i="38"/>
  <c r="B1455" i="38"/>
  <c r="A1455" i="38"/>
  <c r="C1454" i="38"/>
  <c r="B1454" i="38"/>
  <c r="A1454" i="38"/>
  <c r="C1453" i="38"/>
  <c r="B1453" i="38"/>
  <c r="A1453" i="38"/>
  <c r="C1452" i="38"/>
  <c r="B1452" i="38"/>
  <c r="A1452" i="38"/>
  <c r="C1451" i="38"/>
  <c r="B1451" i="38"/>
  <c r="A1451" i="38"/>
  <c r="C1450" i="38"/>
  <c r="B1450" i="38"/>
  <c r="A1450" i="38"/>
  <c r="C1449" i="38"/>
  <c r="B1449" i="38"/>
  <c r="A1449" i="38"/>
  <c r="C1448" i="38"/>
  <c r="B1448" i="38"/>
  <c r="A1448" i="38"/>
  <c r="C1447" i="38"/>
  <c r="B1447" i="38"/>
  <c r="A1447" i="38"/>
  <c r="C1446" i="38"/>
  <c r="B1446" i="38"/>
  <c r="A1446" i="38"/>
  <c r="C1445" i="38"/>
  <c r="B1445" i="38"/>
  <c r="A1445" i="38"/>
  <c r="C1444" i="38"/>
  <c r="B1444" i="38"/>
  <c r="A1444" i="38"/>
  <c r="C1443" i="38"/>
  <c r="B1443" i="38"/>
  <c r="A1443" i="38"/>
  <c r="C1442" i="38"/>
  <c r="B1442" i="38"/>
  <c r="A1442" i="38"/>
  <c r="C1441" i="38"/>
  <c r="B1441" i="38"/>
  <c r="A1441" i="38"/>
  <c r="C1440" i="38"/>
  <c r="B1440" i="38"/>
  <c r="A1440" i="38"/>
  <c r="C1439" i="38"/>
  <c r="B1439" i="38"/>
  <c r="A1439" i="38"/>
  <c r="C1438" i="38"/>
  <c r="B1438" i="38"/>
  <c r="A1438" i="38"/>
  <c r="C1437" i="38"/>
  <c r="B1437" i="38"/>
  <c r="A1437" i="38"/>
  <c r="C1436" i="38"/>
  <c r="B1436" i="38"/>
  <c r="A1436" i="38"/>
  <c r="C1435" i="38"/>
  <c r="B1435" i="38"/>
  <c r="A1435" i="38"/>
  <c r="C1434" i="38"/>
  <c r="B1434" i="38"/>
  <c r="A1434" i="38"/>
  <c r="C1433" i="38"/>
  <c r="B1433" i="38"/>
  <c r="A1433" i="38"/>
  <c r="C1432" i="38"/>
  <c r="B1432" i="38"/>
  <c r="A1432" i="38"/>
  <c r="C1431" i="38"/>
  <c r="B1431" i="38"/>
  <c r="A1431" i="38"/>
  <c r="C1430" i="38"/>
  <c r="B1430" i="38"/>
  <c r="A1430" i="38"/>
  <c r="C1429" i="38"/>
  <c r="B1429" i="38"/>
  <c r="A1429" i="38"/>
  <c r="C1428" i="38"/>
  <c r="B1428" i="38"/>
  <c r="A1428" i="38"/>
  <c r="C1427" i="38"/>
  <c r="B1427" i="38"/>
  <c r="A1427" i="38"/>
  <c r="C1426" i="38"/>
  <c r="B1426" i="38"/>
  <c r="A1426" i="38"/>
  <c r="C1425" i="38"/>
  <c r="B1425" i="38"/>
  <c r="A1425" i="38"/>
  <c r="C1424" i="38"/>
  <c r="B1424" i="38"/>
  <c r="A1424" i="38"/>
  <c r="C1423" i="38"/>
  <c r="B1423" i="38"/>
  <c r="A1423" i="38"/>
  <c r="C1422" i="38"/>
  <c r="B1422" i="38"/>
  <c r="A1422" i="38"/>
  <c r="C1421" i="38"/>
  <c r="B1421" i="38"/>
  <c r="A1421" i="38"/>
  <c r="C1420" i="38"/>
  <c r="B1420" i="38"/>
  <c r="A1420" i="38"/>
  <c r="C1419" i="38"/>
  <c r="B1419" i="38"/>
  <c r="A1419" i="38"/>
  <c r="C1418" i="38"/>
  <c r="B1418" i="38"/>
  <c r="A1418" i="38"/>
  <c r="C1417" i="38"/>
  <c r="B1417" i="38"/>
  <c r="A1417" i="38"/>
  <c r="C1416" i="38"/>
  <c r="B1416" i="38"/>
  <c r="A1416" i="38"/>
  <c r="C1415" i="38"/>
  <c r="B1415" i="38"/>
  <c r="A1415" i="38"/>
  <c r="C1414" i="38"/>
  <c r="B1414" i="38"/>
  <c r="A1414" i="38"/>
  <c r="C1413" i="38"/>
  <c r="B1413" i="38"/>
  <c r="A1413" i="38"/>
  <c r="C1412" i="38"/>
  <c r="B1412" i="38"/>
  <c r="A1412" i="38"/>
  <c r="C1411" i="38"/>
  <c r="B1411" i="38"/>
  <c r="A1411" i="38"/>
  <c r="C1410" i="38"/>
  <c r="B1410" i="38"/>
  <c r="A1410" i="38"/>
  <c r="C1409" i="38"/>
  <c r="B1409" i="38"/>
  <c r="A1409" i="38"/>
  <c r="C1408" i="38"/>
  <c r="B1408" i="38"/>
  <c r="A1408" i="38"/>
  <c r="C1407" i="38"/>
  <c r="B1407" i="38"/>
  <c r="A1407" i="38"/>
  <c r="C1406" i="38"/>
  <c r="B1406" i="38"/>
  <c r="A1406" i="38"/>
  <c r="C1405" i="38"/>
  <c r="B1405" i="38"/>
  <c r="A1405" i="38"/>
  <c r="C1404" i="38"/>
  <c r="B1404" i="38"/>
  <c r="A1404" i="38"/>
  <c r="C1403" i="38"/>
  <c r="B1403" i="38"/>
  <c r="A1403" i="38"/>
  <c r="C1402" i="38"/>
  <c r="B1402" i="38"/>
  <c r="A1402" i="38"/>
  <c r="C1401" i="38"/>
  <c r="B1401" i="38"/>
  <c r="A1401" i="38"/>
  <c r="C1400" i="38"/>
  <c r="B1400" i="38"/>
  <c r="A1400" i="38"/>
  <c r="C1399" i="38"/>
  <c r="B1399" i="38"/>
  <c r="A1399" i="38"/>
  <c r="C1398" i="38"/>
  <c r="B1398" i="38"/>
  <c r="A1398" i="38"/>
  <c r="C1397" i="38"/>
  <c r="B1397" i="38"/>
  <c r="A1397" i="38"/>
  <c r="C1396" i="38"/>
  <c r="B1396" i="38"/>
  <c r="A1396" i="38"/>
  <c r="C1395" i="38"/>
  <c r="B1395" i="38"/>
  <c r="A1395" i="38"/>
  <c r="C1394" i="38"/>
  <c r="B1394" i="38"/>
  <c r="A1394" i="38"/>
  <c r="C1393" i="38"/>
  <c r="B1393" i="38"/>
  <c r="A1393" i="38"/>
  <c r="C1392" i="38"/>
  <c r="B1392" i="38"/>
  <c r="A1392" i="38"/>
  <c r="C1391" i="38"/>
  <c r="B1391" i="38"/>
  <c r="A1391" i="38"/>
  <c r="C1390" i="38"/>
  <c r="B1390" i="38"/>
  <c r="A1390" i="38"/>
  <c r="C1389" i="38"/>
  <c r="B1389" i="38"/>
  <c r="A1389" i="38"/>
  <c r="C1388" i="38"/>
  <c r="B1388" i="38"/>
  <c r="A1388" i="38"/>
  <c r="C1387" i="38"/>
  <c r="B1387" i="38"/>
  <c r="A1387" i="38"/>
  <c r="C1386" i="38"/>
  <c r="B1386" i="38"/>
  <c r="A1386" i="38"/>
  <c r="C1385" i="38"/>
  <c r="B1385" i="38"/>
  <c r="A1385" i="38"/>
  <c r="C1384" i="38"/>
  <c r="B1384" i="38"/>
  <c r="A1384" i="38"/>
  <c r="C1383" i="38"/>
  <c r="B1383" i="38"/>
  <c r="A1383" i="38"/>
  <c r="C1382" i="38"/>
  <c r="B1382" i="38"/>
  <c r="A1382" i="38"/>
  <c r="C1381" i="38"/>
  <c r="B1381" i="38"/>
  <c r="A1381" i="38"/>
  <c r="C1380" i="38"/>
  <c r="B1380" i="38"/>
  <c r="A1380" i="38"/>
  <c r="C1379" i="38"/>
  <c r="B1379" i="38"/>
  <c r="A1379" i="38"/>
  <c r="C1378" i="38"/>
  <c r="B1378" i="38"/>
  <c r="A1378" i="38"/>
  <c r="C1377" i="38"/>
  <c r="B1377" i="38"/>
  <c r="A1377" i="38"/>
  <c r="C1376" i="38"/>
  <c r="B1376" i="38"/>
  <c r="A1376" i="38"/>
  <c r="C1375" i="38"/>
  <c r="B1375" i="38"/>
  <c r="A1375" i="38"/>
  <c r="C1374" i="38"/>
  <c r="B1374" i="38"/>
  <c r="A1374" i="38"/>
  <c r="C1373" i="38"/>
  <c r="B1373" i="38"/>
  <c r="A1373" i="38"/>
  <c r="C1372" i="38"/>
  <c r="B1372" i="38"/>
  <c r="A1372" i="38"/>
  <c r="C1371" i="38"/>
  <c r="B1371" i="38"/>
  <c r="A1371" i="38"/>
  <c r="C1370" i="38"/>
  <c r="B1370" i="38"/>
  <c r="A1370" i="38"/>
  <c r="C1369" i="38"/>
  <c r="B1369" i="38"/>
  <c r="A1369" i="38"/>
  <c r="C1368" i="38"/>
  <c r="B1368" i="38"/>
  <c r="A1368" i="38"/>
  <c r="C1367" i="38"/>
  <c r="B1367" i="38"/>
  <c r="A1367" i="38"/>
  <c r="C1366" i="38"/>
  <c r="B1366" i="38"/>
  <c r="A1366" i="38"/>
  <c r="C1365" i="38"/>
  <c r="B1365" i="38"/>
  <c r="A1365" i="38"/>
  <c r="C1364" i="38"/>
  <c r="B1364" i="38"/>
  <c r="A1364" i="38"/>
  <c r="C1363" i="38"/>
  <c r="B1363" i="38"/>
  <c r="A1363" i="38"/>
  <c r="C1362" i="38"/>
  <c r="B1362" i="38"/>
  <c r="A1362" i="38"/>
  <c r="C1361" i="38"/>
  <c r="B1361" i="38"/>
  <c r="A1361" i="38"/>
  <c r="C1360" i="38"/>
  <c r="B1360" i="38"/>
  <c r="A1360" i="38"/>
  <c r="C1359" i="38"/>
  <c r="B1359" i="38"/>
  <c r="A1359" i="38"/>
  <c r="C1358" i="38"/>
  <c r="B1358" i="38"/>
  <c r="A1358" i="38"/>
  <c r="C1357" i="38"/>
  <c r="B1357" i="38"/>
  <c r="A1357" i="38"/>
  <c r="C1356" i="38"/>
  <c r="B1356" i="38"/>
  <c r="A1356" i="38"/>
  <c r="C1355" i="38"/>
  <c r="B1355" i="38"/>
  <c r="A1355" i="38"/>
  <c r="C1354" i="38"/>
  <c r="B1354" i="38"/>
  <c r="A1354" i="38"/>
  <c r="C1353" i="38"/>
  <c r="B1353" i="38"/>
  <c r="A1353" i="38"/>
  <c r="C1352" i="38"/>
  <c r="B1352" i="38"/>
  <c r="A1352" i="38"/>
  <c r="C1351" i="38"/>
  <c r="B1351" i="38"/>
  <c r="A1351" i="38"/>
  <c r="C1350" i="38"/>
  <c r="B1350" i="38"/>
  <c r="A1350" i="38"/>
  <c r="C1349" i="38"/>
  <c r="B1349" i="38"/>
  <c r="A1349" i="38"/>
  <c r="C1348" i="38"/>
  <c r="B1348" i="38"/>
  <c r="A1348" i="38"/>
  <c r="C1347" i="38"/>
  <c r="B1347" i="38"/>
  <c r="A1347" i="38"/>
  <c r="C1346" i="38"/>
  <c r="B1346" i="38"/>
  <c r="A1346" i="38"/>
  <c r="C1345" i="38"/>
  <c r="B1345" i="38"/>
  <c r="A1345" i="38"/>
  <c r="C1344" i="38"/>
  <c r="B1344" i="38"/>
  <c r="A1344" i="38"/>
  <c r="C1343" i="38"/>
  <c r="B1343" i="38"/>
  <c r="A1343" i="38"/>
  <c r="C1342" i="38"/>
  <c r="B1342" i="38"/>
  <c r="A1342" i="38"/>
  <c r="C1341" i="38"/>
  <c r="B1341" i="38"/>
  <c r="A1341" i="38"/>
  <c r="C1340" i="38"/>
  <c r="B1340" i="38"/>
  <c r="A1340" i="38"/>
  <c r="C1339" i="38"/>
  <c r="B1339" i="38"/>
  <c r="A1339" i="38"/>
  <c r="C1338" i="38"/>
  <c r="B1338" i="38"/>
  <c r="A1338" i="38"/>
  <c r="C1337" i="38"/>
  <c r="B1337" i="38"/>
  <c r="A1337" i="38"/>
  <c r="C1336" i="38"/>
  <c r="B1336" i="38"/>
  <c r="A1336" i="38"/>
  <c r="C1335" i="38"/>
  <c r="B1335" i="38"/>
  <c r="A1335" i="38"/>
  <c r="C1334" i="38"/>
  <c r="B1334" i="38"/>
  <c r="A1334" i="38"/>
  <c r="C1333" i="38"/>
  <c r="B1333" i="38"/>
  <c r="A1333" i="38"/>
  <c r="C1332" i="38"/>
  <c r="B1332" i="38"/>
  <c r="A1332" i="38"/>
  <c r="C1331" i="38"/>
  <c r="B1331" i="38"/>
  <c r="A1331" i="38"/>
  <c r="C1330" i="38"/>
  <c r="B1330" i="38"/>
  <c r="A1330" i="38"/>
  <c r="C1329" i="38"/>
  <c r="B1329" i="38"/>
  <c r="A1329" i="38"/>
  <c r="C1328" i="38"/>
  <c r="B1328" i="38"/>
  <c r="A1328" i="38"/>
  <c r="C1327" i="38"/>
  <c r="B1327" i="38"/>
  <c r="A1327" i="38"/>
  <c r="C1326" i="38"/>
  <c r="B1326" i="38"/>
  <c r="A1326" i="38"/>
  <c r="C1325" i="38"/>
  <c r="B1325" i="38"/>
  <c r="A1325" i="38"/>
  <c r="C1324" i="38"/>
  <c r="B1324" i="38"/>
  <c r="A1324" i="38"/>
  <c r="C1323" i="38"/>
  <c r="B1323" i="38"/>
  <c r="A1323" i="38"/>
  <c r="C1322" i="38"/>
  <c r="B1322" i="38"/>
  <c r="A1322" i="38"/>
  <c r="C1321" i="38"/>
  <c r="B1321" i="38"/>
  <c r="A1321" i="38"/>
  <c r="C1320" i="38"/>
  <c r="B1320" i="38"/>
  <c r="A1320" i="38"/>
  <c r="C1319" i="38"/>
  <c r="B1319" i="38"/>
  <c r="A1319" i="38"/>
  <c r="C1318" i="38"/>
  <c r="B1318" i="38"/>
  <c r="A1318" i="38"/>
  <c r="C1317" i="38"/>
  <c r="B1317" i="38"/>
  <c r="A1317" i="38"/>
  <c r="C1316" i="38"/>
  <c r="B1316" i="38"/>
  <c r="A1316" i="38"/>
  <c r="C1315" i="38"/>
  <c r="B1315" i="38"/>
  <c r="A1315" i="38"/>
  <c r="C1314" i="38"/>
  <c r="B1314" i="38"/>
  <c r="A1314" i="38"/>
  <c r="C1313" i="38"/>
  <c r="B1313" i="38"/>
  <c r="A1313" i="38"/>
  <c r="C1312" i="38"/>
  <c r="B1312" i="38"/>
  <c r="A1312" i="38"/>
  <c r="C1311" i="38"/>
  <c r="B1311" i="38"/>
  <c r="A1311" i="38"/>
  <c r="C1310" i="38"/>
  <c r="B1310" i="38"/>
  <c r="A1310" i="38"/>
  <c r="C1309" i="38"/>
  <c r="B1309" i="38"/>
  <c r="A1309" i="38"/>
  <c r="C1308" i="38"/>
  <c r="B1308" i="38"/>
  <c r="A1308" i="38"/>
  <c r="C1307" i="38"/>
  <c r="B1307" i="38"/>
  <c r="A1307" i="38"/>
  <c r="C1306" i="38"/>
  <c r="B1306" i="38"/>
  <c r="A1306" i="38"/>
  <c r="C1305" i="38"/>
  <c r="B1305" i="38"/>
  <c r="A1305" i="38"/>
  <c r="C1304" i="38"/>
  <c r="B1304" i="38"/>
  <c r="A1304" i="38"/>
  <c r="C1303" i="38"/>
  <c r="B1303" i="38"/>
  <c r="A1303" i="38"/>
  <c r="C1302" i="38"/>
  <c r="B1302" i="38"/>
  <c r="A1302" i="38"/>
  <c r="C1301" i="38"/>
  <c r="B1301" i="38"/>
  <c r="A1301" i="38"/>
  <c r="C1300" i="38"/>
  <c r="B1300" i="38"/>
  <c r="A1300" i="38"/>
  <c r="C1299" i="38"/>
  <c r="B1299" i="38"/>
  <c r="A1299" i="38"/>
  <c r="C1298" i="38"/>
  <c r="B1298" i="38"/>
  <c r="A1298" i="38"/>
  <c r="C1297" i="38"/>
  <c r="B1297" i="38"/>
  <c r="A1297" i="38"/>
  <c r="C1296" i="38"/>
  <c r="B1296" i="38"/>
  <c r="A1296" i="38"/>
  <c r="C1295" i="38"/>
  <c r="B1295" i="38"/>
  <c r="A1295" i="38"/>
  <c r="C1294" i="38"/>
  <c r="B1294" i="38"/>
  <c r="A1294" i="38"/>
  <c r="C1293" i="38"/>
  <c r="B1293" i="38"/>
  <c r="A1293" i="38"/>
  <c r="C1292" i="38"/>
  <c r="B1292" i="38"/>
  <c r="A1292" i="38"/>
  <c r="C1291" i="38"/>
  <c r="B1291" i="38"/>
  <c r="A1291" i="38"/>
  <c r="C1290" i="38"/>
  <c r="B1290" i="38"/>
  <c r="A1290" i="38"/>
  <c r="C1289" i="38"/>
  <c r="B1289" i="38"/>
  <c r="A1289" i="38"/>
  <c r="C1288" i="38"/>
  <c r="B1288" i="38"/>
  <c r="A1288" i="38"/>
  <c r="C1287" i="38"/>
  <c r="B1287" i="38"/>
  <c r="A1287" i="38"/>
  <c r="C1286" i="38"/>
  <c r="B1286" i="38"/>
  <c r="A1286" i="38"/>
  <c r="C1285" i="38"/>
  <c r="B1285" i="38"/>
  <c r="A1285" i="38"/>
  <c r="C1284" i="38"/>
  <c r="B1284" i="38"/>
  <c r="A1284" i="38"/>
  <c r="C1283" i="38"/>
  <c r="B1283" i="38"/>
  <c r="A1283" i="38"/>
  <c r="C1282" i="38"/>
  <c r="B1282" i="38"/>
  <c r="A1282" i="38"/>
  <c r="C1281" i="38"/>
  <c r="B1281" i="38"/>
  <c r="A1281" i="38"/>
  <c r="C1280" i="38"/>
  <c r="B1280" i="38"/>
  <c r="A1280" i="38"/>
  <c r="C1279" i="38"/>
  <c r="B1279" i="38"/>
  <c r="A1279" i="38"/>
  <c r="C1278" i="38"/>
  <c r="B1278" i="38"/>
  <c r="A1278" i="38"/>
  <c r="C1277" i="38"/>
  <c r="B1277" i="38"/>
  <c r="A1277" i="38"/>
  <c r="C1276" i="38"/>
  <c r="B1276" i="38"/>
  <c r="A1276" i="38"/>
  <c r="C1275" i="38"/>
  <c r="B1275" i="38"/>
  <c r="A1275" i="38"/>
  <c r="C1274" i="38"/>
  <c r="B1274" i="38"/>
  <c r="A1274" i="38"/>
  <c r="C1273" i="38"/>
  <c r="B1273" i="38"/>
  <c r="A1273" i="38"/>
  <c r="C1272" i="38"/>
  <c r="B1272" i="38"/>
  <c r="A1272" i="38"/>
  <c r="C1271" i="38"/>
  <c r="B1271" i="38"/>
  <c r="A1271" i="38"/>
  <c r="C1270" i="38"/>
  <c r="B1270" i="38"/>
  <c r="A1270" i="38"/>
  <c r="C1269" i="38"/>
  <c r="B1269" i="38"/>
  <c r="A1269" i="38"/>
  <c r="C1268" i="38"/>
  <c r="B1268" i="38"/>
  <c r="A1268" i="38"/>
  <c r="C1267" i="38"/>
  <c r="B1267" i="38"/>
  <c r="A1267" i="38"/>
  <c r="C1266" i="38"/>
  <c r="B1266" i="38"/>
  <c r="A1266" i="38"/>
  <c r="C1265" i="38"/>
  <c r="B1265" i="38"/>
  <c r="A1265" i="38"/>
  <c r="C1264" i="38"/>
  <c r="B1264" i="38"/>
  <c r="A1264" i="38"/>
  <c r="C1263" i="38"/>
  <c r="B1263" i="38"/>
  <c r="A1263" i="38"/>
  <c r="C1262" i="38"/>
  <c r="B1262" i="38"/>
  <c r="A1262" i="38"/>
  <c r="C1261" i="38"/>
  <c r="B1261" i="38"/>
  <c r="A1261" i="38"/>
  <c r="C1260" i="38"/>
  <c r="B1260" i="38"/>
  <c r="A1260" i="38"/>
  <c r="C1259" i="38"/>
  <c r="B1259" i="38"/>
  <c r="A1259" i="38"/>
  <c r="C1258" i="38"/>
  <c r="B1258" i="38"/>
  <c r="A1258" i="38"/>
  <c r="C1257" i="38"/>
  <c r="B1257" i="38"/>
  <c r="A1257" i="38"/>
  <c r="C1256" i="38"/>
  <c r="B1256" i="38"/>
  <c r="A1256" i="38"/>
  <c r="C1255" i="38"/>
  <c r="B1255" i="38"/>
  <c r="A1255" i="38"/>
  <c r="C1254" i="38"/>
  <c r="B1254" i="38"/>
  <c r="A1254" i="38"/>
  <c r="C1253" i="38"/>
  <c r="B1253" i="38"/>
  <c r="A1253" i="38"/>
  <c r="C1252" i="38"/>
  <c r="B1252" i="38"/>
  <c r="A1252" i="38"/>
  <c r="C1251" i="38"/>
  <c r="B1251" i="38"/>
  <c r="A1251" i="38"/>
  <c r="C1250" i="38"/>
  <c r="B1250" i="38"/>
  <c r="A1250" i="38"/>
  <c r="C1249" i="38"/>
  <c r="B1249" i="38"/>
  <c r="A1249" i="38"/>
  <c r="C1248" i="38"/>
  <c r="B1248" i="38"/>
  <c r="A1248" i="38"/>
  <c r="C1247" i="38"/>
  <c r="B1247" i="38"/>
  <c r="A1247" i="38"/>
  <c r="C1246" i="38"/>
  <c r="B1246" i="38"/>
  <c r="A1246" i="38"/>
  <c r="C1245" i="38"/>
  <c r="B1245" i="38"/>
  <c r="A1245" i="38"/>
  <c r="C1244" i="38"/>
  <c r="B1244" i="38"/>
  <c r="A1244" i="38"/>
  <c r="C1243" i="38"/>
  <c r="B1243" i="38"/>
  <c r="A1243" i="38"/>
  <c r="C1242" i="38"/>
  <c r="B1242" i="38"/>
  <c r="A1242" i="38"/>
  <c r="C1241" i="38"/>
  <c r="B1241" i="38"/>
  <c r="A1241" i="38"/>
  <c r="C1240" i="38"/>
  <c r="B1240" i="38"/>
  <c r="A1240" i="38"/>
  <c r="C1239" i="38"/>
  <c r="B1239" i="38"/>
  <c r="A1239" i="38"/>
  <c r="C1238" i="38"/>
  <c r="B1238" i="38"/>
  <c r="A1238" i="38"/>
  <c r="C1237" i="38"/>
  <c r="B1237" i="38"/>
  <c r="A1237" i="38"/>
  <c r="C1236" i="38"/>
  <c r="B1236" i="38"/>
  <c r="A1236" i="38"/>
  <c r="C1235" i="38"/>
  <c r="B1235" i="38"/>
  <c r="A1235" i="38"/>
  <c r="C1234" i="38"/>
  <c r="B1234" i="38"/>
  <c r="A1234" i="38"/>
  <c r="C1233" i="38"/>
  <c r="B1233" i="38"/>
  <c r="A1233" i="38"/>
  <c r="C1232" i="38"/>
  <c r="B1232" i="38"/>
  <c r="A1232" i="38"/>
  <c r="C1231" i="38"/>
  <c r="B1231" i="38"/>
  <c r="A1231" i="38"/>
  <c r="C1230" i="38"/>
  <c r="B1230" i="38"/>
  <c r="A1230" i="38"/>
  <c r="C1229" i="38"/>
  <c r="B1229" i="38"/>
  <c r="A1229" i="38"/>
  <c r="C1228" i="38"/>
  <c r="B1228" i="38"/>
  <c r="A1228" i="38"/>
  <c r="C1227" i="38"/>
  <c r="B1227" i="38"/>
  <c r="A1227" i="38"/>
  <c r="C1226" i="38"/>
  <c r="B1226" i="38"/>
  <c r="A1226" i="38"/>
  <c r="C1225" i="38"/>
  <c r="B1225" i="38"/>
  <c r="A1225" i="38"/>
  <c r="C1224" i="38"/>
  <c r="B1224" i="38"/>
  <c r="A1224" i="38"/>
  <c r="C1223" i="38"/>
  <c r="B1223" i="38"/>
  <c r="A1223" i="38"/>
  <c r="C1222" i="38"/>
  <c r="B1222" i="38"/>
  <c r="A1222" i="38"/>
  <c r="C1221" i="38"/>
  <c r="B1221" i="38"/>
  <c r="A1221" i="38"/>
  <c r="C1220" i="38"/>
  <c r="B1220" i="38"/>
  <c r="A1220" i="38"/>
  <c r="C1219" i="38"/>
  <c r="B1219" i="38"/>
  <c r="A1219" i="38"/>
  <c r="C1218" i="38"/>
  <c r="B1218" i="38"/>
  <c r="A1218" i="38"/>
  <c r="C1217" i="38"/>
  <c r="B1217" i="38"/>
  <c r="A1217" i="38"/>
  <c r="C1216" i="38"/>
  <c r="B1216" i="38"/>
  <c r="A1216" i="38"/>
  <c r="C1215" i="38"/>
  <c r="B1215" i="38"/>
  <c r="A1215" i="38"/>
  <c r="C1214" i="38"/>
  <c r="B1214" i="38"/>
  <c r="A1214" i="38"/>
  <c r="C1213" i="38"/>
  <c r="B1213" i="38"/>
  <c r="A1213" i="38"/>
  <c r="C1212" i="38"/>
  <c r="B1212" i="38"/>
  <c r="A1212" i="38"/>
  <c r="C1211" i="38"/>
  <c r="B1211" i="38"/>
  <c r="A1211" i="38"/>
  <c r="C1210" i="38"/>
  <c r="B1210" i="38"/>
  <c r="A1210" i="38"/>
  <c r="C1209" i="38"/>
  <c r="B1209" i="38"/>
  <c r="A1209" i="38"/>
  <c r="C1208" i="38"/>
  <c r="B1208" i="38"/>
  <c r="A1208" i="38"/>
  <c r="C1207" i="38"/>
  <c r="B1207" i="38"/>
  <c r="A1207" i="38"/>
  <c r="C1206" i="38"/>
  <c r="B1206" i="38"/>
  <c r="A1206" i="38"/>
  <c r="C1205" i="38"/>
  <c r="B1205" i="38"/>
  <c r="A1205" i="38"/>
  <c r="C1204" i="38"/>
  <c r="B1204" i="38"/>
  <c r="A1204" i="38"/>
  <c r="C1203" i="38"/>
  <c r="B1203" i="38"/>
  <c r="A1203" i="38"/>
  <c r="C1202" i="38"/>
  <c r="B1202" i="38"/>
  <c r="A1202" i="38"/>
  <c r="C1201" i="38"/>
  <c r="B1201" i="38"/>
  <c r="A1201" i="38"/>
  <c r="C1200" i="38"/>
  <c r="B1200" i="38"/>
  <c r="A1200" i="38"/>
  <c r="C1199" i="38"/>
  <c r="B1199" i="38"/>
  <c r="A1199" i="38"/>
  <c r="C1198" i="38"/>
  <c r="B1198" i="38"/>
  <c r="A1198" i="38"/>
  <c r="C1197" i="38"/>
  <c r="B1197" i="38"/>
  <c r="A1197" i="38"/>
  <c r="C1196" i="38"/>
  <c r="B1196" i="38"/>
  <c r="A1196" i="38"/>
  <c r="C1195" i="38"/>
  <c r="B1195" i="38"/>
  <c r="A1195" i="38"/>
  <c r="C1194" i="38"/>
  <c r="B1194" i="38"/>
  <c r="A1194" i="38"/>
  <c r="C1193" i="38"/>
  <c r="B1193" i="38"/>
  <c r="A1193" i="38"/>
  <c r="C1192" i="38"/>
  <c r="B1192" i="38"/>
  <c r="A1192" i="38"/>
  <c r="C1191" i="38"/>
  <c r="B1191" i="38"/>
  <c r="A1191" i="38"/>
  <c r="C1190" i="38"/>
  <c r="B1190" i="38"/>
  <c r="A1190" i="38"/>
  <c r="C1189" i="38"/>
  <c r="B1189" i="38"/>
  <c r="A1189" i="38"/>
  <c r="C1188" i="38"/>
  <c r="B1188" i="38"/>
  <c r="A1188" i="38"/>
  <c r="C1187" i="38"/>
  <c r="B1187" i="38"/>
  <c r="A1187" i="38"/>
  <c r="C1186" i="38"/>
  <c r="B1186" i="38"/>
  <c r="A1186" i="38"/>
  <c r="C1185" i="38"/>
  <c r="B1185" i="38"/>
  <c r="A1185" i="38"/>
  <c r="C1184" i="38"/>
  <c r="B1184" i="38"/>
  <c r="A1184" i="38"/>
  <c r="C1183" i="38"/>
  <c r="B1183" i="38"/>
  <c r="A1183" i="38"/>
  <c r="C1182" i="38"/>
  <c r="B1182" i="38"/>
  <c r="A1182" i="38"/>
  <c r="C1181" i="38"/>
  <c r="B1181" i="38"/>
  <c r="A1181" i="38"/>
  <c r="C1180" i="38"/>
  <c r="B1180" i="38"/>
  <c r="A1180" i="38"/>
  <c r="C1179" i="38"/>
  <c r="B1179" i="38"/>
  <c r="A1179" i="38"/>
  <c r="C1178" i="38"/>
  <c r="B1178" i="38"/>
  <c r="A1178" i="38"/>
  <c r="C1177" i="38"/>
  <c r="B1177" i="38"/>
  <c r="A1177" i="38"/>
  <c r="C1176" i="38"/>
  <c r="B1176" i="38"/>
  <c r="A1176" i="38"/>
  <c r="C1175" i="38"/>
  <c r="B1175" i="38"/>
  <c r="A1175" i="38"/>
  <c r="C1174" i="38"/>
  <c r="B1174" i="38"/>
  <c r="A1174" i="38"/>
  <c r="C1173" i="38"/>
  <c r="B1173" i="38"/>
  <c r="A1173" i="38"/>
  <c r="C1172" i="38"/>
  <c r="B1172" i="38"/>
  <c r="A1172" i="38"/>
  <c r="C1171" i="38"/>
  <c r="B1171" i="38"/>
  <c r="A1171" i="38"/>
  <c r="C1170" i="38"/>
  <c r="B1170" i="38"/>
  <c r="A1170" i="38"/>
  <c r="C1169" i="38"/>
  <c r="B1169" i="38"/>
  <c r="A1169" i="38"/>
  <c r="C1168" i="38"/>
  <c r="B1168" i="38"/>
  <c r="A1168" i="38"/>
  <c r="C1167" i="38"/>
  <c r="B1167" i="38"/>
  <c r="A1167" i="38"/>
  <c r="C1166" i="38"/>
  <c r="B1166" i="38"/>
  <c r="A1166" i="38"/>
  <c r="C1165" i="38"/>
  <c r="B1165" i="38"/>
  <c r="A1165" i="38"/>
  <c r="C1164" i="38"/>
  <c r="B1164" i="38"/>
  <c r="A1164" i="38"/>
  <c r="C1163" i="38"/>
  <c r="B1163" i="38"/>
  <c r="A1163" i="38"/>
  <c r="C1162" i="38"/>
  <c r="B1162" i="38"/>
  <c r="A1162" i="38"/>
  <c r="C1161" i="38"/>
  <c r="B1161" i="38"/>
  <c r="A1161" i="38"/>
  <c r="C1160" i="38"/>
  <c r="B1160" i="38"/>
  <c r="A1160" i="38"/>
  <c r="C1159" i="38"/>
  <c r="B1159" i="38"/>
  <c r="A1159" i="38"/>
  <c r="C1158" i="38"/>
  <c r="B1158" i="38"/>
  <c r="A1158" i="38"/>
  <c r="C1157" i="38"/>
  <c r="B1157" i="38"/>
  <c r="A1157" i="38"/>
  <c r="C1156" i="38"/>
  <c r="B1156" i="38"/>
  <c r="A1156" i="38"/>
  <c r="C1155" i="38"/>
  <c r="B1155" i="38"/>
  <c r="A1155" i="38"/>
  <c r="C1154" i="38"/>
  <c r="B1154" i="38"/>
  <c r="A1154" i="38"/>
  <c r="C1153" i="38"/>
  <c r="B1153" i="38"/>
  <c r="A1153" i="38"/>
  <c r="C1152" i="38"/>
  <c r="B1152" i="38"/>
  <c r="A1152" i="38"/>
  <c r="C1151" i="38"/>
  <c r="B1151" i="38"/>
  <c r="A1151" i="38"/>
  <c r="C1150" i="38"/>
  <c r="B1150" i="38"/>
  <c r="A1150" i="38"/>
  <c r="C1149" i="38"/>
  <c r="B1149" i="38"/>
  <c r="A1149" i="38"/>
  <c r="C1148" i="38"/>
  <c r="B1148" i="38"/>
  <c r="A1148" i="38"/>
  <c r="C1147" i="38"/>
  <c r="B1147" i="38"/>
  <c r="A1147" i="38"/>
  <c r="C1146" i="38"/>
  <c r="B1146" i="38"/>
  <c r="A1146" i="38"/>
  <c r="C1145" i="38"/>
  <c r="B1145" i="38"/>
  <c r="A1145" i="38"/>
  <c r="C1144" i="38"/>
  <c r="B1144" i="38"/>
  <c r="A1144" i="38"/>
  <c r="C1143" i="38"/>
  <c r="B1143" i="38"/>
  <c r="A1143" i="38"/>
  <c r="C1142" i="38"/>
  <c r="B1142" i="38"/>
  <c r="A1142" i="38"/>
  <c r="C1141" i="38"/>
  <c r="B1141" i="38"/>
  <c r="A1141" i="38"/>
  <c r="C1140" i="38"/>
  <c r="B1140" i="38"/>
  <c r="A1140" i="38"/>
  <c r="C1139" i="38"/>
  <c r="B1139" i="38"/>
  <c r="A1139" i="38"/>
  <c r="C1138" i="38"/>
  <c r="B1138" i="38"/>
  <c r="A1138" i="38"/>
  <c r="C1137" i="38"/>
  <c r="B1137" i="38"/>
  <c r="A1137" i="38"/>
  <c r="C1136" i="38"/>
  <c r="B1136" i="38"/>
  <c r="A1136" i="38"/>
  <c r="C1135" i="38"/>
  <c r="B1135" i="38"/>
  <c r="A1135" i="38"/>
  <c r="C1134" i="38"/>
  <c r="B1134" i="38"/>
  <c r="A1134" i="38"/>
  <c r="C1133" i="38"/>
  <c r="B1133" i="38"/>
  <c r="A1133" i="38"/>
  <c r="C1132" i="38"/>
  <c r="B1132" i="38"/>
  <c r="A1132" i="38"/>
  <c r="C1131" i="38"/>
  <c r="B1131" i="38"/>
  <c r="A1131" i="38"/>
  <c r="C1130" i="38"/>
  <c r="B1130" i="38"/>
  <c r="A1130" i="38"/>
  <c r="C1129" i="38"/>
  <c r="B1129" i="38"/>
  <c r="A1129" i="38"/>
  <c r="C1128" i="38"/>
  <c r="B1128" i="38"/>
  <c r="A1128" i="38"/>
  <c r="C1127" i="38"/>
  <c r="B1127" i="38"/>
  <c r="A1127" i="38"/>
  <c r="C1126" i="38"/>
  <c r="B1126" i="38"/>
  <c r="A1126" i="38"/>
  <c r="C1125" i="38"/>
  <c r="B1125" i="38"/>
  <c r="A1125" i="38"/>
  <c r="C1124" i="38"/>
  <c r="B1124" i="38"/>
  <c r="A1124" i="38"/>
  <c r="C1123" i="38"/>
  <c r="B1123" i="38"/>
  <c r="A1123" i="38"/>
  <c r="C1122" i="38"/>
  <c r="B1122" i="38"/>
  <c r="A1122" i="38"/>
  <c r="C1121" i="38"/>
  <c r="B1121" i="38"/>
  <c r="A1121" i="38"/>
  <c r="C1120" i="38"/>
  <c r="B1120" i="38"/>
  <c r="A1120" i="38"/>
  <c r="C1119" i="38"/>
  <c r="B1119" i="38"/>
  <c r="A1119" i="38"/>
  <c r="C1118" i="38"/>
  <c r="B1118" i="38"/>
  <c r="A1118" i="38"/>
  <c r="C1117" i="38"/>
  <c r="B1117" i="38"/>
  <c r="A1117" i="38"/>
  <c r="C1116" i="38"/>
  <c r="B1116" i="38"/>
  <c r="A1116" i="38"/>
  <c r="C1115" i="38"/>
  <c r="B1115" i="38"/>
  <c r="A1115" i="38"/>
  <c r="C1114" i="38"/>
  <c r="B1114" i="38"/>
  <c r="A1114" i="38"/>
  <c r="C1113" i="38"/>
  <c r="B1113" i="38"/>
  <c r="A1113" i="38"/>
  <c r="C1112" i="38"/>
  <c r="B1112" i="38"/>
  <c r="A1112" i="38"/>
  <c r="C1111" i="38"/>
  <c r="B1111" i="38"/>
  <c r="A1111" i="38"/>
  <c r="C1110" i="38"/>
  <c r="B1110" i="38"/>
  <c r="A1110" i="38"/>
  <c r="C1109" i="38"/>
  <c r="B1109" i="38"/>
  <c r="A1109" i="38"/>
  <c r="C1108" i="38"/>
  <c r="B1108" i="38"/>
  <c r="A1108" i="38"/>
  <c r="C1107" i="38"/>
  <c r="B1107" i="38"/>
  <c r="A1107" i="38"/>
  <c r="C1106" i="38"/>
  <c r="B1106" i="38"/>
  <c r="A1106" i="38"/>
  <c r="C1105" i="38"/>
  <c r="B1105" i="38"/>
  <c r="A1105" i="38"/>
  <c r="C1104" i="38"/>
  <c r="B1104" i="38"/>
  <c r="A1104" i="38"/>
  <c r="C1103" i="38"/>
  <c r="B1103" i="38"/>
  <c r="A1103" i="38"/>
  <c r="C1102" i="38"/>
  <c r="B1102" i="38"/>
  <c r="A1102" i="38"/>
  <c r="C1101" i="38"/>
  <c r="B1101" i="38"/>
  <c r="A1101" i="38"/>
  <c r="C1100" i="38"/>
  <c r="B1100" i="38"/>
  <c r="A1100" i="38"/>
  <c r="C1099" i="38"/>
  <c r="B1099" i="38"/>
  <c r="A1099" i="38"/>
  <c r="C1098" i="38"/>
  <c r="B1098" i="38"/>
  <c r="A1098" i="38"/>
  <c r="C1097" i="38"/>
  <c r="B1097" i="38"/>
  <c r="A1097" i="38"/>
  <c r="C1096" i="38"/>
  <c r="B1096" i="38"/>
  <c r="A1096" i="38"/>
  <c r="C1095" i="38"/>
  <c r="B1095" i="38"/>
  <c r="A1095" i="38"/>
  <c r="C1094" i="38"/>
  <c r="B1094" i="38"/>
  <c r="A1094" i="38"/>
  <c r="C1093" i="38"/>
  <c r="B1093" i="38"/>
  <c r="A1093" i="38"/>
  <c r="C1092" i="38"/>
  <c r="B1092" i="38"/>
  <c r="A1092" i="38"/>
  <c r="C1091" i="38"/>
  <c r="B1091" i="38"/>
  <c r="A1091" i="38"/>
  <c r="C1090" i="38"/>
  <c r="B1090" i="38"/>
  <c r="A1090" i="38"/>
  <c r="C1089" i="38"/>
  <c r="B1089" i="38"/>
  <c r="A1089" i="38"/>
  <c r="C1088" i="38"/>
  <c r="B1088" i="38"/>
  <c r="A1088" i="38"/>
  <c r="C1087" i="38"/>
  <c r="B1087" i="38"/>
  <c r="A1087" i="38"/>
  <c r="C1086" i="38"/>
  <c r="B1086" i="38"/>
  <c r="A1086" i="38"/>
  <c r="C1085" i="38"/>
  <c r="B1085" i="38"/>
  <c r="A1085" i="38"/>
  <c r="C1084" i="38"/>
  <c r="B1084" i="38"/>
  <c r="A1084" i="38"/>
  <c r="C1083" i="38"/>
  <c r="B1083" i="38"/>
  <c r="A1083" i="38"/>
  <c r="C1082" i="38"/>
  <c r="B1082" i="38"/>
  <c r="A1082" i="38"/>
  <c r="C1081" i="38"/>
  <c r="B1081" i="38"/>
  <c r="A1081" i="38"/>
  <c r="C1080" i="38"/>
  <c r="B1080" i="38"/>
  <c r="A1080" i="38"/>
  <c r="C1079" i="38"/>
  <c r="B1079" i="38"/>
  <c r="A1079" i="38"/>
  <c r="C1078" i="38"/>
  <c r="B1078" i="38"/>
  <c r="A1078" i="38"/>
  <c r="C1077" i="38"/>
  <c r="B1077" i="38"/>
  <c r="A1077" i="38"/>
  <c r="C1076" i="38"/>
  <c r="B1076" i="38"/>
  <c r="A1076" i="38"/>
  <c r="C1075" i="38"/>
  <c r="B1075" i="38"/>
  <c r="A1075" i="38"/>
  <c r="C1074" i="38"/>
  <c r="B1074" i="38"/>
  <c r="A1074" i="38"/>
  <c r="C1073" i="38"/>
  <c r="B1073" i="38"/>
  <c r="A1073" i="38"/>
  <c r="C1072" i="38"/>
  <c r="B1072" i="38"/>
  <c r="A1072" i="38"/>
  <c r="C1071" i="38"/>
  <c r="B1071" i="38"/>
  <c r="A1071" i="38"/>
  <c r="C1070" i="38"/>
  <c r="B1070" i="38"/>
  <c r="A1070" i="38"/>
  <c r="C1069" i="38"/>
  <c r="B1069" i="38"/>
  <c r="A1069" i="38"/>
  <c r="C1068" i="38"/>
  <c r="B1068" i="38"/>
  <c r="A1068" i="38"/>
  <c r="C1067" i="38"/>
  <c r="B1067" i="38"/>
  <c r="A1067" i="38"/>
  <c r="C1066" i="38"/>
  <c r="B1066" i="38"/>
  <c r="A1066" i="38"/>
  <c r="C1065" i="38"/>
  <c r="B1065" i="38"/>
  <c r="A1065" i="38"/>
  <c r="C1064" i="38"/>
  <c r="B1064" i="38"/>
  <c r="A1064" i="38"/>
  <c r="C1063" i="38"/>
  <c r="B1063" i="38"/>
  <c r="A1063" i="38"/>
  <c r="C1062" i="38"/>
  <c r="B1062" i="38"/>
  <c r="A1062" i="38"/>
  <c r="C1061" i="38"/>
  <c r="B1061" i="38"/>
  <c r="A1061" i="38"/>
  <c r="C1060" i="38"/>
  <c r="B1060" i="38"/>
  <c r="A1060" i="38"/>
  <c r="C1059" i="38"/>
  <c r="B1059" i="38"/>
  <c r="A1059" i="38"/>
  <c r="C1058" i="38"/>
  <c r="B1058" i="38"/>
  <c r="A1058" i="38"/>
  <c r="C1057" i="38"/>
  <c r="B1057" i="38"/>
  <c r="A1057" i="38"/>
  <c r="C1056" i="38"/>
  <c r="B1056" i="38"/>
  <c r="A1056" i="38"/>
  <c r="C1055" i="38"/>
  <c r="B1055" i="38"/>
  <c r="A1055" i="38"/>
  <c r="C1054" i="38"/>
  <c r="B1054" i="38"/>
  <c r="A1054" i="38"/>
  <c r="C1053" i="38"/>
  <c r="B1053" i="38"/>
  <c r="A1053" i="38"/>
  <c r="C1052" i="38"/>
  <c r="B1052" i="38"/>
  <c r="A1052" i="38"/>
  <c r="C1051" i="38"/>
  <c r="B1051" i="38"/>
  <c r="A1051" i="38"/>
  <c r="C1050" i="38"/>
  <c r="B1050" i="38"/>
  <c r="A1050" i="38"/>
  <c r="C1049" i="38"/>
  <c r="B1049" i="38"/>
  <c r="A1049" i="38"/>
  <c r="C1048" i="38"/>
  <c r="B1048" i="38"/>
  <c r="A1048" i="38"/>
  <c r="C1047" i="38"/>
  <c r="B1047" i="38"/>
  <c r="A1047" i="38"/>
  <c r="C1046" i="38"/>
  <c r="B1046" i="38"/>
  <c r="A1046" i="38"/>
  <c r="C1045" i="38"/>
  <c r="B1045" i="38"/>
  <c r="A1045" i="38"/>
  <c r="C1044" i="38"/>
  <c r="B1044" i="38"/>
  <c r="A1044" i="38"/>
  <c r="C1043" i="38"/>
  <c r="B1043" i="38"/>
  <c r="A1043" i="38"/>
  <c r="C1042" i="38"/>
  <c r="B1042" i="38"/>
  <c r="A1042" i="38"/>
  <c r="C1041" i="38"/>
  <c r="B1041" i="38"/>
  <c r="A1041" i="38"/>
  <c r="C1040" i="38"/>
  <c r="B1040" i="38"/>
  <c r="A1040" i="38"/>
  <c r="C1039" i="38"/>
  <c r="B1039" i="38"/>
  <c r="A1039" i="38"/>
  <c r="C1038" i="38"/>
  <c r="B1038" i="38"/>
  <c r="A1038" i="38"/>
  <c r="C1037" i="38"/>
  <c r="B1037" i="38"/>
  <c r="A1037" i="38"/>
  <c r="C1036" i="38"/>
  <c r="B1036" i="38"/>
  <c r="A1036" i="38"/>
  <c r="C1035" i="38"/>
  <c r="B1035" i="38"/>
  <c r="A1035" i="38"/>
  <c r="C1034" i="38"/>
  <c r="B1034" i="38"/>
  <c r="A1034" i="38"/>
  <c r="C1033" i="38"/>
  <c r="B1033" i="38"/>
  <c r="A1033" i="38"/>
  <c r="C1032" i="38"/>
  <c r="B1032" i="38"/>
  <c r="A1032" i="38"/>
  <c r="C1031" i="38"/>
  <c r="B1031" i="38"/>
  <c r="A1031" i="38"/>
  <c r="C1030" i="38"/>
  <c r="B1030" i="38"/>
  <c r="A1030" i="38"/>
  <c r="C1029" i="38"/>
  <c r="B1029" i="38"/>
  <c r="A1029" i="38"/>
  <c r="C1028" i="38"/>
  <c r="B1028" i="38"/>
  <c r="A1028" i="38"/>
  <c r="C1027" i="38"/>
  <c r="B1027" i="38"/>
  <c r="A1027" i="38"/>
  <c r="C1026" i="38"/>
  <c r="B1026" i="38"/>
  <c r="A1026" i="38"/>
  <c r="C1025" i="38"/>
  <c r="B1025" i="38"/>
  <c r="A1025" i="38"/>
  <c r="C1024" i="38"/>
  <c r="B1024" i="38"/>
  <c r="A1024" i="38"/>
  <c r="C1023" i="38"/>
  <c r="B1023" i="38"/>
  <c r="A1023" i="38"/>
  <c r="C1022" i="38"/>
  <c r="B1022" i="38"/>
  <c r="A1022" i="38"/>
  <c r="C1021" i="38"/>
  <c r="B1021" i="38"/>
  <c r="A1021" i="38"/>
  <c r="C1020" i="38"/>
  <c r="B1020" i="38"/>
  <c r="A1020" i="38"/>
  <c r="C1019" i="38"/>
  <c r="B1019" i="38"/>
  <c r="A1019" i="38"/>
  <c r="C1018" i="38"/>
  <c r="B1018" i="38"/>
  <c r="A1018" i="38"/>
  <c r="C1017" i="38"/>
  <c r="B1017" i="38"/>
  <c r="A1017" i="38"/>
  <c r="C1016" i="38"/>
  <c r="B1016" i="38"/>
  <c r="A1016" i="38"/>
  <c r="C1015" i="38"/>
  <c r="B1015" i="38"/>
  <c r="A1015" i="38"/>
  <c r="C1014" i="38"/>
  <c r="B1014" i="38"/>
  <c r="A1014" i="38"/>
  <c r="C1013" i="38"/>
  <c r="B1013" i="38"/>
  <c r="A1013" i="38"/>
  <c r="C1012" i="38"/>
  <c r="B1012" i="38"/>
  <c r="A1012" i="38"/>
  <c r="C1011" i="38"/>
  <c r="B1011" i="38"/>
  <c r="A1011" i="38"/>
  <c r="C1010" i="38"/>
  <c r="B1010" i="38"/>
  <c r="A1010" i="38"/>
  <c r="C1009" i="38"/>
  <c r="B1009" i="38"/>
  <c r="A1009" i="38"/>
  <c r="C1008" i="38"/>
  <c r="B1008" i="38"/>
  <c r="A1008" i="38"/>
  <c r="C1007" i="38"/>
  <c r="B1007" i="38"/>
  <c r="A1007" i="38"/>
  <c r="C1006" i="38"/>
  <c r="B1006" i="38"/>
  <c r="A1006" i="38"/>
  <c r="C1005" i="38"/>
  <c r="B1005" i="38"/>
  <c r="A1005" i="38"/>
  <c r="C1004" i="38"/>
  <c r="B1004" i="38"/>
  <c r="A1004" i="38"/>
  <c r="C1003" i="38"/>
  <c r="B1003" i="38"/>
  <c r="A1003" i="38"/>
  <c r="C1002" i="38"/>
  <c r="B1002" i="38"/>
  <c r="A1002" i="38"/>
  <c r="C1001" i="38"/>
  <c r="B1001" i="38"/>
  <c r="A1001" i="38"/>
  <c r="C1000" i="38"/>
  <c r="B1000" i="38"/>
  <c r="A1000" i="38"/>
  <c r="C999" i="38"/>
  <c r="B999" i="38"/>
  <c r="A999" i="38"/>
  <c r="C998" i="38"/>
  <c r="B998" i="38"/>
  <c r="A998" i="38"/>
  <c r="C997" i="38"/>
  <c r="B997" i="38"/>
  <c r="A997" i="38"/>
  <c r="C996" i="38"/>
  <c r="B996" i="38"/>
  <c r="A996" i="38"/>
  <c r="C995" i="38"/>
  <c r="B995" i="38"/>
  <c r="A995" i="38"/>
  <c r="C994" i="38"/>
  <c r="B994" i="38"/>
  <c r="A994" i="38"/>
  <c r="C993" i="38"/>
  <c r="B993" i="38"/>
  <c r="A993" i="38"/>
  <c r="C992" i="38"/>
  <c r="B992" i="38"/>
  <c r="A992" i="38"/>
  <c r="C991" i="38"/>
  <c r="B991" i="38"/>
  <c r="A991" i="38"/>
  <c r="C990" i="38"/>
  <c r="B990" i="38"/>
  <c r="A990" i="38"/>
  <c r="C989" i="38"/>
  <c r="B989" i="38"/>
  <c r="A989" i="38"/>
  <c r="C988" i="38"/>
  <c r="B988" i="38"/>
  <c r="A988" i="38"/>
  <c r="C987" i="38"/>
  <c r="B987" i="38"/>
  <c r="A987" i="38"/>
  <c r="C986" i="38"/>
  <c r="B986" i="38"/>
  <c r="A986" i="38"/>
  <c r="C985" i="38"/>
  <c r="B985" i="38"/>
  <c r="A985" i="38"/>
  <c r="C984" i="38"/>
  <c r="B984" i="38"/>
  <c r="A984" i="38"/>
  <c r="C983" i="38"/>
  <c r="B983" i="38"/>
  <c r="A983" i="38"/>
  <c r="C982" i="38"/>
  <c r="B982" i="38"/>
  <c r="A982" i="38"/>
  <c r="C981" i="38"/>
  <c r="B981" i="38"/>
  <c r="A981" i="38"/>
  <c r="C980" i="38"/>
  <c r="B980" i="38"/>
  <c r="A980" i="38"/>
  <c r="C979" i="38"/>
  <c r="B979" i="38"/>
  <c r="A979" i="38"/>
  <c r="C978" i="38"/>
  <c r="B978" i="38"/>
  <c r="A978" i="38"/>
  <c r="C977" i="38"/>
  <c r="B977" i="38"/>
  <c r="A977" i="38"/>
  <c r="C976" i="38"/>
  <c r="B976" i="38"/>
  <c r="A976" i="38"/>
  <c r="C975" i="38"/>
  <c r="B975" i="38"/>
  <c r="A975" i="38"/>
  <c r="C974" i="38"/>
  <c r="B974" i="38"/>
  <c r="A974" i="38"/>
  <c r="C973" i="38"/>
  <c r="B973" i="38"/>
  <c r="A973" i="38"/>
  <c r="C972" i="38"/>
  <c r="B972" i="38"/>
  <c r="A972" i="38"/>
  <c r="C971" i="38"/>
  <c r="B971" i="38"/>
  <c r="A971" i="38"/>
  <c r="C970" i="38"/>
  <c r="B970" i="38"/>
  <c r="A970" i="38"/>
  <c r="C969" i="38"/>
  <c r="B969" i="38"/>
  <c r="A969" i="38"/>
  <c r="C968" i="38"/>
  <c r="B968" i="38"/>
  <c r="A968" i="38"/>
  <c r="C967" i="38"/>
  <c r="B967" i="38"/>
  <c r="A967" i="38"/>
  <c r="C966" i="38"/>
  <c r="B966" i="38"/>
  <c r="A966" i="38"/>
  <c r="C965" i="38"/>
  <c r="B965" i="38"/>
  <c r="A965" i="38"/>
  <c r="C964" i="38"/>
  <c r="B964" i="38"/>
  <c r="A964" i="38"/>
  <c r="C963" i="38"/>
  <c r="B963" i="38"/>
  <c r="A963" i="38"/>
  <c r="C962" i="38"/>
  <c r="B962" i="38"/>
  <c r="A962" i="38"/>
  <c r="C961" i="38"/>
  <c r="B961" i="38"/>
  <c r="A961" i="38"/>
  <c r="C960" i="38"/>
  <c r="B960" i="38"/>
  <c r="A960" i="38"/>
  <c r="C959" i="38"/>
  <c r="B959" i="38"/>
  <c r="A959" i="38"/>
  <c r="C958" i="38"/>
  <c r="B958" i="38"/>
  <c r="A958" i="38"/>
  <c r="C957" i="38"/>
  <c r="B957" i="38"/>
  <c r="A957" i="38"/>
  <c r="C956" i="38"/>
  <c r="B956" i="38"/>
  <c r="A956" i="38"/>
  <c r="C955" i="38"/>
  <c r="B955" i="38"/>
  <c r="A955" i="38"/>
  <c r="C954" i="38"/>
  <c r="B954" i="38"/>
  <c r="A954" i="38"/>
  <c r="C953" i="38"/>
  <c r="B953" i="38"/>
  <c r="A953" i="38"/>
  <c r="C952" i="38"/>
  <c r="B952" i="38"/>
  <c r="A952" i="38"/>
  <c r="C951" i="38"/>
  <c r="B951" i="38"/>
  <c r="A951" i="38"/>
  <c r="C950" i="38"/>
  <c r="B950" i="38"/>
  <c r="A950" i="38"/>
  <c r="C949" i="38"/>
  <c r="B949" i="38"/>
  <c r="A949" i="38"/>
  <c r="C948" i="38"/>
  <c r="B948" i="38"/>
  <c r="A948" i="38"/>
  <c r="C947" i="38"/>
  <c r="B947" i="38"/>
  <c r="A947" i="38"/>
  <c r="C946" i="38"/>
  <c r="B946" i="38"/>
  <c r="A946" i="38"/>
  <c r="C945" i="38"/>
  <c r="B945" i="38"/>
  <c r="A945" i="38"/>
  <c r="C944" i="38"/>
  <c r="B944" i="38"/>
  <c r="A944" i="38"/>
  <c r="C943" i="38"/>
  <c r="B943" i="38"/>
  <c r="A943" i="38"/>
  <c r="C942" i="38"/>
  <c r="B942" i="38"/>
  <c r="A942" i="38"/>
  <c r="C941" i="38"/>
  <c r="B941" i="38"/>
  <c r="A941" i="38"/>
  <c r="C940" i="38"/>
  <c r="B940" i="38"/>
  <c r="A940" i="38"/>
  <c r="C939" i="38"/>
  <c r="B939" i="38"/>
  <c r="A939" i="38"/>
  <c r="C938" i="38"/>
  <c r="B938" i="38"/>
  <c r="A938" i="38"/>
  <c r="C937" i="38"/>
  <c r="B937" i="38"/>
  <c r="A937" i="38"/>
  <c r="C936" i="38"/>
  <c r="B936" i="38"/>
  <c r="A936" i="38"/>
  <c r="C935" i="38"/>
  <c r="B935" i="38"/>
  <c r="A935" i="38"/>
  <c r="C934" i="38"/>
  <c r="B934" i="38"/>
  <c r="A934" i="38"/>
  <c r="C933" i="38"/>
  <c r="B933" i="38"/>
  <c r="A933" i="38"/>
  <c r="C932" i="38"/>
  <c r="B932" i="38"/>
  <c r="A932" i="38"/>
  <c r="C931" i="38"/>
  <c r="B931" i="38"/>
  <c r="A931" i="38"/>
  <c r="C930" i="38"/>
  <c r="B930" i="38"/>
  <c r="A930" i="38"/>
  <c r="C929" i="38"/>
  <c r="B929" i="38"/>
  <c r="A929" i="38"/>
  <c r="C928" i="38"/>
  <c r="B928" i="38"/>
  <c r="A928" i="38"/>
  <c r="C927" i="38"/>
  <c r="B927" i="38"/>
  <c r="A927" i="38"/>
  <c r="C926" i="38"/>
  <c r="B926" i="38"/>
  <c r="A926" i="38"/>
  <c r="C925" i="38"/>
  <c r="B925" i="38"/>
  <c r="A925" i="38"/>
  <c r="C924" i="38"/>
  <c r="B924" i="38"/>
  <c r="A924" i="38"/>
  <c r="C923" i="38"/>
  <c r="B923" i="38"/>
  <c r="A923" i="38"/>
  <c r="C922" i="38"/>
  <c r="B922" i="38"/>
  <c r="A922" i="38"/>
  <c r="C921" i="38"/>
  <c r="B921" i="38"/>
  <c r="A921" i="38"/>
  <c r="C920" i="38"/>
  <c r="B920" i="38"/>
  <c r="A920" i="38"/>
  <c r="C919" i="38"/>
  <c r="B919" i="38"/>
  <c r="A919" i="38"/>
  <c r="C918" i="38"/>
  <c r="B918" i="38"/>
  <c r="A918" i="38"/>
  <c r="C917" i="38"/>
  <c r="B917" i="38"/>
  <c r="A917" i="38"/>
  <c r="C916" i="38"/>
  <c r="B916" i="38"/>
  <c r="A916" i="38"/>
  <c r="C915" i="38"/>
  <c r="B915" i="38"/>
  <c r="A915" i="38"/>
  <c r="C914" i="38"/>
  <c r="B914" i="38"/>
  <c r="A914" i="38"/>
  <c r="C913" i="38"/>
  <c r="B913" i="38"/>
  <c r="A913" i="38"/>
  <c r="C912" i="38"/>
  <c r="B912" i="38"/>
  <c r="A912" i="38"/>
  <c r="C911" i="38"/>
  <c r="B911" i="38"/>
  <c r="A911" i="38"/>
  <c r="C910" i="38"/>
  <c r="B910" i="38"/>
  <c r="A910" i="38"/>
  <c r="C909" i="38"/>
  <c r="B909" i="38"/>
  <c r="A909" i="38"/>
  <c r="C908" i="38"/>
  <c r="B908" i="38"/>
  <c r="A908" i="38"/>
  <c r="C907" i="38"/>
  <c r="B907" i="38"/>
  <c r="A907" i="38"/>
  <c r="C906" i="38"/>
  <c r="B906" i="38"/>
  <c r="A906" i="38"/>
  <c r="C905" i="38"/>
  <c r="B905" i="38"/>
  <c r="A905" i="38"/>
  <c r="C904" i="38"/>
  <c r="B904" i="38"/>
  <c r="A904" i="38"/>
  <c r="C903" i="38"/>
  <c r="B903" i="38"/>
  <c r="A903" i="38"/>
  <c r="C902" i="38"/>
  <c r="B902" i="38"/>
  <c r="A902" i="38"/>
  <c r="C901" i="38"/>
  <c r="B901" i="38"/>
  <c r="A901" i="38"/>
  <c r="C900" i="38"/>
  <c r="B900" i="38"/>
  <c r="A900" i="38"/>
  <c r="C899" i="38"/>
  <c r="B899" i="38"/>
  <c r="A899" i="38"/>
  <c r="C898" i="38"/>
  <c r="B898" i="38"/>
  <c r="A898" i="38"/>
  <c r="C897" i="38"/>
  <c r="B897" i="38"/>
  <c r="A897" i="38"/>
  <c r="C896" i="38"/>
  <c r="B896" i="38"/>
  <c r="A896" i="38"/>
  <c r="C895" i="38"/>
  <c r="B895" i="38"/>
  <c r="A895" i="38"/>
  <c r="C894" i="38"/>
  <c r="B894" i="38"/>
  <c r="A894" i="38"/>
  <c r="C893" i="38"/>
  <c r="B893" i="38"/>
  <c r="A893" i="38"/>
  <c r="C892" i="38"/>
  <c r="B892" i="38"/>
  <c r="A892" i="38"/>
  <c r="C891" i="38"/>
  <c r="B891" i="38"/>
  <c r="A891" i="38"/>
  <c r="C890" i="38"/>
  <c r="B890" i="38"/>
  <c r="A890" i="38"/>
  <c r="C889" i="38"/>
  <c r="B889" i="38"/>
  <c r="A889" i="38"/>
  <c r="C888" i="38"/>
  <c r="B888" i="38"/>
  <c r="A888" i="38"/>
  <c r="C887" i="38"/>
  <c r="B887" i="38"/>
  <c r="A887" i="38"/>
  <c r="C886" i="38"/>
  <c r="B886" i="38"/>
  <c r="A886" i="38"/>
  <c r="C885" i="38"/>
  <c r="B885" i="38"/>
  <c r="A885" i="38"/>
  <c r="C884" i="38"/>
  <c r="B884" i="38"/>
  <c r="A884" i="38"/>
  <c r="C883" i="38"/>
  <c r="B883" i="38"/>
  <c r="A883" i="38"/>
  <c r="C882" i="38"/>
  <c r="B882" i="38"/>
  <c r="A882" i="38"/>
  <c r="C881" i="38"/>
  <c r="B881" i="38"/>
  <c r="A881" i="38"/>
  <c r="C880" i="38"/>
  <c r="B880" i="38"/>
  <c r="A880" i="38"/>
  <c r="C879" i="38"/>
  <c r="B879" i="38"/>
  <c r="A879" i="38"/>
  <c r="C878" i="38"/>
  <c r="B878" i="38"/>
  <c r="A878" i="38"/>
  <c r="C877" i="38"/>
  <c r="B877" i="38"/>
  <c r="A877" i="38"/>
  <c r="C876" i="38"/>
  <c r="B876" i="38"/>
  <c r="A876" i="38"/>
  <c r="C875" i="38"/>
  <c r="B875" i="38"/>
  <c r="A875" i="38"/>
  <c r="C874" i="38"/>
  <c r="B874" i="38"/>
  <c r="A874" i="38"/>
  <c r="C873" i="38"/>
  <c r="B873" i="38"/>
  <c r="A873" i="38"/>
  <c r="C872" i="38"/>
  <c r="B872" i="38"/>
  <c r="A872" i="38"/>
  <c r="C871" i="38"/>
  <c r="B871" i="38"/>
  <c r="A871" i="38"/>
  <c r="C870" i="38"/>
  <c r="B870" i="38"/>
  <c r="A870" i="38"/>
  <c r="C869" i="38"/>
  <c r="B869" i="38"/>
  <c r="A869" i="38"/>
  <c r="C868" i="38"/>
  <c r="B868" i="38"/>
  <c r="A868" i="38"/>
  <c r="C867" i="38"/>
  <c r="B867" i="38"/>
  <c r="A867" i="38"/>
  <c r="C866" i="38"/>
  <c r="B866" i="38"/>
  <c r="A866" i="38"/>
  <c r="C865" i="38"/>
  <c r="B865" i="38"/>
  <c r="A865" i="38"/>
  <c r="C864" i="38"/>
  <c r="B864" i="38"/>
  <c r="A864" i="38"/>
  <c r="C863" i="38"/>
  <c r="B863" i="38"/>
  <c r="A863" i="38"/>
  <c r="C862" i="38"/>
  <c r="B862" i="38"/>
  <c r="A862" i="38"/>
  <c r="C861" i="38"/>
  <c r="B861" i="38"/>
  <c r="A861" i="38"/>
  <c r="C860" i="38"/>
  <c r="B860" i="38"/>
  <c r="A860" i="38"/>
  <c r="C859" i="38"/>
  <c r="B859" i="38"/>
  <c r="A859" i="38"/>
  <c r="C858" i="38"/>
  <c r="B858" i="38"/>
  <c r="A858" i="38"/>
  <c r="C857" i="38"/>
  <c r="B857" i="38"/>
  <c r="A857" i="38"/>
  <c r="C856" i="38"/>
  <c r="B856" i="38"/>
  <c r="A856" i="38"/>
  <c r="C855" i="38"/>
  <c r="B855" i="38"/>
  <c r="A855" i="38"/>
  <c r="C854" i="38"/>
  <c r="B854" i="38"/>
  <c r="A854" i="38"/>
  <c r="C853" i="38"/>
  <c r="B853" i="38"/>
  <c r="A853" i="38"/>
  <c r="C852" i="38"/>
  <c r="B852" i="38"/>
  <c r="A852" i="38"/>
  <c r="C851" i="38"/>
  <c r="B851" i="38"/>
  <c r="A851" i="38"/>
  <c r="C850" i="38"/>
  <c r="B850" i="38"/>
  <c r="A850" i="38"/>
  <c r="C849" i="38"/>
  <c r="B849" i="38"/>
  <c r="A849" i="38"/>
  <c r="C848" i="38"/>
  <c r="B848" i="38"/>
  <c r="A848" i="38"/>
  <c r="C847" i="38"/>
  <c r="B847" i="38"/>
  <c r="A847" i="38"/>
  <c r="C846" i="38"/>
  <c r="B846" i="38"/>
  <c r="A846" i="38"/>
  <c r="C845" i="38"/>
  <c r="B845" i="38"/>
  <c r="A845" i="38"/>
  <c r="C844" i="38"/>
  <c r="B844" i="38"/>
  <c r="A844" i="38"/>
  <c r="C843" i="38"/>
  <c r="B843" i="38"/>
  <c r="A843" i="38"/>
  <c r="C842" i="38"/>
  <c r="B842" i="38"/>
  <c r="A842" i="38"/>
  <c r="C841" i="38"/>
  <c r="B841" i="38"/>
  <c r="A841" i="38"/>
  <c r="C840" i="38"/>
  <c r="B840" i="38"/>
  <c r="A840" i="38"/>
  <c r="C839" i="38"/>
  <c r="B839" i="38"/>
  <c r="A839" i="38"/>
  <c r="C838" i="38"/>
  <c r="B838" i="38"/>
  <c r="A838" i="38"/>
  <c r="C837" i="38"/>
  <c r="B837" i="38"/>
  <c r="A837" i="38"/>
  <c r="C836" i="38"/>
  <c r="B836" i="38"/>
  <c r="A836" i="38"/>
  <c r="C835" i="38"/>
  <c r="B835" i="38"/>
  <c r="A835" i="38"/>
  <c r="C834" i="38"/>
  <c r="B834" i="38"/>
  <c r="A834" i="38"/>
  <c r="C833" i="38"/>
  <c r="B833" i="38"/>
  <c r="A833" i="38"/>
  <c r="C832" i="38"/>
  <c r="B832" i="38"/>
  <c r="A832" i="38"/>
  <c r="C831" i="38"/>
  <c r="B831" i="38"/>
  <c r="A831" i="38"/>
  <c r="C830" i="38"/>
  <c r="B830" i="38"/>
  <c r="A830" i="38"/>
  <c r="C829" i="38"/>
  <c r="B829" i="38"/>
  <c r="A829" i="38"/>
  <c r="C828" i="38"/>
  <c r="B828" i="38"/>
  <c r="A828" i="38"/>
  <c r="C827" i="38"/>
  <c r="B827" i="38"/>
  <c r="A827" i="38"/>
  <c r="C826" i="38"/>
  <c r="B826" i="38"/>
  <c r="A826" i="38"/>
  <c r="C825" i="38"/>
  <c r="B825" i="38"/>
  <c r="A825" i="38"/>
  <c r="C824" i="38"/>
  <c r="B824" i="38"/>
  <c r="A824" i="38"/>
  <c r="C823" i="38"/>
  <c r="B823" i="38"/>
  <c r="A823" i="38"/>
  <c r="C822" i="38"/>
  <c r="B822" i="38"/>
  <c r="A822" i="38"/>
  <c r="C821" i="38"/>
  <c r="B821" i="38"/>
  <c r="A821" i="38"/>
  <c r="C820" i="38"/>
  <c r="B820" i="38"/>
  <c r="A820" i="38"/>
  <c r="C819" i="38"/>
  <c r="B819" i="38"/>
  <c r="A819" i="38"/>
  <c r="C818" i="38"/>
  <c r="B818" i="38"/>
  <c r="A818" i="38"/>
  <c r="C817" i="38"/>
  <c r="B817" i="38"/>
  <c r="A817" i="38"/>
  <c r="C816" i="38"/>
  <c r="B816" i="38"/>
  <c r="A816" i="38"/>
  <c r="C815" i="38"/>
  <c r="B815" i="38"/>
  <c r="A815" i="38"/>
  <c r="C814" i="38"/>
  <c r="B814" i="38"/>
  <c r="A814" i="38"/>
  <c r="C813" i="38"/>
  <c r="B813" i="38"/>
  <c r="A813" i="38"/>
  <c r="C812" i="38"/>
  <c r="B812" i="38"/>
  <c r="A812" i="38"/>
  <c r="C811" i="38"/>
  <c r="B811" i="38"/>
  <c r="A811" i="38"/>
  <c r="C810" i="38"/>
  <c r="B810" i="38"/>
  <c r="A810" i="38"/>
  <c r="C809" i="38"/>
  <c r="B809" i="38"/>
  <c r="A809" i="38"/>
  <c r="C808" i="38"/>
  <c r="B808" i="38"/>
  <c r="A808" i="38"/>
  <c r="C807" i="38"/>
  <c r="B807" i="38"/>
  <c r="A807" i="38"/>
  <c r="C806" i="38"/>
  <c r="B806" i="38"/>
  <c r="A806" i="38"/>
  <c r="C805" i="38"/>
  <c r="B805" i="38"/>
  <c r="A805" i="38"/>
  <c r="C804" i="38"/>
  <c r="B804" i="38"/>
  <c r="A804" i="38"/>
  <c r="C803" i="38"/>
  <c r="B803" i="38"/>
  <c r="A803" i="38"/>
  <c r="C802" i="38"/>
  <c r="B802" i="38"/>
  <c r="A802" i="38"/>
  <c r="C801" i="38"/>
  <c r="B801" i="38"/>
  <c r="A801" i="38"/>
  <c r="C800" i="38"/>
  <c r="B800" i="38"/>
  <c r="A800" i="38"/>
  <c r="C799" i="38"/>
  <c r="B799" i="38"/>
  <c r="A799" i="38"/>
  <c r="C798" i="38"/>
  <c r="B798" i="38"/>
  <c r="A798" i="38"/>
  <c r="C797" i="38"/>
  <c r="B797" i="38"/>
  <c r="A797" i="38"/>
  <c r="C796" i="38"/>
  <c r="B796" i="38"/>
  <c r="A796" i="38"/>
  <c r="C795" i="38"/>
  <c r="B795" i="38"/>
  <c r="A795" i="38"/>
  <c r="C794" i="38"/>
  <c r="B794" i="38"/>
  <c r="A794" i="38"/>
  <c r="C793" i="38"/>
  <c r="B793" i="38"/>
  <c r="A793" i="38"/>
  <c r="C792" i="38"/>
  <c r="B792" i="38"/>
  <c r="A792" i="38"/>
  <c r="C791" i="38"/>
  <c r="B791" i="38"/>
  <c r="A791" i="38"/>
  <c r="C790" i="38"/>
  <c r="B790" i="38"/>
  <c r="A790" i="38"/>
  <c r="C789" i="38"/>
  <c r="B789" i="38"/>
  <c r="A789" i="38"/>
  <c r="C788" i="38"/>
  <c r="B788" i="38"/>
  <c r="A788" i="38"/>
  <c r="C787" i="38"/>
  <c r="B787" i="38"/>
  <c r="A787" i="38"/>
  <c r="C786" i="38"/>
  <c r="B786" i="38"/>
  <c r="A786" i="38"/>
  <c r="C785" i="38"/>
  <c r="B785" i="38"/>
  <c r="A785" i="38"/>
  <c r="C784" i="38"/>
  <c r="B784" i="38"/>
  <c r="A784" i="38"/>
  <c r="C783" i="38"/>
  <c r="B783" i="38"/>
  <c r="A783" i="38"/>
  <c r="C782" i="38"/>
  <c r="B782" i="38"/>
  <c r="A782" i="38"/>
  <c r="C781" i="38"/>
  <c r="B781" i="38"/>
  <c r="A781" i="38"/>
  <c r="C780" i="38"/>
  <c r="B780" i="38"/>
  <c r="A780" i="38"/>
  <c r="C779" i="38"/>
  <c r="B779" i="38"/>
  <c r="A779" i="38"/>
  <c r="C778" i="38"/>
  <c r="B778" i="38"/>
  <c r="A778" i="38"/>
  <c r="C777" i="38"/>
  <c r="B777" i="38"/>
  <c r="A777" i="38"/>
  <c r="C776" i="38"/>
  <c r="B776" i="38"/>
  <c r="A776" i="38"/>
  <c r="C775" i="38"/>
  <c r="B775" i="38"/>
  <c r="A775" i="38"/>
  <c r="C774" i="38"/>
  <c r="B774" i="38"/>
  <c r="A774" i="38"/>
  <c r="C773" i="38"/>
  <c r="B773" i="38"/>
  <c r="A773" i="38"/>
  <c r="C772" i="38"/>
  <c r="B772" i="38"/>
  <c r="A772" i="38"/>
  <c r="C771" i="38"/>
  <c r="B771" i="38"/>
  <c r="A771" i="38"/>
  <c r="C770" i="38"/>
  <c r="B770" i="38"/>
  <c r="A770" i="38"/>
  <c r="C769" i="38"/>
  <c r="B769" i="38"/>
  <c r="A769" i="38"/>
  <c r="C768" i="38"/>
  <c r="B768" i="38"/>
  <c r="A768" i="38"/>
  <c r="C767" i="38"/>
  <c r="B767" i="38"/>
  <c r="A767" i="38"/>
  <c r="C766" i="38"/>
  <c r="B766" i="38"/>
  <c r="A766" i="38"/>
  <c r="C765" i="38"/>
  <c r="B765" i="38"/>
  <c r="A765" i="38"/>
  <c r="C764" i="38"/>
  <c r="B764" i="38"/>
  <c r="A764" i="38"/>
  <c r="C763" i="38"/>
  <c r="B763" i="38"/>
  <c r="A763" i="38"/>
  <c r="C762" i="38"/>
  <c r="B762" i="38"/>
  <c r="A762" i="38"/>
  <c r="C761" i="38"/>
  <c r="B761" i="38"/>
  <c r="A761" i="38"/>
  <c r="C760" i="38"/>
  <c r="B760" i="38"/>
  <c r="A760" i="38"/>
  <c r="C759" i="38"/>
  <c r="B759" i="38"/>
  <c r="A759" i="38"/>
  <c r="C758" i="38"/>
  <c r="B758" i="38"/>
  <c r="A758" i="38"/>
  <c r="C757" i="38"/>
  <c r="B757" i="38"/>
  <c r="A757" i="38"/>
  <c r="C756" i="38"/>
  <c r="B756" i="38"/>
  <c r="A756" i="38"/>
  <c r="C755" i="38"/>
  <c r="B755" i="38"/>
  <c r="A755" i="38"/>
  <c r="C754" i="38"/>
  <c r="B754" i="38"/>
  <c r="A754" i="38"/>
  <c r="C753" i="38"/>
  <c r="B753" i="38"/>
  <c r="A753" i="38"/>
  <c r="C752" i="38"/>
  <c r="B752" i="38"/>
  <c r="A752" i="38"/>
  <c r="C751" i="38"/>
  <c r="B751" i="38"/>
  <c r="A751" i="38"/>
  <c r="C750" i="38"/>
  <c r="B750" i="38"/>
  <c r="A750" i="38"/>
  <c r="C749" i="38"/>
  <c r="B749" i="38"/>
  <c r="A749" i="38"/>
  <c r="C748" i="38"/>
  <c r="B748" i="38"/>
  <c r="A748" i="38"/>
  <c r="C747" i="38"/>
  <c r="B747" i="38"/>
  <c r="A747" i="38"/>
  <c r="C746" i="38"/>
  <c r="B746" i="38"/>
  <c r="A746" i="38"/>
  <c r="C745" i="38"/>
  <c r="B745" i="38"/>
  <c r="A745" i="38"/>
  <c r="C744" i="38"/>
  <c r="B744" i="38"/>
  <c r="A744" i="38"/>
  <c r="C743" i="38"/>
  <c r="B743" i="38"/>
  <c r="A743" i="38"/>
  <c r="C742" i="38"/>
  <c r="B742" i="38"/>
  <c r="A742" i="38"/>
  <c r="C741" i="38"/>
  <c r="B741" i="38"/>
  <c r="A741" i="38"/>
  <c r="C740" i="38"/>
  <c r="B740" i="38"/>
  <c r="A740" i="38"/>
  <c r="C739" i="38"/>
  <c r="B739" i="38"/>
  <c r="A739" i="38"/>
  <c r="C738" i="38"/>
  <c r="B738" i="38"/>
  <c r="A738" i="38"/>
  <c r="C737" i="38"/>
  <c r="B737" i="38"/>
  <c r="A737" i="38"/>
  <c r="C736" i="38"/>
  <c r="B736" i="38"/>
  <c r="A736" i="38"/>
  <c r="C735" i="38"/>
  <c r="B735" i="38"/>
  <c r="A735" i="38"/>
  <c r="C734" i="38"/>
  <c r="B734" i="38"/>
  <c r="A734" i="38"/>
  <c r="C733" i="38"/>
  <c r="B733" i="38"/>
  <c r="A733" i="38"/>
  <c r="C732" i="38"/>
  <c r="B732" i="38"/>
  <c r="A732" i="38"/>
  <c r="C731" i="38"/>
  <c r="B731" i="38"/>
  <c r="A731" i="38"/>
  <c r="C730" i="38"/>
  <c r="B730" i="38"/>
  <c r="A730" i="38"/>
  <c r="C729" i="38"/>
  <c r="B729" i="38"/>
  <c r="A729" i="38"/>
  <c r="C728" i="38"/>
  <c r="B728" i="38"/>
  <c r="A728" i="38"/>
  <c r="C727" i="38"/>
  <c r="B727" i="38"/>
  <c r="A727" i="38"/>
  <c r="C726" i="38"/>
  <c r="B726" i="38"/>
  <c r="A726" i="38"/>
  <c r="C725" i="38"/>
  <c r="B725" i="38"/>
  <c r="A725" i="38"/>
  <c r="C724" i="38"/>
  <c r="B724" i="38"/>
  <c r="A724" i="38"/>
  <c r="C723" i="38"/>
  <c r="B723" i="38"/>
  <c r="A723" i="38"/>
  <c r="C722" i="38"/>
  <c r="B722" i="38"/>
  <c r="A722" i="38"/>
  <c r="C721" i="38"/>
  <c r="B721" i="38"/>
  <c r="A721" i="38"/>
  <c r="C720" i="38"/>
  <c r="B720" i="38"/>
  <c r="A720" i="38"/>
  <c r="C719" i="38"/>
  <c r="B719" i="38"/>
  <c r="A719" i="38"/>
  <c r="C718" i="38"/>
  <c r="B718" i="38"/>
  <c r="A718" i="38"/>
  <c r="C717" i="38"/>
  <c r="B717" i="38"/>
  <c r="A717" i="38"/>
  <c r="C716" i="38"/>
  <c r="B716" i="38"/>
  <c r="A716" i="38"/>
  <c r="C715" i="38"/>
  <c r="B715" i="38"/>
  <c r="A715" i="38"/>
  <c r="C714" i="38"/>
  <c r="B714" i="38"/>
  <c r="A714" i="38"/>
  <c r="C713" i="38"/>
  <c r="B713" i="38"/>
  <c r="A713" i="38"/>
  <c r="C712" i="38"/>
  <c r="B712" i="38"/>
  <c r="A712" i="38"/>
  <c r="C711" i="38"/>
  <c r="B711" i="38"/>
  <c r="A711" i="38"/>
  <c r="C710" i="38"/>
  <c r="B710" i="38"/>
  <c r="A710" i="38"/>
  <c r="C709" i="38"/>
  <c r="B709" i="38"/>
  <c r="A709" i="38"/>
  <c r="C708" i="38"/>
  <c r="B708" i="38"/>
  <c r="A708" i="38"/>
  <c r="C707" i="38"/>
  <c r="B707" i="38"/>
  <c r="A707" i="38"/>
  <c r="C706" i="38"/>
  <c r="B706" i="38"/>
  <c r="A706" i="38"/>
  <c r="C705" i="38"/>
  <c r="B705" i="38"/>
  <c r="A705" i="38"/>
  <c r="C704" i="38"/>
  <c r="B704" i="38"/>
  <c r="A704" i="38"/>
  <c r="C703" i="38"/>
  <c r="B703" i="38"/>
  <c r="A703" i="38"/>
  <c r="C702" i="38"/>
  <c r="B702" i="38"/>
  <c r="A702" i="38"/>
  <c r="C701" i="38"/>
  <c r="B701" i="38"/>
  <c r="A701" i="38"/>
  <c r="C700" i="38"/>
  <c r="B700" i="38"/>
  <c r="A700" i="38"/>
  <c r="C699" i="38"/>
  <c r="B699" i="38"/>
  <c r="A699" i="38"/>
  <c r="C698" i="38"/>
  <c r="B698" i="38"/>
  <c r="A698" i="38"/>
  <c r="C697" i="38"/>
  <c r="B697" i="38"/>
  <c r="A697" i="38"/>
  <c r="C696" i="38"/>
  <c r="B696" i="38"/>
  <c r="A696" i="38"/>
  <c r="C695" i="38"/>
  <c r="B695" i="38"/>
  <c r="A695" i="38"/>
  <c r="C694" i="38"/>
  <c r="B694" i="38"/>
  <c r="A694" i="38"/>
  <c r="C693" i="38"/>
  <c r="B693" i="38"/>
  <c r="A693" i="38"/>
  <c r="C692" i="38"/>
  <c r="B692" i="38"/>
  <c r="A692" i="38"/>
  <c r="C691" i="38"/>
  <c r="B691" i="38"/>
  <c r="A691" i="38"/>
  <c r="C690" i="38"/>
  <c r="B690" i="38"/>
  <c r="A690" i="38"/>
  <c r="C689" i="38"/>
  <c r="B689" i="38"/>
  <c r="A689" i="38"/>
  <c r="C688" i="38"/>
  <c r="B688" i="38"/>
  <c r="A688" i="38"/>
  <c r="C687" i="38"/>
  <c r="B687" i="38"/>
  <c r="A687" i="38"/>
  <c r="C686" i="38"/>
  <c r="B686" i="38"/>
  <c r="A686" i="38"/>
  <c r="C685" i="38"/>
  <c r="B685" i="38"/>
  <c r="A685" i="38"/>
  <c r="C684" i="38"/>
  <c r="B684" i="38"/>
  <c r="A684" i="38"/>
  <c r="C683" i="38"/>
  <c r="B683" i="38"/>
  <c r="A683" i="38"/>
  <c r="C682" i="38"/>
  <c r="B682" i="38"/>
  <c r="A682" i="38"/>
  <c r="C681" i="38"/>
  <c r="B681" i="38"/>
  <c r="A681" i="38"/>
  <c r="C680" i="38"/>
  <c r="B680" i="38"/>
  <c r="A680" i="38"/>
  <c r="C679" i="38"/>
  <c r="B679" i="38"/>
  <c r="A679" i="38"/>
  <c r="C678" i="38"/>
  <c r="B678" i="38"/>
  <c r="A678" i="38"/>
  <c r="C677" i="38"/>
  <c r="B677" i="38"/>
  <c r="A677" i="38"/>
  <c r="C676" i="38"/>
  <c r="B676" i="38"/>
  <c r="A676" i="38"/>
  <c r="C675" i="38"/>
  <c r="B675" i="38"/>
  <c r="A675" i="38"/>
  <c r="C674" i="38"/>
  <c r="B674" i="38"/>
  <c r="A674" i="38"/>
  <c r="C673" i="38"/>
  <c r="B673" i="38"/>
  <c r="A673" i="38"/>
  <c r="C672" i="38"/>
  <c r="B672" i="38"/>
  <c r="A672" i="38"/>
  <c r="C671" i="38"/>
  <c r="B671" i="38"/>
  <c r="A671" i="38"/>
  <c r="C670" i="38"/>
  <c r="B670" i="38"/>
  <c r="A670" i="38"/>
  <c r="C669" i="38"/>
  <c r="B669" i="38"/>
  <c r="A669" i="38"/>
  <c r="C668" i="38"/>
  <c r="B668" i="38"/>
  <c r="A668" i="38"/>
  <c r="C667" i="38"/>
  <c r="B667" i="38"/>
  <c r="A667" i="38"/>
  <c r="C666" i="38"/>
  <c r="B666" i="38"/>
  <c r="A666" i="38"/>
  <c r="C665" i="38"/>
  <c r="B665" i="38"/>
  <c r="A665" i="38"/>
  <c r="C664" i="38"/>
  <c r="B664" i="38"/>
  <c r="A664" i="38"/>
  <c r="C663" i="38"/>
  <c r="B663" i="38"/>
  <c r="A663" i="38"/>
  <c r="C662" i="38"/>
  <c r="B662" i="38"/>
  <c r="A662" i="38"/>
  <c r="C661" i="38"/>
  <c r="B661" i="38"/>
  <c r="A661" i="38"/>
  <c r="C660" i="38"/>
  <c r="B660" i="38"/>
  <c r="A660" i="38"/>
  <c r="C659" i="38"/>
  <c r="B659" i="38"/>
  <c r="A659" i="38"/>
  <c r="C658" i="38"/>
  <c r="B658" i="38"/>
  <c r="A658" i="38"/>
  <c r="C657" i="38"/>
  <c r="B657" i="38"/>
  <c r="A657" i="38"/>
  <c r="C656" i="38"/>
  <c r="B656" i="38"/>
  <c r="A656" i="38"/>
  <c r="C655" i="38"/>
  <c r="B655" i="38"/>
  <c r="A655" i="38"/>
  <c r="C654" i="38"/>
  <c r="B654" i="38"/>
  <c r="A654" i="38"/>
  <c r="C653" i="38"/>
  <c r="B653" i="38"/>
  <c r="A653" i="38"/>
  <c r="C652" i="38"/>
  <c r="B652" i="38"/>
  <c r="A652" i="38"/>
  <c r="C651" i="38"/>
  <c r="B651" i="38"/>
  <c r="A651" i="38"/>
  <c r="C650" i="38"/>
  <c r="B650" i="38"/>
  <c r="A650" i="38"/>
  <c r="C649" i="38"/>
  <c r="B649" i="38"/>
  <c r="A649" i="38"/>
  <c r="C648" i="38"/>
  <c r="B648" i="38"/>
  <c r="A648" i="38"/>
  <c r="C647" i="38"/>
  <c r="B647" i="38"/>
  <c r="A647" i="38"/>
  <c r="C646" i="38"/>
  <c r="B646" i="38"/>
  <c r="A646" i="38"/>
  <c r="C645" i="38"/>
  <c r="B645" i="38"/>
  <c r="A645" i="38"/>
  <c r="C644" i="38"/>
  <c r="B644" i="38"/>
  <c r="A644" i="38"/>
  <c r="C643" i="38"/>
  <c r="B643" i="38"/>
  <c r="A643" i="38"/>
  <c r="C642" i="38"/>
  <c r="B642" i="38"/>
  <c r="A642" i="38"/>
  <c r="C641" i="38"/>
  <c r="B641" i="38"/>
  <c r="A641" i="38"/>
  <c r="C640" i="38"/>
  <c r="B640" i="38"/>
  <c r="A640" i="38"/>
  <c r="C639" i="38"/>
  <c r="B639" i="38"/>
  <c r="A639" i="38"/>
  <c r="C638" i="38"/>
  <c r="B638" i="38"/>
  <c r="A638" i="38"/>
  <c r="C637" i="38"/>
  <c r="B637" i="38"/>
  <c r="A637" i="38"/>
  <c r="C636" i="38"/>
  <c r="B636" i="38"/>
  <c r="A636" i="38"/>
  <c r="C635" i="38"/>
  <c r="B635" i="38"/>
  <c r="A635" i="38"/>
  <c r="C634" i="38"/>
  <c r="B634" i="38"/>
  <c r="A634" i="38"/>
  <c r="C633" i="38"/>
  <c r="B633" i="38"/>
  <c r="A633" i="38"/>
  <c r="C632" i="38"/>
  <c r="B632" i="38"/>
  <c r="A632" i="38"/>
  <c r="C631" i="38"/>
  <c r="B631" i="38"/>
  <c r="A631" i="38"/>
  <c r="C630" i="38"/>
  <c r="B630" i="38"/>
  <c r="A630" i="38"/>
  <c r="C629" i="38"/>
  <c r="B629" i="38"/>
  <c r="A629" i="38"/>
  <c r="C628" i="38"/>
  <c r="B628" i="38"/>
  <c r="A628" i="38"/>
  <c r="C627" i="38"/>
  <c r="B627" i="38"/>
  <c r="A627" i="38"/>
  <c r="C626" i="38"/>
  <c r="B626" i="38"/>
  <c r="A626" i="38"/>
  <c r="C625" i="38"/>
  <c r="B625" i="38"/>
  <c r="A625" i="38"/>
  <c r="C624" i="38"/>
  <c r="B624" i="38"/>
  <c r="A624" i="38"/>
  <c r="C623" i="38"/>
  <c r="B623" i="38"/>
  <c r="A623" i="38"/>
  <c r="C622" i="38"/>
  <c r="B622" i="38"/>
  <c r="A622" i="38"/>
  <c r="C621" i="38"/>
  <c r="B621" i="38"/>
  <c r="A621" i="38"/>
  <c r="C620" i="38"/>
  <c r="B620" i="38"/>
  <c r="A620" i="38"/>
  <c r="C619" i="38"/>
  <c r="B619" i="38"/>
  <c r="A619" i="38"/>
  <c r="C618" i="38"/>
  <c r="B618" i="38"/>
  <c r="A618" i="38"/>
  <c r="C617" i="38"/>
  <c r="B617" i="38"/>
  <c r="A617" i="38"/>
  <c r="C616" i="38"/>
  <c r="B616" i="38"/>
  <c r="A616" i="38"/>
  <c r="C615" i="38"/>
  <c r="B615" i="38"/>
  <c r="A615" i="38"/>
  <c r="C614" i="38"/>
  <c r="B614" i="38"/>
  <c r="A614" i="38"/>
  <c r="C613" i="38"/>
  <c r="B613" i="38"/>
  <c r="A613" i="38"/>
  <c r="C612" i="38"/>
  <c r="B612" i="38"/>
  <c r="A612" i="38"/>
  <c r="C611" i="38"/>
  <c r="B611" i="38"/>
  <c r="A611" i="38"/>
  <c r="C610" i="38"/>
  <c r="B610" i="38"/>
  <c r="A610" i="38"/>
  <c r="C609" i="38"/>
  <c r="B609" i="38"/>
  <c r="A609" i="38"/>
  <c r="C608" i="38"/>
  <c r="B608" i="38"/>
  <c r="A608" i="38"/>
  <c r="C607" i="38"/>
  <c r="B607" i="38"/>
  <c r="A607" i="38"/>
  <c r="C606" i="38"/>
  <c r="B606" i="38"/>
  <c r="A606" i="38"/>
  <c r="C605" i="38"/>
  <c r="B605" i="38"/>
  <c r="A605" i="38"/>
  <c r="C604" i="38"/>
  <c r="B604" i="38"/>
  <c r="A604" i="38"/>
  <c r="C603" i="38"/>
  <c r="B603" i="38"/>
  <c r="A603" i="38"/>
  <c r="C602" i="38"/>
  <c r="B602" i="38"/>
  <c r="A602" i="38"/>
  <c r="C601" i="38"/>
  <c r="B601" i="38"/>
  <c r="A601" i="38"/>
  <c r="C600" i="38"/>
  <c r="B600" i="38"/>
  <c r="A600" i="38"/>
  <c r="C599" i="38"/>
  <c r="B599" i="38"/>
  <c r="A599" i="38"/>
  <c r="C598" i="38"/>
  <c r="B598" i="38"/>
  <c r="A598" i="38"/>
  <c r="C597" i="38"/>
  <c r="B597" i="38"/>
  <c r="A597" i="38"/>
  <c r="C596" i="38"/>
  <c r="B596" i="38"/>
  <c r="A596" i="38"/>
  <c r="C595" i="38"/>
  <c r="B595" i="38"/>
  <c r="A595" i="38"/>
  <c r="C594" i="38"/>
  <c r="B594" i="38"/>
  <c r="A594" i="38"/>
  <c r="C593" i="38"/>
  <c r="B593" i="38"/>
  <c r="A593" i="38"/>
  <c r="C592" i="38"/>
  <c r="B592" i="38"/>
  <c r="A592" i="38"/>
  <c r="C591" i="38"/>
  <c r="B591" i="38"/>
  <c r="A591" i="38"/>
  <c r="C590" i="38"/>
  <c r="B590" i="38"/>
  <c r="A590" i="38"/>
  <c r="C589" i="38"/>
  <c r="B589" i="38"/>
  <c r="A589" i="38"/>
  <c r="C588" i="38"/>
  <c r="B588" i="38"/>
  <c r="A588" i="38"/>
  <c r="C587" i="38"/>
  <c r="B587" i="38"/>
  <c r="A587" i="38"/>
  <c r="C586" i="38"/>
  <c r="B586" i="38"/>
  <c r="A586" i="38"/>
  <c r="C585" i="38"/>
  <c r="B585" i="38"/>
  <c r="A585" i="38"/>
  <c r="C584" i="38"/>
  <c r="B584" i="38"/>
  <c r="A584" i="38"/>
  <c r="C583" i="38"/>
  <c r="B583" i="38"/>
  <c r="A583" i="38"/>
  <c r="C582" i="38"/>
  <c r="B582" i="38"/>
  <c r="A582" i="38"/>
  <c r="C581" i="38"/>
  <c r="B581" i="38"/>
  <c r="A581" i="38"/>
  <c r="C580" i="38"/>
  <c r="B580" i="38"/>
  <c r="A580" i="38"/>
  <c r="C579" i="38"/>
  <c r="B579" i="38"/>
  <c r="A579" i="38"/>
  <c r="C578" i="38"/>
  <c r="B578" i="38"/>
  <c r="A578" i="38"/>
  <c r="C577" i="38"/>
  <c r="B577" i="38"/>
  <c r="A577" i="38"/>
  <c r="C576" i="38"/>
  <c r="B576" i="38"/>
  <c r="A576" i="38"/>
  <c r="C575" i="38"/>
  <c r="B575" i="38"/>
  <c r="A575" i="38"/>
  <c r="C574" i="38"/>
  <c r="B574" i="38"/>
  <c r="A574" i="38"/>
  <c r="C573" i="38"/>
  <c r="B573" i="38"/>
  <c r="A573" i="38"/>
  <c r="C572" i="38"/>
  <c r="B572" i="38"/>
  <c r="A572" i="38"/>
  <c r="C571" i="38"/>
  <c r="B571" i="38"/>
  <c r="A571" i="38"/>
  <c r="C570" i="38"/>
  <c r="B570" i="38"/>
  <c r="A570" i="38"/>
  <c r="C569" i="38"/>
  <c r="B569" i="38"/>
  <c r="A569" i="38"/>
  <c r="C568" i="38"/>
  <c r="B568" i="38"/>
  <c r="A568" i="38"/>
  <c r="C567" i="38"/>
  <c r="B567" i="38"/>
  <c r="A567" i="38"/>
  <c r="C566" i="38"/>
  <c r="B566" i="38"/>
  <c r="A566" i="38"/>
  <c r="C565" i="38"/>
  <c r="B565" i="38"/>
  <c r="A565" i="38"/>
  <c r="C564" i="38"/>
  <c r="B564" i="38"/>
  <c r="A564" i="38"/>
  <c r="C563" i="38"/>
  <c r="B563" i="38"/>
  <c r="A563" i="38"/>
  <c r="C562" i="38"/>
  <c r="B562" i="38"/>
  <c r="A562" i="38"/>
  <c r="C561" i="38"/>
  <c r="B561" i="38"/>
  <c r="A561" i="38"/>
  <c r="C560" i="38"/>
  <c r="B560" i="38"/>
  <c r="A560" i="38"/>
  <c r="C559" i="38"/>
  <c r="B559" i="38"/>
  <c r="A559" i="38"/>
  <c r="C558" i="38"/>
  <c r="B558" i="38"/>
  <c r="A558" i="38"/>
  <c r="C557" i="38"/>
  <c r="B557" i="38"/>
  <c r="A557" i="38"/>
  <c r="C556" i="38"/>
  <c r="B556" i="38"/>
  <c r="A556" i="38"/>
  <c r="C555" i="38"/>
  <c r="B555" i="38"/>
  <c r="A555" i="38"/>
  <c r="C554" i="38"/>
  <c r="B554" i="38"/>
  <c r="A554" i="38"/>
  <c r="C553" i="38"/>
  <c r="B553" i="38"/>
  <c r="A553" i="38"/>
  <c r="C552" i="38"/>
  <c r="B552" i="38"/>
  <c r="A552" i="38"/>
  <c r="C551" i="38"/>
  <c r="B551" i="38"/>
  <c r="A551" i="38"/>
  <c r="C550" i="38"/>
  <c r="B550" i="38"/>
  <c r="A550" i="38"/>
  <c r="C549" i="38"/>
  <c r="B549" i="38"/>
  <c r="A549" i="38"/>
  <c r="C548" i="38"/>
  <c r="B548" i="38"/>
  <c r="A548" i="38"/>
  <c r="C547" i="38"/>
  <c r="B547" i="38"/>
  <c r="A547" i="38"/>
  <c r="C546" i="38"/>
  <c r="B546" i="38"/>
  <c r="A546" i="38"/>
  <c r="C545" i="38"/>
  <c r="B545" i="38"/>
  <c r="A545" i="38"/>
  <c r="C544" i="38"/>
  <c r="B544" i="38"/>
  <c r="A544" i="38"/>
  <c r="C543" i="38"/>
  <c r="B543" i="38"/>
  <c r="A543" i="38"/>
  <c r="C542" i="38"/>
  <c r="B542" i="38"/>
  <c r="A542" i="38"/>
  <c r="C541" i="38"/>
  <c r="B541" i="38"/>
  <c r="A541" i="38"/>
  <c r="C540" i="38"/>
  <c r="B540" i="38"/>
  <c r="A540" i="38"/>
  <c r="C539" i="38"/>
  <c r="B539" i="38"/>
  <c r="A539" i="38"/>
  <c r="C538" i="38"/>
  <c r="B538" i="38"/>
  <c r="A538" i="38"/>
  <c r="C537" i="38"/>
  <c r="B537" i="38"/>
  <c r="A537" i="38"/>
  <c r="C536" i="38"/>
  <c r="B536" i="38"/>
  <c r="A536" i="38"/>
  <c r="C535" i="38"/>
  <c r="B535" i="38"/>
  <c r="A535" i="38"/>
  <c r="C534" i="38"/>
  <c r="B534" i="38"/>
  <c r="A534" i="38"/>
  <c r="C533" i="38"/>
  <c r="B533" i="38"/>
  <c r="A533" i="38"/>
  <c r="C532" i="38"/>
  <c r="B532" i="38"/>
  <c r="A532" i="38"/>
  <c r="C531" i="38"/>
  <c r="B531" i="38"/>
  <c r="A531" i="38"/>
  <c r="C530" i="38"/>
  <c r="B530" i="38"/>
  <c r="A530" i="38"/>
  <c r="C529" i="38"/>
  <c r="B529" i="38"/>
  <c r="A529" i="38"/>
  <c r="C528" i="38"/>
  <c r="B528" i="38"/>
  <c r="A528" i="38"/>
  <c r="C527" i="38"/>
  <c r="B527" i="38"/>
  <c r="A527" i="38"/>
  <c r="C526" i="38"/>
  <c r="B526" i="38"/>
  <c r="A526" i="38"/>
  <c r="C525" i="38"/>
  <c r="B525" i="38"/>
  <c r="A525" i="38"/>
  <c r="C524" i="38"/>
  <c r="B524" i="38"/>
  <c r="A524" i="38"/>
  <c r="C523" i="38"/>
  <c r="B523" i="38"/>
  <c r="A523" i="38"/>
  <c r="C522" i="38"/>
  <c r="B522" i="38"/>
  <c r="A522" i="38"/>
  <c r="C521" i="38"/>
  <c r="B521" i="38"/>
  <c r="A521" i="38"/>
  <c r="C520" i="38"/>
  <c r="B520" i="38"/>
  <c r="A520" i="38"/>
  <c r="C519" i="38"/>
  <c r="B519" i="38"/>
  <c r="A519" i="38"/>
  <c r="C518" i="38"/>
  <c r="B518" i="38"/>
  <c r="A518" i="38"/>
  <c r="C517" i="38"/>
  <c r="B517" i="38"/>
  <c r="A517" i="38"/>
  <c r="C516" i="38"/>
  <c r="B516" i="38"/>
  <c r="A516" i="38"/>
  <c r="C515" i="38"/>
  <c r="B515" i="38"/>
  <c r="A515" i="38"/>
  <c r="C514" i="38"/>
  <c r="B514" i="38"/>
  <c r="A514" i="38"/>
  <c r="C513" i="38"/>
  <c r="B513" i="38"/>
  <c r="A513" i="38"/>
  <c r="C512" i="38"/>
  <c r="B512" i="38"/>
  <c r="A512" i="38"/>
  <c r="C511" i="38"/>
  <c r="B511" i="38"/>
  <c r="A511" i="38"/>
  <c r="C510" i="38"/>
  <c r="B510" i="38"/>
  <c r="A510" i="38"/>
  <c r="C509" i="38"/>
  <c r="B509" i="38"/>
  <c r="A509" i="38"/>
  <c r="C508" i="38"/>
  <c r="B508" i="38"/>
  <c r="A508" i="38"/>
  <c r="C507" i="38"/>
  <c r="B507" i="38"/>
  <c r="A507" i="38"/>
  <c r="C506" i="38"/>
  <c r="B506" i="38"/>
  <c r="A506" i="38"/>
  <c r="C505" i="38"/>
  <c r="B505" i="38"/>
  <c r="A505" i="38"/>
  <c r="C504" i="38"/>
  <c r="B504" i="38"/>
  <c r="A504" i="38"/>
  <c r="C503" i="38"/>
  <c r="B503" i="38"/>
  <c r="A503" i="38"/>
  <c r="C502" i="38"/>
  <c r="B502" i="38"/>
  <c r="A502" i="38"/>
  <c r="C501" i="38"/>
  <c r="B501" i="38"/>
  <c r="A501" i="38"/>
  <c r="C500" i="38"/>
  <c r="B500" i="38"/>
  <c r="A500" i="38"/>
  <c r="C499" i="38"/>
  <c r="B499" i="38"/>
  <c r="A499" i="38"/>
  <c r="C498" i="38"/>
  <c r="B498" i="38"/>
  <c r="A498" i="38"/>
  <c r="C497" i="38"/>
  <c r="B497" i="38"/>
  <c r="A497" i="38"/>
  <c r="C496" i="38"/>
  <c r="B496" i="38"/>
  <c r="A496" i="38"/>
  <c r="C495" i="38"/>
  <c r="B495" i="38"/>
  <c r="A495" i="38"/>
  <c r="C494" i="38"/>
  <c r="B494" i="38"/>
  <c r="A494" i="38"/>
  <c r="C493" i="38"/>
  <c r="B493" i="38"/>
  <c r="A493" i="38"/>
  <c r="C492" i="38"/>
  <c r="B492" i="38"/>
  <c r="A492" i="38"/>
  <c r="C491" i="38"/>
  <c r="B491" i="38"/>
  <c r="A491" i="38"/>
  <c r="C490" i="38"/>
  <c r="B490" i="38"/>
  <c r="A490" i="38"/>
  <c r="C489" i="38"/>
  <c r="B489" i="38"/>
  <c r="A489" i="38"/>
  <c r="C488" i="38"/>
  <c r="B488" i="38"/>
  <c r="A488" i="38"/>
  <c r="C487" i="38"/>
  <c r="B487" i="38"/>
  <c r="A487" i="38"/>
  <c r="C486" i="38"/>
  <c r="B486" i="38"/>
  <c r="A486" i="38"/>
  <c r="C485" i="38"/>
  <c r="B485" i="38"/>
  <c r="A485" i="38"/>
  <c r="C484" i="38"/>
  <c r="B484" i="38"/>
  <c r="A484" i="38"/>
  <c r="C483" i="38"/>
  <c r="B483" i="38"/>
  <c r="A483" i="38"/>
  <c r="C482" i="38"/>
  <c r="B482" i="38"/>
  <c r="A482" i="38"/>
  <c r="C481" i="38"/>
  <c r="B481" i="38"/>
  <c r="A481" i="38"/>
  <c r="C480" i="38"/>
  <c r="B480" i="38"/>
  <c r="A480" i="38"/>
  <c r="C479" i="38"/>
  <c r="B479" i="38"/>
  <c r="A479" i="38"/>
  <c r="C478" i="38"/>
  <c r="B478" i="38"/>
  <c r="A478" i="38"/>
  <c r="C477" i="38"/>
  <c r="B477" i="38"/>
  <c r="A477" i="38"/>
  <c r="C476" i="38"/>
  <c r="B476" i="38"/>
  <c r="A476" i="38"/>
  <c r="C475" i="38"/>
  <c r="B475" i="38"/>
  <c r="A475" i="38"/>
  <c r="C474" i="38"/>
  <c r="B474" i="38"/>
  <c r="A474" i="38"/>
  <c r="C473" i="38"/>
  <c r="B473" i="38"/>
  <c r="A473" i="38"/>
  <c r="C472" i="38"/>
  <c r="B472" i="38"/>
  <c r="A472" i="38"/>
  <c r="C471" i="38"/>
  <c r="B471" i="38"/>
  <c r="A471" i="38"/>
  <c r="C470" i="38"/>
  <c r="B470" i="38"/>
  <c r="A470" i="38"/>
  <c r="C469" i="38"/>
  <c r="B469" i="38"/>
  <c r="A469" i="38"/>
  <c r="C468" i="38"/>
  <c r="B468" i="38"/>
  <c r="A468" i="38"/>
  <c r="C467" i="38"/>
  <c r="B467" i="38"/>
  <c r="A467" i="38"/>
  <c r="C466" i="38"/>
  <c r="B466" i="38"/>
  <c r="A466" i="38"/>
  <c r="C465" i="38"/>
  <c r="B465" i="38"/>
  <c r="A465" i="38"/>
  <c r="C464" i="38"/>
  <c r="B464" i="38"/>
  <c r="A464" i="38"/>
  <c r="C463" i="38"/>
  <c r="B463" i="38"/>
  <c r="A463" i="38"/>
  <c r="C462" i="38"/>
  <c r="B462" i="38"/>
  <c r="A462" i="38"/>
  <c r="C461" i="38"/>
  <c r="B461" i="38"/>
  <c r="A461" i="38"/>
  <c r="C460" i="38"/>
  <c r="B460" i="38"/>
  <c r="A460" i="38"/>
  <c r="C459" i="38"/>
  <c r="B459" i="38"/>
  <c r="A459" i="38"/>
  <c r="C458" i="38"/>
  <c r="B458" i="38"/>
  <c r="A458" i="38"/>
  <c r="C457" i="38"/>
  <c r="B457" i="38"/>
  <c r="A457" i="38"/>
  <c r="C456" i="38"/>
  <c r="B456" i="38"/>
  <c r="A456" i="38"/>
  <c r="C455" i="38"/>
  <c r="B455" i="38"/>
  <c r="A455" i="38"/>
  <c r="C454" i="38"/>
  <c r="B454" i="38"/>
  <c r="A454" i="38"/>
  <c r="C453" i="38"/>
  <c r="B453" i="38"/>
  <c r="A453" i="38"/>
  <c r="C452" i="38"/>
  <c r="B452" i="38"/>
  <c r="A452" i="38"/>
  <c r="C451" i="38"/>
  <c r="B451" i="38"/>
  <c r="A451" i="38"/>
  <c r="C450" i="38"/>
  <c r="B450" i="38"/>
  <c r="A450" i="38"/>
  <c r="C449" i="38"/>
  <c r="B449" i="38"/>
  <c r="A449" i="38"/>
  <c r="C448" i="38"/>
  <c r="B448" i="38"/>
  <c r="A448" i="38"/>
  <c r="C447" i="38"/>
  <c r="B447" i="38"/>
  <c r="A447" i="38"/>
  <c r="C446" i="38"/>
  <c r="B446" i="38"/>
  <c r="A446" i="38"/>
  <c r="C445" i="38"/>
  <c r="B445" i="38"/>
  <c r="A445" i="38"/>
  <c r="C444" i="38"/>
  <c r="B444" i="38"/>
  <c r="A444" i="38"/>
  <c r="C443" i="38"/>
  <c r="B443" i="38"/>
  <c r="A443" i="38"/>
  <c r="C442" i="38"/>
  <c r="B442" i="38"/>
  <c r="A442" i="38"/>
  <c r="C441" i="38"/>
  <c r="B441" i="38"/>
  <c r="A441" i="38"/>
  <c r="C440" i="38"/>
  <c r="B440" i="38"/>
  <c r="A440" i="38"/>
  <c r="C439" i="38"/>
  <c r="B439" i="38"/>
  <c r="A439" i="38"/>
  <c r="C438" i="38"/>
  <c r="B438" i="38"/>
  <c r="A438" i="38"/>
  <c r="C437" i="38"/>
  <c r="B437" i="38"/>
  <c r="A437" i="38"/>
  <c r="C436" i="38"/>
  <c r="B436" i="38"/>
  <c r="A436" i="38"/>
  <c r="C435" i="38"/>
  <c r="B435" i="38"/>
  <c r="A435" i="38"/>
  <c r="C434" i="38"/>
  <c r="B434" i="38"/>
  <c r="A434" i="38"/>
  <c r="C433" i="38"/>
  <c r="B433" i="38"/>
  <c r="A433" i="38"/>
  <c r="C432" i="38"/>
  <c r="B432" i="38"/>
  <c r="A432" i="38"/>
  <c r="C431" i="38"/>
  <c r="B431" i="38"/>
  <c r="A431" i="38"/>
  <c r="C430" i="38"/>
  <c r="B430" i="38"/>
  <c r="A430" i="38"/>
  <c r="C429" i="38"/>
  <c r="B429" i="38"/>
  <c r="A429" i="38"/>
  <c r="C428" i="38"/>
  <c r="B428" i="38"/>
  <c r="A428" i="38"/>
  <c r="C427" i="38"/>
  <c r="B427" i="38"/>
  <c r="A427" i="38"/>
  <c r="C426" i="38"/>
  <c r="B426" i="38"/>
  <c r="A426" i="38"/>
  <c r="C425" i="38"/>
  <c r="B425" i="38"/>
  <c r="A425" i="38"/>
  <c r="C424" i="38"/>
  <c r="B424" i="38"/>
  <c r="A424" i="38"/>
  <c r="C423" i="38"/>
  <c r="B423" i="38"/>
  <c r="A423" i="38"/>
  <c r="C422" i="38"/>
  <c r="B422" i="38"/>
  <c r="A422" i="38"/>
  <c r="C421" i="38"/>
  <c r="B421" i="38"/>
  <c r="A421" i="38"/>
  <c r="C420" i="38"/>
  <c r="B420" i="38"/>
  <c r="A420" i="38"/>
  <c r="C419" i="38"/>
  <c r="B419" i="38"/>
  <c r="A419" i="38"/>
  <c r="C418" i="38"/>
  <c r="B418" i="38"/>
  <c r="A418" i="38"/>
  <c r="C417" i="38"/>
  <c r="B417" i="38"/>
  <c r="A417" i="38"/>
  <c r="C416" i="38"/>
  <c r="B416" i="38"/>
  <c r="A416" i="38"/>
  <c r="C415" i="38"/>
  <c r="B415" i="38"/>
  <c r="A415" i="38"/>
  <c r="C414" i="38"/>
  <c r="B414" i="38"/>
  <c r="A414" i="38"/>
  <c r="C413" i="38"/>
  <c r="B413" i="38"/>
  <c r="A413" i="38"/>
  <c r="C412" i="38"/>
  <c r="B412" i="38"/>
  <c r="A412" i="38"/>
  <c r="C411" i="38"/>
  <c r="B411" i="38"/>
  <c r="A411" i="38"/>
  <c r="C410" i="38"/>
  <c r="B410" i="38"/>
  <c r="A410" i="38"/>
  <c r="C409" i="38"/>
  <c r="B409" i="38"/>
  <c r="A409" i="38"/>
  <c r="C408" i="38"/>
  <c r="B408" i="38"/>
  <c r="A408" i="38"/>
  <c r="C407" i="38"/>
  <c r="B407" i="38"/>
  <c r="A407" i="38"/>
  <c r="C406" i="38"/>
  <c r="B406" i="38"/>
  <c r="A406" i="38"/>
  <c r="C405" i="38"/>
  <c r="B405" i="38"/>
  <c r="A405" i="38"/>
  <c r="C404" i="38"/>
  <c r="B404" i="38"/>
  <c r="A404" i="38"/>
  <c r="C403" i="38"/>
  <c r="B403" i="38"/>
  <c r="A403" i="38"/>
  <c r="C402" i="38"/>
  <c r="B402" i="38"/>
  <c r="A402" i="38"/>
  <c r="C401" i="38"/>
  <c r="B401" i="38"/>
  <c r="A401" i="38"/>
  <c r="C400" i="38"/>
  <c r="B400" i="38"/>
  <c r="A400" i="38"/>
  <c r="C399" i="38"/>
  <c r="B399" i="38"/>
  <c r="A399" i="38"/>
  <c r="C398" i="38"/>
  <c r="B398" i="38"/>
  <c r="A398" i="38"/>
  <c r="C397" i="38"/>
  <c r="B397" i="38"/>
  <c r="A397" i="38"/>
  <c r="C396" i="38"/>
  <c r="B396" i="38"/>
  <c r="A396" i="38"/>
  <c r="C395" i="38"/>
  <c r="B395" i="38"/>
  <c r="A395" i="38"/>
  <c r="C394" i="38"/>
  <c r="B394" i="38"/>
  <c r="A394" i="38"/>
  <c r="C393" i="38"/>
  <c r="B393" i="38"/>
  <c r="A393" i="38"/>
  <c r="C392" i="38"/>
  <c r="B392" i="38"/>
  <c r="A392" i="38"/>
  <c r="C391" i="38"/>
  <c r="B391" i="38"/>
  <c r="A391" i="38"/>
  <c r="C390" i="38"/>
  <c r="B390" i="38"/>
  <c r="A390" i="38"/>
  <c r="C389" i="38"/>
  <c r="B389" i="38"/>
  <c r="A389" i="38"/>
  <c r="C388" i="38"/>
  <c r="B388" i="38"/>
  <c r="A388" i="38"/>
  <c r="C387" i="38"/>
  <c r="B387" i="38"/>
  <c r="A387" i="38"/>
  <c r="C386" i="38"/>
  <c r="B386" i="38"/>
  <c r="A386" i="38"/>
  <c r="C385" i="38"/>
  <c r="B385" i="38"/>
  <c r="A385" i="38"/>
  <c r="C384" i="38"/>
  <c r="B384" i="38"/>
  <c r="A384" i="38"/>
  <c r="C383" i="38"/>
  <c r="B383" i="38"/>
  <c r="A383" i="38"/>
  <c r="C382" i="38"/>
  <c r="B382" i="38"/>
  <c r="A382" i="38"/>
  <c r="C381" i="38"/>
  <c r="B381" i="38"/>
  <c r="A381" i="38"/>
  <c r="C380" i="38"/>
  <c r="B380" i="38"/>
  <c r="A380" i="38"/>
  <c r="C379" i="38"/>
  <c r="B379" i="38"/>
  <c r="A379" i="38"/>
  <c r="C378" i="38"/>
  <c r="B378" i="38"/>
  <c r="A378" i="38"/>
  <c r="C377" i="38"/>
  <c r="B377" i="38"/>
  <c r="A377" i="38"/>
  <c r="C376" i="38"/>
  <c r="B376" i="38"/>
  <c r="A376" i="38"/>
  <c r="C375" i="38"/>
  <c r="B375" i="38"/>
  <c r="A375" i="38"/>
  <c r="C374" i="38"/>
  <c r="B374" i="38"/>
  <c r="A374" i="38"/>
  <c r="C373" i="38"/>
  <c r="B373" i="38"/>
  <c r="A373" i="38"/>
  <c r="C372" i="38"/>
  <c r="B372" i="38"/>
  <c r="A372" i="38"/>
  <c r="C371" i="38"/>
  <c r="B371" i="38"/>
  <c r="A371" i="38"/>
  <c r="C370" i="38"/>
  <c r="B370" i="38"/>
  <c r="A370" i="38"/>
  <c r="C369" i="38"/>
  <c r="B369" i="38"/>
  <c r="A369" i="38"/>
  <c r="C368" i="38"/>
  <c r="B368" i="38"/>
  <c r="A368" i="38"/>
  <c r="C367" i="38"/>
  <c r="B367" i="38"/>
  <c r="A367" i="38"/>
  <c r="C366" i="38"/>
  <c r="B366" i="38"/>
  <c r="A366" i="38"/>
  <c r="C365" i="38"/>
  <c r="B365" i="38"/>
  <c r="A365" i="38"/>
  <c r="C364" i="38"/>
  <c r="B364" i="38"/>
  <c r="A364" i="38"/>
  <c r="C363" i="38"/>
  <c r="B363" i="38"/>
  <c r="A363" i="38"/>
  <c r="C362" i="38"/>
  <c r="B362" i="38"/>
  <c r="A362" i="38"/>
  <c r="C361" i="38"/>
  <c r="B361" i="38"/>
  <c r="A361" i="38"/>
  <c r="C360" i="38"/>
  <c r="B360" i="38"/>
  <c r="A360" i="38"/>
  <c r="C359" i="38"/>
  <c r="B359" i="38"/>
  <c r="A359" i="38"/>
  <c r="C358" i="38"/>
  <c r="B358" i="38"/>
  <c r="A358" i="38"/>
  <c r="C357" i="38"/>
  <c r="B357" i="38"/>
  <c r="A357" i="38"/>
  <c r="C356" i="38"/>
  <c r="B356" i="38"/>
  <c r="A356" i="38"/>
  <c r="C355" i="38"/>
  <c r="B355" i="38"/>
  <c r="A355" i="38"/>
  <c r="C354" i="38"/>
  <c r="B354" i="38"/>
  <c r="A354" i="38"/>
  <c r="C353" i="38"/>
  <c r="B353" i="38"/>
  <c r="A353" i="38"/>
  <c r="C352" i="38"/>
  <c r="B352" i="38"/>
  <c r="A352" i="38"/>
  <c r="C351" i="38"/>
  <c r="B351" i="38"/>
  <c r="A351" i="38"/>
  <c r="C350" i="38"/>
  <c r="B350" i="38"/>
  <c r="A350" i="38"/>
  <c r="C349" i="38"/>
  <c r="B349" i="38"/>
  <c r="A349" i="38"/>
  <c r="C348" i="38"/>
  <c r="B348" i="38"/>
  <c r="A348" i="38"/>
  <c r="C347" i="38"/>
  <c r="B347" i="38"/>
  <c r="A347" i="38"/>
  <c r="C346" i="38"/>
  <c r="B346" i="38"/>
  <c r="A346" i="38"/>
  <c r="C345" i="38"/>
  <c r="B345" i="38"/>
  <c r="A345" i="38"/>
  <c r="C344" i="38"/>
  <c r="B344" i="38"/>
  <c r="A344" i="38"/>
  <c r="C343" i="38"/>
  <c r="B343" i="38"/>
  <c r="A343" i="38"/>
  <c r="C342" i="38"/>
  <c r="B342" i="38"/>
  <c r="A342" i="38"/>
  <c r="C341" i="38"/>
  <c r="B341" i="38"/>
  <c r="A341" i="38"/>
  <c r="C340" i="38"/>
  <c r="B340" i="38"/>
  <c r="A340" i="38"/>
  <c r="C339" i="38"/>
  <c r="B339" i="38"/>
  <c r="A339" i="38"/>
  <c r="C338" i="38"/>
  <c r="B338" i="38"/>
  <c r="A338" i="38"/>
  <c r="C337" i="38"/>
  <c r="B337" i="38"/>
  <c r="A337" i="38"/>
  <c r="C336" i="38"/>
  <c r="B336" i="38"/>
  <c r="A336" i="38"/>
  <c r="C335" i="38"/>
  <c r="B335" i="38"/>
  <c r="A335" i="38"/>
  <c r="C334" i="38"/>
  <c r="B334" i="38"/>
  <c r="A334" i="38"/>
  <c r="C333" i="38"/>
  <c r="B333" i="38"/>
  <c r="A333" i="38"/>
  <c r="C332" i="38"/>
  <c r="B332" i="38"/>
  <c r="A332" i="38"/>
  <c r="C331" i="38"/>
  <c r="B331" i="38"/>
  <c r="A331" i="38"/>
  <c r="C330" i="38"/>
  <c r="B330" i="38"/>
  <c r="A330" i="38"/>
  <c r="C329" i="38"/>
  <c r="B329" i="38"/>
  <c r="A329" i="38"/>
  <c r="C328" i="38"/>
  <c r="B328" i="38"/>
  <c r="A328" i="38"/>
  <c r="C327" i="38"/>
  <c r="B327" i="38"/>
  <c r="A327" i="38"/>
  <c r="C326" i="38"/>
  <c r="B326" i="38"/>
  <c r="A326" i="38"/>
  <c r="C325" i="38"/>
  <c r="B325" i="38"/>
  <c r="A325" i="38"/>
  <c r="C324" i="38"/>
  <c r="B324" i="38"/>
  <c r="A324" i="38"/>
  <c r="C323" i="38"/>
  <c r="B323" i="38"/>
  <c r="A323" i="38"/>
  <c r="C322" i="38"/>
  <c r="B322" i="38"/>
  <c r="A322" i="38"/>
  <c r="C321" i="38"/>
  <c r="B321" i="38"/>
  <c r="A321" i="38"/>
  <c r="C320" i="38"/>
  <c r="B320" i="38"/>
  <c r="A320" i="38"/>
  <c r="C319" i="38"/>
  <c r="B319" i="38"/>
  <c r="A319" i="38"/>
  <c r="C318" i="38"/>
  <c r="B318" i="38"/>
  <c r="A318" i="38"/>
  <c r="C317" i="38"/>
  <c r="B317" i="38"/>
  <c r="A317" i="38"/>
  <c r="C316" i="38"/>
  <c r="B316" i="38"/>
  <c r="A316" i="38"/>
  <c r="C315" i="38"/>
  <c r="B315" i="38"/>
  <c r="A315" i="38"/>
  <c r="C314" i="38"/>
  <c r="B314" i="38"/>
  <c r="A314" i="38"/>
  <c r="C313" i="38"/>
  <c r="B313" i="38"/>
  <c r="A313" i="38"/>
  <c r="C312" i="38"/>
  <c r="B312" i="38"/>
  <c r="A312" i="38"/>
  <c r="C311" i="38"/>
  <c r="B311" i="38"/>
  <c r="A311" i="38"/>
  <c r="C310" i="38"/>
  <c r="B310" i="38"/>
  <c r="A310" i="38"/>
  <c r="C309" i="38"/>
  <c r="B309" i="38"/>
  <c r="A309" i="38"/>
  <c r="C308" i="38"/>
  <c r="B308" i="38"/>
  <c r="A308" i="38"/>
  <c r="C307" i="38"/>
  <c r="B307" i="38"/>
  <c r="A307" i="38"/>
  <c r="C306" i="38"/>
  <c r="B306" i="38"/>
  <c r="A306" i="38"/>
  <c r="C305" i="38"/>
  <c r="B305" i="38"/>
  <c r="A305" i="38"/>
  <c r="C304" i="38"/>
  <c r="B304" i="38"/>
  <c r="A304" i="38"/>
  <c r="C303" i="38"/>
  <c r="B303" i="38"/>
  <c r="A303" i="38"/>
  <c r="C302" i="38"/>
  <c r="B302" i="38"/>
  <c r="A302" i="38"/>
  <c r="C301" i="38"/>
  <c r="B301" i="38"/>
  <c r="A301" i="38"/>
  <c r="C300" i="38"/>
  <c r="B300" i="38"/>
  <c r="A300" i="38"/>
  <c r="C299" i="38"/>
  <c r="B299" i="38"/>
  <c r="A299" i="38"/>
  <c r="C298" i="38"/>
  <c r="B298" i="38"/>
  <c r="A298" i="38"/>
  <c r="C297" i="38"/>
  <c r="B297" i="38"/>
  <c r="A297" i="38"/>
  <c r="C296" i="38"/>
  <c r="B296" i="38"/>
  <c r="A296" i="38"/>
  <c r="C295" i="38"/>
  <c r="B295" i="38"/>
  <c r="A295" i="38"/>
  <c r="C294" i="38"/>
  <c r="B294" i="38"/>
  <c r="A294" i="38"/>
  <c r="C293" i="38"/>
  <c r="B293" i="38"/>
  <c r="A293" i="38"/>
  <c r="C292" i="38"/>
  <c r="B292" i="38"/>
  <c r="A292" i="38"/>
  <c r="C291" i="38"/>
  <c r="B291" i="38"/>
  <c r="A291" i="38"/>
  <c r="C290" i="38"/>
  <c r="B290" i="38"/>
  <c r="A290" i="38"/>
  <c r="C289" i="38"/>
  <c r="B289" i="38"/>
  <c r="A289" i="38"/>
  <c r="C288" i="38"/>
  <c r="B288" i="38"/>
  <c r="A288" i="38"/>
  <c r="C287" i="38"/>
  <c r="B287" i="38"/>
  <c r="A287" i="38"/>
  <c r="C286" i="38"/>
  <c r="B286" i="38"/>
  <c r="A286" i="38"/>
  <c r="C285" i="38"/>
  <c r="B285" i="38"/>
  <c r="A285" i="38"/>
  <c r="C284" i="38"/>
  <c r="B284" i="38"/>
  <c r="A284" i="38"/>
  <c r="C283" i="38"/>
  <c r="B283" i="38"/>
  <c r="A283" i="38"/>
  <c r="C282" i="38"/>
  <c r="B282" i="38"/>
  <c r="A282" i="38"/>
  <c r="C281" i="38"/>
  <c r="B281" i="38"/>
  <c r="A281" i="38"/>
  <c r="C280" i="38"/>
  <c r="B280" i="38"/>
  <c r="A280" i="38"/>
  <c r="C279" i="38"/>
  <c r="B279" i="38"/>
  <c r="A279" i="38"/>
  <c r="C278" i="38"/>
  <c r="B278" i="38"/>
  <c r="A278" i="38"/>
  <c r="C277" i="38"/>
  <c r="B277" i="38"/>
  <c r="A277" i="38"/>
  <c r="C276" i="38"/>
  <c r="B276" i="38"/>
  <c r="A276" i="38"/>
  <c r="C275" i="38"/>
  <c r="B275" i="38"/>
  <c r="A275" i="38"/>
  <c r="C274" i="38"/>
  <c r="B274" i="38"/>
  <c r="A274" i="38"/>
  <c r="C273" i="38"/>
  <c r="B273" i="38"/>
  <c r="A273" i="38"/>
  <c r="C272" i="38"/>
  <c r="B272" i="38"/>
  <c r="A272" i="38"/>
  <c r="C271" i="38"/>
  <c r="B271" i="38"/>
  <c r="A271" i="38"/>
  <c r="C270" i="38"/>
  <c r="B270" i="38"/>
  <c r="A270" i="38"/>
  <c r="C269" i="38"/>
  <c r="B269" i="38"/>
  <c r="A269" i="38"/>
  <c r="C268" i="38"/>
  <c r="B268" i="38"/>
  <c r="A268" i="38"/>
  <c r="C267" i="38"/>
  <c r="B267" i="38"/>
  <c r="A267" i="38"/>
  <c r="C266" i="38"/>
  <c r="B266" i="38"/>
  <c r="A266" i="38"/>
  <c r="C265" i="38"/>
  <c r="B265" i="38"/>
  <c r="A265" i="38"/>
  <c r="C264" i="38"/>
  <c r="B264" i="38"/>
  <c r="A264" i="38"/>
  <c r="C263" i="38"/>
  <c r="B263" i="38"/>
  <c r="A263" i="38"/>
  <c r="C262" i="38"/>
  <c r="B262" i="38"/>
  <c r="A262" i="38"/>
  <c r="C261" i="38"/>
  <c r="B261" i="38"/>
  <c r="A261" i="38"/>
  <c r="C260" i="38"/>
  <c r="B260" i="38"/>
  <c r="A260" i="38"/>
  <c r="C259" i="38"/>
  <c r="B259" i="38"/>
  <c r="A259" i="38"/>
  <c r="C258" i="38"/>
  <c r="B258" i="38"/>
  <c r="A258" i="38"/>
  <c r="C257" i="38"/>
  <c r="B257" i="38"/>
  <c r="A257" i="38"/>
  <c r="C256" i="38"/>
  <c r="B256" i="38"/>
  <c r="A256" i="38"/>
  <c r="C255" i="38"/>
  <c r="B255" i="38"/>
  <c r="A255" i="38"/>
  <c r="C254" i="38"/>
  <c r="B254" i="38"/>
  <c r="A254" i="38"/>
  <c r="C253" i="38"/>
  <c r="B253" i="38"/>
  <c r="A253" i="38"/>
  <c r="C252" i="38"/>
  <c r="B252" i="38"/>
  <c r="A252" i="38"/>
  <c r="C251" i="38"/>
  <c r="B251" i="38"/>
  <c r="A251" i="38"/>
  <c r="C250" i="38"/>
  <c r="B250" i="38"/>
  <c r="A250" i="38"/>
  <c r="C249" i="38"/>
  <c r="B249" i="38"/>
  <c r="A249" i="38"/>
  <c r="C248" i="38"/>
  <c r="B248" i="38"/>
  <c r="A248" i="38"/>
  <c r="C247" i="38"/>
  <c r="B247" i="38"/>
  <c r="A247" i="38"/>
  <c r="C246" i="38"/>
  <c r="B246" i="38"/>
  <c r="A246" i="38"/>
  <c r="C245" i="38"/>
  <c r="B245" i="38"/>
  <c r="A245" i="38"/>
  <c r="C244" i="38"/>
  <c r="B244" i="38"/>
  <c r="A244" i="38"/>
  <c r="C243" i="38"/>
  <c r="B243" i="38"/>
  <c r="A243" i="38"/>
  <c r="C242" i="38"/>
  <c r="B242" i="38"/>
  <c r="A242" i="38"/>
  <c r="C241" i="38"/>
  <c r="B241" i="38"/>
  <c r="A241" i="38"/>
  <c r="C240" i="38"/>
  <c r="B240" i="38"/>
  <c r="A240" i="38"/>
  <c r="C239" i="38"/>
  <c r="B239" i="38"/>
  <c r="A239" i="38"/>
  <c r="C238" i="38"/>
  <c r="B238" i="38"/>
  <c r="A238" i="38"/>
  <c r="C237" i="38"/>
  <c r="B237" i="38"/>
  <c r="A237" i="38"/>
  <c r="C236" i="38"/>
  <c r="B236" i="38"/>
  <c r="A236" i="38"/>
  <c r="C235" i="38"/>
  <c r="B235" i="38"/>
  <c r="A235" i="38"/>
  <c r="C234" i="38"/>
  <c r="B234" i="38"/>
  <c r="A234" i="38"/>
  <c r="C233" i="38"/>
  <c r="B233" i="38"/>
  <c r="A233" i="38"/>
  <c r="C232" i="38"/>
  <c r="B232" i="38"/>
  <c r="A232" i="38"/>
  <c r="C231" i="38"/>
  <c r="B231" i="38"/>
  <c r="A231" i="38"/>
  <c r="C230" i="38"/>
  <c r="B230" i="38"/>
  <c r="A230" i="38"/>
  <c r="C229" i="38"/>
  <c r="B229" i="38"/>
  <c r="A229" i="38"/>
  <c r="C228" i="38"/>
  <c r="B228" i="38"/>
  <c r="A228" i="38"/>
  <c r="C227" i="38"/>
  <c r="B227" i="38"/>
  <c r="A227" i="38"/>
  <c r="C226" i="38"/>
  <c r="B226" i="38"/>
  <c r="A226" i="38"/>
  <c r="C225" i="38"/>
  <c r="B225" i="38"/>
  <c r="A225" i="38"/>
  <c r="C224" i="38"/>
  <c r="B224" i="38"/>
  <c r="A224" i="38"/>
  <c r="C223" i="38"/>
  <c r="B223" i="38"/>
  <c r="A223" i="38"/>
  <c r="C222" i="38"/>
  <c r="B222" i="38"/>
  <c r="A222" i="38"/>
  <c r="C221" i="38"/>
  <c r="B221" i="38"/>
  <c r="A221" i="38"/>
  <c r="C220" i="38"/>
  <c r="B220" i="38"/>
  <c r="A220" i="38"/>
  <c r="C219" i="38"/>
  <c r="B219" i="38"/>
  <c r="A219" i="38"/>
  <c r="C218" i="38"/>
  <c r="B218" i="38"/>
  <c r="A218" i="38"/>
  <c r="C217" i="38"/>
  <c r="B217" i="38"/>
  <c r="A217" i="38"/>
  <c r="C216" i="38"/>
  <c r="B216" i="38"/>
  <c r="A216" i="38"/>
  <c r="C215" i="38"/>
  <c r="B215" i="38"/>
  <c r="A215" i="38"/>
  <c r="C214" i="38"/>
  <c r="B214" i="38"/>
  <c r="A214" i="38"/>
  <c r="C213" i="38"/>
  <c r="B213" i="38"/>
  <c r="A213" i="38"/>
  <c r="C212" i="38"/>
  <c r="B212" i="38"/>
  <c r="A212" i="38"/>
  <c r="C211" i="38"/>
  <c r="B211" i="38"/>
  <c r="A211" i="38"/>
  <c r="C210" i="38"/>
  <c r="B210" i="38"/>
  <c r="A210" i="38"/>
  <c r="C209" i="38"/>
  <c r="B209" i="38"/>
  <c r="A209" i="38"/>
  <c r="C208" i="38"/>
  <c r="B208" i="38"/>
  <c r="A208" i="38"/>
  <c r="C207" i="38"/>
  <c r="B207" i="38"/>
  <c r="A207" i="38"/>
  <c r="C206" i="38"/>
  <c r="B206" i="38"/>
  <c r="A206" i="38"/>
  <c r="C205" i="38"/>
  <c r="B205" i="38"/>
  <c r="A205" i="38"/>
  <c r="C204" i="38"/>
  <c r="B204" i="38"/>
  <c r="A204" i="38"/>
  <c r="C203" i="38"/>
  <c r="B203" i="38"/>
  <c r="A203" i="38"/>
  <c r="C202" i="38"/>
  <c r="B202" i="38"/>
  <c r="A202" i="38"/>
  <c r="C201" i="38"/>
  <c r="B201" i="38"/>
  <c r="A201" i="38"/>
  <c r="C200" i="38"/>
  <c r="B200" i="38"/>
  <c r="A200" i="38"/>
  <c r="C199" i="38"/>
  <c r="B199" i="38"/>
  <c r="A199" i="38"/>
  <c r="C198" i="38"/>
  <c r="B198" i="38"/>
  <c r="A198" i="38"/>
  <c r="C197" i="38"/>
  <c r="B197" i="38"/>
  <c r="A197" i="38"/>
  <c r="C196" i="38"/>
  <c r="B196" i="38"/>
  <c r="A196" i="38"/>
  <c r="C195" i="38"/>
  <c r="B195" i="38"/>
  <c r="A195" i="38"/>
  <c r="C194" i="38"/>
  <c r="B194" i="38"/>
  <c r="A194" i="38"/>
  <c r="C193" i="38"/>
  <c r="B193" i="38"/>
  <c r="A193" i="38"/>
  <c r="C192" i="38"/>
  <c r="B192" i="38"/>
  <c r="A192" i="38"/>
  <c r="C191" i="38"/>
  <c r="B191" i="38"/>
  <c r="A191" i="38"/>
  <c r="C190" i="38"/>
  <c r="B190" i="38"/>
  <c r="A190" i="38"/>
  <c r="C189" i="38"/>
  <c r="B189" i="38"/>
  <c r="A189" i="38"/>
  <c r="C188" i="38"/>
  <c r="B188" i="38"/>
  <c r="A188" i="38"/>
  <c r="C187" i="38"/>
  <c r="B187" i="38"/>
  <c r="A187" i="38"/>
  <c r="C186" i="38"/>
  <c r="B186" i="38"/>
  <c r="A186" i="38"/>
  <c r="C185" i="38"/>
  <c r="B185" i="38"/>
  <c r="A185" i="38"/>
  <c r="C184" i="38"/>
  <c r="B184" i="38"/>
  <c r="A184" i="38"/>
  <c r="C183" i="38"/>
  <c r="B183" i="38"/>
  <c r="A183" i="38"/>
  <c r="C182" i="38"/>
  <c r="B182" i="38"/>
  <c r="A182" i="38"/>
  <c r="C181" i="38"/>
  <c r="B181" i="38"/>
  <c r="A181" i="38"/>
  <c r="C180" i="38"/>
  <c r="B180" i="38"/>
  <c r="A180" i="38"/>
  <c r="C179" i="38"/>
  <c r="B179" i="38"/>
  <c r="A179" i="38"/>
  <c r="C178" i="38"/>
  <c r="B178" i="38"/>
  <c r="A178" i="38"/>
  <c r="C177" i="38"/>
  <c r="B177" i="38"/>
  <c r="A177" i="38"/>
  <c r="C176" i="38"/>
  <c r="B176" i="38"/>
  <c r="A176" i="38"/>
  <c r="C175" i="38"/>
  <c r="B175" i="38"/>
  <c r="A175" i="38"/>
  <c r="C174" i="38"/>
  <c r="B174" i="38"/>
  <c r="A174" i="38"/>
  <c r="C173" i="38"/>
  <c r="B173" i="38"/>
  <c r="A173" i="38"/>
  <c r="C172" i="38"/>
  <c r="B172" i="38"/>
  <c r="A172" i="38"/>
  <c r="C171" i="38"/>
  <c r="B171" i="38"/>
  <c r="A171" i="38"/>
  <c r="C170" i="38"/>
  <c r="B170" i="38"/>
  <c r="A170" i="38"/>
  <c r="C169" i="38"/>
  <c r="B169" i="38"/>
  <c r="A169" i="38"/>
  <c r="C168" i="38"/>
  <c r="B168" i="38"/>
  <c r="A168" i="38"/>
  <c r="C167" i="38"/>
  <c r="B167" i="38"/>
  <c r="A167" i="38"/>
  <c r="C166" i="38"/>
  <c r="B166" i="38"/>
  <c r="A166" i="38"/>
  <c r="C165" i="38"/>
  <c r="B165" i="38"/>
  <c r="A165" i="38"/>
  <c r="C164" i="38"/>
  <c r="B164" i="38"/>
  <c r="A164" i="38"/>
  <c r="C163" i="38"/>
  <c r="B163" i="38"/>
  <c r="A163" i="38"/>
  <c r="C162" i="38"/>
  <c r="B162" i="38"/>
  <c r="A162" i="38"/>
  <c r="C161" i="38"/>
  <c r="B161" i="38"/>
  <c r="A161" i="38"/>
  <c r="C160" i="38"/>
  <c r="B160" i="38"/>
  <c r="A160" i="38"/>
  <c r="C159" i="38"/>
  <c r="B159" i="38"/>
  <c r="A159" i="38"/>
  <c r="C158" i="38"/>
  <c r="B158" i="38"/>
  <c r="A158" i="38"/>
  <c r="C157" i="38"/>
  <c r="B157" i="38"/>
  <c r="A157" i="38"/>
  <c r="C156" i="38"/>
  <c r="B156" i="38"/>
  <c r="A156" i="38"/>
  <c r="C155" i="38"/>
  <c r="B155" i="38"/>
  <c r="A155" i="38"/>
  <c r="C154" i="38"/>
  <c r="B154" i="38"/>
  <c r="A154" i="38"/>
  <c r="C153" i="38"/>
  <c r="B153" i="38"/>
  <c r="A153" i="38"/>
  <c r="C152" i="38"/>
  <c r="B152" i="38"/>
  <c r="A152" i="38"/>
  <c r="C151" i="38"/>
  <c r="B151" i="38"/>
  <c r="A151" i="38"/>
  <c r="C150" i="38"/>
  <c r="B150" i="38"/>
  <c r="A150" i="38"/>
  <c r="C149" i="38"/>
  <c r="B149" i="38"/>
  <c r="A149" i="38"/>
  <c r="C148" i="38"/>
  <c r="B148" i="38"/>
  <c r="A148" i="38"/>
  <c r="C147" i="38"/>
  <c r="B147" i="38"/>
  <c r="A147" i="38"/>
  <c r="C146" i="38"/>
  <c r="B146" i="38"/>
  <c r="A146" i="38"/>
  <c r="C145" i="38"/>
  <c r="B145" i="38"/>
  <c r="A145" i="38"/>
  <c r="C144" i="38"/>
  <c r="B144" i="38"/>
  <c r="A144" i="38"/>
  <c r="C143" i="38"/>
  <c r="B143" i="38"/>
  <c r="A143" i="38"/>
  <c r="C142" i="38"/>
  <c r="B142" i="38"/>
  <c r="A142" i="38"/>
  <c r="C141" i="38"/>
  <c r="B141" i="38"/>
  <c r="A141" i="38"/>
  <c r="C140" i="38"/>
  <c r="B140" i="38"/>
  <c r="A140" i="38"/>
  <c r="C139" i="38"/>
  <c r="B139" i="38"/>
  <c r="A139" i="38"/>
  <c r="C138" i="38"/>
  <c r="B138" i="38"/>
  <c r="A138" i="38"/>
  <c r="C137" i="38"/>
  <c r="B137" i="38"/>
  <c r="A137" i="38"/>
  <c r="C136" i="38"/>
  <c r="B136" i="38"/>
  <c r="A136" i="38"/>
  <c r="C135" i="38"/>
  <c r="B135" i="38"/>
  <c r="A135" i="38"/>
  <c r="C134" i="38"/>
  <c r="B134" i="38"/>
  <c r="A134" i="38"/>
  <c r="C133" i="38"/>
  <c r="B133" i="38"/>
  <c r="A133" i="38"/>
  <c r="C132" i="38"/>
  <c r="B132" i="38"/>
  <c r="A132" i="38"/>
  <c r="C131" i="38"/>
  <c r="B131" i="38"/>
  <c r="A131" i="38"/>
  <c r="C130" i="38"/>
  <c r="B130" i="38"/>
  <c r="A130" i="38"/>
  <c r="C129" i="38"/>
  <c r="B129" i="38"/>
  <c r="A129" i="38"/>
  <c r="C128" i="38"/>
  <c r="B128" i="38"/>
  <c r="A128" i="38"/>
  <c r="C127" i="38"/>
  <c r="B127" i="38"/>
  <c r="A127" i="38"/>
  <c r="C126" i="38"/>
  <c r="B126" i="38"/>
  <c r="A126" i="38"/>
  <c r="C125" i="38"/>
  <c r="B125" i="38"/>
  <c r="A125" i="38"/>
  <c r="C124" i="38"/>
  <c r="B124" i="38"/>
  <c r="A124" i="38"/>
  <c r="C123" i="38"/>
  <c r="B123" i="38"/>
  <c r="A123" i="38"/>
  <c r="C122" i="38"/>
  <c r="B122" i="38"/>
  <c r="A122" i="38"/>
  <c r="C121" i="38"/>
  <c r="B121" i="38"/>
  <c r="A121" i="38"/>
  <c r="C120" i="38"/>
  <c r="B120" i="38"/>
  <c r="A120" i="38"/>
  <c r="C119" i="38"/>
  <c r="B119" i="38"/>
  <c r="A119" i="38"/>
  <c r="C118" i="38"/>
  <c r="B118" i="38"/>
  <c r="A118" i="38"/>
  <c r="C117" i="38"/>
  <c r="B117" i="38"/>
  <c r="A117" i="38"/>
  <c r="C116" i="38"/>
  <c r="B116" i="38"/>
  <c r="A116" i="38"/>
  <c r="C115" i="38"/>
  <c r="B115" i="38"/>
  <c r="A115" i="38"/>
  <c r="C114" i="38"/>
  <c r="B114" i="38"/>
  <c r="A114" i="38"/>
  <c r="C113" i="38"/>
  <c r="B113" i="38"/>
  <c r="A113" i="38"/>
  <c r="C112" i="38"/>
  <c r="B112" i="38"/>
  <c r="A112" i="38"/>
  <c r="C111" i="38"/>
  <c r="B111" i="38"/>
  <c r="A111" i="38"/>
  <c r="C110" i="38"/>
  <c r="B110" i="38"/>
  <c r="A110" i="38"/>
  <c r="C109" i="38"/>
  <c r="B109" i="38"/>
  <c r="A109" i="38"/>
  <c r="C108" i="38"/>
  <c r="B108" i="38"/>
  <c r="A108" i="38"/>
  <c r="C107" i="38"/>
  <c r="B107" i="38"/>
  <c r="A107" i="38"/>
  <c r="C106" i="38"/>
  <c r="B106" i="38"/>
  <c r="A106" i="38"/>
  <c r="C105" i="38"/>
  <c r="B105" i="38"/>
  <c r="A105" i="38"/>
  <c r="C104" i="38"/>
  <c r="B104" i="38"/>
  <c r="A104" i="38"/>
  <c r="C103" i="38"/>
  <c r="B103" i="38"/>
  <c r="A103" i="38"/>
  <c r="C102" i="38"/>
  <c r="B102" i="38"/>
  <c r="A102" i="38"/>
  <c r="C101" i="38"/>
  <c r="B101" i="38"/>
  <c r="A101" i="38"/>
  <c r="C100" i="38"/>
  <c r="B100" i="38"/>
  <c r="A100" i="38"/>
  <c r="C99" i="38"/>
  <c r="B99" i="38"/>
  <c r="A99" i="38"/>
  <c r="C98" i="38"/>
  <c r="B98" i="38"/>
  <c r="A98" i="38"/>
  <c r="C97" i="38"/>
  <c r="B97" i="38"/>
  <c r="A97" i="38"/>
  <c r="C96" i="38"/>
  <c r="B96" i="38"/>
  <c r="A96" i="38"/>
  <c r="C95" i="38"/>
  <c r="B95" i="38"/>
  <c r="A95" i="38"/>
  <c r="C94" i="38"/>
  <c r="B94" i="38"/>
  <c r="A94" i="38"/>
  <c r="C93" i="38"/>
  <c r="B93" i="38"/>
  <c r="A93" i="38"/>
  <c r="C92" i="38"/>
  <c r="B92" i="38"/>
  <c r="A92" i="38"/>
  <c r="C91" i="38"/>
  <c r="B91" i="38"/>
  <c r="A91" i="38"/>
  <c r="C90" i="38"/>
  <c r="B90" i="38"/>
  <c r="A90" i="38"/>
  <c r="C89" i="38"/>
  <c r="B89" i="38"/>
  <c r="A89" i="38"/>
  <c r="C88" i="38"/>
  <c r="B88" i="38"/>
  <c r="A88" i="38"/>
  <c r="C87" i="38"/>
  <c r="B87" i="38"/>
  <c r="A87" i="38"/>
  <c r="C86" i="38"/>
  <c r="B86" i="38"/>
  <c r="A86" i="38"/>
  <c r="C85" i="38"/>
  <c r="B85" i="38"/>
  <c r="A85" i="38"/>
  <c r="C84" i="38"/>
  <c r="B84" i="38"/>
  <c r="A84" i="38"/>
  <c r="C83" i="38"/>
  <c r="B83" i="38"/>
  <c r="A83" i="38"/>
  <c r="C82" i="38"/>
  <c r="B82" i="38"/>
  <c r="A82" i="38"/>
  <c r="C81" i="38"/>
  <c r="B81" i="38"/>
  <c r="A81" i="38"/>
  <c r="C80" i="38"/>
  <c r="B80" i="38"/>
  <c r="A80" i="38"/>
  <c r="C79" i="38"/>
  <c r="B79" i="38"/>
  <c r="A79" i="38"/>
  <c r="C78" i="38"/>
  <c r="B78" i="38"/>
  <c r="A78" i="38"/>
  <c r="C77" i="38"/>
  <c r="B77" i="38"/>
  <c r="A77" i="38"/>
  <c r="C76" i="38"/>
  <c r="B76" i="38"/>
  <c r="A76" i="38"/>
  <c r="C75" i="38"/>
  <c r="B75" i="38"/>
  <c r="A75" i="38"/>
  <c r="C74" i="38"/>
  <c r="B74" i="38"/>
  <c r="A74" i="38"/>
  <c r="C73" i="38"/>
  <c r="B73" i="38"/>
  <c r="A73" i="38"/>
  <c r="C72" i="38"/>
  <c r="B72" i="38"/>
  <c r="A72" i="38"/>
  <c r="C71" i="38"/>
  <c r="B71" i="38"/>
  <c r="A71" i="38"/>
  <c r="C70" i="38"/>
  <c r="B70" i="38"/>
  <c r="A70" i="38"/>
  <c r="C69" i="38"/>
  <c r="B69" i="38"/>
  <c r="A69" i="38"/>
  <c r="C68" i="38"/>
  <c r="B68" i="38"/>
  <c r="A68" i="38"/>
  <c r="C67" i="38"/>
  <c r="B67" i="38"/>
  <c r="A67" i="38"/>
  <c r="C66" i="38"/>
  <c r="B66" i="38"/>
  <c r="A66" i="38"/>
  <c r="C65" i="38"/>
  <c r="B65" i="38"/>
  <c r="A65" i="38"/>
  <c r="C64" i="38"/>
  <c r="B64" i="38"/>
  <c r="A64" i="38"/>
  <c r="C63" i="38"/>
  <c r="B63" i="38"/>
  <c r="A63" i="38"/>
  <c r="C62" i="38"/>
  <c r="B62" i="38"/>
  <c r="A62" i="38"/>
  <c r="C61" i="38"/>
  <c r="B61" i="38"/>
  <c r="A61" i="38"/>
  <c r="C60" i="38"/>
  <c r="B60" i="38"/>
  <c r="A60" i="38"/>
  <c r="C59" i="38"/>
  <c r="B59" i="38"/>
  <c r="A59" i="38"/>
  <c r="C58" i="38"/>
  <c r="B58" i="38"/>
  <c r="A58" i="38"/>
  <c r="C57" i="38"/>
  <c r="B57" i="38"/>
  <c r="A57" i="38"/>
  <c r="C56" i="38"/>
  <c r="B56" i="38"/>
  <c r="A56" i="38"/>
  <c r="C55" i="38"/>
  <c r="B55" i="38"/>
  <c r="A55" i="38"/>
  <c r="C54" i="38"/>
  <c r="B54" i="38"/>
  <c r="A54" i="38"/>
  <c r="C53" i="38"/>
  <c r="B53" i="38"/>
  <c r="A53" i="38"/>
  <c r="C52" i="38"/>
  <c r="B52" i="38"/>
  <c r="A52" i="38"/>
  <c r="C51" i="38"/>
  <c r="B51" i="38"/>
  <c r="A51" i="38"/>
  <c r="C50" i="38"/>
  <c r="B50" i="38"/>
  <c r="A50" i="38"/>
  <c r="C49" i="38"/>
  <c r="B49" i="38"/>
  <c r="A49" i="38"/>
  <c r="C48" i="38"/>
  <c r="B48" i="38"/>
  <c r="A48" i="38"/>
  <c r="C47" i="38"/>
  <c r="B47" i="38"/>
  <c r="A47" i="38"/>
  <c r="C46" i="38"/>
  <c r="B46" i="38"/>
  <c r="A46" i="38"/>
  <c r="C45" i="38"/>
  <c r="B45" i="38"/>
  <c r="A45" i="38"/>
  <c r="C44" i="38"/>
  <c r="B44" i="38"/>
  <c r="A44" i="38"/>
  <c r="C43" i="38"/>
  <c r="B43" i="38"/>
  <c r="A43" i="38"/>
  <c r="C42" i="38"/>
  <c r="B42" i="38"/>
  <c r="A42" i="38"/>
  <c r="C41" i="38"/>
  <c r="B41" i="38"/>
  <c r="A41" i="38"/>
  <c r="C40" i="38"/>
  <c r="B40" i="38"/>
  <c r="A40" i="38"/>
  <c r="C39" i="38"/>
  <c r="B39" i="38"/>
  <c r="A39" i="38"/>
  <c r="C38" i="38"/>
  <c r="B38" i="38"/>
  <c r="A38" i="38"/>
  <c r="C37" i="38"/>
  <c r="B37" i="38"/>
  <c r="A37" i="38"/>
  <c r="C36" i="38"/>
  <c r="B36" i="38"/>
  <c r="A36" i="38"/>
  <c r="C35" i="38"/>
  <c r="B35" i="38"/>
  <c r="A35" i="38"/>
  <c r="C34" i="38"/>
  <c r="B34" i="38"/>
  <c r="A34" i="38"/>
  <c r="C33" i="38"/>
  <c r="B33" i="38"/>
  <c r="A33" i="38"/>
  <c r="C32" i="38"/>
  <c r="B32" i="38"/>
  <c r="A32" i="38"/>
  <c r="C31" i="38"/>
  <c r="B31" i="38"/>
  <c r="A31" i="38"/>
  <c r="C30" i="38"/>
  <c r="B30" i="38"/>
  <c r="A30" i="38"/>
  <c r="C29" i="38"/>
  <c r="B29" i="38"/>
  <c r="A29" i="38"/>
  <c r="C28" i="38"/>
  <c r="B28" i="38"/>
  <c r="A28" i="38"/>
  <c r="C27" i="38"/>
  <c r="B27" i="38"/>
  <c r="A27" i="38"/>
  <c r="C26" i="38"/>
  <c r="B26" i="38"/>
  <c r="A26" i="38"/>
  <c r="C25" i="38"/>
  <c r="B25" i="38"/>
  <c r="A25" i="38"/>
  <c r="C24" i="38"/>
  <c r="B24" i="38"/>
  <c r="A24" i="38"/>
  <c r="C23" i="38"/>
  <c r="B23" i="38"/>
  <c r="A23" i="38"/>
  <c r="C22" i="38"/>
  <c r="B22" i="38"/>
  <c r="A22" i="38"/>
  <c r="C21" i="38"/>
  <c r="B21" i="38"/>
  <c r="A21" i="38"/>
  <c r="C20" i="38"/>
  <c r="B20" i="38"/>
  <c r="A20" i="38"/>
  <c r="C19" i="38"/>
  <c r="B19" i="38"/>
  <c r="A19" i="38"/>
  <c r="C18" i="38"/>
  <c r="B18" i="38"/>
  <c r="A18" i="38"/>
  <c r="C17" i="38"/>
  <c r="B17" i="38"/>
  <c r="A17" i="38"/>
  <c r="C16" i="38"/>
  <c r="B16" i="38"/>
  <c r="A16" i="38"/>
  <c r="C15" i="38"/>
  <c r="B15" i="38"/>
  <c r="A15" i="38"/>
  <c r="C14" i="38"/>
  <c r="B14" i="38"/>
  <c r="A14" i="38"/>
  <c r="C13" i="38"/>
  <c r="B13" i="38"/>
  <c r="A13" i="38"/>
  <c r="C12" i="38"/>
  <c r="B12" i="38"/>
  <c r="A12" i="38"/>
  <c r="C11" i="38"/>
  <c r="B11" i="38"/>
  <c r="A11" i="38"/>
  <c r="C10" i="38"/>
  <c r="B10" i="38"/>
  <c r="A10" i="38"/>
  <c r="C9" i="38"/>
  <c r="B9" i="38"/>
  <c r="A9" i="38"/>
  <c r="C8" i="38"/>
  <c r="B8" i="38"/>
  <c r="A8" i="38"/>
  <c r="C7" i="38"/>
  <c r="B7" i="38"/>
  <c r="A7" i="38"/>
  <c r="C6" i="38"/>
  <c r="B6" i="38"/>
  <c r="A6" i="38"/>
  <c r="C5" i="38"/>
  <c r="B5" i="38"/>
  <c r="A5" i="38"/>
  <c r="C4" i="38"/>
  <c r="B4" i="38"/>
  <c r="A4" i="38"/>
  <c r="C3" i="38"/>
  <c r="B3" i="38"/>
  <c r="A3" i="38"/>
  <c r="C2" i="38"/>
  <c r="B2" i="38"/>
  <c r="A2" i="38"/>
  <c r="C1" i="38"/>
  <c r="B1" i="38"/>
  <c r="A1" i="38"/>
  <c r="B23" i="30"/>
  <c r="B22" i="30"/>
  <c r="B21" i="30"/>
  <c r="B20" i="30"/>
  <c r="B19" i="30"/>
  <c r="B18" i="30"/>
  <c r="B17" i="30"/>
  <c r="B16" i="30"/>
  <c r="B15" i="30"/>
  <c r="B14" i="30"/>
  <c r="B13" i="30"/>
  <c r="B12" i="30"/>
  <c r="B11" i="30"/>
  <c r="B10" i="30"/>
  <c r="B9" i="30"/>
  <c r="B8" i="30"/>
  <c r="B7" i="30"/>
  <c r="B6" i="30"/>
  <c r="B5" i="30"/>
  <c r="B4" i="30"/>
  <c r="B3" i="30"/>
  <c r="B2" i="30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24" i="25"/>
  <c r="C23" i="25"/>
  <c r="C22" i="25"/>
  <c r="C21" i="25"/>
  <c r="C20" i="25"/>
  <c r="C18" i="25"/>
  <c r="C17" i="25"/>
  <c r="C16" i="25"/>
  <c r="C15" i="25"/>
  <c r="C14" i="25"/>
  <c r="C13" i="25"/>
  <c r="C12" i="25"/>
  <c r="C11" i="25"/>
  <c r="C10" i="25"/>
  <c r="C8" i="25"/>
  <c r="C7" i="25"/>
  <c r="C6" i="25"/>
  <c r="C5" i="25"/>
  <c r="C4" i="25"/>
  <c r="C3" i="25"/>
  <c r="C2" i="25"/>
  <c r="A1" i="25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B5" i="20"/>
  <c r="B4" i="20"/>
  <c r="B3" i="20"/>
  <c r="B2" i="20"/>
  <c r="G12" i="9"/>
  <c r="B16" i="8"/>
  <c r="B15" i="8"/>
  <c r="B14" i="8"/>
  <c r="B13" i="8"/>
  <c r="B12" i="8"/>
  <c r="B11" i="8"/>
  <c r="B10" i="8"/>
  <c r="B8" i="8"/>
  <c r="B7" i="8"/>
  <c r="B6" i="8"/>
  <c r="B5" i="8"/>
  <c r="B4" i="8"/>
  <c r="B3" i="8"/>
  <c r="B2" i="8"/>
  <c r="B50" i="7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5" i="6"/>
  <c r="B4" i="6"/>
  <c r="B2" i="6"/>
  <c r="B1" i="6"/>
  <c r="C107" i="4"/>
  <c r="C106" i="4"/>
  <c r="C105" i="4"/>
  <c r="C104" i="4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1D00-000001000000}">
      <text>
        <r>
          <rPr>
            <sz val="11"/>
            <color theme="1"/>
            <rFont val="Calibri"/>
            <family val="2"/>
            <charset val="204"/>
            <scheme val="minor"/>
          </rPr>
          <t>======
ID#AAAB21dYyWs
    (2026-03-17 11:58:59)
В основе кресла YAMA1 лежит эргономика, поэтому все ваше тело получает максимальную поддержку в самых необходимых местах. Стильное многосекционное оформление в стилистике футуристичной брони идеально дополняет передовые технологии и материалы, используемые при создании кресла. Спинка YAMA1 создана из прочного сетчатого материала, благодаря которому ваше тело всегда будет находиться в комфорте даже во время долгих игровых сессий.
    Эргономичный дизайн с максимальной поддержкой
    Стильное многосекционное оформление кресла
    Дышащий сетчатый материал обеспечивает максимальный комфорт
    Высокопрочная сетчатая ткань обеспечивает гибкость и долговечность использования
    Полностью регулируемая конструкция позволяет настроить кресло "под себя"
    Газлифт 4 класса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69vhbbLussuOMqvmz+x9x22XA3A=="/>
    </ext>
  </extLst>
</comments>
</file>

<file path=xl/sharedStrings.xml><?xml version="1.0" encoding="utf-8"?>
<sst xmlns="http://schemas.openxmlformats.org/spreadsheetml/2006/main" count="5509" uniqueCount="4082">
  <si>
    <t>CPU</t>
  </si>
  <si>
    <t>опт</t>
  </si>
  <si>
    <t>Intel-Core i3 - 9100, 4.2 GHz, 6MB, oem, LGA1151, Coffee Lake</t>
  </si>
  <si>
    <t>i3-9100</t>
  </si>
  <si>
    <t>Intel Core i3 - 10100F, 3.60Ghz, Oem,  LGA1200</t>
  </si>
  <si>
    <t>i3-10100F</t>
  </si>
  <si>
    <t>Intel-Core i3 - 12100F, 3.3 GHz, 12MB, oem, LGA1700, Alder Lake</t>
  </si>
  <si>
    <t>i3-12100F</t>
  </si>
  <si>
    <t>Intel-Core i3 - 12100, 3.3 GHz, 12MB, oem, LGA1700, Alder Lake</t>
  </si>
  <si>
    <t>i3-12100</t>
  </si>
  <si>
    <t>Intel-Core i3 - 13100, 3.4 GHz, 12MB, oem, LGA1700, Raptor Lake</t>
  </si>
  <si>
    <t>i3-13100</t>
  </si>
  <si>
    <t>Intel-Core i3 - 13100F, 3.4 GHz, 12MB, oem, LGA1700, Raptor Lake</t>
  </si>
  <si>
    <t>i3-13100F</t>
  </si>
  <si>
    <t>Intel-Core i3 - 14100F, 2.5 GHz, 12MB, oem, LGA1700, Raptor Lake</t>
  </si>
  <si>
    <t>i3-14100F</t>
  </si>
  <si>
    <t>Intel-Core i3 - 14100, 3.5 GHz, 12MB, oem, LGA1700, Raptor Lake</t>
  </si>
  <si>
    <t>i3-14100</t>
  </si>
  <si>
    <t>Intel-Core i5 - 12400F, 2.7 GHz, 18MB, oem, LGA1700, Alder Lake</t>
  </si>
  <si>
    <t>i5-12400F</t>
  </si>
  <si>
    <t>Intel-Core i5 - 12400, 2.7 GHz, 18MB, oem, LGA1700, Alder Lake</t>
  </si>
  <si>
    <t>i5-12400</t>
  </si>
  <si>
    <t>Intel-Core i5 - 13400F, 2.5 GHz, 20MB, oem, LGA1700, Raptor Lake</t>
  </si>
  <si>
    <t>i5-13400F</t>
  </si>
  <si>
    <t>Intel-Core i5 - 13400, 2.5 GHz, 20MB, oem, LGA1700, Raptor Lake</t>
  </si>
  <si>
    <t>i5-13400</t>
  </si>
  <si>
    <t>Intel-Core i5 - 13500, 2.5 GHz, 20MB, oem, LGA1700, Raptor Lake</t>
  </si>
  <si>
    <t>i5-13500</t>
  </si>
  <si>
    <t>Intel-Core i5 - 14400F, 2.5 GHz, 20MB, oem, LGA1700, Raptor Lake</t>
  </si>
  <si>
    <t>i5-14400F</t>
  </si>
  <si>
    <t>Intel-Core i5 - 14400, 2.5 GHz, 20MB, oem, LGA1700, Raptor Lake</t>
  </si>
  <si>
    <t>i5-14400</t>
  </si>
  <si>
    <t>Intel-Core i5 - 14600K, 3.5 GHz, 24MB, oem, LGA1700, Raptor Lake</t>
  </si>
  <si>
    <t>i5-14600K</t>
  </si>
  <si>
    <t>Intel-Core i5 - 14600KF, 3.5 GHz, 24MB, oem, LGA1700, Raptor Lake</t>
  </si>
  <si>
    <t>i5-14600KF</t>
  </si>
  <si>
    <t>Intel-Core i7 - 12700, 3.2 GHz, 25MB, oem, LGA1700, Alder Lake</t>
  </si>
  <si>
    <t>i7-12700</t>
  </si>
  <si>
    <t>Intel-Core i7 - 12700КF, 3.2 GHz, 25MB, oem, LGA1700, Alder Lake</t>
  </si>
  <si>
    <t>i7-12700KF</t>
  </si>
  <si>
    <t>Intel-Core i7 - 12700F, 3.2 GHz, 25MB, oem, LGA1700, Alder Lake</t>
  </si>
  <si>
    <t>i7-12700F</t>
  </si>
  <si>
    <t>Intel-Core i7 - 12700K, 3.6 GHz, 25MB, oem, LGA1700, Alder Lake</t>
  </si>
  <si>
    <t>i7-12700K</t>
  </si>
  <si>
    <t>Intel-Core i7 - 13700F, 2.1 GHz, 24MB, oem, LGA1700, Raptor Lake</t>
  </si>
  <si>
    <t>i7-13700F</t>
  </si>
  <si>
    <t>Intel-Core i7 - 13700, 2.1 GHz, 24MB, oem, LGA1700, Raptor Lake</t>
  </si>
  <si>
    <t>i7-13700</t>
  </si>
  <si>
    <t>Intel-Core i7 - 13700K, 2.5 GHz, 24MB, oem, LGA1700, Raptor Lake</t>
  </si>
  <si>
    <t>i7-13700K</t>
  </si>
  <si>
    <t>Intel-Core i7 - 13700KF, 2.1 GHz, 24MB, oem, LGA1700, Raptor Lake</t>
  </si>
  <si>
    <t>i7-13700KF</t>
  </si>
  <si>
    <t>Intel-Core i7 - 14700F, 3.4 GHz, 33MB, oem, LGA1700, Raptor Lake</t>
  </si>
  <si>
    <t>i7-14700F</t>
  </si>
  <si>
    <t>Intel-Core i7 - 14700, 3.4 GHz, 33MB, oem, LGA1700, Raptor Lake</t>
  </si>
  <si>
    <t>i7-14700</t>
  </si>
  <si>
    <t>Intel-Core i7 - 14700K, 3.4 GHz, 33MB, oem, LGA1700, Raptor Lake</t>
  </si>
  <si>
    <t>i7-14700K</t>
  </si>
  <si>
    <t>Intel-Core i7 - 14700KF, 3.4 GHz, 33MB, oem, LGA1700, Raptor Lake</t>
  </si>
  <si>
    <t>i7-14700KF</t>
  </si>
  <si>
    <t>Intel-Core i9 - 14900K, 3.2 GHz, 33MB, oem, LGA1700, Raptor Lake</t>
  </si>
  <si>
    <t>i9-14900K</t>
  </si>
  <si>
    <t>Intel-Core i9 - 14900KF, 3.2 GHz, 33MB, oem, LGA1700, Raptor Lake</t>
  </si>
  <si>
    <t>i9-14900KF</t>
  </si>
  <si>
    <t>Intel-Core Ultra 5-225F, 2.7 GHz, 24MB, BOX, LGA 1851, Arrow Lake</t>
  </si>
  <si>
    <t>5-225F</t>
  </si>
  <si>
    <t>Intel-Core Ultra 5-225, 2.7 GHz, 24MB, oem, LGA 1851, Arrow Lake</t>
  </si>
  <si>
    <t>5-225</t>
  </si>
  <si>
    <t>Intel-Core Ultra 5-245K, 5.2 GHz, 24MB, oem, LGA 1851, Arrow Lake</t>
  </si>
  <si>
    <t>5-245K</t>
  </si>
  <si>
    <t>Intel-Core Ultra 5-245KF, 5.2 GHz, 24MB, oem, LGA 1851, Arrow Lake</t>
  </si>
  <si>
    <t>5-245KF</t>
  </si>
  <si>
    <t>Intel-Core Ultra 7-265F, 5.5 GHz, 30MB, BOX, LGA 1851, Arrow Lake</t>
  </si>
  <si>
    <t>7-265F</t>
  </si>
  <si>
    <t>Intel-Core Ultra 7-265K, 5.5 GHz, 30MB, oem, LGA 1851, Arrow Lake</t>
  </si>
  <si>
    <t>7-265K</t>
  </si>
  <si>
    <t>Intel-Core Ultra 7-265KF, 5.5 GHz, 30MB, oem, LGA 1851, Arrow Lake</t>
  </si>
  <si>
    <t>7-265KF</t>
  </si>
  <si>
    <t>Intel-Core Ultra 9-285K, 5.7 GHz, 40MB, oem, LGA 1851, Arrow Lake</t>
  </si>
  <si>
    <t>9-285K</t>
  </si>
  <si>
    <t>AMD Ryzen™ 5 Cezanne 5500 - 3.6 GHz, 6 cores/12 threads, No GPU, AM4 (100-000000457), oem</t>
  </si>
  <si>
    <t>100-000000457</t>
  </si>
  <si>
    <t>AMD Ryzen™ 5 Granite Ridge 9600X - 3.9 Ghz, 6 cores/12 threads, GPU, AM5,  (100-000001405), oem</t>
  </si>
  <si>
    <t>100-000001405</t>
  </si>
  <si>
    <t>AMD Ryzen™ 5 Vermeer 5600 - 3.5 GHz, 6 cores/12 threads, No GPU, AM4 (100-000000927), oem</t>
  </si>
  <si>
    <t>100-000000927</t>
  </si>
  <si>
    <t>AMD Ryzen™ 5 Vermeer 5600X - 3.7 GHz, 6 cores/12 threads, No GPU, AM4 (100-000000065), oem</t>
  </si>
  <si>
    <t>100-000000065</t>
  </si>
  <si>
    <t>AMD Ryzen™ 7 Phoenix 8700G - 4.2 GHz, 8 cores/16 threads, GPU, AM5 (100-000001236), BOX</t>
  </si>
  <si>
    <t>100-000001236</t>
  </si>
  <si>
    <t>AMD Ryzen™ 5 Raphael 7500F - 3.7 GHz, 6 cores/12 threads, No GPU, AM5 (100-000000597), oem</t>
  </si>
  <si>
    <t>100-000000597</t>
  </si>
  <si>
    <t>AMD Ryzen™ 5 Raphael 7600X - 4.7 GHz, 6 cores/12 threads, GPU, AM5 (100-100000593), oem</t>
  </si>
  <si>
    <t>100-100000593</t>
  </si>
  <si>
    <t>AMD Ryzen™ 7 Raphael 7700X - 4.5 GHz, 8 cores/16 threads, GPU, AM5 (100-000000591), BOX</t>
  </si>
  <si>
    <t>100-000000591</t>
  </si>
  <si>
    <t>AMD Ryzen™ 7 Raphael 7800X3D - 4.2 GHz, 8 cores/16 threads, GPU, AM5 (100-000000910), oem</t>
  </si>
  <si>
    <t>100-000000910</t>
  </si>
  <si>
    <t>AMD Ryzen™ 7 Vermeer 5700X - 3.4 GHz, 8 cores/16 threads, No GPU, AM4 (100-000000926), oem</t>
  </si>
  <si>
    <t>100-000000926</t>
  </si>
  <si>
    <t>AMD Ryzen™ 7 Vermeer 5800X - 3.7 GHz, 8 Cores/16 Threads, No GPU, AM4 (100-000000063), oem</t>
  </si>
  <si>
    <t>100-000000063</t>
  </si>
  <si>
    <t>AMD Ryzen™ 7 Granite Ridge 9700X - 3.8 Ghz, 8 cores/16 threads, GPU, AM5, (100-000001404), oem</t>
  </si>
  <si>
    <t>100-000001404</t>
  </si>
  <si>
    <t>AMD Ryzen™ 7 Granite Ridge 9800X3D - 4.7 Ghz, 8 cores/16 threads, GPU, AM5, (100-000001084), oem</t>
  </si>
  <si>
    <t>100-000001084</t>
  </si>
  <si>
    <t>AMD Ryzen™ 7 Granite Ridge 9850X3D - 4.7 Ghz, 8 cores/16 threads, GPU, AM5, (100-000001973), oem</t>
  </si>
  <si>
    <t>100-000001973</t>
  </si>
  <si>
    <t>AMD Ryzen™ 9 Granite Ridge 9900X - 4.4 Ghz, 12 cores/24 threads, GPU, AM5, (100-000000662), oem</t>
  </si>
  <si>
    <t>100-000000662</t>
  </si>
  <si>
    <t>AMD Ryzen™ 9 Granite Ridge 9900X3D - 4.4 Ghz, 12 cores/24 threads, GPU, AM5, (100-000001368), oem</t>
  </si>
  <si>
    <t>100-000001368</t>
  </si>
  <si>
    <t>AMD Ryzen™ 9 Granite Ridge 9950X - 4.3 Ghz, 16 cores/32 threads, GPU, AM5, (100-000001277), oem</t>
  </si>
  <si>
    <t>100-000001277</t>
  </si>
  <si>
    <t>AMD Ryzen™ 9 Granite Ridge 9950X3D - 4.3 Ghz, 16 cores/32 threads, GPU, AM5, (100-000000719), oem</t>
  </si>
  <si>
    <t>100-000000719</t>
  </si>
  <si>
    <t>DDR</t>
  </si>
  <si>
    <t>Apacer DDR5 16GB 5600MHz</t>
  </si>
  <si>
    <t>Adata DDR5 16GB 5600MHz</t>
  </si>
  <si>
    <t>Adata DDR5 32GB 5600MHz</t>
  </si>
  <si>
    <t>Adata DDR5 16GB 5600MHz SODIMM</t>
  </si>
  <si>
    <t>Adata DDR5 32GB 5600MHz SODIMM</t>
  </si>
  <si>
    <t>ACER DDR4 16GB 3200MHz</t>
  </si>
  <si>
    <t>Dahua DDR4 8GB 3200MHz</t>
  </si>
  <si>
    <t>PNY DDR4 16GB 3200MHz</t>
  </si>
  <si>
    <t>TwinMOS DDR4 16GB 3200MHz</t>
  </si>
  <si>
    <t>Hiksemi DDR4 16GB 3200MHz</t>
  </si>
  <si>
    <t>Hiksemi DDR4 8GB 3200MHz SODIMM</t>
  </si>
  <si>
    <t>Hikvision DDR4 16GB 3200MHz SODIMM</t>
  </si>
  <si>
    <t>Patriot DDR4 16GB 3200MHz</t>
  </si>
  <si>
    <t>Patriot DDR5 16GB 6000MHz</t>
  </si>
  <si>
    <t>Samsung DDR5 16GB 6400MHz</t>
  </si>
  <si>
    <t>Kingston DDR4 16GB 3200MHz</t>
  </si>
  <si>
    <t>Kingston DDR4 16GB 3200MHz RGB</t>
  </si>
  <si>
    <t>Kingston DDR4 16GB 3200MHz (8*2) RGB</t>
  </si>
  <si>
    <t>Kingston DDR4 32GB 3600MHz RGB</t>
  </si>
  <si>
    <t>Kingston DDR5 16GB 5600MHz (KVR56U46BS8-16)</t>
  </si>
  <si>
    <t>KVR56U46BS8-16</t>
  </si>
  <si>
    <t>Kingston DDR5 32GB 5600MHz RGB</t>
  </si>
  <si>
    <t>Kingston DDR5 32GB 5600MHz (16*2) RGB</t>
  </si>
  <si>
    <t>Kingston DDR5 32GB 6000MHz RGB</t>
  </si>
  <si>
    <t>Kingston DDR5 32GB 6000MHz (16*2) RGB</t>
  </si>
  <si>
    <t>Kingston DDR5 64GB 6000MHz (32*2) RGB</t>
  </si>
  <si>
    <t>Kingston DDR5 16GB 5600MHz SODIMM</t>
  </si>
  <si>
    <t>Lexar DDR4 8GB 3200MHz</t>
  </si>
  <si>
    <t>Lexar DDR4 16GB 3200MHz</t>
  </si>
  <si>
    <t>Lexar DDR4 8GB 3200MHz SODIMM</t>
  </si>
  <si>
    <t>Lexar DDR4 16GB 3200MHz SODIMM</t>
  </si>
  <si>
    <t>Lexar DDR5 32GB 6000MHz (16*2) RGB</t>
  </si>
  <si>
    <t>Lexar DDR5 32GB 6400MHz (16*2) RGB</t>
  </si>
  <si>
    <t>Lexar DDR5 32GB 6800MHz (16*2) RGB</t>
  </si>
  <si>
    <t>Lexar DDR5 32GB 7600MHz (16*2) RGB</t>
  </si>
  <si>
    <t>Lexar DDR5 32GB 8000MHz (16*2) RGB</t>
  </si>
  <si>
    <t>Lexar DDR5 64GB 6000MHz (32*2) RGB</t>
  </si>
  <si>
    <t>Lexar DDR5 8GB 5600MHz SODIMM</t>
  </si>
  <si>
    <t>Lexar DDR4 32GB 3200MHz SODIMM</t>
  </si>
  <si>
    <t>Crucial DDR4 8GB 3200MHz</t>
  </si>
  <si>
    <t>Crucial DDR4 16GB 3200MHz</t>
  </si>
  <si>
    <t>Crucial DDR4 8GB 3200MHz SODIMM</t>
  </si>
  <si>
    <t>Crucial DDR4 16GB 3200MHz SODIMM</t>
  </si>
  <si>
    <t>Team DDR4 8GB 3200MHz</t>
  </si>
  <si>
    <t>Teamgroup DDR4 16GB 3600MHz (8*2) RGB</t>
  </si>
  <si>
    <t>Teamgroup DDR5 32GB 5600MHz (16*2) RGB</t>
  </si>
  <si>
    <t>Teamgroup DDR5 32GB 600MHz (16*2) RGB</t>
  </si>
  <si>
    <t>HDD</t>
  </si>
  <si>
    <t>HDD 1TB Toshiba Surveillance S300 HDWV110UZSVA 5700Rpm Original OEM</t>
  </si>
  <si>
    <t>HDD 2TB Toshiba Surveillance S300 HDWT720UZSVA 5400Rpm Original OEM</t>
  </si>
  <si>
    <t>HDD 4TB Toshiba Surveillance S300 HDWT840UZSVA 5400Rpm Original OEM</t>
  </si>
  <si>
    <t>HDD 6TB Toshiba Surveillance S300 HDWT860UZSVA 5400Rpm Original OEM</t>
  </si>
  <si>
    <t>HDD 8TB Toshiba Surveillance S300 HDWT380UZSVA 7200Rpm 256MB buffer Original OEM</t>
  </si>
  <si>
    <t>HDD 10TB Toshiba Surveillance S300 HDWT31AUZSVA 7200Rpm 256MB buffer Original</t>
  </si>
  <si>
    <t>Ext HDD Transcend 1TB StoreJet 25M3 2.5" (TS1TSJ25M3S)</t>
  </si>
  <si>
    <t>Ext HDD Transcend 2TB StoreJet 25M3 2.5" (TS2TSJ25M3S)</t>
  </si>
  <si>
    <t>TS2TSJ25M3S</t>
  </si>
  <si>
    <t>Ext HDD Transcend 4TB StoreJet 25M3 2.5" (TS4TSJ25M3S)</t>
  </si>
  <si>
    <t>TS4TSJ25M3S</t>
  </si>
  <si>
    <t>Ext SSD Transcend 512GB ESD310C USB 3.2 Type-C (TS512GESD310C)</t>
  </si>
  <si>
    <t>TS512GESD310C</t>
  </si>
  <si>
    <t>Ext SSD Transcend 500GB ESD380C USB 3.2 Type-C (TS500GESD380C)</t>
  </si>
  <si>
    <t>TS500GESD380C</t>
  </si>
  <si>
    <t>Ext SSD Transcend 1TB ESD310C USB 3.2 Type-C (TS1TESD310C)</t>
  </si>
  <si>
    <t>TS1TESD310C</t>
  </si>
  <si>
    <t>Ext SSD Transcend 1TB ESD360C USB 3.2 Type-C (TS1TESD360C)</t>
  </si>
  <si>
    <t>TS1TESD360C</t>
  </si>
  <si>
    <t>Ext SSD Transcend 2TB ESD300S USB 3.2 Type-C (TS2TESD300S)</t>
  </si>
  <si>
    <t>TS2TESD300S</t>
  </si>
  <si>
    <t>Ext SSD Transcend 2TB ESD360C USB (TS2TESD360C)</t>
  </si>
  <si>
    <t>TS2TESD360C</t>
  </si>
  <si>
    <t>Ext SSD Transcend 2TB ESD410C USB 3.2 Type-C (TS2TESD410C)</t>
  </si>
  <si>
    <t>TS2TESD410C</t>
  </si>
  <si>
    <t>Ext SSD Transcend 4TB ESD410C USB 3.2 Type-C (TS4TESD410C)</t>
  </si>
  <si>
    <t>TS4TESD410C</t>
  </si>
  <si>
    <t>Ext HDD Silicon 1TB Power Armor A85B 2.5" (SP010TBPHD85BS3K)</t>
  </si>
  <si>
    <t>SP010TBPHD85BS3K</t>
  </si>
  <si>
    <t>Ext HDD Silicon 2TB Power Armor A85B 2.5" (SP020TBPHD85BS3K)</t>
  </si>
  <si>
    <t>SP020TBPHD85BS3K</t>
  </si>
  <si>
    <t>Ext HDD Silicon 4TB Power Armor A85B 2.5" (SP040TBPHD85BS3K)</t>
  </si>
  <si>
    <t>SP040TBPHD85BS3K</t>
  </si>
  <si>
    <t>Ext HDD WD 2TB Elements USB</t>
  </si>
  <si>
    <t>Ext HDD WD 5TB Elements USB</t>
  </si>
  <si>
    <t>Ext HDD WD 5TB My Passport USB</t>
  </si>
  <si>
    <t>Ext HDD Toshiba 1TB Canvio Gaming USB</t>
  </si>
  <si>
    <t>Ext HDD Toshiba 2TB Canvio Basics USB</t>
  </si>
  <si>
    <t>Ext HDD Toshiba 4TB Canvio Basics USB</t>
  </si>
  <si>
    <t>Ext HDD Apacer 1TB AC236/AC237 USB 3.2 Gen 1</t>
  </si>
  <si>
    <t>Ext HDD Apacer 2TB AC236/AC237 USB 3.2 Gen 1</t>
  </si>
  <si>
    <t>Ext HDD Apacer 4TB AC236/AC237 USB 3.2 Gen 1</t>
  </si>
  <si>
    <t>Ext HDD Apacer 5TB AC236/AC237 USB 3.2 Gen 1</t>
  </si>
  <si>
    <t>Ext HDD Apacer 1TB AC533 USB 3.2 Gen 1</t>
  </si>
  <si>
    <t>Ext HDD Apacer 2TB AC533 USB 3.2 Gen 1</t>
  </si>
  <si>
    <t>SSD M.2 Kingston 1TB NVMe NV3</t>
  </si>
  <si>
    <t>Ext SSD M.2 1TB Kingston XS2000 (Portable)</t>
  </si>
  <si>
    <t>Ext SSD M.2 2TB Kingston XS1000 (Portable)</t>
  </si>
  <si>
    <t>Ext SSD M.2 2TB Kingston XS2000 (Portable)</t>
  </si>
  <si>
    <t>Ext SSD MSI 1TB DATAMAG 40Gbps (S78-440L3B0-P83)</t>
  </si>
  <si>
    <t>S78-440L3B0-P83</t>
  </si>
  <si>
    <t>Ext SSD MSI 2TB DATAMAG 40Gbps (S78-440Q0R0-P83)</t>
  </si>
  <si>
    <t>S78-440Q0R0-P83</t>
  </si>
  <si>
    <t>SSD AGI 512GB SATAIII 2.5"</t>
  </si>
  <si>
    <t>SSD M.2 AGI 256GB NVMe</t>
  </si>
  <si>
    <t>SSD M.2 AGI 512GB NVMe</t>
  </si>
  <si>
    <t>+</t>
  </si>
  <si>
    <t>SSD M.2 Hiksemi 256GB NVMe</t>
  </si>
  <si>
    <t>SSD M.2 Hiksemi 512GB NVMe</t>
  </si>
  <si>
    <t>SSD Adata 512GB SATAIII 2.5"</t>
  </si>
  <si>
    <t>SSD Adata 1TB SATAIII 2.5"</t>
  </si>
  <si>
    <t>SSD Hikvision 256GB SATAIII 2.5"</t>
  </si>
  <si>
    <t>SSD Apacer 128GB SATAIII 2.5"</t>
  </si>
  <si>
    <t>SSD M.2 Apacer 256GB NVMe</t>
  </si>
  <si>
    <t>SSD Adlink 512GB SATAIII 2.5"</t>
  </si>
  <si>
    <t>SSD M.2 Adlink 256GB NVMe</t>
  </si>
  <si>
    <t>SSD M.2 Adlink 512GB NVMe</t>
  </si>
  <si>
    <t>SSD OSCOO 512GB SATAIII 2.5"</t>
  </si>
  <si>
    <t>SSD M.2 Kingfast 256GB NVMe</t>
  </si>
  <si>
    <t>SSD Lexar 128GB SATA III</t>
  </si>
  <si>
    <t>SSD Lexar 256GB SATA III</t>
  </si>
  <si>
    <t>SSD M.2 Lexar 500GB NVMe LNM610</t>
  </si>
  <si>
    <t>SSD M.2 Lexar 512GB NVMe LNM620</t>
  </si>
  <si>
    <t>SSD M.2 Lexar 1TB NVMe NM610</t>
  </si>
  <si>
    <t>SSD M.2 Lexar 1TB NVMe NQ700</t>
  </si>
  <si>
    <t>SSD M.2 Lexar 1TB NVMe NQ780</t>
  </si>
  <si>
    <t>SSD M.2 Lexar 2TB NVMe LNM610</t>
  </si>
  <si>
    <t>SSD Netac 512GB SATA III</t>
  </si>
  <si>
    <t>SSD M.2 Netac 256GB NVMe</t>
  </si>
  <si>
    <t>SSD M.2 Netac 512GB NVMe</t>
  </si>
  <si>
    <t>SSD M.2 Netac 1TB NVMe</t>
  </si>
  <si>
    <t>SSD PNY 120GB SATA III</t>
  </si>
  <si>
    <t>SSD Patriot 256GB SATA III</t>
  </si>
  <si>
    <t>SSD Patriot 512GB SATA III</t>
  </si>
  <si>
    <t>SSD Patriot 1TB SATA III P210</t>
  </si>
  <si>
    <t>SSD M.2 Patriot 1TB NVMe P320</t>
  </si>
  <si>
    <t>SSD M.2 Gigabyte 512GB Gen3 NVMe (G3NVME512G)</t>
  </si>
  <si>
    <t>G3NVME512G</t>
  </si>
  <si>
    <t>SSD M.2 Gigabyte 500GB Gen4 400E NVMe (G440E500G)</t>
  </si>
  <si>
    <t>G440E500G</t>
  </si>
  <si>
    <t>SSD M.2 Gigabyte 500GB Gen4 2500E NVMe (G325E500G)</t>
  </si>
  <si>
    <t>G325E500G</t>
  </si>
  <si>
    <t>SSD M.2 Gigabyte 2000GB AORUS Gen5 14000 M.2 NVMe (AG514K2TB)</t>
  </si>
  <si>
    <t>AG514K2TB</t>
  </si>
  <si>
    <t>SSD MSI 240GB SPATIUM S270 SATA 2.5" (S78-440N070-P83)</t>
  </si>
  <si>
    <t>S78-440N070-P83</t>
  </si>
  <si>
    <t>SSD M.2 MSI 1000GB SPATIUM M470 PRO 6000MB/s NVMe (S78-440L0J0-P83)</t>
  </si>
  <si>
    <t>S78-440L0J0-P83</t>
  </si>
  <si>
    <t>SSD M.2 MSI 2000GB SPATIUM M461 4200MB/s NVMe (S78-440Q550-P83)</t>
  </si>
  <si>
    <t>S78-440Q550-P83</t>
  </si>
  <si>
    <t>SSD M.2 Samsung 1TB 990 PRO NVMe M.2</t>
  </si>
  <si>
    <t>MZ-V9P1T0B/AM</t>
  </si>
  <si>
    <t>SSD M.2 Samsung 1TB 9100 PRO NVMe M.2</t>
  </si>
  <si>
    <t>MZ-VAP1T0BW</t>
  </si>
  <si>
    <t>SSD M.2 Samsung 2TB 990 EVO Plus NVMe M.2 (MZ-V9S2T0B/AM)</t>
  </si>
  <si>
    <t>MZ-V9P2T0BW</t>
  </si>
  <si>
    <t>SSD M.2 Samsung 4TB 990 PRO with Heatsink PCIe 4.0 NVMe (MZ-V9P4T0BW)</t>
  </si>
  <si>
    <t>MotherBoard</t>
  </si>
  <si>
    <t>MB Maxsun Challenger H610M-H V1 DDR4</t>
  </si>
  <si>
    <t>MS-Challenger H610M-H V1</t>
  </si>
  <si>
    <t>MB Maxsun Challenger H610M-H V1 WIFI DDR4</t>
  </si>
  <si>
    <t>MS-Challenger H610M-H V1 WIFI</t>
  </si>
  <si>
    <t>MB Maxsun Challenger B760M-F DDR4</t>
  </si>
  <si>
    <t>MS-Challenger B760M-F D4</t>
  </si>
  <si>
    <t>MB Maxsun Challenger B760M-N D5 V2 DDR5</t>
  </si>
  <si>
    <t>MS-Challenger B760M-N D5 V2 D5</t>
  </si>
  <si>
    <t>MB Maxsun Challenger B760M-F WIFI DDR4</t>
  </si>
  <si>
    <t>MS-Challenger B760M-F WIFI D4</t>
  </si>
  <si>
    <t>MB Maxsun B760M GAMING WIFI GANK V2 DDR5</t>
  </si>
  <si>
    <t>MS-B760M Gaming WIFI GANK V2</t>
  </si>
  <si>
    <t>MB Maxsun Challenger B760M DDR4</t>
  </si>
  <si>
    <t>MS-Challenger B760M D4</t>
  </si>
  <si>
    <t>Можно ставить сore i9</t>
  </si>
  <si>
    <t>MB Maxsun Challenger B760M WIFI DDR4</t>
  </si>
  <si>
    <t>MS-Challenger B760M D4 WiFi</t>
  </si>
  <si>
    <t>MB Maxsun B760M I-CAFE DDR5</t>
  </si>
  <si>
    <t>MS-B760M I-CAFE D5</t>
  </si>
  <si>
    <t>MB Maxsun Terminator B760M D5 DDR5</t>
  </si>
  <si>
    <t>MS-Terminator B760M D5</t>
  </si>
  <si>
    <t>MB Maxsun AMD AM5 B650M I-CAFE DDR5</t>
  </si>
  <si>
    <t>MS-B650M I-CAFE</t>
  </si>
  <si>
    <t>MB Maxsun AMD AM5 eSport B650M WIFI6 ICE DDR5</t>
  </si>
  <si>
    <t>MS-eSport B650M WIFI6 ICE</t>
  </si>
  <si>
    <t>MB Maxsun AMD AM5 Challenger B850M-K WIFI DDR5</t>
  </si>
  <si>
    <t>MS-Challenger B850M-K WIFI</t>
  </si>
  <si>
    <t>MB Maxsun AMD AM5 B850M I-CAFE PRO DDR5</t>
  </si>
  <si>
    <t>MS-B850M I-CAFE PRO</t>
  </si>
  <si>
    <t>MB Maxsun AMD AM5 Terminator B850M PRO DARK WIFI DDR5</t>
  </si>
  <si>
    <t>MS-Terminator B850M PRO DARK WIFI</t>
  </si>
  <si>
    <t>MB MSI PRO H610M-S DDR4 LGA1700 (распродажа)</t>
  </si>
  <si>
    <t>911-7E44-013</t>
  </si>
  <si>
    <t>MB MSI PRO H610M-G DDR5 LGA1700 (можно подключить несколько мониторов)</t>
  </si>
  <si>
    <t>911-7D46-225</t>
  </si>
  <si>
    <t>MB MSI PRO H610M-E DDR5 LGA1700 (распродажа)</t>
  </si>
  <si>
    <t>911-7D48-019</t>
  </si>
  <si>
    <t>MB MSI PRO B760M-E DDR4 LGA1700 (распродажа)</t>
  </si>
  <si>
    <t>911-7D48-061</t>
  </si>
  <si>
    <t>MB MSI PRO B760M-E DDR5 LGA1700</t>
  </si>
  <si>
    <t>911-7D48-020</t>
  </si>
  <si>
    <t>MB MSI PRO B760M-P DDR4 LGA1700</t>
  </si>
  <si>
    <t>911-7E02-029</t>
  </si>
  <si>
    <t>MB MSI PRO B760M-P DDR5 LGA1700</t>
  </si>
  <si>
    <t>911-7E02-009</t>
  </si>
  <si>
    <t>MB MSI PRO B760M-A WIFI DDR5 LGA1700 (1 штук)</t>
  </si>
  <si>
    <t>911-7D99-012</t>
  </si>
  <si>
    <t xml:space="preserve">MB MSI B760M GAMING PLUS WIFI DDR5 LGA1700 </t>
  </si>
  <si>
    <t>911-7D99-060</t>
  </si>
  <si>
    <t xml:space="preserve">MB MSI B760 GAMING PLUS WIFI DDR5 LGA1700 </t>
  </si>
  <si>
    <t>911-7D98-051</t>
  </si>
  <si>
    <t>MB MSI B760M PROJECT ZERO DDR5 LGA1700 (5 штук)</t>
  </si>
  <si>
    <t>911-7E14-004</t>
  </si>
  <si>
    <t>MB MSI Z790 GAMING PLUS WIFI DDR5 LGA1700</t>
  </si>
  <si>
    <t>911-7E06-040</t>
  </si>
  <si>
    <t>MB MSI MAG Z790 TOMAHAWK WIFI DDR5 LGA1700</t>
  </si>
  <si>
    <t>911-7D96-003</t>
  </si>
  <si>
    <t>MB MSI MEG Z590I UNIFY WIFI DDR4 LGA1200 (распродажа) (3 штук)</t>
  </si>
  <si>
    <t>911-7D05-007</t>
  </si>
  <si>
    <t>MB MSI PRO B860M-A WIFI LGA1851</t>
  </si>
  <si>
    <t>911-7E42-003</t>
  </si>
  <si>
    <t>MB MSI B860M GAMING PLUS WIFI DDR5 LGA1851 (1 штук)</t>
  </si>
  <si>
    <t>MB MSI B860 GAMING PLUS WIFI DDR5 LGA1851</t>
  </si>
  <si>
    <t>911-7E41-003</t>
  </si>
  <si>
    <t>MB MSI MAG B860 TOMAHAWK WIFI DDR5 LGA1851</t>
  </si>
  <si>
    <t>911-7E39-001</t>
  </si>
  <si>
    <t>MB MSI PRO Z890-S WIFI DDR5 LGA1851</t>
  </si>
  <si>
    <t>911-7E54-001</t>
  </si>
  <si>
    <t>MB MSI PRO Z890-P WIFI DDR5 LGA1851</t>
  </si>
  <si>
    <t>911-7E34-001</t>
  </si>
  <si>
    <t>MB MSI Z890 GAMING PLUS WIFI DDR5 LGA1851</t>
  </si>
  <si>
    <t>911-7E34-002</t>
  </si>
  <si>
    <t>MB MSI MAG Z890 TOMAHAWK WIFI DDR5 LGA1851 (1 штук)</t>
  </si>
  <si>
    <t>911-7E32-003</t>
  </si>
  <si>
    <t>MB MSI MPG Z890 EDGE TI WIFI DDR5 LGA1851</t>
  </si>
  <si>
    <t>911-7E19-002</t>
  </si>
  <si>
    <t xml:space="preserve">MB MSI MPG Z890 CARBON WIFI DDR5 LGA1851 </t>
  </si>
  <si>
    <t>911-7E49-005</t>
  </si>
  <si>
    <t>MB MSI AMD AM5 PRO B650M-P DDR5</t>
  </si>
  <si>
    <t>911-7E27-007</t>
  </si>
  <si>
    <t>MB MSI AMD AM5 PRO B650-S WIFI DDR5</t>
  </si>
  <si>
    <t>911-7E26-007</t>
  </si>
  <si>
    <t>MB MSI AMD AM5 B650 GAMING PLUS WIFI DDR5</t>
  </si>
  <si>
    <t>911-7E26-024</t>
  </si>
  <si>
    <t>MB MSI AMD AM5 MAG B650 TOMAHAWK WIFI DDR5</t>
  </si>
  <si>
    <t>911-7D75-010</t>
  </si>
  <si>
    <t>MB MSI AMD AM5 B650M PROJECT ZERO DDR5 (1 штук)</t>
  </si>
  <si>
    <t>911-7E09-007</t>
  </si>
  <si>
    <t>MB MSI AMD AM5 PRO B840M-B DDR5</t>
  </si>
  <si>
    <t>911-7E76-002</t>
  </si>
  <si>
    <t>MB MSI AMD AM5 B850M GAMING PLUS WIFI6E DDR5</t>
  </si>
  <si>
    <t>911-7E80-001</t>
  </si>
  <si>
    <t>MB MSI AMD AM5 B850 GAMING PLUS WIFI6E DDR5</t>
  </si>
  <si>
    <t>MB MSI AMD AM5 PRO B850-P WIFI DDR5</t>
  </si>
  <si>
    <t>911-7E56-021</t>
  </si>
  <si>
    <t>MB MSI AMD AM5 B850 GAMING PLUS WIFI DDR5</t>
  </si>
  <si>
    <t>MB MSI AMD AM5 MAG B850M MORTAR WIFI DDR5</t>
  </si>
  <si>
    <t>911-7E61-001</t>
  </si>
  <si>
    <t>MB MSI AMD AM5 MAG B850 MLG EDITION DDR5</t>
  </si>
  <si>
    <t>911-7E62-012</t>
  </si>
  <si>
    <t>MB MSI AMD AM5 MAG B850 TOMAHAWK MAX WIFI DDR5</t>
  </si>
  <si>
    <t>911-7E62-002</t>
  </si>
  <si>
    <t>MB MSI AMD AM5 MPG B850 EDGE TI WIFI DDR5</t>
  </si>
  <si>
    <t>911-7E62-001</t>
  </si>
  <si>
    <t>MB MSI AMD AM5 X870 GAMING PLUS WIFI DDR5</t>
  </si>
  <si>
    <t>911-7E47-005</t>
  </si>
  <si>
    <t>MB MSI AMD AM5 MAG X870 TOMAHAWK WIFI DDR5 (1 штук)</t>
  </si>
  <si>
    <t>911-7E51-001</t>
  </si>
  <si>
    <t>MB MSI AMD AM5 X870E GAMING PLUS WIFI DDR5</t>
  </si>
  <si>
    <t>911-7E70-001</t>
  </si>
  <si>
    <t>MB MSI AMD AM5 MAG X870E TOMAHAWK WIFI DDR5</t>
  </si>
  <si>
    <t>911-7E59-006</t>
  </si>
  <si>
    <t>MB MSI AMD AM5 MPG X870E EDGE TI WIFI DDR5</t>
  </si>
  <si>
    <t>911-7E59-001</t>
  </si>
  <si>
    <t>MB MSI AMD AM5 MPG X870E CARBON WIFI DDR5</t>
  </si>
  <si>
    <t>MB MSI AMD TRX40 PRO WIFI DDR4 (распродажа)</t>
  </si>
  <si>
    <t>911-7C60-011</t>
  </si>
  <si>
    <t>MB Gigabyte H610M K DDR4 LGA1700 (распродажа)</t>
  </si>
  <si>
    <t>GA-H610M-K-D4</t>
  </si>
  <si>
    <t>MB Gigabyte H610M K V2 DDR5 LGA1700 (распродажа)</t>
  </si>
  <si>
    <t>GA-H610M-K-V2</t>
  </si>
  <si>
    <t>MB Gigabyte B760M H DDR4 LGA1700</t>
  </si>
  <si>
    <t>GA-B760M-H-D4</t>
  </si>
  <si>
    <t>MB Gigabyte B760M D3HP DDR4 LGA1700 (распродажа)</t>
  </si>
  <si>
    <t>GA-B760M-D3HP-D4</t>
  </si>
  <si>
    <t xml:space="preserve">MB Gigabyte B760M DS3H DDR4 LGA1700 </t>
  </si>
  <si>
    <t>GA-B760M-DS3H-D4</t>
  </si>
  <si>
    <t>MB Gigabyte B760M H V2 DDR5 LGA1700 (Front type-C)</t>
  </si>
  <si>
    <t>GA-B760M-H-V2</t>
  </si>
  <si>
    <t>MB Gigabyte B760M D3HP DDR5 LGA1700 (Front type-C)</t>
  </si>
  <si>
    <t>MB Gigabyte B760M D3HP WIFI6 DDR5 LGA1700 (Front type-C) (1 штук)</t>
  </si>
  <si>
    <t>B760M D3HP WIFI6 DDR5</t>
  </si>
  <si>
    <t>MB Gigabyte B760M DS3H GEN5 DDR5 LGA1700</t>
  </si>
  <si>
    <t>B760M DS3H GEN5 DDR5</t>
  </si>
  <si>
    <t>MB Gigabyte B760M DS3H WF6E GEN5 DDR5 LGA1700</t>
  </si>
  <si>
    <t>GA-B760M-DS3H-WF6E</t>
  </si>
  <si>
    <t>MB Gigabyte B760 DS3H AX DDR5 LGA1700 (1 штук)</t>
  </si>
  <si>
    <t>GA-B760-DS3H-AX</t>
  </si>
  <si>
    <t>MB Gigabyte B760M GAMING X WF6E GEN5 DDR5 LGA1700</t>
  </si>
  <si>
    <t>GA-B760M-GAMING-X-WF6E</t>
  </si>
  <si>
    <t>MB Gigabyte B760 GAMING X WF6E GEN5 DDR5 LGA1700</t>
  </si>
  <si>
    <t>GA-B760-GAMING-X-WF6E</t>
  </si>
  <si>
    <t>MB Gigabyte B760 AORUS ELITE WF6E GEN5 DDR5 LGA1700</t>
  </si>
  <si>
    <t>GA-B760-A-ELITE-WF6E</t>
  </si>
  <si>
    <t>MB Gigabyte Z790D DDR5 LGA1700</t>
  </si>
  <si>
    <t>GA-Z790-D</t>
  </si>
  <si>
    <t>MB Gigabyte Z790D AX DDR5 LGA1700</t>
  </si>
  <si>
    <t>GA-Z790-D-AX</t>
  </si>
  <si>
    <t>MB Gigabyte Z790 EAGLE AX DDR5 LGA1700</t>
  </si>
  <si>
    <t>GA-Z790-EAGLE-AX</t>
  </si>
  <si>
    <t>MB Gigabyte B860M EAGLE V2 DDR5 LGA1851</t>
  </si>
  <si>
    <t>GA-B860M-EAGLE-V2</t>
  </si>
  <si>
    <t>MB Gigabyte B860M GAMING WIFI6 DDR5 LGA1851</t>
  </si>
  <si>
    <t>GA-B860M-GAMING-WF6</t>
  </si>
  <si>
    <t>MB Gigabyte B860M GAMING X WIFI6E DDR5 LGA1851</t>
  </si>
  <si>
    <t>GA-B860M-GAM-X-WF6E</t>
  </si>
  <si>
    <t>MB Gigabyte B860 GAMING X WIFI6E DDR5 LGA1851</t>
  </si>
  <si>
    <t>GA-B860-GAM-X-WF6E</t>
  </si>
  <si>
    <t>MB Gigabyte B860M AORUS ELITE WIFI6E DDR5 LGA1851</t>
  </si>
  <si>
    <t>GA-B860M-A-ELITE-WF6E</t>
  </si>
  <si>
    <t>MB Gigabyte B860M AORUS ELITE WIFI6E ICE DDR5 LGA1851</t>
  </si>
  <si>
    <t>B860MAELITEWF6EICE</t>
  </si>
  <si>
    <t>MB Gigabyte Z890M GAMING X DDR5 LGA1851</t>
  </si>
  <si>
    <t>GA-Z890M-GAMING-X</t>
  </si>
  <si>
    <t>MB Gigabyte Z890 UD WIFI6E DDR5 LGA1851</t>
  </si>
  <si>
    <t>GA-Z890-UD-WF6E</t>
  </si>
  <si>
    <t>MB Gigabyte Z890 EAGLE WiFi7 DDR5 LGA1851</t>
  </si>
  <si>
    <t>GA-Z890-EAGLE-WF7</t>
  </si>
  <si>
    <t>MB Gigabyte Z890 GAMING X WIFI7 DDR5 LGA1851</t>
  </si>
  <si>
    <t>GA-Z890-GAM-X-WF7</t>
  </si>
  <si>
    <t>MB Gigabyte Z890 AERO G DDR5 LGA1851</t>
  </si>
  <si>
    <t>GA-Z890-AERO-G</t>
  </si>
  <si>
    <t>MB Gigabyte Z890 AORUS ELITE WiFi7 ICE DDR5 LGA1851</t>
  </si>
  <si>
    <t>Z890AORELWF7ICE</t>
  </si>
  <si>
    <t>MB Gigabyte Z890 AORUS PRO ICE DDR5 LGA1851 (1 штук)</t>
  </si>
  <si>
    <t>Z890AORPROICE</t>
  </si>
  <si>
    <t>MB Gigabyte AMD AM4 B550M AORUS ELITE DDR4</t>
  </si>
  <si>
    <t>MB Gigabyte AMD AM4 B550M GAMING X WIFI6 DDR4</t>
  </si>
  <si>
    <t>MB Gigabyte AMD AM4 B550 EAGLE WIFI6 DDR4</t>
  </si>
  <si>
    <t>MB Gigabyte AMD AM5 B650M S2H DDR5</t>
  </si>
  <si>
    <t>MB Gigabyte AMD AM5 B650M GAMING WIFI DDR5</t>
  </si>
  <si>
    <t>MB Gigabyte AMD AM5 B650M GAMING PLUS WF DDR5</t>
  </si>
  <si>
    <t>MB Gigabyte AMD AM5 B650 EAGLE DDR5</t>
  </si>
  <si>
    <t>MB Gigabyte AMD AM5 B650 EAGLE AX DDR5</t>
  </si>
  <si>
    <t>MB Gigabyte AMD AM5 B650 GAMING X AX DDR5 (1 штук)</t>
  </si>
  <si>
    <t>MB Gigabyte AMD AM5 B650M AORUS ELITE DDR5</t>
  </si>
  <si>
    <t>MB Gigabyte AMD AM5 B650M AORUS ELITE AX ICE DDR5</t>
  </si>
  <si>
    <t>MB Gigabyte AMD AM5 B650 AERO G DDR5</t>
  </si>
  <si>
    <t>GA-B650-AERO-G</t>
  </si>
  <si>
    <t>MB Gigabyte AMD AM5 B840M EAGLE WF6E DDR5  (1 штук)</t>
  </si>
  <si>
    <t>MB Gigabyte AMD AM5 B840M AORUS ELITE WF6E DDR5</t>
  </si>
  <si>
    <t>MB Gigabyte AMD AM5 B850M FORCE DDR5</t>
  </si>
  <si>
    <t>MB Gigabyte AMD AM5 B850M FORCE WF6E DDR5</t>
  </si>
  <si>
    <t>MB Gigabyte AMD AM5 B850M EAGLE WF6E ICE DDR5</t>
  </si>
  <si>
    <t>MB Gigabyte AMD AM5 B850 EAGLE ICE DDR5</t>
  </si>
  <si>
    <t>MB Gigabyte AMD AM5 B850i AORUS PRO DDR5</t>
  </si>
  <si>
    <t>MB Gigabyte AMD AM5 X870 GAMING WF6 DDR5</t>
  </si>
  <si>
    <t>MB Gigabyte AMD AM5 X870 EAGLE WIFI7 DDR5</t>
  </si>
  <si>
    <t>GA-X870-EAGLE-WF7</t>
  </si>
  <si>
    <t>MB Gigabyte AMD AM5 X870E AORUS ELITE WIFI7 DDR5</t>
  </si>
  <si>
    <t>MB Gigabyte AMD AM5 X870 AORUS ELITE X ICE DDR5</t>
  </si>
  <si>
    <t>MB Gigabyte AMD AM5 X870E EAGLE X WIFI7 DDR5</t>
  </si>
  <si>
    <t>GA-X870E-EAGLE-X-WF7</t>
  </si>
  <si>
    <t>MB Gigabyte AMD AM5 X870E AORUS ELITE X DDR5</t>
  </si>
  <si>
    <t>GA-X870E-A-ELITE-X</t>
  </si>
  <si>
    <t>MB Gigabyte AMD AM5 X870E AORUS PRO DDR5</t>
  </si>
  <si>
    <t>GA-X870E-AORUS-PRO</t>
  </si>
  <si>
    <t>MB Gigabyte AMD AM5 X870E AERO X WOOD DDR5</t>
  </si>
  <si>
    <t>GA-X870E-AERO-X-WOOD</t>
  </si>
  <si>
    <t>MB Gigabyte AMD AM5 X870E AORUS MASTER X ICE DDR5</t>
  </si>
  <si>
    <t>GA-X870E-A-MASTER-X-ICE</t>
  </si>
  <si>
    <t>MB ASUS PRIME H610M-F D4 DDR4 (90MB1H70-M0EAY0)</t>
  </si>
  <si>
    <t>90MB1H70-M0EAY0</t>
  </si>
  <si>
    <t>MB ASUS PRIME B760M-K DDR5 (90MB1FI0-M1EAY0)</t>
  </si>
  <si>
    <t>90MB1FI0-M1EAY0</t>
  </si>
  <si>
    <t>MB ASUS PRIME B760M-A-CSM DDR5 (support 3 monitors) (90MB1EK0-M1EAYC)</t>
  </si>
  <si>
    <t>90MB1EK0-M1EAYC</t>
  </si>
  <si>
    <t>MB ASUS PRIME Z790-P DDR5 (90MB1CK0-M1EAY0)</t>
  </si>
  <si>
    <t>90MB1CK0-M1EAY0</t>
  </si>
  <si>
    <t>MB ASUS ROG STRIX B760-G GAMING WiFi DDR5 (90MB1EQ0-M1EAY0) (1 штук)</t>
  </si>
  <si>
    <t>90MB1EQ0-M1EAY0</t>
  </si>
  <si>
    <t>MB ASUS PROART B760-CREATOR WIFI DDR5 (90MB1FY0-M1EAY0)</t>
  </si>
  <si>
    <t>90MB1FY0-M1EAY0</t>
  </si>
  <si>
    <t>MB ASUS ROG STRIX B760-A GAMING WIFI DDR5 (90MB1EP0-M1EAY0)</t>
  </si>
  <si>
    <t>90MB1EP0-M1EAY0</t>
  </si>
  <si>
    <t>MB ASUS ROG STRIX B760-F GAMING WIFI7 DDR5 (90MB1CT0-M1EAY0) (1 штук)</t>
  </si>
  <si>
    <t>90MB1CT0-M1EAY0</t>
  </si>
  <si>
    <t>MB ASUS TUF GAMING Z790-PLUS WIFI DDR5 (90MB1D80-M1EAY0)</t>
  </si>
  <si>
    <t>90MB1D80-M1EAY0</t>
  </si>
  <si>
    <t>MB ASUS ROG STRIX B860-G GAMING WIFI DDR5 (90MB1JF0-M0EAY0)</t>
  </si>
  <si>
    <t>90MB1JF0-M0EAY0</t>
  </si>
  <si>
    <t>MB ASUS ROG STRIX B860-A GAMING WIFI DDR5 (90MB1JI0-M0EAY0)</t>
  </si>
  <si>
    <t>90MB1JI0-M0EAY0</t>
  </si>
  <si>
    <t>MB ASUS ROG STRIX B860-F GAMING WIFI DDR5 (90MB1JG0-M0EAY0)</t>
  </si>
  <si>
    <t>90MB1JG0-M0EAY0</t>
  </si>
  <si>
    <t>MB ASUS PRIME Z890-P WIFI DDR5 (90MB1I70-M0EAY0)</t>
  </si>
  <si>
    <t>90MB1I70-M0EAY0</t>
  </si>
  <si>
    <t>MB ASUS TUF GAMING Z890-PLUS WIFI DDR5 (90MB1IQ0-M0EAY0)</t>
  </si>
  <si>
    <t>90MB1IQ0-M0EAY0</t>
  </si>
  <si>
    <t>MB ASUS TUF GAMING Z890-PRO WIFI DDR5 (90MB1IR0-M0EAY0)</t>
  </si>
  <si>
    <t>90MB1IR0-M0EAY0</t>
  </si>
  <si>
    <t>MB ASUS ROG STRIX Z890-H GAMING WIFI DDR5 (90MB1K20-M0EAY0)</t>
  </si>
  <si>
    <t>90MB1K20-M0EAY0</t>
  </si>
  <si>
    <t>MB ASUS ROG STRIX Z890-A GAMING WIFI DDR5 (90MB1I90-M0EAY0)</t>
  </si>
  <si>
    <t>90MB1I90-M0EAY0</t>
  </si>
  <si>
    <t>MB ASUS ROG STRIX Z890-F GAMING WIFI DDR5 (90MB1I40-M0EAY0)</t>
  </si>
  <si>
    <t>90MB1I40-M0EAY0</t>
  </si>
  <si>
    <t>MB ASUS ROG STRIX Z890-E GAMING WIFI DDR5 (90MB1IM0-M0EAY0)</t>
  </si>
  <si>
    <t>90MB1IM0-M0EAY0</t>
  </si>
  <si>
    <t>MB ASUS PROART Z890-CREATOR WIFI DDR5 (90MB1JD0-M0EAY0)</t>
  </si>
  <si>
    <t>90MB1JD0-M0EAY0</t>
  </si>
  <si>
    <t>MB ASUS ROG MAXMUS Z890 HERO DDR5 (90MB1ID0-M0EAY0)</t>
  </si>
  <si>
    <t>90MB1ID0-M0EAY0</t>
  </si>
  <si>
    <t>MB ASUS ROG MAXIMUS Z890 APEX DDR5 (90MB1IP0-M0EAY0)</t>
  </si>
  <si>
    <t>90MB1IP0-M0EAY0</t>
  </si>
  <si>
    <t>MB ASUS ROG MAXIMUS Z890 EXTREME DDR5 (90MB1IA0-M0EAY0)</t>
  </si>
  <si>
    <t>90MB1IA0-M0EAY0</t>
  </si>
  <si>
    <t>MB ASUS AMD AM5 PRIME B650M-K DDR5 (90MB1F60-M0EAY0)</t>
  </si>
  <si>
    <t>90MB1F60-M0EAY0</t>
  </si>
  <si>
    <t>MB ASUS AMD AM5 PRIME B650-PLUS WIFI DDR5 (90MB1KP0-M0EAY0)</t>
  </si>
  <si>
    <t>90MB1KP0-M0EAY0</t>
  </si>
  <si>
    <t>MB ASUS AMD AM5 TUF GAMING B650-E WIFI DDR5 (90MB1GT0-M0EAY0)</t>
  </si>
  <si>
    <t>90MB1GT0-M0EAY0</t>
  </si>
  <si>
    <t>MB ASUS AMD AM5 TUF GAMING B650E-PLUS WIFI DDR5 (90MB1M20-M0EAY0) (1 штук)</t>
  </si>
  <si>
    <t>90MB1M20-M0EAY0</t>
  </si>
  <si>
    <t>MB ASUS AMD AM5 ROG STRIX B650-A GAMING WIFI DDR5 (90MB1BP0-M0EAY0)</t>
  </si>
  <si>
    <t>90MB1BP0-M0EAY0</t>
  </si>
  <si>
    <t>MB ASUS AMD AM5 ROG STRIX B650E-F GAMING WIFI DDR5 (90MB1BQ0-M0EAY0)</t>
  </si>
  <si>
    <t>90MB1BQ0-M0EAY0</t>
  </si>
  <si>
    <t>MB ASUS AMD AM5 PROART B650-CREATOR DDR5 (90MB1C40-M0EAY0)</t>
  </si>
  <si>
    <t>90MB1C40-M0EAY0</t>
  </si>
  <si>
    <t>MB ASUS AMD AM5 ROG STRIX B650E-I GAMING WIFI DDR5 (90MB1BI0-M0EAY0)</t>
  </si>
  <si>
    <t>90MB1BI0-M0EAY0</t>
  </si>
  <si>
    <t>MB ASUS AMD AM4 ROG STRIX B550-A GAMING DDR4 (90MB15J0-M0EAY0)</t>
  </si>
  <si>
    <t>90MB15J0-M0EAY0</t>
  </si>
  <si>
    <t>MB ASUS AMD AM5 B850M MAX GAMING WIFI DDR5 (90MB1LL0-M0EAY0)</t>
  </si>
  <si>
    <t>90MB1LL0-M0EAY0</t>
  </si>
  <si>
    <t>MB ASUS AMD AM5 B850 MAX GAMING WIFI WHITE DDR5 (90MB1M10-M0EAY0)</t>
  </si>
  <si>
    <t>90MB1M10-M0EAY0</t>
  </si>
  <si>
    <t>MB ASUS AMD AM5 TUF GAMING B850M-E WIFI DDR5 (90MB1LS0-M0EAY0)</t>
  </si>
  <si>
    <t>90MB1LS0-M0EAY0</t>
  </si>
  <si>
    <t>MB ASUS AMD AM5 PRIME B850-PLUS WIFI DDR5 (90MB1L80-M0EAY0)</t>
  </si>
  <si>
    <t>90MB1L80-M0EAY0</t>
  </si>
  <si>
    <t>MB ASUS AMD AM5 GAMING B850M-PLUS WIFI DDR5 (90MB1IY0-M0EAY0)</t>
  </si>
  <si>
    <t>90MB1IY0-M0EAY0</t>
  </si>
  <si>
    <t>MB ASUS AMD AM5 GAMING B850-E WIFI DDR5 (90MB1L20-M0EAY0)</t>
  </si>
  <si>
    <t>90MB1L20-M0EAY0</t>
  </si>
  <si>
    <t>MB ASUS AMD AM5 TUF GAMING B850-PLUS WIFI7 DDR5 (90MB1J30-M0EAY0)</t>
  </si>
  <si>
    <t>90MB1J30-M0EAY0</t>
  </si>
  <si>
    <t>MB ASUS AMD AM5 TUF GAMING B850M-PLUS WIFI7 WHITE DDR5 (90MB1MD0-M0EAY0)</t>
  </si>
  <si>
    <t>90MB1MD0-M0EAY0</t>
  </si>
  <si>
    <t>MB ASUS AMD AM5 ROG STRIX B850-G GAMING WIFI DDR5 (90MB1M30-M0EAY0)</t>
  </si>
  <si>
    <t>90MB1M30-M0EAY0</t>
  </si>
  <si>
    <t>MB ASUS AMD AM5 ROG STRIX B850-A GAMING WIFI DDR5 (90MB1J50-M0EAY0)</t>
  </si>
  <si>
    <t>90MB1J50-M0EAY0</t>
  </si>
  <si>
    <t>MB ASUS AMD AM5 ROG STRIX B850-I GAMING WiFi DDR5 (90MB1K30-M0EAY0)</t>
  </si>
  <si>
    <t>90MB1K30-M0EAY0</t>
  </si>
  <si>
    <t>MB ASUS AMD AM5 ROG STRIX B850-E GAMING WIFI DDR5 (90MB1J60-M0EAY0)</t>
  </si>
  <si>
    <t>90MB1J60-M0EAY0</t>
  </si>
  <si>
    <t>MB ASUS AMD AM5 PRIME X870-P WIFI DDR5 (90MB1IS0-M0EAY0)</t>
  </si>
  <si>
    <t>90MB1IS0-M0EAY0</t>
  </si>
  <si>
    <t>MB ASUS AMD AM5 X870 MAX GAMING WIFI7 DDR5 (90MB1LY0-M0EAY0)</t>
  </si>
  <si>
    <t>90MB1LY0-M0EAY0</t>
  </si>
  <si>
    <t>MB ASUS AMD AM5 X870 MAX GAMING WIFI7 W DDR5 (90MB1LZ0-M0EAY0)</t>
  </si>
  <si>
    <t>90MB1LZ0-M0EAY0</t>
  </si>
  <si>
    <t>MB ASUS AMD AM5 TUF GAMING X870-PLUS WIFI DDR5 (90MB1IU0-M0EAY0)</t>
  </si>
  <si>
    <t>90MB1IU0-M0EAY0</t>
  </si>
  <si>
    <t>MB ASUS AMD AM5 ROG STRIX X870E-H GAMING WIFI7 DDR5 (90MB1M90-M0EAY0)</t>
  </si>
  <si>
    <t>90MB1M90-M0EAY0</t>
  </si>
  <si>
    <t>MB ASUS AMD AM5 ROG STRIX X870-F GAMING WIFI DDR5 (90MB1IV0-M0EAY0)</t>
  </si>
  <si>
    <t>90MB1IV0-M0EAY0</t>
  </si>
  <si>
    <t>MB ASUS AMD AM5 ROG STRIX X870E-H GAMING MIKU DDR5 (90MB1MA0-M0EAY0)</t>
  </si>
  <si>
    <t>90MB1MA0-M0EAY0</t>
  </si>
  <si>
    <t>MB ASUS AMD AM5 PROART X870E-CREATOR WIFI DDR5 (90MB1IG0-M0EAY0)</t>
  </si>
  <si>
    <t>90MB1IG0-M0EAY0</t>
  </si>
  <si>
    <t>MB ASUS AMD AM5 ROG STRIX X870E-E GAMING WIFI DDR5 (90MB1IB0-M0EAY0)</t>
  </si>
  <si>
    <t>90MB1IB0-M0EAY0</t>
  </si>
  <si>
    <t>MB ASUS AMD AM5 ROG CROSSHAIR X870E HERO DDR5 (90MB1IE0-M0EAY0)</t>
  </si>
  <si>
    <t>90MB1IE0-M0EAY0</t>
  </si>
  <si>
    <t>MB ASUS AMD AM5 ROG CROSSHAIR X870E APEX DDR5 (90MB1KR0-M0EAY0)</t>
  </si>
  <si>
    <t>90MB1KR0-M0EAY0</t>
  </si>
  <si>
    <t>MB ASUS AMD AM5 ROG CROSSHAIR X870E EXTREME DDR5 (90MB1LB0-M0EAY0)</t>
  </si>
  <si>
    <t>90MB1LB0-M0EAY0</t>
  </si>
  <si>
    <t>MB SAPPHIRE AMD AM5 B650M-E DDR5 (52112-04-40G)</t>
  </si>
  <si>
    <t>52112-04-40G</t>
  </si>
  <si>
    <t>MB SAPPHIRE AMD AM5 PULSE B850M WIFI DDR5 (52123-04-40G)</t>
  </si>
  <si>
    <t>52123-04-40G</t>
  </si>
  <si>
    <t>MB SAPPHIRE AMD AM5 NITRO+ B850M WIFI DDR5 (52123-01-40G)</t>
  </si>
  <si>
    <t>52123-01-40G</t>
  </si>
  <si>
    <t>MB SAPPHIRE AMD AM5 PURE B850M WIFI DDR5 (52123-02-40G)</t>
  </si>
  <si>
    <t>52123-02-40G</t>
  </si>
  <si>
    <t>MB SAPPHIRE AMD AM5 NITRO+ B850A WIFI7 DDR5 (52123-03-40G)</t>
  </si>
  <si>
    <t>52123-03-40G</t>
  </si>
  <si>
    <t>MB SAPPHIRE AMD AM5 PURE B850A WIFI7 DDR5 (52123-11-40G)</t>
  </si>
  <si>
    <t>52123-11-40G</t>
  </si>
  <si>
    <t>Video card</t>
  </si>
  <si>
    <t>Zotac - 8GB GeForce RTX5050 TWIN EDGE DDR6 128bit HDMI 3-DP (ZT-B50500E-10M) (1 штук)</t>
  </si>
  <si>
    <t>ZT-B50500E-10M</t>
  </si>
  <si>
    <t>Zotac - 8GB GeForce RTX5060 TWIN EDGE GDDR7 128bit HDMI 3-DP (ZT-B50600E-10M)</t>
  </si>
  <si>
    <t>ZT-B50600E-10M</t>
  </si>
  <si>
    <t>Zotac - 8GB GeForce RTX5060 TWIN EDGE OC WHITE GDDR7 128bit HDMI 3-DP (ZT-B50600H-10M)</t>
  </si>
  <si>
    <t>Zotac - 8GB GeForce RTX5060Ti TWIN EDGE GDDR7 128bit HDMI 3-DP (ZT-B50610E-10M)</t>
  </si>
  <si>
    <t>ZT-B50610E-10M</t>
  </si>
  <si>
    <t>Zotac - 16GB GeForce RTX5060Ti TWIN EDGE GDDR7 128bit HDMI 3-DP (ZT-B50620E-10M)</t>
  </si>
  <si>
    <t>ZT-B50620E-10M</t>
  </si>
  <si>
    <t>Zotac - 12GB GeForce RTX5070 TWIN EDGE GDDR7 192bit HDMI 3-DP (ZT-B50700E-10P)</t>
  </si>
  <si>
    <t>ZT-B50700E-10P</t>
  </si>
  <si>
    <t>Zotac - 12GB GeForce RTX5070 GAMING SOLID OC 3x GDDR7 192bit HDMI 3-DP (ZT-B50700J-10P)</t>
  </si>
  <si>
    <t>Inno3D -  8GB GeForce RTX 5050 TWIN X2 DDR6 128bit (N50502-08D6-174071N)</t>
  </si>
  <si>
    <t>N50502-08D6-174071N</t>
  </si>
  <si>
    <t>Inno3D -  8GB GeForce RTX 5050 TWIN X2 OC DDR6 128bit (N50502-08D6X-174071N)</t>
  </si>
  <si>
    <t>N50502-08D6X-174071N</t>
  </si>
  <si>
    <t>Inno3D - 8GB GeForce RTX5060 TWIN X2 GDDR7 128bit (N50602-08D7-195071N)</t>
  </si>
  <si>
    <t>N50602-08D7-195071N</t>
  </si>
  <si>
    <t>Inno3D - 8GB GeForce RTX5060 TWIN X2 OC GDDR7 128bit (N50602-08D7X-195070N)</t>
  </si>
  <si>
    <t>N50602-08D7X-195070N</t>
  </si>
  <si>
    <t>Inno3D - 8GB GeForce RTX5060 TWIN X2 OC White GDDR7 128bit (N50602-08D7X-195070W)</t>
  </si>
  <si>
    <t>N50602-08D7X-195070W</t>
  </si>
  <si>
    <t>Inno3D - 8GB GeForce RTX5060Ti TWIN X2 GDDR7 128bit (N506T2-08D7-191075N)</t>
  </si>
  <si>
    <t>N506T2-08D7-191075N</t>
  </si>
  <si>
    <t>Inno3D - 8GB GeForce RTX5060Ti TWIN X2 OC GDDR7 128bit (N506T2-08D7X-191075N)</t>
  </si>
  <si>
    <t>N506T2-08D7X-191075N</t>
  </si>
  <si>
    <t>Inno3D - 16GB GeForce RTX5060Ti TWIN X2 GDDR7 128bit (N506T2-16D7-191073N)</t>
  </si>
  <si>
    <t>N506T2-16D7-191073N</t>
  </si>
  <si>
    <t>Inno3D - 16GB GeForce RTX5060Ti TWIN X2 OC GDDR7 128bit (N506T2-16D7X-191073N) (1 штук)</t>
  </si>
  <si>
    <t>N506T2-16D7X-191073N</t>
  </si>
  <si>
    <t>Inno3D - 16GB GeForce RTX5060Ti X3 OC DDR7 128bit (N506T3-16D7X-191073L)</t>
  </si>
  <si>
    <t>N506T3-16D7X-191073L</t>
  </si>
  <si>
    <t>Inno3D - 16GB GeForce RTX5060Ti X3 OC White DDR7 128bit (N506T2-16D7X-191073W)</t>
  </si>
  <si>
    <t>N506T2-16D7X-191073W</t>
  </si>
  <si>
    <t>Inno3D - 12GB GeForce RTX5070 TWIN X2 GDDR7 192bit (N50702-12D7-195064N)</t>
  </si>
  <si>
    <t>N50702-12D7-195064N</t>
  </si>
  <si>
    <t>Inno3D - 12GB GeForce RTX5070 TWIN X2 OC GDDR7 192bit (N50702-12D7X-195064N)</t>
  </si>
  <si>
    <t>N50702-12D7X-195064N</t>
  </si>
  <si>
    <t>Inno3D - 12GB GeForce RTX5070 TWIN X2 OC White GDDR7 192bit (N50702-12D7X-195064W)</t>
  </si>
  <si>
    <t>N50702-12D7X-195064W</t>
  </si>
  <si>
    <t>Inno3D - 16GB GeForce RTX5070Ti X3 OC GDDR7 256bit (N507T3-16D7X-176068N)</t>
  </si>
  <si>
    <t>N507T3-16D7X-176068N</t>
  </si>
  <si>
    <t>PNY - 8GB GeForce RTX4060Ti Verto GDDR6 128bit DP HDMI (VCG4060T8DFXPB1-O) (распродажа)</t>
  </si>
  <si>
    <t>VCG4060T8DFXPB1-O</t>
  </si>
  <si>
    <t>PNY - 8GB GeForce RTX5060 GDDR7 128bit HDMI DP (VCG50608DFXP81)</t>
  </si>
  <si>
    <t>VCG50608DFXP81</t>
  </si>
  <si>
    <t>PNY - 16GB GeForce RTX5060Ti GDDR7 128bit DP HDMI (VCG5060T16DFXB1-O)</t>
  </si>
  <si>
    <t>VCG5060T16DFXB1-O</t>
  </si>
  <si>
    <t>PNY - 12GB GeForce RTX5070 GDDR7 192bit DP HDMI (VCG507012TFXPB1)</t>
  </si>
  <si>
    <t>VCG507012TFXPB1</t>
  </si>
  <si>
    <t>PNY - 12GB GeForce RTX5070 ARGB OC 3x GDDR7 (VCG507012TFXXPB1-O)</t>
  </si>
  <si>
    <t>PNY - 16GB GeForce RTX5070Ti ARGB 3x GDDR7 (VCG5070T16TFXXPB1)</t>
  </si>
  <si>
    <t>PNY - 16GB GeForce RTX5070Ti OC ARGB 3x GDDR7 (VCG5070T16TFXXPB1-O)</t>
  </si>
  <si>
    <t>Palit - 8GB GeForce RTX3070 JETSTREAM OC GDDR6 256bit 3-DP HDMI (NE63070T19P2-1040J-N-LHR)</t>
  </si>
  <si>
    <t>NE63070T19P2-1040J-N-LHR</t>
  </si>
  <si>
    <t>Palit - 8GB GeForce RTX3070 GAMEROCK GDDR6 256bit 3-DP HDMI (NE63070019P2-1040G N-LHR)</t>
  </si>
  <si>
    <t>NE63070019P2-1040G N-LHR</t>
  </si>
  <si>
    <t>Palit - 8GB GeForce RTX3070 GAMEROCK OC GDDR6 256bit 3-DP HDMI (NE63070H19P2-1040G N-LHR)</t>
  </si>
  <si>
    <t>NE63070H19P2-1040G N-LHR</t>
  </si>
  <si>
    <t>Palit - 10GB GeForce RTX3080M Phoenix Edition GDDR6X 320bit 3-DP HDMI (NED3080019IA-132AX)</t>
  </si>
  <si>
    <t>NED3080019IA-132AX</t>
  </si>
  <si>
    <t>Palit - 8GB GeForce RTX5060 DUAL 8GB GDDR7 128bit 3-DP HDMI (NE75060019P1-GB2063D)</t>
  </si>
  <si>
    <t>NE75060019P1-GB2063D</t>
  </si>
  <si>
    <t>Palit - 8GB GeForce RTX5060 INFINITY 2 GDDR7 128bit 3-DP HDMI (NE75060V19P1-GB2063L)</t>
  </si>
  <si>
    <t>NE75060V19P1-GB2063L</t>
  </si>
  <si>
    <t>Palit - 8GB GeForce RTX5060Ti DUAL GDDR7 128bit 3-DP HDMI (NE7506T019P1-GB2062D)</t>
  </si>
  <si>
    <t>NE7506T019P1-GB2062D</t>
  </si>
  <si>
    <t>Palit - 8GB GeForce RTX5060Ti DUAL OC GDDR7 128bit 3-DP HDMI (NE7506TT19P1-GB2062D)</t>
  </si>
  <si>
    <t>NE7506TT19P1-GB2062D</t>
  </si>
  <si>
    <t>Palit - 16GB GeForce RTX5060Ti WHITE OC GDDR7 128bit 3-DP HDMI (NE7506TU19T1-GB2061M) (1 штук)</t>
  </si>
  <si>
    <t>NE7506TU19T1-GB2061M</t>
  </si>
  <si>
    <t>Palit - 16GB GeForce RTX5060Ti INFINITY 3 GDDR7 128bit 3-DP HDMI (NE7506T019T1-GB2061S) (4 штук)</t>
  </si>
  <si>
    <t>NE7506T019T1-GB2061S</t>
  </si>
  <si>
    <t>Palit - 16GB GeForce RTX5060Ti INFINITY 3 OC GDDR7 128bit 3-DP HDMI (NE7506TS19T1-GB2061S)</t>
  </si>
  <si>
    <t>NE7506TS19T1-GB2061S</t>
  </si>
  <si>
    <t>Palit - 12GB GeForce RTX5070 INFINITY 3 GDDR7 192bit 3-DP HDMI (NE75070019K9-GB2050S)</t>
  </si>
  <si>
    <t>NE75070019K9-GB2050S</t>
  </si>
  <si>
    <t>Palit - 12GB GeForce RTX5070 INFINITY 3 OC GDDR7 192bit 3-DP HDMI (NE75070S19K9-GB2050S)</t>
  </si>
  <si>
    <t>NE75070S19K9-GB2050S</t>
  </si>
  <si>
    <t>Palit - 12GB GeForce RTX5070 WHITE OC GDDR7 192bit 3-DP HDMI (NE75070U19K9-GB2050W)</t>
  </si>
  <si>
    <t>NE75070U19K9-GB2050W</t>
  </si>
  <si>
    <t>Palit - 16GB GeForce RTX5070Ti GAMINGPRO-S OC GDDR7 256bit 3-DP HDMI (NE7507TS19T2-GB2031U)</t>
  </si>
  <si>
    <t>NE7507TS19T2-GB2031U</t>
  </si>
  <si>
    <t>Palit - 16GB GeForce RTX5080 GAMINGPRO GDDR7 256bit 3-DP HDMI (NE75080019T2-GB2031A)</t>
  </si>
  <si>
    <t>NE75080019T2-GB2031A</t>
  </si>
  <si>
    <t>Palit - 16GB GeForce RTX5080 GAMINGPRO OC GDDR7 256bit 3-DP HDMI (NE75080S19T2-GB2031A)</t>
  </si>
  <si>
    <t>NE75080S19T2-GB2031A</t>
  </si>
  <si>
    <t>Peladin - 8GB ATI Radeon RX580 256Bit GDDR5</t>
  </si>
  <si>
    <t>Peladn RX580 8GB GDDR5</t>
  </si>
  <si>
    <t>Peladin - 4GB GeForce GTX1650 128Bits GDDR6</t>
  </si>
  <si>
    <t>Peladn GTX1650 4GB GDDR6</t>
  </si>
  <si>
    <t>Peladin - 8GB GeForce GTX3050 128Bits GDDR6</t>
  </si>
  <si>
    <t>Peladn GTX3050 8GB GDDR6</t>
  </si>
  <si>
    <t>Peladin - 6GB GeForce GTX1660 Super 192Bits GDDR6</t>
  </si>
  <si>
    <t>Peladn GTX1660 6GB GDDR6</t>
  </si>
  <si>
    <t>Peladin - 8GB GeForce GTX2060 Super 256Bits GDDR6</t>
  </si>
  <si>
    <t>Peladn GTX2060 8GB GDDR6</t>
  </si>
  <si>
    <t xml:space="preserve">Peladin - 8GB GeForce RTX5050 DDR6 128bit </t>
  </si>
  <si>
    <t>Peladn RTX5050 8GB GDDR6</t>
  </si>
  <si>
    <t>Peladin - 12GB GeForce RTX3060 192Bits GDDR6</t>
  </si>
  <si>
    <t>Peladn RTX3060 12GB GDDR6</t>
  </si>
  <si>
    <t>Peladin - 8GB GeForce RTX5060 128Bits GDDR6</t>
  </si>
  <si>
    <t>Peladn RTX5060 8GB GDDR6</t>
  </si>
  <si>
    <t>Arktek - 8GB ATI Radeon RX580 256Bit GDDR5</t>
  </si>
  <si>
    <t>AKR580D5S8GH1</t>
  </si>
  <si>
    <t>Arktek - 4GB GeForce GT1050Ti 128Bits GDDR6</t>
  </si>
  <si>
    <t>AKN1050TID6-S4GH1</t>
  </si>
  <si>
    <t>Arktek - 4GB GeForce GTX1650 128Bits GDDR6</t>
  </si>
  <si>
    <t>AKN1650D6S4GH1</t>
  </si>
  <si>
    <t>Arktek - 6GB GeForce GTX1660 Super 192Bits GDDR6</t>
  </si>
  <si>
    <t>AKN1660SD6S6GH1</t>
  </si>
  <si>
    <t>Arktek - 8GB GeForce GTX3050 128Bits GDDR6</t>
  </si>
  <si>
    <t>AKN2060SD6S8GH1</t>
  </si>
  <si>
    <t>Arktek - 8GB GeForce GTX2060 Super 256Bits GDDR6</t>
  </si>
  <si>
    <t>AKN3050D6S8GH1</t>
  </si>
  <si>
    <t>Arktek - 12GB GeForce RTX3060 192Bits GDDR6</t>
  </si>
  <si>
    <t>AKN3060D6S12GH1</t>
  </si>
  <si>
    <t>Axle - 4GB GeForce GT730 128Bits GDDR6</t>
  </si>
  <si>
    <t>AX-GT730/4GD3P8CDIL</t>
  </si>
  <si>
    <t>Axle - 4GB ATI Radeon RX550 128Bit GDDR5</t>
  </si>
  <si>
    <t>AX-RX550/4GD5P8DIP</t>
  </si>
  <si>
    <t>Axle - 8GB ATI Radeon RX580 256Bit GDDR5</t>
  </si>
  <si>
    <t>Axle RX580 8GB GDDR5</t>
  </si>
  <si>
    <t>Axle - 4GB GeForce GTX1650 128Bits GDDR6</t>
  </si>
  <si>
    <t>Axle GTX1650 4GB GDDR6</t>
  </si>
  <si>
    <t>Axle - 6GB GeForce GTX1660 Super 128Bits GDDR6</t>
  </si>
  <si>
    <t>AX-GTX1660S/6GD6P2DIP</t>
  </si>
  <si>
    <t>Axle - 8GB GeForce GTX2060 Super 256Bits GDDR6</t>
  </si>
  <si>
    <t>Axle RTX2060 Super 8GB GDDR6</t>
  </si>
  <si>
    <t>Axle - 8GB GeForce RTX3050 128Bits GDDR6</t>
  </si>
  <si>
    <t>Axle RTX3050 8GB GDDR6</t>
  </si>
  <si>
    <t>Axle - 12GB GeForce RTX3060 192Bits GDDR6</t>
  </si>
  <si>
    <t>AX-RTX3060/12GD6P2IP3</t>
  </si>
  <si>
    <t>MSI - 8GB GeForce RTX3050 VENTUS 2X XS OC (912-V809-4419) (1 штук)</t>
  </si>
  <si>
    <t>912-V809-4419</t>
  </si>
  <si>
    <t xml:space="preserve">MSI - 8GB GeForce RTX5060 SHADOW 2X (912-V537-064) </t>
  </si>
  <si>
    <t xml:space="preserve">MSI - 8GB GeForce RTX5060 SHADOW 2X OC (912-V537-095) </t>
  </si>
  <si>
    <t>MSI - 8GB GeForce RTX5060 VENTUS 2X WHITE (912-V537-013) (3 штук)</t>
  </si>
  <si>
    <t>912-V537-013</t>
  </si>
  <si>
    <t>MSI - 8GB GeForce RTX5060 INSPIRE ITX (912-V537-200) (3 штук)</t>
  </si>
  <si>
    <t>912-V537-200</t>
  </si>
  <si>
    <t>MSI - 8GB GeForce RTX5060 GAMING OC (912-V537-005)</t>
  </si>
  <si>
    <t>912-V537-005</t>
  </si>
  <si>
    <t>MSI - 8GB GeForce RTX5060Ti VENTUS 2X OC PLUS (912-V536-003)</t>
  </si>
  <si>
    <t>912-V536-003</t>
  </si>
  <si>
    <t>MSI - 16GB GeForce RTX5060Ti SHADOW 2X PLUS (912-V535-071)</t>
  </si>
  <si>
    <t>912-V535-071</t>
  </si>
  <si>
    <t>MSI - 16GB GeForce RTX5060Ti SHADOW 2X OC PLUS (912-V535-003)</t>
  </si>
  <si>
    <t>912-V535-003</t>
  </si>
  <si>
    <t>MSI - 16GB GeForce RTX5060Ti VENTUS 2X PLUS (912-V535-059)</t>
  </si>
  <si>
    <t>MSI - 16GB GeForce RTX5060Ti VENTUS 2X OC PLUS (912-V535-005)</t>
  </si>
  <si>
    <t>912-V535-005</t>
  </si>
  <si>
    <t>MSI - 16GB GeForce RTX5060Ti INSPIRE 2X OC (912-V535-007)</t>
  </si>
  <si>
    <t>912-V535-007</t>
  </si>
  <si>
    <t>MSI - 16GB GeForce RTX5060Ti GAMING OC (912-V535-006)</t>
  </si>
  <si>
    <t>MSI - 12GB GeForce RTX5070 VENTUS 3X OC (912-V532-204)</t>
  </si>
  <si>
    <t>912-V532-204</t>
  </si>
  <si>
    <t>MSI - 12GB GeForce RTX5070 SHADOW 2X OC (912-V532-005)</t>
  </si>
  <si>
    <t>912-V532-005</t>
  </si>
  <si>
    <t>MSI - 12GB GeForce RTX5070 SHADOW 3X OC (912-V532-241)</t>
  </si>
  <si>
    <t>912-V532-241</t>
  </si>
  <si>
    <t>MSI - 12GB GeForce RTX5070 INSPIRE 3X OC (912-V532-006)</t>
  </si>
  <si>
    <t>912-V532-006</t>
  </si>
  <si>
    <t>MSI - 12GB GeForce RTX5070 GAMING TRIO OC (912-V532-029)</t>
  </si>
  <si>
    <t>912-V532-029</t>
  </si>
  <si>
    <t>MSI - 12GB GeForce RTX5070 GAMING TRIO (912-V532-030)</t>
  </si>
  <si>
    <t>912-V532-030</t>
  </si>
  <si>
    <t>MSI - 16GB GeForce RTX5070Ti VENTUS 3X OC (912-V531-445)</t>
  </si>
  <si>
    <t>912-V531-445</t>
  </si>
  <si>
    <t>MSI - 16GB GeForce RTX5070Ti GAMING TRIO OC (912-V531-433) (1 штук)</t>
  </si>
  <si>
    <t>912-V531-433</t>
  </si>
  <si>
    <t>MSI - 16GB GeForce RTX5070Ti MLG EDITION OC (912-V531-604)</t>
  </si>
  <si>
    <t>912-V531-604</t>
  </si>
  <si>
    <t>MSI - 16GB GeForce RTX5080 SHADOW 3X (912-V531-649)</t>
  </si>
  <si>
    <t>912-V531-649</t>
  </si>
  <si>
    <t>MSI - 16GB GeForce RTX5080 SHADOW 3X OC (912-V531-444)</t>
  </si>
  <si>
    <t>912-V531-444</t>
  </si>
  <si>
    <t>MSI - 16GB GeForce RTX5080 VENTUS 3X PLUS (912-V531-298) (1 штук)</t>
  </si>
  <si>
    <t>912-V531-298</t>
  </si>
  <si>
    <t>MSI - 16GB GeForce RTX5080 GAMING TRIO WHITE (912-V531-050)</t>
  </si>
  <si>
    <t>912-V531-050</t>
  </si>
  <si>
    <t>MSI - 16GB GeForce RTX5080 GAMING TRIO OC WHITE (912-V531-049)</t>
  </si>
  <si>
    <t>912-V531-049</t>
  </si>
  <si>
    <t>Gigabyte - 8GB GeForce RTX3050 WINDFORCE V2 GV-N3050WF2V2-8GD (1 штук)</t>
  </si>
  <si>
    <t>GV-N3050WF2V2-8GD</t>
  </si>
  <si>
    <t>Gigabyte - 8GB GeForce RTX3050 WINDFORCE OC V2 GV-N3050WF2OCV2-8GD</t>
  </si>
  <si>
    <t>GV-N3050WF2OCV2-8GD</t>
  </si>
  <si>
    <t>Gigabyte - 8GB GeForce RTX5050 WINDFORCE OC V2 GV-N5050WF2OCV2-8GD</t>
  </si>
  <si>
    <t>Gigabyte - 8GB GeForce RTX5060 WINDFORCE MAX OC GV-N5060WF2MAX OC-8GD (2 штук)</t>
  </si>
  <si>
    <t>GV-N5060WF2MAX OC-8GD</t>
  </si>
  <si>
    <t>Gigabyte - 8GB GeForce RTX5060 EAGLE OC GV-N5060EAGLE OC-8GD</t>
  </si>
  <si>
    <t>Gigabyte - 8GB GeForce RTX5060 GAMING OC GV-N5060GAMING OC-8GD</t>
  </si>
  <si>
    <t>Gigabyte - 8GB GeForce RTX4060Ti WINDFORCE OC GV-N406TWF2OC-8GD (3 штук)</t>
  </si>
  <si>
    <t>GV-N406TWF2OC-8GD</t>
  </si>
  <si>
    <t>Gigabyte - 8GB GeForce RTX5060Ti WINDFORCE GV-N506TWF2-8GD</t>
  </si>
  <si>
    <t>GV-N506TWF2-8GD</t>
  </si>
  <si>
    <t>Gigabyte - 8GB GeForce RTX5060Ti WINDFORCE OC GV-N506TWF2OC-8GD</t>
  </si>
  <si>
    <t>GV-N506TWF2OC-8GD</t>
  </si>
  <si>
    <t>Gigabyte - 8GB GeForce RTX5060Ti EAGLE OC GV-N506TEAGLE OC-8GD</t>
  </si>
  <si>
    <t>GV-N506TEAGLE OC-8GD</t>
  </si>
  <si>
    <t>Gigabyte - 16GB GeForce RTX5060Ti WINDFORCE GV-N506TWF2-16GD (2 штук)</t>
  </si>
  <si>
    <t>GV-N506TWF2-16GD</t>
  </si>
  <si>
    <t>Gigabyte - 12GB GeForce RTX5070 WINDFORCE GV-N5070WF3OC-12GD</t>
  </si>
  <si>
    <t>Gigabyte - 12GB GeForce RTX5070 EAGLE OC SFF GV-N5070EAGLE OC-12GD</t>
  </si>
  <si>
    <t>GV-N5070EAGLE OC-12GD</t>
  </si>
  <si>
    <t>Gigabyte - 12GB GeForce RTX5070 EAGLE OC ICE GV-N5070EAGLEOC ICE-12GD</t>
  </si>
  <si>
    <t>GV-N5070EAGLEOC ICE-12GD</t>
  </si>
  <si>
    <t>Gigabyte - 12GB GeForce RTX5070 GAMING OC GV-N5070GAMING OC-12GD</t>
  </si>
  <si>
    <t>GV-N5070GAMING OC-12GD</t>
  </si>
  <si>
    <t>Gigabyte - 12GB GeForce RTX5070 AERO OC GV-N5070AERO OC-12GD</t>
  </si>
  <si>
    <t>GV-N5070AERO OC-12GD</t>
  </si>
  <si>
    <t>Gigabyte - 12GB GeForce RTX5070 AORUS MASTER GV-N5070AORUS M-12GD</t>
  </si>
  <si>
    <t>Gigabyte - 16GB GeForce RTX5070Ti WINDFORCE OC V2 GV-N507TWF3OCV2-16GD</t>
  </si>
  <si>
    <t>GV-N507TWF3OCV2-16GD</t>
  </si>
  <si>
    <t>Gigabyte - 16GB GeForce RTX5070Ti EAGLE OC GV-N507TEAGLEOC-16GD</t>
  </si>
  <si>
    <t>GV-N507TEAGLE OC-16GD</t>
  </si>
  <si>
    <t>Gigabyte - 16GB GeForce RTX5070Ti EAGLE OC ICE GV-N507TEAGLEOC ICE-16GD</t>
  </si>
  <si>
    <t>GV-N507TEAGLEOC ICE-16GD</t>
  </si>
  <si>
    <t>Gigabyte - 16GB GeForce RTX5070Ti GAMING OC GV-N507TGAMING OC-16GD</t>
  </si>
  <si>
    <t>GV-N507TGAMING OC-16GD</t>
  </si>
  <si>
    <t>Gigabyte - 16GB GeForce RTX5070Ti AERO GV-N507TAERO OC-16GD</t>
  </si>
  <si>
    <t>GV-N507TAERO OC-16GD</t>
  </si>
  <si>
    <t>Gigabyte - 16GB GeForce RTX5070Ti AORUS MASTER GV-N507TAORUS M-16GD (2 штук)</t>
  </si>
  <si>
    <t>GV-N507TAORUS M-16GD</t>
  </si>
  <si>
    <t>Gigabyte - 16GB GeForce RTX5080 WINDFORCE DDR7 GV-N5080WF3OC-16GD</t>
  </si>
  <si>
    <t>GV-N5080WF3-16GD</t>
  </si>
  <si>
    <t>Gigabyte - 16GB GeForce RTX5080 WINDFORCE OC DDR7 GV-N5080WF3OC-16GD</t>
  </si>
  <si>
    <t>GV-N5080WF3OC-16GD</t>
  </si>
  <si>
    <t>Gigabyte - 16GB GeForce RTX5080 GAMING OC DDR7 GV-N5080GAMING OC-16GD</t>
  </si>
  <si>
    <t>GV-N5080GAMING OC-16GD</t>
  </si>
  <si>
    <t>Gigabyte - 16GB GeForce RTX5080 AERO OC DDR7 GV-N5080AERO OC-16GD</t>
  </si>
  <si>
    <t>Gigabyte - 16GB GeForce RTX5080 AORUS MASTER DDR7 GV-N5080AORUS M-16GD</t>
  </si>
  <si>
    <t>Gigabyte - 16GB GeForce RTX5080 AORUS MASTER ICE DDR7 GV-N5080AORUSM ICE-16GD</t>
  </si>
  <si>
    <t>GV-N5080AORUSM ICE-16GD</t>
  </si>
  <si>
    <t>Gigabyte - 16GB GeForce RTX5080 AORUS XTREME WATERFORCE DDR7 GV-N5080AORUSX W-16GD</t>
  </si>
  <si>
    <t>GV-N5080AORUSX W-16GD</t>
  </si>
  <si>
    <t>Gigabyte - 32GB GeForce RTX5090 GAMING OC DDR7 GV-N5090GAMING OC-32GD</t>
  </si>
  <si>
    <t>GV-N5090GAMING OC-32GD</t>
  </si>
  <si>
    <t>Gigabyte - 32GB GeForce RTX5090 AORUS MASTER DDR7 GV-N5090AORUS M-32GD</t>
  </si>
  <si>
    <t>GV-N5090AORUS M-32GD</t>
  </si>
  <si>
    <t>Gigabyte - 32GB GeForce RTX5090 AORUS MASTER ICE DDR7 GV-N5090AORUSM ICE-32GD</t>
  </si>
  <si>
    <t>GV-N5090AORUSM ICE-32GD</t>
  </si>
  <si>
    <t>Gigabyte - 32GB GeForce RTX5090 AORUS STEALTH ICE DDR7 GV-N5090AORUSST ICE-32GD</t>
  </si>
  <si>
    <t>GV-N5090AORUSST ICE-32GD</t>
  </si>
  <si>
    <t>Gigabyte - 32GB GeForce RTX5090 AORUS AI BOX Water-cooled External video card GV-N5090IXEB-32GD</t>
  </si>
  <si>
    <t>GV-N5090AORUSX W-32GD</t>
  </si>
  <si>
    <t>Gigabyte - 8GB ATI Radeon RX9060XT GAMING OC GV-R9060XTGAMING OC-8GD</t>
  </si>
  <si>
    <t>GV-R9060XTGAMING OC-8GD</t>
  </si>
  <si>
    <t>Gigabyte - 16GB ATI Radeon RX9060XT GAMING OC GV-R9060XTGAMING OC-16GD</t>
  </si>
  <si>
    <t>GV-R9060XTGAMING OC-16GD</t>
  </si>
  <si>
    <t>Gigabyte - 16GB ATI Radeon RX9060XT GAMING OC ICE GV-R906XGAMINGOCICE-16GD</t>
  </si>
  <si>
    <t>GV-R906XGAMINGOCICE-16GD</t>
  </si>
  <si>
    <t>Gigabyte - 16GB ATI Radeon RX9070XT GAMING GV-R9070XTGAMING-16GD</t>
  </si>
  <si>
    <t>GV-R9070XTGAMING-16GD</t>
  </si>
  <si>
    <t>Gigabyte - 16GB ATI Radeon RX9070XT Gaming OC GV-R9070XTGAMING OC-16GD</t>
  </si>
  <si>
    <t>GV-R9070XTGAMING OC-16GD</t>
  </si>
  <si>
    <t>Gigabyte - 16GB ATI Radeon RX9070XT AORUS Elite GV-R9070XTAORUS E-16GD</t>
  </si>
  <si>
    <t>GV-R9070XTAORUS E-16GD</t>
  </si>
  <si>
    <t>Sapphire - 8GB PULSE AMD RADEON RX7600 GAMING OC GDDR6 HDMI (11324-01-20G)</t>
  </si>
  <si>
    <t>11324-01-20G</t>
  </si>
  <si>
    <t>Sapphire - 16GB PULSE AMD RADEON RX7600XT GAMING OC GDDR6 DUAL HDMI (11339-04-20G)</t>
  </si>
  <si>
    <t>11339-04-20G</t>
  </si>
  <si>
    <t>Sapphire - 12GB PULSE AMD RADEON RX7700XT GAMING GDDR6 DUAL HDMI (11335-04-20G) (4 штук)</t>
  </si>
  <si>
    <t>11335-04-20G</t>
  </si>
  <si>
    <t>Sapphire - 16GB PULSE AMD RADEON RX9060XT GAMING OC HDMI / DP (11350-03-20G)</t>
  </si>
  <si>
    <t>11350-03-20G</t>
  </si>
  <si>
    <t>Sapphire - 16GB PURE AMD RADEON RX9060XT GAMING OC HDMI / DP (11350-02-20G)</t>
  </si>
  <si>
    <t>11350-02-20G</t>
  </si>
  <si>
    <t>Sapphire - 16GB NITRO+ AMD RADEON RX9060XT GAMING OC HDMI / DP (11350-01-20G)</t>
  </si>
  <si>
    <t>11350-01-20G</t>
  </si>
  <si>
    <t>Sapphire - 16GB PULSE AMD RADEON RX9070 GAMING HDMI / DP (11349-03-20G) (2 штук)</t>
  </si>
  <si>
    <t>11349-03-20G</t>
  </si>
  <si>
    <t>Sapphire - 16GB PURE AMD RADEON RX9070 GAMING OC HDMI / DP (11349-02-20G)</t>
  </si>
  <si>
    <t>11349-02-20G</t>
  </si>
  <si>
    <t>Sapphire - 16GB NITRO+ AMD RADEON RX9070 GAMING OC HDMI / DP (11349-01-20G)</t>
  </si>
  <si>
    <t>11349-01-20G</t>
  </si>
  <si>
    <t>Sapphire - 16GB PULSE AMD RADEON RX9070XT GAMING HDMI / DP (11348-03-20G)</t>
  </si>
  <si>
    <t>11348-03-20G</t>
  </si>
  <si>
    <t>Sapphire - 16GB NITRO+ AMD RADEON RX9070XT GAMING OC HDMI / DP (11348-01-20G)</t>
  </si>
  <si>
    <t>11348-01-20G</t>
  </si>
  <si>
    <t>Sapphire - 16GB NITRO+ AMD Radeon RX9070XT CRIMSON DESERT EDITION GAMING OC (11348-10-20G)</t>
  </si>
  <si>
    <t>11348-10-20G</t>
  </si>
  <si>
    <t>ASUS - 6GB GeForce RTX3050 DUAL GDDR7 (90YV0K60-M0NA00)</t>
  </si>
  <si>
    <t>90YV0K60-M0NA00</t>
  </si>
  <si>
    <t>ASUS - 8GB GeForce RTX5060 DUAL OC GDDR7 (90YV0N12-M0NA00)</t>
  </si>
  <si>
    <t>90YV0N12-M0NA00</t>
  </si>
  <si>
    <t>ASUS - 8GB GeForce RTX5060 PRIME OC GDDR7 (90YV0N10-M0NA00)</t>
  </si>
  <si>
    <t>90YV0N10-M0NA00</t>
  </si>
  <si>
    <t>ASUS - 16GB GeForce RTX5060Ti Dual GDDR7 (90YV0MH0-M0NA00)</t>
  </si>
  <si>
    <t>90YV0MH0-M0NA00</t>
  </si>
  <si>
    <t>ASUS - 16GB GeForce RTX5060Ti Prime OC Edition (90YV0MH2-M0NA00)</t>
  </si>
  <si>
    <t>90YV0MH2-M0NA00</t>
  </si>
  <si>
    <t>ASUS - 12GB GeForce RTX5070 DUAL OC GDDR7 (90YV0M17-M0NA00)</t>
  </si>
  <si>
    <t>90YV0M17-M0NA00</t>
  </si>
  <si>
    <t>ASUS - 12GB GeForce RTX5070 PRIME GDDR7 (90YV0M11-MVAA00)</t>
  </si>
  <si>
    <t>ASUS - 12GB GeForce RTX5070 PRIME OC GDDR7 (90YV0M10-MVAA00)</t>
  </si>
  <si>
    <t>ASUS - 12GB GeForce RTX5070 PRIME OC GDDR7 (90YV0M10-M0NA00)</t>
  </si>
  <si>
    <t>90YV0M10-M0NA00</t>
  </si>
  <si>
    <t>ASUS - 12GB GeForce RTX5070 PRIME WHITE OC GDDR7 (90YV0M19-MVAA00)</t>
  </si>
  <si>
    <t>ASUS - 12GB GeForce RTX5070 TUF GAMING OC GDDR7 (90YV0LZ0-M0NA00)</t>
  </si>
  <si>
    <t>90YV0LZ0-M0NA00</t>
  </si>
  <si>
    <t>ASUS - 12GB GeForce RTX5070 ROG STRIX GAMING OC GDDR7 (90YV0M80-MVAA00)</t>
  </si>
  <si>
    <t>ASUS - 16GB GeForce RTX5070Ti PRIME OC GDDR7 (90YV0MF0-M0NA00)</t>
  </si>
  <si>
    <t>90YV0MF0-M0NA00</t>
  </si>
  <si>
    <t>ASUS - 16GB GeForce RTX5080 PRIME GDDR7 (90YV0LX1-MVAA00)</t>
  </si>
  <si>
    <t>90YV0NR0-M0NA00</t>
  </si>
  <si>
    <t>ASUS - 16GB GeForce RTX5080 PROART OC GDDR7 (90YV0N30-M0NA00)</t>
  </si>
  <si>
    <t>90YV0N30-M0NA00</t>
  </si>
  <si>
    <t>ASUS - 16GB GeForce RTX5080 ROG ASTRAL OC (90YV0LV0-MVAA00)</t>
  </si>
  <si>
    <t>ASUS - 32GB GeForce RTX5090 ROG ASTRAL WHITE OC (90YV0LWA-MVAA00)</t>
  </si>
  <si>
    <t>ASUS - 32GB GeForce RTX5090 ROG ASTRAL OC (90YV0LW2-MVAA00) (с водянкой)</t>
  </si>
  <si>
    <t>ASUS - 16GB Radeon RX9060XT DUAL GDDR6 (90YV0LG2-M0NA00)</t>
  </si>
  <si>
    <t>90YV0LG2-M0NA00</t>
  </si>
  <si>
    <t>ASUS - 16GB Radeon RX9060XT Prime OC Edition GDDR6 (90YV0LF1-M0NA00)</t>
  </si>
  <si>
    <t>90YV0LF1-M0NA00</t>
  </si>
  <si>
    <t>ASUS - 16GB Radeon RX9070 Prime OC Edition GDDR6 (90YV0LI1-M0NA00)</t>
  </si>
  <si>
    <t>90YV0LI1-M0NA00</t>
  </si>
  <si>
    <t>ASUS - 16GB Radeon RX9070 Prime EVO OC Edition GDDR6 (90YV0MQ0-M0NA00)</t>
  </si>
  <si>
    <t>90YV0MQ0-M0NA00</t>
  </si>
  <si>
    <t>ASUS - 16GB Radeon RX9070XT Prime OC Edition GDDR6 (90YV0L71-M0NA00)</t>
  </si>
  <si>
    <t>90YV0L71-M0NA00</t>
  </si>
  <si>
    <t>Оплата принимается в сумах по коммерческому курсу ЦБ Республики Узбекистан</t>
  </si>
  <si>
    <t>Канал в телеграмме https://t.me/agecomputer</t>
  </si>
  <si>
    <t>МОНИТОРЫ</t>
  </si>
  <si>
    <t>Цена</t>
  </si>
  <si>
    <t>Premier  - 24" 24PRM100 Frameless Monitor, IPS, 100Hz, FHD (1920x1080), VGA+HDMI (без рамки) Black</t>
  </si>
  <si>
    <t>24PRM100</t>
  </si>
  <si>
    <t>Premier  - 27" 27PRM100 Frameless Monitor, IPS, 100Hz, FHD (1920x1080), VGA+HDMI (без рамки) Black</t>
  </si>
  <si>
    <t>27PRM100</t>
  </si>
  <si>
    <t>ASUS - 24" TUF Gaming VG249QM1A Gaming Monitor, FHD (1920x1080), Fast IPS, 270Hz, 1ms (GTG), FreeSync, G-Sync, Black (90LM06J0-B02370)</t>
  </si>
  <si>
    <t>90LM06J0-B02370</t>
  </si>
  <si>
    <t>ASUS - 25" TUF Gaming VG259QMRL5A Gaming Monitor,  FHD (1920x1080), 310Hz, Fast IPS, 0.3ms, Freesync, G-Sync, Height adjustment, Black (90LM0BQ0-B01O71)</t>
  </si>
  <si>
    <t>90LM0BQ0-B01O71</t>
  </si>
  <si>
    <t>ASUS - 27" TUF Gaming VG279Q3A Gaming Monitor, FHD(1920x1080), 180Hz, Fast IPS, 1ms (GTG), FreeSync, G-Sync, Black (90LM0990-B01170)</t>
  </si>
  <si>
    <t>90LM0990-B01170</t>
  </si>
  <si>
    <t>ASUS - 27" TUF Gaming VG279Q3A-W Gaming Monitor, FHD (1920x1080), 180Hz, Fast IPS, 1ms (GTG), FreeSync, G-Sync, White (90LM099D-B01170) (2 штук)</t>
  </si>
  <si>
    <t>90LM099D-B01170</t>
  </si>
  <si>
    <t>ASUS - 27" TUF Gaming  VG279QM5A Gaming Monitor, FHD (1920x1080), Fast-IPS, 240Hz, 0.3ms, G-SYNC®, AMD FreeSync™ Black (90LM0B80-B01171)</t>
  </si>
  <si>
    <t>90LM0B80-B01171</t>
  </si>
  <si>
    <t>ASUS - 27" TUF Gaming VG279QM Gaming Monitor, Fast IPS, 280Hz, 1ms, FHD (1920x1080), HDR400, Black (90LM05H0-B03370) (распродажа)</t>
  </si>
  <si>
    <t>90LM05H0-B03370</t>
  </si>
  <si>
    <t>ASUS - 27" TUF Gaming VG27AQM5A Gaming Monitor, QHD(2560x1440), 300Hz, Fast IPS, 0.3ms, ELMB Sync, Sterio, Black (90LM0BG0-B01971)</t>
  </si>
  <si>
    <t>90LM0BG0-B01971</t>
  </si>
  <si>
    <t>ASUS - 27" TUF Gaming VG27AQML5A Gaming Monitor, QHD(2560x1440), 300Hz, Fast IPS, 0.3ms, Freesync, G-Sync, ELMB Sync, Black (90LM0BG0-B02971)</t>
  </si>
  <si>
    <t>90LM0BG0-B02971</t>
  </si>
  <si>
    <t>ASUS - 27" TUF Gaming VG27UQ1A Gaming Monitor, UHD (3840x2160), 160Hz, 1ms, AMD FreeSync, NVIDIA® G-SYNC®, HDR, Black (90LM0AR0-B01371)</t>
  </si>
  <si>
    <t>90LM0AR0-B01371</t>
  </si>
  <si>
    <t>ASUS - 27" ROG Strix XG27ACS Gaming Monitor, QHD (2560x1440), 180Hz, 1ms, Fast IPS, USB Type-C, G-Sync, HDR, Black (90LM09Q0-B01170)</t>
  </si>
  <si>
    <t>90LM09Q0-B01170</t>
  </si>
  <si>
    <t>ASUS - 27" ROG Strix XG27ACS-W Gaming Monitor, QHD (2560x1440), 180Hz, 1ms, Fast IPS, USB Type-C, G-Sync, HDR, White (90LM09Q1-B01170) (2 штук)</t>
  </si>
  <si>
    <t>90LM09Q1-B01170</t>
  </si>
  <si>
    <t>ASUS - 27" ROG Strix XG27ACG Gaming Monitor, QHD (2560x1440), 180Hz, 1ms, Fast IPS, USB Type-C, G-Sync, HDR, Aura Sync, Black (90LM0A70-B01370)</t>
  </si>
  <si>
    <t>90LM0A70-B01370</t>
  </si>
  <si>
    <t>ASUS - 27" ROG Strix XG27ACMEG-G Hatsune Miku Edition Gaming Monitor, IPS, 260Hz, QHD(2560 x 1440)2K, 0,03ms, USB Type-C, HDR400, Black (90LM0C7U-B01371)</t>
  </si>
  <si>
    <t>90LM0C7U-B01371</t>
  </si>
  <si>
    <t>ASUS - 25" ROG Strix XG259QNS eSports Gaming Monitor, FHD (1920x1080), 380Hz, Fast IPS, 0,3ms, HDR, Black (90LM09M0-B01370)</t>
  </si>
  <si>
    <t>90LM09M0-B01370</t>
  </si>
  <si>
    <t>ASUS - 27" ROG Strix XG279CNS Gaming Monitor, FHD(1920x1080), IPS, 380Hz, 0.3ms GTG, USB Type-C, DisplayHDR™ 400, Black (90LM0AW0-B01371)</t>
  </si>
  <si>
    <t>90LM0AW0-B01371</t>
  </si>
  <si>
    <t>ASUS - 27" ROG Strix XG27WCMS Curved Gaming Monitor, QHD (2560x1440), 280Hz, 1ms, USB Type-C, HDR, Black (90LM09Y1-B01370)</t>
  </si>
  <si>
    <t>90LM09Y1-B01370</t>
  </si>
  <si>
    <t>ASUS - 27" ROG Strix XG27ACMG Gaming Monitor, QHD (2560x1440), 270Hz OC, 1ms, Fast IPS, USB Type-C, G-Sync, HDR, Aura Sync (90LM0A60-B01370) (1 штук)</t>
  </si>
  <si>
    <t>90LM0A60-B01370</t>
  </si>
  <si>
    <t>ASUS - 32" ROG Strix XG32WCMS Curved Gaming Monitor, QHD (2560x1440), 280Hz, Fast VA, 1ms, USB Type-C, HDR, Black (90LM09X0-B01970)</t>
  </si>
  <si>
    <t>90LM09X0-B01970</t>
  </si>
  <si>
    <t>ASUS - 27" ROG Strix OLED XG27ACDNG Gaming Monitor, QHD (2560x1440), 360Hz, 0,03ms, USB Type-C, HDR, Black (90LM0AN0-B01970)</t>
  </si>
  <si>
    <t>90LM0AN0-B01970</t>
  </si>
  <si>
    <t>ASUS - 27" ROG Strix OLED XG27UCDMG Gaming Monitor, UHD (3840 x 2160) 4K, 240Hz, 0,03ms, USB Type-C, HDR, Black (90LM0B20-B01971)</t>
  </si>
  <si>
    <t>90LM0B20-B01971</t>
  </si>
  <si>
    <t>ASUS - 27" ROG Strix OLED XG27AQDPG Gaming Monitor, QHD (2560 x 1440) 2K, 500Hz, 0,03ms, USB Type-C, HDR, Black (90LM0C50-B01971)</t>
  </si>
  <si>
    <t>90LM0C50-B01971</t>
  </si>
  <si>
    <t>ASUS - 24" ROG Strix XG248QSG Ace Esports Gaming Monitor, FHD (1920x1080), 610Hz, Super TN, 0.1ms, DisplayHDR™ 400, Black (90LM0C40-B01371)</t>
  </si>
  <si>
    <t>90LM0C40-B01371</t>
  </si>
  <si>
    <t>ASUS - 27" ROG Strix OLED XG32UCWMG Gaming Monitor, dual mode (4K@240Hz, FHD@480Hz), 0.03ms, G-SYNC, DisplayHDR™ 400, Type-C, Black (90LM0BW0-B01371)</t>
  </si>
  <si>
    <t>90LM0BW0-B01371</t>
  </si>
  <si>
    <t>ASUS - 27" PA278QV ProArt Monitor, IPS, 5mc, 75Hz, WQHD (2560x1440) 2K, HDMI, DisplayPort, Black (90LM05L1-B03370)</t>
  </si>
  <si>
    <t>90LM05L1-B03370</t>
  </si>
  <si>
    <t>ASUS - 27" PA279CV ProArt Monitor, IPS, 5mc, 60Hz, UHD (3840x2160) 4K, HDMI, DisplayPort, Type-C, HDR, Black (90LM06M1-B01170)</t>
  </si>
  <si>
    <t>90LM06M1-B01170</t>
  </si>
  <si>
    <t>ASUS - 27" PA279CRV ProArt Monitor, IPS, 5mc, 60Hz, UHD (3840x2160) 4K, HDMI, DisplayPort, Type-C, HDR400, Black (90LM08E0-B01K70)</t>
  </si>
  <si>
    <t>90LM08E0-B01K70</t>
  </si>
  <si>
    <t>ASUS - 32" PA328QV ProArt Monitor, IPS, 5mc, 75Hz, WQHD (2560x1440) 2K, HDMI, DisplayPort, Black (90LM00X0-B02370)</t>
  </si>
  <si>
    <t>90LM00X0-B02370</t>
  </si>
  <si>
    <t>ASUS - 32" ProArt PA329CV Monitor, UHD (3840x2160), 60Hz, 5ms, IPS, USB Type-C, HDR, Black (90LM06P1-B01170)</t>
  </si>
  <si>
    <t>90LM06P1-B01170</t>
  </si>
  <si>
    <t>ASUS - 32" ProArt PA329CRV Monitor, UHD (3840x2160), 60Hz, 5ms, IPS, USB Type-C, HDR400, Black (90LM02C0-B01K70)</t>
  </si>
  <si>
    <t>90LM02C0-B01K70</t>
  </si>
  <si>
    <t>ASUS - 27" PA27JCV ProArt Monitor, IPS, 5mc, 60Hz, 5K (5120 x 2880), HDMI, DisplayPort, Type-C, HDR500, Black (90LM0AL0-B01K70)</t>
  </si>
  <si>
    <t>90LM0AL0-B01K70</t>
  </si>
  <si>
    <t>ASUS - 32" PA32UCDM ProArt OLED Monitor, IPS, 0.1mc, 240Hz, UHD (3840x2160) 4K, HDMI, DisplayPort, Type-C, HDR, Black (90LM03HE-B01K70)</t>
  </si>
  <si>
    <t>90LM03HE-B01K70</t>
  </si>
  <si>
    <t>ASUS - 32" PA32QCV ProArt OLED Monitor, IPS, 5mc, 60Hz, 6К (6016 x 3384), HDMI, DisplayPort, Type-C, HDR110, Black (90LM0BD0-B01K71)</t>
  </si>
  <si>
    <t>90LM0BD0-B01K71</t>
  </si>
  <si>
    <t>ASUS - 34" ROG Swift OLED PG34WCDM Curved Gaming Monitor, 240Hz, 0.03 ms, UWQHD (3440 x 1440), G-SYNC, ROG Smart KVM, Type-C, Black (90LM09L0-B01A70)</t>
  </si>
  <si>
    <t>90LM09L0-B01A70</t>
  </si>
  <si>
    <t>ASUS - 39" ROG Swift OLED PG39WCDM Curved Gaming Monitor, 240 Hz, 0.03 ms, UWQHD (3440x1440),  G-SYNC, ROG Smart KVM, Type-C, Black (90LM09R0-B01170) (1 штук)</t>
  </si>
  <si>
    <t>90LM09R0-B01170</t>
  </si>
  <si>
    <t>BenQ - 27" DesignVue PD2706U 4K Monitor, IPS, 60Hz, 5mc, UHD(3840x2160), HDMI, Type C, Audio, Pivot, Ergo Stand, Black, Monitor for Mac (9H.LLJLB.QEP)</t>
  </si>
  <si>
    <t>9H.LLJLB.QEP</t>
  </si>
  <si>
    <t>BenQ - 27" MA270U 4K Monitor, IPS, 60Hz, 5mc, UHD(3840x2160), HDMI, Type C, Audio, Pivot, Black, Monitor for Mac (9H.LMWLB.QBP)</t>
  </si>
  <si>
    <t>9H.LMWLB.QBP</t>
  </si>
  <si>
    <t>BenQ - 27" DesignVue PD2706UA 4K Monitor, IPS, 60Hz, 5mc, UHD (3840x2160), HDMI, Type C, KVM, Audio, Pivot, Ergo Stand, Black, Monitor for Mac (9H.LLKLB.QEP)</t>
  </si>
  <si>
    <t>9H.LLKLB.QEP</t>
  </si>
  <si>
    <t>BenQ - 32" MA320U 4K Monitor, IPS, 60Hz, 5mc, UHD(3840x2160), HDMI, Type C, Audio, Pivot, Black, Monitor for Mac (9H.LMXLB.QBP)</t>
  </si>
  <si>
    <t>9H.LMXLB.QBP</t>
  </si>
  <si>
    <t>BenQ - 32" PD3205U 4K Monitor, IPS, 60Hz, 5mc, UHD(3840x2160), HDMI, Type C, KVM, Audio, Black, Monitor for Mac (9H.LKGLA.TBP)</t>
  </si>
  <si>
    <t>9H.LKGLA.TBP</t>
  </si>
  <si>
    <t>BenQ - 32" DesignVue PD3205UA 4K Monitor, IPS, 60Hz, 5mc, UHD(3840x2160), HDMI, Type C, Audio, Pivot, Ergo Stand, Black, Monitor for Mac (9H.LKGLA.TPP)</t>
  </si>
  <si>
    <t>9H.LKGLA.TPP</t>
  </si>
  <si>
    <t>BenQ - 25" ZOWIE XL2546X+ Gaming Monitor, Fast TN, 0.5mc, 280Hz, FHD(1920x1080), HDMI, DP, HAS, DyAc™2, Black (9H.LN1LB.QBP)</t>
  </si>
  <si>
    <t>9H.LN1LB.QBP</t>
  </si>
  <si>
    <t>BenQ - 25" ZOWIE XL2566X+ Gaming Monitor, Fast TN, 1mc, 400Hz, FHD(1920x1080), HDMI, DP, HAS, DyAc™2, Black (9H.LMRLB.QBP)</t>
  </si>
  <si>
    <t>9H.LMRLB.QBP</t>
  </si>
  <si>
    <t>BenQ - 25" ZOWIE XL2586X+ Gaming Monitor, Fast TN, 1mc, 600Hz, FHD(1920x1080), HDMI, DP, HAS, DyAc™2, Black (9H.LN8LB.QBS)</t>
  </si>
  <si>
    <t>9H.LN8LB.QBS</t>
  </si>
  <si>
    <t xml:space="preserve">Redmi - 24" A24 Desktop Monitor, IPS, 100Hz, 6mc, FHD (1920x1080), HDMI+DP, (P24FBB-RA) </t>
  </si>
  <si>
    <t>P24FBB-RA</t>
  </si>
  <si>
    <t>Redmi - 27" A27 Desktop Monitor, IPS, 100Hz, 6mc, FHD (1920x1080), HDMI+DP, (P27FBB-RA) (маркировка)</t>
  </si>
  <si>
    <t>P27FBB-RA</t>
  </si>
  <si>
    <t xml:space="preserve">Redmi - 27" G27 (XG27G) Gaming Monitor, IPS, 180Hz, 1mc, FHD (1920x1080), HDMI+DP, (P27FBA-RX) </t>
  </si>
  <si>
    <t>P27FBA-RX</t>
  </si>
  <si>
    <t>Redmi - 27" G27 2025 Gaming Monitor, IPS, 200Hz, 1mc, FHD (1920x1080), HDMI+DP, (P27FDA-RG)</t>
  </si>
  <si>
    <t>P27FDA-RG</t>
  </si>
  <si>
    <t>Redmi - 27" A27Q 2025 Monitor, IPS, 100Hz, 1mc, QHD (2560x1440), HDMI+DP, (P27QCB-RA) (маркировка)</t>
  </si>
  <si>
    <t>P27QCB-RA</t>
  </si>
  <si>
    <t>Redmi - 27" A27Q 2026 Monitor, IPS, 120Hz, 1mc, QHD (2560x1440), HDMI+DP, (P27QDA-RA)</t>
  </si>
  <si>
    <t>P27QDA-RA</t>
  </si>
  <si>
    <t xml:space="preserve">Redmi - 27" G27Q 2025 Gaming Monitor, IPS, 180Hz, 1mc, QHD (2560x1440), HDMI+DP, (P27QCB-RG) (маркировка) </t>
  </si>
  <si>
    <t>P27QCB-RG</t>
  </si>
  <si>
    <t>Redmi - 27" G27Q 2026 Gaming Monitor, IPS, 200Hz, 1mc, QHD (2560x1440), HDMI+DP, (P27QDC-RG)</t>
  </si>
  <si>
    <t>P27QDC-RG</t>
  </si>
  <si>
    <t>Redmi - 27" G27Q Gaming Monitor, IPS, 240Hz, 1mc, QHD (2560x1440), HDMI+DP, Pivot, HAS (P27QDA-RG)</t>
  </si>
  <si>
    <t>P27QDA-RG</t>
  </si>
  <si>
    <t>Redmi - 27" A27U 4K Monitor, IPS, 60Hz, 6mc, UHD (3840x2160), HDMI+DP, (P27UCA-RA)  (маркировка)</t>
  </si>
  <si>
    <t>P27UCA-RA</t>
  </si>
  <si>
    <t>Redmi - 27" A27U TypeC Monitor, IPS, 60Hz, 6mc, UHD (3840x2160), HDMI+DP+TypeC, (P27UDB-RA)  (маркировка)</t>
  </si>
  <si>
    <t>P27UDB-RA</t>
  </si>
  <si>
    <t>Redmi - 27" G Pro 27Q 2025 Gaming Monitor, IPS, miniLED, 180Hz, 1mc, QHD (2560x1440), HDMI+DP, (P27QDA-RGP)  (маркировка)</t>
  </si>
  <si>
    <t>P27QDA-RGP</t>
  </si>
  <si>
    <t>Redmi - 27" G PRO Gaming Monitor, IPS, miniLED, 180Hz, 1mc, QHD (2560x1440), HDMI+DP, Pivot, Black (P27QBA-RGP)</t>
  </si>
  <si>
    <t>P27QBA-RGP</t>
  </si>
  <si>
    <t>Redmi - 34" G34WQ Curved Gaming Monitor, VA, 180Hz, 1mc, UHD (3440 х 1440), HDMI+Display Port (С34WQBA-RQ / C34WQBA-RG)</t>
  </si>
  <si>
    <t>С34WQBA-RQ</t>
  </si>
  <si>
    <t>Gigabyte - 25" GS25F14 EK Gaming Monitor, IPS, 144hz, 1mc, FHD (1920x1080), HDMI, DisplayPort, Black</t>
  </si>
  <si>
    <t xml:space="preserve">GS25F14 EK </t>
  </si>
  <si>
    <t>Gigabyte - 25" GS25F2A Gaming Monitor, IPS, 240hz, 1mc, FHD (1920x1080), HDMI, DisplayPort, Speaker, Black</t>
  </si>
  <si>
    <t>GS25F2A</t>
  </si>
  <si>
    <t>Gigabyte - 25" G25F2A Gaming Monitor, IPS, 240hz, 1mc, FHD (1920x1080), HAS, HDMI, DisplayPort, Speaker, Black</t>
  </si>
  <si>
    <t>G25F2A</t>
  </si>
  <si>
    <t>Gigabyte - 27" GS27FA Gaming Monitor, IPS, 180hz, 1mc, FHD (1920x1080), HDMI, DisplayPort, Black</t>
  </si>
  <si>
    <t>GS27FA</t>
  </si>
  <si>
    <t>Gigabyte - 34" GS34WQCP-EK Curved Gaming Monitor, VA, 180hz, 1mc, WQHD (3440 х 1440), HDMI, DisplayPort, Black</t>
  </si>
  <si>
    <t>GS34WQCP-EK</t>
  </si>
  <si>
    <t>Gigabyte - 27" M27Q2 EK Gaming Monitor, IPS, 200hz, 1mc, QHD (2560х 440), HDMI, DisplayPort, Type-C, USB, Black</t>
  </si>
  <si>
    <t>M27Q2 EK</t>
  </si>
  <si>
    <t>Gigabyte - 32" GS32QCA EU Curved Gaming Monitor, VA, 180hz, 1mc, QHD (2560 х 1440), HDMI, DisplayPort, HDR, Black</t>
  </si>
  <si>
    <t xml:space="preserve">GS32QCA EU </t>
  </si>
  <si>
    <t>Gigabyte - 27" M27Q2 ICE EK Gaming Monitor, IPS, 200hz, 1mc, QHD (2560х 440), HDMI, DisplayPort, Type-C, USB, White</t>
  </si>
  <si>
    <t>M27Q2 ICE EK</t>
  </si>
  <si>
    <t>Gigabyte - 27" M27Q3 EK Gaming Monitor, IPS, 300hz, 1mc, QHD (2560 х 1440), HDMI, DisplayPort, Type-C, USB, Black</t>
  </si>
  <si>
    <t>M27Q3 EK</t>
  </si>
  <si>
    <t>Gigabyte - 27" G27U 4К Gaming Monitor, IPS, 160hz, 1mc, UHD (3440 х 1440), HDMI, DisplayPort, Black</t>
  </si>
  <si>
    <t>G27U</t>
  </si>
  <si>
    <t>Gigabyte - 28" M28U-AE  Gaming Monitor, IPS, 144hz, 1mc, UHD (3440 х 1440), HDMI, DisplayPort, Type C, USB, Black (распродажа)</t>
  </si>
  <si>
    <t>M28U-AE</t>
  </si>
  <si>
    <t>Gigabyte - 27" GO27Q24 EK Gaming Monitor, QD-OLED, 240hz, 0,03mc, QHD (2560х1440), HDMI, DisplayPort, Type C, Black (1 штук)</t>
  </si>
  <si>
    <t>GO27Q24-EK</t>
  </si>
  <si>
    <t xml:space="preserve">Gigabyte - 27" MO27Q2A Gaming Monitor, QD-OLED, 280hz, 0,03mc, QHD (2560 х 1440), HDMI, DisplayPort, Type C, USB, Black </t>
  </si>
  <si>
    <t>MO27Q2A</t>
  </si>
  <si>
    <t xml:space="preserve">Gigabyte - 27" MO27Q3 EK Gaming Monitor, QD-OLED, 360hz, 0,03mc, QHD (2560 х 1440), HDMI, DisplayPort, Type C, USB, Black </t>
  </si>
  <si>
    <t xml:space="preserve">MO27Q3 EK </t>
  </si>
  <si>
    <t>Gigabyte - 27" MO27U2 Gaming Monitor, QD-OLED, 240hz, 0,03mc, UHD (3440 х 1440), HDMI, DisplayPort, Type C, USB, Black</t>
  </si>
  <si>
    <t>MO27U2</t>
  </si>
  <si>
    <t xml:space="preserve">Gigabyte - 32" MO32U2 EK Gaming Monitor, QD-OLED, 240hz, 0,03mc, QHD (2560 х 1440), HDMI, DisplayPort, Type C, USB, Black </t>
  </si>
  <si>
    <t>MO32U2 EK</t>
  </si>
  <si>
    <t>Gigabyte - 34" MO34WQC2 EK Gaming Monitor, QD-OLED, 240hz, 0,03mc, UHD (3440 х 1440), HDMI, DisplayPort, Type C, USB, Black (1 штук)</t>
  </si>
  <si>
    <t>MO34WQC2-EK</t>
  </si>
  <si>
    <t>Aorus - 27" FO27Q5P Gaming Monitor, QD-OLED, 500Hz, 0,03mc, QHD (2560x1440), 2K, HDR1000, HDMI, DisplayPort, Type-C, USB, RGB, Black</t>
  </si>
  <si>
    <t>FO27Q5P</t>
  </si>
  <si>
    <t>Aorus - 49" CO49DQ Gaming Monitor, 144Hz, 0,03mc, DQHD (5120x1440), 4K, HDMI, DisplayPort, Type-C, USB, RGB, Black (1 штук)</t>
  </si>
  <si>
    <t>CO49DQ</t>
  </si>
  <si>
    <t>Acer - 27″ SA273 Monitor, IPS, 120Hz, 1mc, FHD (1920×1080), HDMI+VGA, White (UM.HS3EE.017) (маркировка)</t>
  </si>
  <si>
    <t>UM.HS3EE.017</t>
  </si>
  <si>
    <t>Acer - 27″ Nitro KG273 Gaming Monitor, IPS, 200Hz, 0,5mc, FHD (1920×1080), HDMI+DP, Black (UM.HX3SG.101) (распродажа)</t>
  </si>
  <si>
    <t>UM.HX3SG.101</t>
  </si>
  <si>
    <t>Acer - 27" Nitro VG270U Gaming Monitor, IPS, 200Hz, 0,5mc, WQHD (2560x1440), HDMI+DP, Audio, Black (UM.HV0SS.102)</t>
  </si>
  <si>
    <t>UM.HV0SS.102</t>
  </si>
  <si>
    <t>Acer - 27" Nitro VG270K Gaming Monitor, IPS, 72Hz/144Hz, 4mc, UHD (3840x2160), HDMI+DP, Audio, Black (UM.HV0SG.102)</t>
  </si>
  <si>
    <t>UM.HV0SG.102</t>
  </si>
  <si>
    <t>Dell - 24" S2425H Monitor, IPS, 100Hz, 8mc, FHD(1920x1080), HDMI, White</t>
  </si>
  <si>
    <t>S2425H</t>
  </si>
  <si>
    <t>Dell - 24" U2424H UltraSharp Monitor, IPS, 120Hz, FHD(1920x1080), HDMI, DP, Type-C, USB Hub, Audio, Height-Adjustable Stand, Silver (маркировка)</t>
  </si>
  <si>
    <t>U2424H</t>
  </si>
  <si>
    <t>Dell - 27" S2725H Monitor, IPS, 100Hz, 8mc, FHD(1920x1080), HDMI, White</t>
  </si>
  <si>
    <t>S2725H</t>
  </si>
  <si>
    <t>Dell - 27" S2725HS Monitor, IPS, 100Hz, 8mc, FHD(1920x1080), HDMI, Audio, Pivot, White</t>
  </si>
  <si>
    <t>S2725HS</t>
  </si>
  <si>
    <t>Dell - 27" P2725H Pro Plus Monitor, IPS, 100Hz, 5mc, FHD(1920x1080), VGA, HDMI, DP, USB, Black (маркировка) (распродажа)</t>
  </si>
  <si>
    <t>S2725DS</t>
  </si>
  <si>
    <t>Dell - 27" S2725DS Monitor, IPS, 100Hz, 8mc, QHD (2560x1440), HDMI, DP, Audio, Pivot, White</t>
  </si>
  <si>
    <t>P2725H</t>
  </si>
  <si>
    <t>Dell - 32" P3223QE 4K Monitor, IPS, 60Hz, 8mc, UHD (3840x2160), HDMI, DP, Type-C, USB-C Hub, Height, Pivot, Silver, Black (1 штук)</t>
  </si>
  <si>
    <t>P3223QE</t>
  </si>
  <si>
    <t>Dell - 34" P3424WE Curved Monitor, IPS, 100Hz, 8mc, WQHD (3440x1440), HDMI, DP, Type-C, USB-C Hub, Height, Silver, Black</t>
  </si>
  <si>
    <t>P3424WE</t>
  </si>
  <si>
    <t>AOC - 24" 24B1H Monitor, VA, 60Hz, 8mc, FHD (1920x1080), VGA+HDMI, Black (распродажа)</t>
  </si>
  <si>
    <t>24B1H</t>
  </si>
  <si>
    <t>AOC - 27" C27G4Z Curved Gaming Monitor, VA, 0,3mc, 280Hz, FHD (1920x1080), HDMI+DP, Black (распродажа)</t>
  </si>
  <si>
    <t>C27G4Z</t>
  </si>
  <si>
    <t>Pixel - 25" PXG25FXI Gaming Monitor, IPS, 300Hz, 1mc, FHD (1920*1080), VGA+HDMI, Black, Fixed stand</t>
  </si>
  <si>
    <t>PXG25FXI</t>
  </si>
  <si>
    <t>Pixel - 25" PXG25FX Gaming Monitor, IPS, 300Hz, 1mc, FHD (1920*1080), HAS Stand, HDMI+DP, Black</t>
  </si>
  <si>
    <t>PXG25FX</t>
  </si>
  <si>
    <t>Pixel - 25" PXG25FP Gaming Monitor, IPS, 380Hz, 1mc, FHD (1920*1080), HDMI+DP, Black  (распродажа)</t>
  </si>
  <si>
    <t>PXG25FP</t>
  </si>
  <si>
    <t>Pixel - 27" PXG27F Gaming Monitor, IPS, 200Hz, 1mc, FHD (1920*1080), HDMI, Display port</t>
  </si>
  <si>
    <t>PXG27F</t>
  </si>
  <si>
    <t>Pixel - 27" PXG27FX Gaming Monitor, IPS, 280Hz, 1mc, FHD (1920*1080), HAS, HDMI, Display port</t>
  </si>
  <si>
    <t>PXG27FX</t>
  </si>
  <si>
    <t>Pixel - 27" PXG27Q V2 Gaming Monitor, IPS, 200Hz, 1mc, QHD (2560*1440) 2K, HDMI, Display port, HAS</t>
  </si>
  <si>
    <t>PXG27Q V2</t>
  </si>
  <si>
    <t>Pixel - 27" PXG27QX Gaming Monitor, IPS, 240Hz, 1mc, QHD (2560*1440) 2K, HDMI, Display port, HAS</t>
  </si>
  <si>
    <t>PXG27QX</t>
  </si>
  <si>
    <t>Pixel - 27" PXG27FP Gaming Monitor, IPS, 360Hz, 1mc, FHD (1920*1080), HDMI, Display port</t>
  </si>
  <si>
    <t>PXG27FP</t>
  </si>
  <si>
    <t>Pixel - 27" PXG27FY Gaming Monitor, IPS, 520Hz, 1mc, FHD (1920*1080), HDMI, Display port, HAS</t>
  </si>
  <si>
    <t>PXG27FY</t>
  </si>
  <si>
    <t>Pixel - 32" PXG32FCX Gaming Curved Monitor, VA, 240Hz, 1mc, FHD (1920*1080), HAS, HDMI, Display port (распродажа)</t>
  </si>
  <si>
    <t>PXG32FCX</t>
  </si>
  <si>
    <t>Pixel - 34" PXG34WQC Gaming Curved Monitor, VA, 200Hz, 1mc, QHD (2560*1440), HAS, HDMI, Display port, Speakers</t>
  </si>
  <si>
    <t>PXG34WQC</t>
  </si>
  <si>
    <t>Lenovo - 24" ThinkVision S24-4e Monitor, IPS, 4ms, 100Hz, FHD (1920x1080), HDMI, VGA (64B5KAT1EU) (Маркировка)</t>
  </si>
  <si>
    <t>64B5KAT1EU</t>
  </si>
  <si>
    <t>Lenovo - 27" Qreator Monitor, IPS, 60Hz, 4mc, UHD(3840x2160) 4K, HDMI+DP+TypeC, Iron Grey (66B7RAC1EU) (распродажа)</t>
  </si>
  <si>
    <t>66B7RAC1EU</t>
  </si>
  <si>
    <t>Lenovo - 32" D32-40  Monitor, VA, 75Hz, 4mc, FHD(1920x1080), HDMI, Black (66FCGAC2EU) (маркировка)</t>
  </si>
  <si>
    <t>66FCGAC2EU</t>
  </si>
  <si>
    <t>Lenovo - 32" D32-45  Monitor, VA, 60Hz, 4mc, FHD(1920x1080), HDMI, Black (67A0GAC2EU) (маркировка) (распродажа)</t>
  </si>
  <si>
    <t>67A0GAC2EU</t>
  </si>
  <si>
    <t>Lenovo - 25" Legion Y25-30 Gaming Monitor, IPS, 0.5mc, 280Hz, FHD(1920x1080), HDMI+DP, Black (66F0GACBEU) (распродажа)</t>
  </si>
  <si>
    <t>66F0GACBEU</t>
  </si>
  <si>
    <t>Lenovo - 27" Legion 27Q-10 Gaming Monitor, IPS, 0,5mc, 240Hz, QHD (2560x1440), HDMI+DP, Black (68C6GAC4EU) (распродажа)</t>
  </si>
  <si>
    <t>68C6GAC4EU</t>
  </si>
  <si>
    <t>Lenovo - 27" ThinkVision S27-4e Monitor, IPS, 4ms, 100Hz, FHD (1920x1080), HDMI, VGA (64BEKAT1EU) (Маркировка)</t>
  </si>
  <si>
    <t>64BEKAT1EU</t>
  </si>
  <si>
    <t>Lenovo - 27" ThinkVision T27QD-4v, IPS WLED, 120Hz, 4mc, QHD (2560x1440) 2K, HDMI+DP+TypeC, Tilt, Swivel, Pivot, HAS, Webcam, Audio  Eclipse Black (64B8UAT1EU)</t>
  </si>
  <si>
    <t>64B8UAT1EU</t>
  </si>
  <si>
    <t>Lenovo - 27" ThinkVision T27UD-40, IPS WLED, 60Hz, 4mc, UHD (3840x2160) 4K, HDMI+DP+TypeC, Tilt, Swivel, Pivot, HAS, Eclipse Black (64AFGAT2EU)</t>
  </si>
  <si>
    <t>64AFGAT2EU</t>
  </si>
  <si>
    <t>Lenovo - 32" ThinkVision T32H-30, IPS WLED, 60Hz, 4mc, QHD (2560x1440) 2K, HDMI+DP+TypeC, Tilt, Swivel, Pivot, HAS, Eclipse Black (63D3GAT1EU)</t>
  </si>
  <si>
    <t>63D3GAT1EU</t>
  </si>
  <si>
    <t>Lenovo - 32" ThinkVision T32UD-40, IPS WLED, 60Hz, 4mc, UHD (3840x2160) 4K, HDMI+DP+TypeC, Tilt, Swivel, Pivot, HAS, Eclipse Black (64B0GAT1EU)</t>
  </si>
  <si>
    <t>64B0GAT1EU</t>
  </si>
  <si>
    <t>Lenovo - 44.5" Legion R45w-30 Gaming Monitor, VA, 1mc,170Hz, QHD (5120x1440), HDMI+DP+USB-C 3.2 Gen,Black (67B1GAC3EU)(маркировка)</t>
  </si>
  <si>
    <t>67B1GAC3EU</t>
  </si>
  <si>
    <t>LG - 27" 27GP750-B.ADG, IPS, 1mc, 240Hz, FHD (1920×1080), HDMI+Display Port,NVIDIA® G-SYNC®, AMD FreeSync™ (маркировка)</t>
  </si>
  <si>
    <t>27GP750</t>
  </si>
  <si>
    <t>29WP500-B</t>
  </si>
  <si>
    <t>43UN700-B</t>
  </si>
  <si>
    <t>MSI - 24" MAG 244F Gaming Monitor, IPS, 0,5mc, 200hz, FHD (1920x1080), HDMI+DP, Black (9S6-3BC41H-011)</t>
  </si>
  <si>
    <t>9S6-3BC41H-011</t>
  </si>
  <si>
    <t>MSI - 27" Modern MD272XP Monitor, IPS, 1mc, 100hz, FHD (1920x1080), HDMI+DP+TypeC, KVM, HAS, Black (маркировка) (1 штук)</t>
  </si>
  <si>
    <t>9S6-3PB19H-232</t>
  </si>
  <si>
    <t>MSI - 27" Modern MD272XPW Monitor, IPS, 1mc, 100hz, FHD (1920x1080), HDMI+DP+TypeC, KVM, HAS, White (маркировка)</t>
  </si>
  <si>
    <t>9S6-3PB19H-099</t>
  </si>
  <si>
    <t>MSI - 27" MAG 274F Gaming Monitor, IPS, 0,5mc, 200hz, FHD (1920x1080), HDMI+DP, Black (9S6-3CE41H-026) (Маркировка)</t>
  </si>
  <si>
    <t>9S6-3CE41H-026</t>
  </si>
  <si>
    <t>MSI - 27" MAG 274QF Gaming Monitor, IPS, 0,5mc, 180hz, WQHD (2560x1440), HDMI+DP, Black (9S6-3CE41H-027) (Маркировка)</t>
  </si>
  <si>
    <t>9S6-3CE41H-027</t>
  </si>
  <si>
    <t>MSI - 27" MAG 274QPF X30MV Gaming Monitor, MiniLED, 1mc, 300hz, WQHD (2560x1440), HDMI+DP, HAS, Black (9S6-3CF09H-028)</t>
  </si>
  <si>
    <t>9S6-3CF09H-040</t>
  </si>
  <si>
    <t>MSI - 27" G274QPF-E2 Gaming Monitor, IPS, 1mc, 180hz, WQHD (2560x1440), HDMI+DP+TypeC, HAS, Black (9S6-3CC29H-460)</t>
  </si>
  <si>
    <t>9S6-3CC29H-460</t>
  </si>
  <si>
    <t>MSI - 27" Modern MD272QXP Monitor, IPS, 4mc, 100hz, WQHD (2560x1440), HDMI+DP+TypeC, HAS, Black (маркировка)</t>
  </si>
  <si>
    <t>9S6-3PB19H-233</t>
  </si>
  <si>
    <t>MSI - 27" Modern MD272QXPW Monitor, IPS, 4mc, 100hz, WQHD (2560x1440), HDMI+DP+TypeC, HAS, White (маркировка)</t>
  </si>
  <si>
    <t>9S6-3PB19H-225</t>
  </si>
  <si>
    <t>MSI - 27" MAG 274QRFW Gaming Monitor, IPS, 1mc, 180hz, WQHD (2560x1440), HDMI+DP+TypeC, White (маркировка)</t>
  </si>
  <si>
    <t>9S6-3CC29H-277</t>
  </si>
  <si>
    <t>MSI - 27" MAG 274QRFW X32  Monitor, IPS, 0,5mc, 320hz, WQHD (2560x1440), HDMI+DP, White (9S6-3CE49H-031) (маркировка)</t>
  </si>
  <si>
    <t>9S6-3CE49H-031</t>
  </si>
  <si>
    <t>MSI - 27" Modern MD272UPHG 4K Monitor, IPS, 4mc, 60Hz, UHD (3840x2160), HDMI+DP+TypeC, KVM, HAS, Black (маркировка)</t>
  </si>
  <si>
    <t>9S6-3PB19H-408</t>
  </si>
  <si>
    <t>MSI - 27" Modern MD272UPHW 4K Monitor, IPS, 4mc, 60Hz, UHD (3840x2160), HDMI+DP+TypeC, KVM, HAS, White (маркировка)</t>
  </si>
  <si>
    <t>9S6-3PB19H-407</t>
  </si>
  <si>
    <t>MSI - 27" MPG 275CQRXF Curved Gaming Monitor, VA, 0,5mc, 240hz, WQHD (2560x1440), HDMI+DP+TypeC, Black (маркировка) (распродажа)</t>
  </si>
  <si>
    <t>9S6-3CD04H-062</t>
  </si>
  <si>
    <t>MSI - 40" MAG401QR Gaming Monitor, IPS, 1mc, 155hz, UWQHD (3440x1440), HDMI+DP+TypeC, Black (9S6-3EA54H-016) (маркировка)</t>
  </si>
  <si>
    <t>9S6-3EA54H-016</t>
  </si>
  <si>
    <t>MSI - 27" MPG 271QRX Gaming Monitor, QOLED, 0,03mc, 360hz, WQHD (2560x1440), HDMI+DP+TypeC, Black (9S6-3CD79A-051) (маркировка)</t>
  </si>
  <si>
    <t>9S6-3CD79A-051</t>
  </si>
  <si>
    <t>MSI - 34" MPG 341CQPX Gaming Monitor, QOLED, 0,03mc, 240hz, UWQHD (3440x1440), HDMI+DP+TypeC, Black (9S6-3DD04T-036) (маркировка)</t>
  </si>
  <si>
    <t>9S6-3DD04T-036</t>
  </si>
  <si>
    <t>MSI - 49" MPG 491CQPX Gaming Monitor, QOLED, 0,03mc, 240hz, UWQHD (3440x1440), HDMI+DP+TypeC, Black (9S6-3FA84T-022) (маркировка)</t>
  </si>
  <si>
    <t>9S6-3FA84T-022</t>
  </si>
  <si>
    <t xml:space="preserve">Samsung - 24" LS24D300GAIXCI S3 LED Monitor, IPS, 100Hz, 5mc, FHD (1920x1080), HDMI, DVI, Black (маркировка) </t>
  </si>
  <si>
    <t>LS24D300GAIXCI</t>
  </si>
  <si>
    <t>Samsung - 24" LS24D400GAIXCI S4 LED Monitor, IPS, 100Hz, 5mc, FHD (1920x1080), High adjustable, HDMI, DVI, Black (маркировка)</t>
  </si>
  <si>
    <t>LS24D400GAIXCI</t>
  </si>
  <si>
    <t>Samsung - 24" LS24AG320NEXXS Odyssey G3 G32A Gaming Monitor, VA, 165Hz, 1mc, FHD (1920x1080), Height Adjustable, Pivot,HDMI, DP, Black</t>
  </si>
  <si>
    <t>LS24AG320NEXXS</t>
  </si>
  <si>
    <t>Samsung - 27" LS27D300GAIXCI S3 LED Monitor, IPS, 100Hz, 5mc, FHD (1920x1080), HDMI, DVI, Black (маркировка)</t>
  </si>
  <si>
    <t>LS27D300GAIXCI</t>
  </si>
  <si>
    <t>Samsung - 27" LS27AG320NEXXS Odyssey G3 G32A Gaming Monitor, VA, 165Hz, 1mc, FHD (1920x1080), Height Adjustable, Pivot, HDMI, DP, Black</t>
  </si>
  <si>
    <t>LS27AG320NEXXS</t>
  </si>
  <si>
    <t>Samsung - 27" LS27D400GAIXCI S4  LED Monitor, IPS, 100Hz, 5mc, FHD (1920x1080), High adjustable, HDMI, DVI, Black (маркировка)</t>
  </si>
  <si>
    <t>LS27D400GAIXCI</t>
  </si>
  <si>
    <t>Samsung - 24" LS24F320GAIXCI S3 S32GF LED Monitor, IPS, 120Hz, 5mc, FHD (1920x1080), HDMI, Black (маркировка)</t>
  </si>
  <si>
    <t>LS24F320GAIXCI</t>
  </si>
  <si>
    <t>Samsung - 27" LS27F320GAIXCI S3 S32GF LED Monitor, IPS, 120Hz, 5mc, FHD (1920x1080), HDMI, Black (маркировка)</t>
  </si>
  <si>
    <t>LS27F320GAIXCI</t>
  </si>
  <si>
    <t>Samsung - 24" LS24F430UAIXCI S4 S43GC LED Monitor, IPS, 100Hz, 5mc, FHD (1920x1080), HDMI, Type C, Black (маркировка)</t>
  </si>
  <si>
    <t>LS24F430UAI</t>
  </si>
  <si>
    <t>Samsung - 27" LS27F430UAIXCI S4 S43GC LED Monitor, IPS, 100Hz, 5mc, FHD (1920x1080), HDMI, Type C, Black (маркировка)</t>
  </si>
  <si>
    <t>LS27F430UAI</t>
  </si>
  <si>
    <t>Samsung - 27" LS27BG400EPXUZ Odyssey G4 Gaming Monitor, IPS, 240Hz, 1mc, FHD (1920x1080), HDMI+DP, Black (маркировка) (распродажа)</t>
  </si>
  <si>
    <t>LS27BG400EPXUZ</t>
  </si>
  <si>
    <t>Samsung - 27" LS27FG502SIXCI Odyssey OLED G5 G50SF, OLED, 180Hz, 0.03mc, QHD (2560x1440), HDMI+DP, Black (маркировка)</t>
  </si>
  <si>
    <t>LS27FG502SIXCI</t>
  </si>
  <si>
    <t>Samsung - 32" ViewFinity S6 S60UD S32D604UAIXCI, IPS, 100Hz, QHD (2560x1440) 2K, HDMI, DisplayPort, Type-C, Black (маркировка)</t>
  </si>
  <si>
    <t>S32D604UAIXCI</t>
  </si>
  <si>
    <t>Samsung - 49" Odyssey LS49DG910SIXCI Curved Monitor, OLED, 5мс, 144Hz, DQHD (5120x1440), HDMI+DP+Type-C, Black (Маркировка)</t>
  </si>
  <si>
    <t>LS49DG910SIXCI</t>
  </si>
  <si>
    <t>HP - 24" 524SF LED Monitor, IPS, 100Hz, 5mc, FHD (1920x1080), VGA+HDMI, Silver Black (94C18AA)</t>
  </si>
  <si>
    <t>94C18AA</t>
  </si>
  <si>
    <t>HP - 24" 524SF LED Monitor, IPS, 100Hz, 5mc, FHD (1920x1080), VGA+HDMI, Silver Black (94C18A6)</t>
  </si>
  <si>
    <t>94C18A6</t>
  </si>
  <si>
    <t>HP - 24" 524SW LED Monitor, IPS, 100Hz, 5mc, FHD (1920x1080), VGA+HDMI, Silver White (94C21AS)</t>
  </si>
  <si>
    <t>94C21AS</t>
  </si>
  <si>
    <t>HP - 24" 524SA LED Monitor, IPS, 100Hz, 5mc, FHD (1920x1080), VGA+HDMI, Silver Black (94C36E9) with audio</t>
  </si>
  <si>
    <t>94C36E9</t>
  </si>
  <si>
    <t>HP - 24" 524da LED Monitor, IPS, 100Hz, 5mc, FHD (1920x1080), VGA+HDMI,with audio,Black (B11W5AT) (маркировка)</t>
  </si>
  <si>
    <t>B11W5AT</t>
  </si>
  <si>
    <t>HP - 24" 524SH LED Monitor, IPS, 100Hz, 5mc, FHD (1920x1080), VGA+HDMI, Silver Black (94C19AA) (маркировка)</t>
  </si>
  <si>
    <t>94C19AA</t>
  </si>
  <si>
    <t>HP - 27" 527SF LED Monitor, IPS, 100Hz, 5mc, FHD (1920x1080), VGA+HDMI, Silver Black (94F45AA)</t>
  </si>
  <si>
    <t>94F45AA</t>
  </si>
  <si>
    <t>HP - 27" 527SF LED Monitor, IPS, 100Hz, 5mc, FHD (1920x1080), VGA+HDMI, Silver Black (94F45A6)</t>
  </si>
  <si>
    <t>94F46AS</t>
  </si>
  <si>
    <t xml:space="preserve">HP - 27" 527SW LED Monitor, IPS, 100Hz, 5mc, FHD (1920x1080), VGA+HDMI, Silver White (94F47AA) </t>
  </si>
  <si>
    <t>94F47AA</t>
  </si>
  <si>
    <t>HP - 27" 527SF LED Monitor, IPS, 100Hz, 5mc, FHD (1920x1080), VGA+HDMI, Silver Black (94F45AA, 94F44A)(маркировка)</t>
  </si>
  <si>
    <t>94F45AA, 94F44A</t>
  </si>
  <si>
    <t>HP - 27" 527SW LED Monitor, IPS, 100Hz, 5mc, FHD (1920x1080), VGA+HDMI, Silver White (94F46AA) (маркировка)</t>
  </si>
  <si>
    <t>94F46AA</t>
  </si>
  <si>
    <t>HP - 27" 527SA LED Monitor, IPS, 100Hz, 5mc, FHD (1920x1080), VGA+HDMI, Audio, Silver Black (94F48AA) (маркировка)</t>
  </si>
  <si>
    <t>94F48AA</t>
  </si>
  <si>
    <t>HP - 27" 527SH LED Monitor, IPS, 100Hz, 5mc, FHD (1920x1080), VGA+HDMI, Silver Black (94C50AA) (маркировка)</t>
  </si>
  <si>
    <t>94C50AA</t>
  </si>
  <si>
    <t>HP - 27" 527da LED Monitor, IPS, 100Hz, 5ms, FHD (1920x1080), VGA+2HDMI, Silver Black (B11W6AT) (маркировка)</t>
  </si>
  <si>
    <t>B11W6AT</t>
  </si>
  <si>
    <t>HP - 27" M27FQ LED Monitor, IPS, 75Hz, 5mc, QHD (2560x1440), DisplayPort+HDMI, Silver Black (2H4B5E9) (маркировка)</t>
  </si>
  <si>
    <t>2H4B5E9</t>
  </si>
  <si>
    <t>HP - 32" 532SF LED Monitor, VA, 100Hz, 5mc, FHD (1920x1080), HDMI, VGA, Black (94F50AA) (маркировка)</t>
  </si>
  <si>
    <t>94F50AA</t>
  </si>
  <si>
    <t>HP - 27" OMEN 27q G2 [2H] Gaming Monitor, IPS, 1ms, 180 Hz, QHD (2560 x 1440),HDMI;DisplayPort (AV4H6AA) (маркировка)</t>
  </si>
  <si>
    <t>AV4H6AA</t>
  </si>
  <si>
    <t>HP - 32" OMEN 32q [2H] Gaming Monitor, IPS, 1ms, 165 Hz, QHD (2560 x 1440),HDMI; Audio; DisplayPort (780K0AA) (маркировка)</t>
  </si>
  <si>
    <t>780K0AA</t>
  </si>
  <si>
    <t>HP - 27" OMEN 27s Gaming Monitor, IPS, 240 Hz, FHD (1920 x 1080), HDMI, Audio, USB hub; DisplayPort (780G5E9 / 780G5AA) (маркировка)</t>
  </si>
  <si>
    <t>780G5E9 / 780G5AA</t>
  </si>
  <si>
    <t>HP - 27" OMEN 27qs G2 [2H] Gaming Monitor, IPS, 1ms, 280 Hz, QHD (2560 x 1440),HDMI; Audio; USB hub; DisplayPort (AW3V0AA) (маркировка)</t>
  </si>
  <si>
    <t>AW3V0AA</t>
  </si>
  <si>
    <t xml:space="preserve">HP - 34" OMEN 34c G2 [2H] Gaming Monitor, VA, 180 Hz, WQHD (3440 x 1440),HDMI; DisplayPort (AV4C1AA) </t>
  </si>
  <si>
    <t>AV4C1AA</t>
  </si>
  <si>
    <t>HP - 34" P34hc G4 Curved Monitor, VA, 5mc, 100Hz, WQHD (3440x1440), HDMI, DisplayPort, TypeC, Black (21Y56AA)</t>
  </si>
  <si>
    <t>21Y56AA</t>
  </si>
  <si>
    <t>HP - 23" EliteDisplay E23 G4 Monitor, IPS, HDMI, 5mc, FHD (1920x1080), Silver (9VF96AA) (маркировка) (распродажа)</t>
  </si>
  <si>
    <t>9VF96AA</t>
  </si>
  <si>
    <t>HP - 27" EliteDisplay E27 G5 Monitor, IPS, HDMI, 5mc, FHD (1920x1080), Silver (6N4E2AA) (маркировка)</t>
  </si>
  <si>
    <t>6N4E2AA</t>
  </si>
  <si>
    <t>HP - 27" EliteDisplay E27k G5 4K Monitor, IPS, HDMI,USB-C, 5mc, UHD (3840x2160), Silver (6N4C4AA)(маркировка)</t>
  </si>
  <si>
    <t>6N4C4AA</t>
  </si>
  <si>
    <t>HP - 24" Z24n G3 Monitor, IPS, 4mc, 60Hz, FHD (1920x1080), HDMI, DisplayPort, Silver (1C4Z5AA) (1 штук)</t>
  </si>
  <si>
    <t>1C4Z5AA</t>
  </si>
  <si>
    <t>HP - 38" Z38c Curved Monitor, IPS, 5mc, 60Hz, UHD (3840x2160), HDMI, DisplayPort, TypeC, Silver (Z4W65A4) (распродажа) (1 штук)</t>
  </si>
  <si>
    <t>Z4W65A4</t>
  </si>
  <si>
    <t>HP - 43" Z43 4K UHD Monitor, IPS, 6mc, 60Hz, UHD (3840 x 2160), HDMI, DisplayPort, TypeC, Silver (1AA85A4) (распродажа)</t>
  </si>
  <si>
    <t>1AA85A4</t>
  </si>
  <si>
    <t>HP - 40" Z40c Curved Monitor, IPS, 14mc, 60Hz, WUHD (3840x2160), HDMI, DisplayPort, TypeC, Silver (3A6F7AA) (распродажа) (1 штук)</t>
  </si>
  <si>
    <t>3A6F7AA</t>
  </si>
  <si>
    <t>HP - 27" Series 7 Pro 727PK 4K Monitor, IPS, 5mc, 60Hz, HDMI, DP, Type-C, UHD (3840 x 2160), Black-Silver (8J9G2AA) (маркировка) (1 штук)</t>
  </si>
  <si>
    <t>8J9G2AA</t>
  </si>
  <si>
    <t>HP - 34" S5 Pro 534PM Monitor, VA, 5mc, WQHD(3440x1440), HDMI+DP, USB, Black (9E0Z2UT) (маркировка)</t>
  </si>
  <si>
    <t>9E0Z2UT</t>
  </si>
  <si>
    <t>HP - 32" 7 Pro 732PK Monitor, IPS, 5mc,UHD (3840 x 2160), HDMI, Type-C; USB hub, DP, Black-Silver (8Y2K9AA) (маркировка)</t>
  </si>
  <si>
    <t>8Y2K9AA</t>
  </si>
  <si>
    <t>HP - 34" 7 Pro 734PM Monitor, IPS, 5mc, WQHD (3440x1440), HDMI+DP,USB, Silver (8K157UT) (маркировка)</t>
  </si>
  <si>
    <t>8K157UT</t>
  </si>
  <si>
    <t>HP - 37.5" 7 Pro 738PU Monitor, IPS, 5mc, WQHD+ (3840 x 1600 ), HDMI+DP+Type-C,USB,Audio, Black-Silver (8K167AA) (маркировка)</t>
  </si>
  <si>
    <t>8K167AA</t>
  </si>
  <si>
    <t>HP - 40" 7 Pro, 5K2K  Monitor, IPS, HDMI+DP, USB, 5mc, WUHD (5120 x 2160), Silver  (8Y2R2AA)</t>
  </si>
  <si>
    <t>8Y2R2AA</t>
  </si>
  <si>
    <t>HP - 32" E32k G5 4K USB-C Monitor,IPS,HDMI+DP,USB-C,5mc,UHD (3840x2160),Black (6N4D6AA)</t>
  </si>
  <si>
    <t>6N4D6AA</t>
  </si>
  <si>
    <t>HP - 45" E45c G5 USB-C Monitor,VA, 165Hz, HDMI; USB-C; DisplayPort,3mc,DQHD (5120 x 1440),Black (6N4C1AA)</t>
  </si>
  <si>
    <t>6N4C1AA</t>
  </si>
  <si>
    <t>Printers</t>
  </si>
  <si>
    <t>Опт</t>
  </si>
  <si>
    <t>Pantum - P2503  (A4, 32Mb, 22 стр/мин, 600dpi, USB2.0, лазерный)</t>
  </si>
  <si>
    <t>P2503</t>
  </si>
  <si>
    <t>Pantum - P2516  (A4, 32Mb, 22 стр/мин, 600dpi, USB2.0, лазерный)</t>
  </si>
  <si>
    <t>P2516</t>
  </si>
  <si>
    <t>Pantum - P2207 (A4, 20стр./мин,64Mb, лазерное, USB2.0,сетевой, 1200dpi)</t>
  </si>
  <si>
    <t>P2207</t>
  </si>
  <si>
    <t>Pantum - P2500NW (A4, 32Mb, 22 стр/мин, 1200dpi, USB2.0,Ethernet, WiFi,  лазерный)</t>
  </si>
  <si>
    <t>P2500NW</t>
  </si>
  <si>
    <t>Pantum - P3020D (A4, 30стр/мин, 128Mb, 1200dpi, двуст.печать, USB2.0)</t>
  </si>
  <si>
    <t>P3020D</t>
  </si>
  <si>
    <t>Pantum - P3300DW (A4, 33стр/мин, 256Mb, 1200dpi, двуст.печать, USB2.0, сетевой, WiFi, NFC)</t>
  </si>
  <si>
    <t>P3300DW</t>
  </si>
  <si>
    <t>Pantum - M6500 (A4, 128mb, 22 стр/мин, лазерное МФУ, LCD, USB2.0)</t>
  </si>
  <si>
    <t>M6500</t>
  </si>
  <si>
    <t>Pantum - M6500W (A4, 128mb, 22 стр/мин, лазерное МФУ, LCD,  WiFi)</t>
  </si>
  <si>
    <t>M6500W</t>
  </si>
  <si>
    <t>Pantum - M6500NW (A4, 22 стр./мин,128 Mb, лазерное МФУ,USB2.0,WiFi,сетевой)</t>
  </si>
  <si>
    <t>M6500NW</t>
  </si>
  <si>
    <t>Pantum - M6550NW (A4,  22 стр/мин, 128mb, лазерное, МФУ, LCD, WiFi, ADF)</t>
  </si>
  <si>
    <t>M6550NW</t>
  </si>
  <si>
    <t>Pantum - M6503W (A4, 128mb, 22 стр/мин, лазерное МФУ, LCD,  WiFi) +Запрвочный набор</t>
  </si>
  <si>
    <t>M6503W</t>
  </si>
  <si>
    <t>Pantum - M6550W (A4, 128mb, 22 стр/мин, лазерное МФУ, LCD,  WiFi) c автоподача сканера</t>
  </si>
  <si>
    <t>M6550W</t>
  </si>
  <si>
    <t>Pantum - M7100DN (A4, 33стр./мин, 256Mb, лазерное, двуст.печать, МФУ, ADF,USB2.0,сетевой)</t>
  </si>
  <si>
    <t>M7100DN</t>
  </si>
  <si>
    <t>Pantum - M7100DW (A4, 33стр./мин, 256Mb, лазерное, двуст.печать, МФУ, ADF,USB2.0,сетевой, WiFi)</t>
  </si>
  <si>
    <t>M7100DW</t>
  </si>
  <si>
    <t>Pantum - BP5100DW (A4, 40стр/мин,512Mb, лазерное,USB2.0,сетевой,WiFI,двуст.печать)</t>
  </si>
  <si>
    <t>BP5100DW</t>
  </si>
  <si>
    <t>Pantum - BM5100ADW (A4, 40стр/мин,512Mb,LCD, лазерное МФУ,USB2.0,WiFi,сетевой,двуст.печать,DADF)</t>
  </si>
  <si>
    <t>BM5100ADW</t>
  </si>
  <si>
    <t>Pantum - BM5100FDN (A4, 40стр/мин,512Mb,LCD, лазерное МФУ,USB2.0,сетевой,двуст.печать,DADF, FAX)</t>
  </si>
  <si>
    <t>BM5100FDN</t>
  </si>
  <si>
    <t>Pantum - Color CP1100 (A4, 18стр/мин,1024 Мb, Макс.1200×600 dpi, лазерное, USB2.0, сетевой)</t>
  </si>
  <si>
    <t>CP1100</t>
  </si>
  <si>
    <t>HP - Ink Tank 315 AiO &lt;Z4B04A&gt; (A4, 8 стр/мин, струйное МФУ, LCD, USB2.0)</t>
  </si>
  <si>
    <t>Z4B04A</t>
  </si>
  <si>
    <t>HP - Ink Tank 415 AiO &lt;Z4B53A&gt; (A4, 8 стр/мин, струйное МФУ, LCD, USB2.0, WiFi)</t>
  </si>
  <si>
    <t>Z4B53A</t>
  </si>
  <si>
    <t>HP - Ink Tank 419 Blue AiO &lt;Z6Z97A&gt; (A4, 8 стр/мин, струйное МФУ, LCD, USB2.0, WiFi)</t>
  </si>
  <si>
    <t>Z6Z97A</t>
  </si>
  <si>
    <t>HP - Smart Tank 580 &lt;1F3Y2A&gt; (A4, 16 стр/мин, струйное МФУ, LCD, USB2.0, WiFi)</t>
  </si>
  <si>
    <t>1F3Y2A</t>
  </si>
  <si>
    <t>HP - LaserJet M111a &lt;7MD67A&gt; (A4, 20стр/мин, 16Mb, USB2.0)</t>
  </si>
  <si>
    <t>7MD67A</t>
  </si>
  <si>
    <t>HP - LaserJet M111w &lt;7MD68A&gt; (A4, 20стр/мин, 16Mb, USB2.0, WiFi)</t>
  </si>
  <si>
    <t>7MD68A</t>
  </si>
  <si>
    <t xml:space="preserve">HP - Laser 107A &lt;4ZB77A&gt; (A4, 20 стр/мин, 64Mb, USB2.0,) </t>
  </si>
  <si>
    <t>4ZB77A</t>
  </si>
  <si>
    <t xml:space="preserve">HP - Laser 107W &lt;4ZB78A&gt; (A4, 20 стр/мин, 64Mb, USB2.0, WiFi) </t>
  </si>
  <si>
    <t>4ZB78A</t>
  </si>
  <si>
    <t>HP - Neverstop Laser 1000n &lt;5HG74A&gt; (A4, 20стр/мин, 32Mb, USB2.0, Ethernet)</t>
  </si>
  <si>
    <t>5HG74A</t>
  </si>
  <si>
    <t>HP - Neverstop Laser 1000w &lt;4RY23A&gt; (A4, 20стр/мин, 32Mb, USB2.0, Ethernet, WiFi)</t>
  </si>
  <si>
    <t>4RY23A</t>
  </si>
  <si>
    <t>HP - LaserJet Pro M203dn &lt;G3Q46A&gt;(A4, 28 стр/мин, 256Mb, двусторонняя печать, USB2.0, Ethernet)</t>
  </si>
  <si>
    <t>G3Q46A</t>
  </si>
  <si>
    <t>HP - LaserJet M141a &lt;7MD73A&gt; (A4, 20стр/мин, 64Mb, LCD, лазерное МФУ, USB2.0)</t>
  </si>
  <si>
    <t>7MD73A</t>
  </si>
  <si>
    <t>HP - LaserJet M141w &lt;7MD74A&gt; (A4, 20стр/мин, 64Mb, LCD, лазерное МФУ, USB2.0, WiFi)</t>
  </si>
  <si>
    <t>7MD74A</t>
  </si>
  <si>
    <t>HP - Laser MFP 137fnw &lt;4ZB84A&gt; (A4, 21стр/мин, 128Mb, LCD, лазерное МФУ, USB2.0,fax, WiFi, Ethernet)</t>
  </si>
  <si>
    <t>4ZB84A</t>
  </si>
  <si>
    <t>HP - LaserJet 211D &lt;9YF82A&gt; (A4, 29 стр/мин, 64Mb, двусторонняя печать, USB2.0)</t>
  </si>
  <si>
    <t>9YF82A</t>
  </si>
  <si>
    <t>HP - LaserJet 211DW &lt;9YF83A&gt; (A4, 29 стр/мин, 64Mb, двусторонняя печать, USB2.0, WiFi, Ethernet)</t>
  </si>
  <si>
    <t>9YF83A</t>
  </si>
  <si>
    <t>HP - LaserJet Tank 2602sdw &lt;2R7F5A&gt; (A4, 22стр/мин,64Mb,LCD, лазерное МФУ,USB2.0,сетевой,двуст.печать,DADF)</t>
  </si>
  <si>
    <t>2R7F5A</t>
  </si>
  <si>
    <t>HP - LaserJet Pro MFP 4103dw &lt;2Z627A&gt; (A4, 40стр/мин,512Mb,LCD, лазерное МФУ,USB2.0,сетевой,двуст.печать,DADF) (распродажа)</t>
  </si>
  <si>
    <t>2Z627A</t>
  </si>
  <si>
    <t>HP - LaserJet M442dn &lt;8AF71A&gt; (A3, 24 стр/мин, 512Mb, двусторонняя печать, USB2.0,  Ethernet)</t>
  </si>
  <si>
    <t>8AF71A</t>
  </si>
  <si>
    <t>HP - Color Laser 150a &lt;4ZB94A&gt; (A4, 18стр/мин,64Mb, лазерное ,USB2.0)</t>
  </si>
  <si>
    <t>4ZB94A</t>
  </si>
  <si>
    <t>HP - Color Laser 150nw &lt;4ZB95A&gt; (A4, 18стр/мин,64Mb, лазерное ,USB2.0,сетевой,Wi-Fi)</t>
  </si>
  <si>
    <t>4ZB95A</t>
  </si>
  <si>
    <t>HP - Color Laser MFP 178nw &lt;4ZB96A&gt; (A4, 18стр/мин, 128Mb, LCD, МФУ, сетевой, USB2.0, WiFi)</t>
  </si>
  <si>
    <t>4ZB96A</t>
  </si>
  <si>
    <t>HP - Color LaserJet Pro MFP M182n &lt;7KW54A&gt; (A4, 16стр/мин, 256Mb, LCD, МФУ, сетевой, USB2.0)</t>
  </si>
  <si>
    <t>7KW54A</t>
  </si>
  <si>
    <t>HP - Color LaserJet Pro 3303sdw &lt;499M6A&gt; (A4, 25 стр/мин, 512Mb, LCD, USB2.0, сетевой, двусторонняя печать)</t>
  </si>
  <si>
    <t>499M6A</t>
  </si>
  <si>
    <t>HP - Color LaserJet Pro MFP 4303dw &lt;5HH65A&gt; (A4, 33стр/мин,512Mb,LCD, лазерное МФУ,USB2.0,сетевой,двуст.печать)</t>
  </si>
  <si>
    <t>HP - LaserJet Enterprise M507dn &lt;1PV87A&gt; (A4, 43 стр/мин, 512Mb, LCD, USB2.0, сетевой, двусторонняя печать)</t>
  </si>
  <si>
    <t>1PV87A</t>
  </si>
  <si>
    <t>HP - LaserJet Enterprise M528dn &lt;1PV64A&gt; (A4, 43стр/мин, 1Gb, сетевой, USB2.0, LCD, двусторонняя печать)</t>
  </si>
  <si>
    <t>1PV64A</t>
  </si>
  <si>
    <t>Canon - PIXMA G2410 (A4, 9.1 стр/мин, струйное МФУ, LCD, USB2.0)</t>
  </si>
  <si>
    <t>G2410</t>
  </si>
  <si>
    <t xml:space="preserve">Canon - PIXMA G3410 (A4, 9.1 стр/мин, струйное МФУ, LCD, USB2.0, WiFi) </t>
  </si>
  <si>
    <t>G3410</t>
  </si>
  <si>
    <t>Canon - PIXMA G3430 (A4, 9.1 стр/мин, струйное МФУ, LCD, USB2.0, WiFi) (официальная гарантия)</t>
  </si>
  <si>
    <t>G3430</t>
  </si>
  <si>
    <t>Canon ImageCLASS LBP6030 (A4, 18 стр/мин, 32Mb,2400dpi, USB2.0,лазерный)</t>
  </si>
  <si>
    <t>LBP6030</t>
  </si>
  <si>
    <t>Canon ImageClass MF3010 (A4, 18 стр / мин, 64Mb, лазерное МФУ, USB2.0) (распродажа)</t>
  </si>
  <si>
    <t>MF3010</t>
  </si>
  <si>
    <t>Canon i-SENSYS MF3010 (A4, 18 стр / мин, 64Mb, лазерное МФУ, USB2.0) (распродажа)</t>
  </si>
  <si>
    <t>Canon i-SENSYS MF3010 (A4, 18 стр / мин, 64Mb, лазерное МФУ, USB2.0) + 2 штук катридж (перечисление)</t>
  </si>
  <si>
    <t>Canon i-SENSYS MF237w (A4, 256Mb, 23 стр/мин, лазерное МФУ, факс, ADF, USB 2.0, сетевой, WiFi)</t>
  </si>
  <si>
    <t>MF237w</t>
  </si>
  <si>
    <t>Canon i-SENSYS MF275dw (A4, 256Mb, 28 стр/мин, лазерное МФУ, LCD, ADF, двусторонняя печать, USB 2.0, сетевой,WiFi)</t>
  </si>
  <si>
    <t>MF275dw</t>
  </si>
  <si>
    <t>Canon i-SENSYS MF453dw (A4, 1Gb, 38 стр/мин, лаз.МФУ, LCD, DADF, двуст. печать, USB 2.0, сетевой, WiFi)</t>
  </si>
  <si>
    <t>MF453dw</t>
  </si>
  <si>
    <t>Canon i-SENSYS MF461dw (A4, 36 стр/мин, лазерное МФУ, LCD, DADF, двусторонняя печать, USB 2.0, сетевой, WiFi)</t>
  </si>
  <si>
    <t>MF461dw</t>
  </si>
  <si>
    <t>Canon i-SENSYS MF463dw (A4, 1Gb, 40 стр/мин, лаз.МФУ, LCD, DADF, двуст. печать, USB 2.0, сетевой, WiFi)</t>
  </si>
  <si>
    <t>MF463dw</t>
  </si>
  <si>
    <t>Canon i-SENSYS MF465dw (A4, 1Gb, 40 стр/мин, лаз.МФУ, LCD, DADF, двуст. печать, USB 2.0, сетевой, WiFi)</t>
  </si>
  <si>
    <t>MF465dw</t>
  </si>
  <si>
    <t>Canon i-SENSYS LBP631CW (A4, 18 стр/мин, 1Gb, LCD, 1200dpi, USB2.0, лазерный, сетевой, WiFi)</t>
  </si>
  <si>
    <t>5159C004AA</t>
  </si>
  <si>
    <t>Canon i-SENSYS MF655Cdw (A4, 1Gb, 21 стр/мин, цветное лазерное МФУ, LCD,ADF, двустор.печать, USB2.0, сетевой,WiFi)</t>
  </si>
  <si>
    <t>MF655Cdw</t>
  </si>
  <si>
    <t>Canon i-SENSYS MF657Cdw (A4, 1Gb, 21 стр/мин, цв. лазерное МФУ, LCD,DADF,двуст.печать,USB2.0,сетевой,WiFi)</t>
  </si>
  <si>
    <t>MF657Cdw</t>
  </si>
  <si>
    <t>Canon i-SENSYS MF752Cdw (A4, 1Gb, 33стр/мин, цв.лаз.МФУ, LCD, DADF, двуст.печать, USB2.0, сетевой,WiFi)</t>
  </si>
  <si>
    <t>MF752Cdw</t>
  </si>
  <si>
    <t>Canon i-SENSYS MF754Cdw  (A4, 1Gb,33стр/мин, цв.лаз.МФУ,факс,LCD, DADF,двуст.печать,USB2.0,сетевой,WiFi)</t>
  </si>
  <si>
    <t>5455C023AA</t>
  </si>
  <si>
    <t>Epson L121 (A4, струйный, 9 стр/мин, 720 dpi, 4 краски, USB2.0)</t>
  </si>
  <si>
    <t>L121</t>
  </si>
  <si>
    <t>Epson L132 (A4, струйный, 27 стр/мин, 5760 optimized dpi, 4 краски, USB2.0)</t>
  </si>
  <si>
    <t>L132</t>
  </si>
  <si>
    <t>Epson M1100 (A4, струйный, 15 стр/мин, 1440x720 dpi, 1 краска, USB2.0)</t>
  </si>
  <si>
    <t>M1100</t>
  </si>
  <si>
    <t>Epson M1120 (A4, струйный, 15 стр/мин, 1440x720 dpi, 1 краска, USB2.0)</t>
  </si>
  <si>
    <t>M1120</t>
  </si>
  <si>
    <t>Epson M1140 (A4, струйный, 20 стр/мин, 1200x2400 dpi, 1 краска, USB2.0, двусторонняя печать)</t>
  </si>
  <si>
    <t>M1140</t>
  </si>
  <si>
    <t>Epson M1170 (A4, струйный, 39 стр/мин, 2400x1200 dpi, 1 краска, USB2.0, двусторонняя печать)</t>
  </si>
  <si>
    <t>M1170</t>
  </si>
  <si>
    <t>Epson M1180 (A4, струйный, 39 стр/мин, 2400x1200 dpi, 1 краска, USB2.0, двусторонняя печать)</t>
  </si>
  <si>
    <t>M1180</t>
  </si>
  <si>
    <t>Epson M2110 (A4, струйное МФУ, 32 стр/мин, 1440x720 dpi, 1 краска, USB2.0, WiFi)</t>
  </si>
  <si>
    <t>M2110</t>
  </si>
  <si>
    <t>Epson M2120 (A4, струйное МФУ, 32 стр/мин, 1440x720 dpi, 1 краска, USB2.0, WiFi)</t>
  </si>
  <si>
    <t>M2120</t>
  </si>
  <si>
    <t>Epson M2140 (A4, 39 стр/мин, 1 краска, струйное МФУ, LCD, USB2.0, двусторонняя печать)</t>
  </si>
  <si>
    <t>M2140</t>
  </si>
  <si>
    <t>Epson M2170 (A4, струйное МФУ, 32 стр/мин, 1440x720 dpi, 1 краска, USB2.0, WiFi)</t>
  </si>
  <si>
    <t>M2170</t>
  </si>
  <si>
    <t>Epson M3170 (A4, струйное МФУ, 32 стр/мин, 1440x720 dpi, 1 краска, USB2.0, WiFi) (распродажа)</t>
  </si>
  <si>
    <t>M3170</t>
  </si>
  <si>
    <t>Epson L3210 (A4, струйное МФУ, 15стр/мин, 5760x1440dpi, 4краски, USB2.0) + 1 черн. краска (3 месяц гарантия)</t>
  </si>
  <si>
    <t>L3210</t>
  </si>
  <si>
    <t>Epson L3200 (A4, струйное МФУ, 15стр/мин, 5760x1440dpi, 4краски, USB2.0) (сервис, с гарантией)</t>
  </si>
  <si>
    <t>L3200</t>
  </si>
  <si>
    <t>Epson L3250 (A4, струйное МФУ, 33стр/мин, 5760x1440dpi, 4 краски, USB2.0, WiFi)  + 1 черн. краска (3 месяц гарантия)</t>
  </si>
  <si>
    <t>L3250</t>
  </si>
  <si>
    <t>Epson L3250 (A4, струйное МФУ, 33стр/мин, 5760x1440dpi, 4 краски, USB2.0, WiFi)  (сервис, с гарантией)</t>
  </si>
  <si>
    <t>Epson L3256 (A4, струйное МФУ, 33стр/мин, 5760x1440dpi, 4 краски, USB2.0, WiFi)  (сервис, с гарантией)</t>
  </si>
  <si>
    <t>L3256</t>
  </si>
  <si>
    <t>Epson L3260 (A4, струйное МФУ, 33стр/мин, 5760x1440dpi, 4 краски, USB2.0, WiFi) (сервис, с гарантией)</t>
  </si>
  <si>
    <t>L3260</t>
  </si>
  <si>
    <t>Epson L3266 (A4, струйное МФУ, 33стр/мин, 5760x1440dpi, 4 краски, USB2.0, WiFi)  (сервис, с гарантией)</t>
  </si>
  <si>
    <t>L3266</t>
  </si>
  <si>
    <t>Epson L8050 (A4, 5760x1440 dpi, 6 красок, USB2.0, WiFi, печать на CD/DVD) (сервис, с гарантией)</t>
  </si>
  <si>
    <t>L8050</t>
  </si>
  <si>
    <t>Epson L4260 (A4, струйное МФУ, LCD, 33стр/мин, 5760x1440dpi,4 краски, USB2.0, WiFi, двустор. печать)</t>
  </si>
  <si>
    <t>L4260</t>
  </si>
  <si>
    <t>Epson L8100 (A4, струйное МФУ, LCD, 22стр/мин, 4800x1200dpi, 6краски, USB2.0,  WiFi)</t>
  </si>
  <si>
    <t>L8100</t>
  </si>
  <si>
    <t>Epson L14150 (A3, струйное МФУ, LCD, 17стр/мин, 4800x1200dpi, 4краски, USB2.0, ADF, WiFi, сетевой, двуст.печать)</t>
  </si>
  <si>
    <t>L14150</t>
  </si>
  <si>
    <t>Epson L18050 (A3+, 15 стр / мин, 5760x1440 dpi, 6 красок, USB2.0) (сервис, с гарантией)</t>
  </si>
  <si>
    <t>L18050</t>
  </si>
  <si>
    <t>Epson L8180 (A3+,струйн.МФУ,LCD,16стр/мин,5760x1440dpi,6красок,USB2.0,WiFi,сетевой,двуст.печать,CR,печать наCD/DVD)</t>
  </si>
  <si>
    <t>L8180</t>
  </si>
  <si>
    <t>Epson T5200 (A0, струйное МФУ, 5 цветов, до 28 сек (А1), 1Gb, USB2.0, сетевой)</t>
  </si>
  <si>
    <t>T5200</t>
  </si>
  <si>
    <t>Xerox Phaser 6500N (A4, 24стр/мин, 256Mb, 600dpi, цветной, лазерный, сетевой) + картридж 1000 листов для каждого цвета</t>
  </si>
  <si>
    <t xml:space="preserve">6500N </t>
  </si>
  <si>
    <t>Xerox B1022DN (А3, лазерное МФУ, двусторонний, 22стр/мин, 256Mb, 1200dpi, LCD, сетевой) + картридж 2500 стр</t>
  </si>
  <si>
    <t>B1022DN</t>
  </si>
  <si>
    <t>Xerox VersaLink B7135 (А3, лазерное МФУ, DADF, двусторонний, 35стр/мин, 2048Мб, 1200dpi, сенсор LCD, Wi-Fi, сетевой)</t>
  </si>
  <si>
    <t>B7135</t>
  </si>
  <si>
    <t>Xerox AltaLink B8045 (A3, лазерное МФУ, DADF, двусторонний, 45стр/мин, 4092Мб, 250Гб, 1800Мгц, 1200dpi, NFC, Wi-Fi, сеть) + картридж 50000стр</t>
  </si>
  <si>
    <t>B8045</t>
  </si>
  <si>
    <t>Xerox Картридж повышенной емкости для Xerox B1022/1025 на 13700 стр (006R01731)</t>
  </si>
  <si>
    <t>006R01731</t>
  </si>
  <si>
    <t>Xerox Дополнительный стенд с лотком на 520 листов для Xerox B7135 (097S04907)</t>
  </si>
  <si>
    <t>097S04907</t>
  </si>
  <si>
    <t>Xerox Выходной лоток подборки (OCT) для AltaLink B8045 (497K16600)</t>
  </si>
  <si>
    <t>497K16600</t>
  </si>
  <si>
    <t>Ricoh MP W6700SP (A0, лазерное МФУ, 6.7стр/сек (А1), 3.3стр/сек (А0), 2560Мб, 320Гб, 1060МГц, 600dpi, сетевой)</t>
  </si>
  <si>
    <t>MP W6700SP</t>
  </si>
  <si>
    <t>Scanner</t>
  </si>
  <si>
    <t>Сканер Canon Lide 400</t>
  </si>
  <si>
    <t>Сканер Canon imageFORMULA DR-F120</t>
  </si>
  <si>
    <t>HP ScanJet Pro 2000 s2 Scanner (6FW06A)</t>
  </si>
  <si>
    <t>6FW06A</t>
  </si>
  <si>
    <t>Книжные сканеры</t>
  </si>
  <si>
    <t>Сканер CZUR Shine Ultra</t>
  </si>
  <si>
    <t>Сканер CZUR ET16 Plus</t>
  </si>
  <si>
    <t>Сканер CZUR ET18 Pro</t>
  </si>
  <si>
    <t>Сканер CZUR M3000 Pro V2</t>
  </si>
  <si>
    <t>Потоковые сканеры</t>
  </si>
  <si>
    <t>Сканер Panasonic KV-S1028Y-U (A4, 45/90 стр мин, 600х600 dpi, двусторонний, автоподатчик 100 листов, сетевой)</t>
  </si>
  <si>
    <t>Сканер Panasonic KV-SL1066-U2 (A4, 65/130 стр мин, 600х600 dpi, двусторонний, автоподатчик 100 листов)</t>
  </si>
  <si>
    <t>Сканер Panasonic KV-S1058Y-U (A4, 70/140 стр мин, 600х600 dpi, двусторонний, автоподатчик 100 листов, сетевой)</t>
  </si>
  <si>
    <t>Сканер Panasonic KV-S5076H-U (A3, 100/200 стр мин, 600х600 dpi, 512Мб, двусторонний, автоподатчик 300 листов)</t>
  </si>
  <si>
    <t>Потоковые+планшетные сканеры</t>
  </si>
  <si>
    <t>Сканер Panasonic KV-SL3056-U (A4, 45/90 стр мин, 1.5 сек/стр планшет, 600х600 dpi, двусторонний, автоподатчик 100 листов)</t>
  </si>
  <si>
    <t>Сканер Panasonic KV-SL3066-U (A4, 65/130 стр мин, 1.5 сек/стр планшет, 600х600 dpi, двусторонний, автоподатчик 100 листов)</t>
  </si>
  <si>
    <t>НОУТБУКИ</t>
  </si>
  <si>
    <t>GIGABYTE GAMING A16 GA6H (Intel Core i7-13620H/ DDR5 16GB/ SSD 1TB/ 16.0" FHD 165Hz/ 6GB GF RTX4050/ Backlit/ NoOS/ RU) Black (CMHI2KZ894SD)</t>
  </si>
  <si>
    <t>CMHI2KZ894SD</t>
  </si>
  <si>
    <t>GIGABYTE GAMING A16 GA63H (AMD Ryzen 7-260/ DDR5 16GB/ SSD 512GB/ 16.0" FHD 165Hz/ 8GB GF RTX5050/ Backlit/ NoOS/ RU) Black (3THK3KZ893SD)</t>
  </si>
  <si>
    <t>3THK3KZ893SD</t>
  </si>
  <si>
    <t>GIGABYET AERO X16 (AMD Ryzen AI 7-350/ DDR5 16GB/ SSD 1TB/ 16.0" QHD IPS 165Hz/ 8GB RTX 5050/ Backlit/ NoOS/ RU) Space Gray (1TH93KZC94AD)</t>
  </si>
  <si>
    <t>1TH93KZC94AD</t>
  </si>
  <si>
    <t>GIGABYTE AERO X16 (AMD Ryzen AI 7-350/ DDR5 16GB/ SSD 1TB/ 16" WQXGA IPS 165Hz/ 8GB RTX5050/ Backlit/ Win11/ RU) Gray (1TH93UAC94AH)</t>
  </si>
  <si>
    <t>1TH93UAC94AH</t>
  </si>
  <si>
    <t>GIGABYTE AERO X16 (AMD Ryzen AI 7-350/ DDR5 16GB/ SSD 1TB/ 16" WQXGA IPS 165Hz/ 8GB RTX5060/ Backlit/ Win11/ RU) Gray (1VH93UAC94AH)</t>
  </si>
  <si>
    <t>1VH93UAC94AH</t>
  </si>
  <si>
    <t>GIGABYTE AERO X16 (AMD Ryzen AI 7-350/ DDR5 32GB/ SSD 1TB/ 16" WQXGA IPS 165Hz/ 8GB RTX5060/ Backlit/ Win11/ RU) Gray (1VH93UAC64AH)</t>
  </si>
  <si>
    <t>1VH93UAC64AH</t>
  </si>
  <si>
    <t>GIGABYTE AERO X16 (AMD Ryzen AI 7-350/ DDR5 32GB/ SSD 1TB/ 16" WQXGA IPS 165Hz/ 8GB RTX5070/ Backlit/ Win11/ RU) White (1WH93UAC64DH)</t>
  </si>
  <si>
    <t>1WH93UAC64DH</t>
  </si>
  <si>
    <t>MSI Thin A15 (AMD Ryzen 7-7735HS/ DDR5 8GB/ SSD 512GB/ 15,6" FHD IPS 144Hz/ 4GB RTX3050/ Backlit/ NoOS/ RU) Cosmos Grey (9S7-16RK11-653)</t>
  </si>
  <si>
    <t>9S7-16RK11-653</t>
  </si>
  <si>
    <t>MSI CYBORG 15 (Intel Core i5-13420H/ DDR5 16GB/ SSD 512GB/ 15,6" FHD IPS 144Hz/ 6GB RTX4050/ Backlit/ NoOS/ RU) Black (9S7-15K111-2243)</t>
  </si>
  <si>
    <t>9S7-15K111-2243</t>
  </si>
  <si>
    <t>MSI CYBORB 15F (Intel Core i7-13620H/ DDR5 16GB/ SSD 1000GB/ 15.6”FHD IPS 144Hz/ 8GB RTX5050/ Backlit/ NoOS/ Eng) Black (9S7-15Q342-493)</t>
  </si>
  <si>
    <t>9S7-15Q342-493</t>
  </si>
  <si>
    <t>Dell Pro 15 PV15250 (Intel Core i3-100U/ DDR5 8GB/ SSD 512GB/ 15.6" FHD LCD/ Intel UHD Graphics/ NoOS/ RU) Black (PV15250_rplu_004_p)</t>
  </si>
  <si>
    <t>PV15250_rplu_004_p</t>
  </si>
  <si>
    <t>Dell 15 DC15250 (Intel Core i5-1334U/ DDR5 8GB/ SSD 512GB/ 15.6" FHD LCD Touch/ Intel UHD Graphics/ Win11/ ENG) Black (LDC15250-5315BLK-PUS)</t>
  </si>
  <si>
    <t>LDC15250-5315BLK-PUS</t>
  </si>
  <si>
    <t>Dell 15 DC15250 (Intel Core i7-1355U/ DDR4 16GB/ SSD 1000GB/ 15.6" FHD LCD/ Intel UHD Graphics/ Win11/ RU) Carbon Black (LDC15250-7292)</t>
  </si>
  <si>
    <t>LDC15250-7292</t>
  </si>
  <si>
    <t>Dell Pro 15 Essential PV15250 (Intel Core i7-1355U/ DDR5 8GB/ SSD 512GB/ 15.6" FHD 120Hz/ Intel UHD Graphics/ NoOS/ RU) Black (1028219981)</t>
  </si>
  <si>
    <t>Dell Pro 14 (PC14250) (Intel Core 5-120U/ DDR5 8GB/ SSD 512GB/ 14" FHD IPS/ Intel UHD Graphics/ NoOS/ RU) Black (1028219994)</t>
  </si>
  <si>
    <t>Dell Pro 16 (PC16250)  (Intel Core 5-120U/ DDR5 8GB/ SSD 512GB/ 16" FHD IPS/ Intel UHD Graphics/ NoOS/ RU) Black (1028220010)</t>
  </si>
  <si>
    <t>Dell Pro 13 Premium PA13250 (Intel Core Ultra 7-266V vPro/ DDR5 16GB/ SSD 512GB/ Ultralight 13.3 FHD+ / Integrated Intel Arc graphics/ Win11Pro/ RU) Black  (официальный)</t>
  </si>
  <si>
    <t>PA13250</t>
  </si>
  <si>
    <t>ASUS Vivobook Go 15 (Intel Core i3-N305/ DDR4 8GB/ SSD 256GB/ 15,6" FHD/ Intel UHD Graphics/ Win11/ RU) Silver (90NB0ZT1-M02580 / E1504GA-WS35)</t>
  </si>
  <si>
    <t>90NB0ZT1-M02580 / E1504GA-WS35</t>
  </si>
  <si>
    <t>ASUS Vivobook Go 15 (AMD Ryzen 5-7520U/ DDR4 8GB/ SSD 512GB/ 15.6" FHD IPS/ AMD Radeon 610M/ NoOS/ RU) Black (90NB0ZR2-M03YY0 / E150FA-NJ009)</t>
  </si>
  <si>
    <t>90NB0ZR2-M03YY0 / E150FA-NJ009</t>
  </si>
  <si>
    <t>ASUS Vivobook Go 15 (AMD Ryzen 5-7520U/ DDR4 8GB/ SSD 512GB/ 15.6" FHD IPS/ AMD Radeon 610M/ NoOS/ RU) Silver (90NB0ZR1-M02260 / E1504FA-BQ1163) (официальный)</t>
  </si>
  <si>
    <t>90NB0ZR1-M02260 / E1504FA-BQ1163</t>
  </si>
  <si>
    <t>ASUS Vivobook X1504VA (Intel Core 5-120U/ DDR5 8GB/ SSD 512GB/ 15,6" FHD/ Intel Iris Xe graphics/ NoOS/ RU) Silver (90NB13Y2-M014W0 / X1504VA-BQ592)</t>
  </si>
  <si>
    <t>90NB13Y2-M014W0 / X1504VA-BQ592</t>
  </si>
  <si>
    <t>ASUS Vivobook X1504VA (Intel Core 5-120U/ DDR5 8GB/ SSD 512GB/ 15,6" FHD/ Intel Iris Xe graphics/ NoOS/ RU) Silver (90NB13Y2-M01TT0 / X1504VA-BQ4172)</t>
  </si>
  <si>
    <t>90NB13Y2-M01TT0 / X1504VA-BQ4172</t>
  </si>
  <si>
    <t>ASUS Vivobook X1504VA (Intel Core 5-120U/ DDR4 8GB/ SSD 512GB/ 15,6" FHD/ Intel Iris Xe graphics/ NoOS/ RU) Silver (90NB13Y2-M02WC0 / X1504VA-BQ4685)</t>
  </si>
  <si>
    <t>90NB13Y2-M02WC0 / X1504VA-BQ4685</t>
  </si>
  <si>
    <t>ASUS Vivobook X1504VA (Intel Core 5-120U/ DDR4 16GB/ SSD 512GB/ 15,6" FHD/ Intel UHD Graphics/ NoOS/ RU) Blue (X1504VA-BQ4055 / 90NB13Y1-M01PX0) (официальный)</t>
  </si>
  <si>
    <t>90NB11D1-M00KW0 / K3605VC-RP380</t>
  </si>
  <si>
    <t>новая цена</t>
  </si>
  <si>
    <t>ASUS Expertbook B1503CVA (Intel Core 3-100U/ DDR5 8GB/ SSD 256GB/ 15,6" FHD/ Intel Iris Xe graphics/ NoOS/ RU) Grey (90NX0881-M02YN0 / P1503CVA-i38256G0D)</t>
  </si>
  <si>
    <t>90NX0881-M02YN0 / P1503CVA-i38256G0D</t>
  </si>
  <si>
    <t>ASUS Expertbook B1503CVA (Intel Core 7-150U/ DDR5 16GB/ SSD 512GB/ 15,6" FHD/ Intel Iris Xe graphics/ NoOS/ RU) Grey (90NX0801-M05US0 / B1503CVA-i716512B0D)</t>
  </si>
  <si>
    <t>90NX0801-M05US0 / B1503CVA-i716512B0D</t>
  </si>
  <si>
    <t>ASUS TUF Gaming FX607 (Intel Core i5-210H/ DDR4 16GB/ SSD 512GB/ 16" WUXGA 144Hz/ 6GB GF RTX3050/ Backlit/ NoOS/RU) Black (90NR0MZ6-M005K0 / FX607VJB-RL103) (перечисление)</t>
  </si>
  <si>
    <t>90NR0MZ6-M005K0 / FX607VJB-RL103</t>
  </si>
  <si>
    <t>ASUS TUF Gaming FX607VU (Intel Core i7-13620H/ DDR5 16GB/ SSD 1TB/ 16" WUXGA/ 6GB GF RTX4050/ Backlit/ NoOS/ RU) Mecha Gray (90NR0N06-M007E0 / FX607VU-RL112) (официальный) (1 штук)</t>
  </si>
  <si>
    <t>90NR0N06-M007E0 / FX607VU-RL112</t>
  </si>
  <si>
    <t>ASUS TUF Gaming F17 (Intel Core i7-13620H/ DDR5 16GB/ SSD 512GB/ 17,3" FHD IPS 144Hz/ 6GB GF RTX4050/ Backlit/ NoOS/ RU) Mecha Gray (90NR0CS5-M00E60 / FX707VU-HX175) (официальный)</t>
  </si>
  <si>
    <t>90NR0CS5-M00E60 / FX707VU-HX175</t>
  </si>
  <si>
    <t>ASUS ROG Strix G16 (Intel Core i7-14650HX/ DDR5 16GB/ SSD 1TB/ 16.0 WUXGA 240Hz/ 8GB RTX5050/ Backlit/ NoOS/ RU) Eclipse Gray (90NR0LL1-M00440 / G615JHR-S5105)</t>
  </si>
  <si>
    <t>90NR0L91-M00500 / G615JPR-RV119</t>
  </si>
  <si>
    <t>ASUS ROG Strix G18 (Intel Core i7-14650HX/ DDR5 16GB/ SSD 1TB/ 18" WQXGA IPS 240Hz/ 8GB RTX5050/ Backlit/ NoOS/ RU) Eclipse Gray (G815JHR-S9024 / 90NR0LA1-M000S0) (официальный)</t>
  </si>
  <si>
    <t>G815JHR-S9024 / 90NR0LA1-M000S0</t>
  </si>
  <si>
    <t>ASUS ROG Strix G18 (AMD Ryzen 9-8940HX/ DDR5 32GB/ SSD 1TB/ 18.0 WQXGA IPS 240Hz/ 8GB RTX5070/ Backlit/ NoOS/ RU) Eclipse Gray (90NR0KY8-M001M0 / G814PP-S9032) (3 штук)</t>
  </si>
  <si>
    <t>90NR0KY8-M001M0 / G814PP-S9032</t>
  </si>
  <si>
    <t>ASUS ROG Strix G18 (Intel Core Ultra 9 -275HX/ DDR5 16GB/ SSD 1TB/ 18.0 WQXGA IPS 240Hz/ 8GB RTX5070/ Backlit/ NoOS/ RU) Eclipse Gray (90NR0LT1-M00080 / G815LR-S9007) (1 штук)</t>
  </si>
  <si>
    <t>90NR0LT1-M00080 / G815LR-S9007</t>
  </si>
  <si>
    <t>ASUS ROG Strix G18 (Intel Core Ultra 9-275HX/ DDR5 32GB/ SSD 2TB/ 18.0 WQXGA IPS 240Hz/ 8GB RTX5070Ti/ Backlit/ NoOS/ RU) Eclipse Gray (90NR0LS1-M00050 / G835LR-SA005)</t>
  </si>
  <si>
    <t>90NR0LS1-M00050 / G835LR-SA005</t>
  </si>
  <si>
    <t>ASUS ROG Strix G18 (Intel Core Ultra 9-275HX/ DDR5 32GB/ SSD 1TB/ 18" WQXGA IPS 240Hz/ 16GB RTX5080/ Backlit/ NoOS/ RU) Eclipse Gray (90NR0LC1-M000F0 / G815LW-S9014) (официальный)</t>
  </si>
  <si>
    <t>90NR0LC1-M000F0 / G815LW-S9014</t>
  </si>
  <si>
    <t>Lenovo IdeaPad 1 15IJL7 (Intel Celeron N4500/ DDR4 8GB/ SSD 256GB/ 15.6 FHD/ Intel UHD Graphics/ No DVD/ DOS/ RU) Cloud Grey (82LX00D7PS)</t>
  </si>
  <si>
    <t>82LX00D7PS</t>
  </si>
  <si>
    <t>Lenovo V15 G6 ITN (Intel N100/ DDR5 8GB/ SSD 256GB/ 15.6 FHD/ Intel UHD Graphics/ No DVD/ DOS/ RU) Black (83M4000YGQ) (распродажа)</t>
  </si>
  <si>
    <t>83M4000YGQ</t>
  </si>
  <si>
    <t>82XQ00ELRK</t>
  </si>
  <si>
    <t>Lenovo IdeaPad Slim 3 15AMN8 (AMD Ryzen 5-7520U/ DDR5 8GB/ SSD 512GB/ 15,6" FHD IPS/ AMD Radeon 610M Graphics/ NoOS/ RU) Arctic Grey (82XQ00JQRK) (официальный)</t>
  </si>
  <si>
    <t>82XQ00JQRK</t>
  </si>
  <si>
    <t>Lenovo V15 G4 AMN (AMD Ryzen 5-7520U/ DDR5 8GB/ SSD 512GB/ 15,6" FHD IPS/ AMD Radeon 610M Graphics/ NoOS/ RU) Black (82YU016XRU) (официальный)</t>
  </si>
  <si>
    <t>82YU016XRU</t>
  </si>
  <si>
    <t>Lenovo V15 G5 IRL (Intel Core i3-1315U/ DDR5 8GB/ SSD 256GB/ 15.6" FHD/ Integrated Intel® UHD Graphics/ NoOS/ RU) Black (83GW0076UE)</t>
  </si>
  <si>
    <t>83GW0076UE</t>
  </si>
  <si>
    <t>Lenovo IdeaPad Slim 3 15IRU8 (Intel Core i3-1315U/ DDR5 8GB/ SSD 256GB/ 15.6" FHD/ Integrated Intel® UHD Graphics/ NoOS/ RU) Arctic Grey (82X700DBUE)</t>
  </si>
  <si>
    <t xml:space="preserve">82X700DBUE </t>
  </si>
  <si>
    <t>Lenovo IdeaPad 1 15IRU7 (Intel Core i5-1335U/ DDR4 16GB/ SSD 256GB/ 15.6" FHD/ Intel Iris Xe Graphics/ Win11/ ENG) Cloud Grey (83B40008US)</t>
  </si>
  <si>
    <t>83B40008US</t>
  </si>
  <si>
    <t>Lenovo IdeaPad Slim 3 15IRH10 (Intel Core i5-13420H/ DDR5 8GB/ SSD 512GB/ 15.6" WXUGA IPS/ Intel UHD Graphics/ NoOS/ RU) Luna Grey (83K100P3FU)</t>
  </si>
  <si>
    <t>83K100P3FU</t>
  </si>
  <si>
    <t>Lenovo IdeaPad Slim 3 15IRH10 (Intel Core i5-13420H/ DDR5 8GB/ SSD 512GB/ 15.6" WXUGA IPS/ Intel UHD Graphics/ NoOS/ RU) Luna Grey (83HF00E6IG)</t>
  </si>
  <si>
    <t>83HF00E6IG</t>
  </si>
  <si>
    <t>Lenovo IdeaPad Slim 3 15IRH10 (Intel Core i5-13420H/ DDR5 8GB/ SSD 512GB/ 15.6" WXUGA IPS/ Intel UHD Graphics/ Backlit/ NoOS/ RU) Luna Grey (83K100DWPS)</t>
  </si>
  <si>
    <t>83K100DWPS</t>
  </si>
  <si>
    <t>Lenovo IdeaPad Slim 3 15IRH10 (Intel Core i5-13420H/ DDR5 8GB/ SSD 512GB/ 15.6" WXUGA IPS/ Intel UHD Graphics/ NoOS/ RU) Luna Grey (83K1002URK) (официальный)</t>
  </si>
  <si>
    <t>83K1002URK</t>
  </si>
  <si>
    <t>Lenovo Ideapad Slim 3 16IRH10 (Intel Core i5-13420H/ DDR5 16GB/ SSD 512GB/ 16" WUXGA IPS/ Intel UHD Graphics/ NoOS/ RU) Luna Grey (83K2000WRK) (официальный)</t>
  </si>
  <si>
    <t>83K2000WRK</t>
  </si>
  <si>
    <t>Lenovo V15 G4 ABP (AMD Ryzen 7-7730U/ DDR5 16GB/ SSD 512GB/ 15.3"FHD/ AMD Radeon Graphics/ NoOS/ RU) Black (82YY0013RU) (официальный)</t>
  </si>
  <si>
    <t>82YY0013RU</t>
  </si>
  <si>
    <t>Lenovo IdeaPad Slim 3 15IRH10 (Intel Core i7-13620H/ DDR5 8GB/ SSD 512GB/ 15.3" WUXGA/ Intel® UHD Graphics/ NoOS/ RU) Luna Grey (83K1002WRK) (официальный)</t>
  </si>
  <si>
    <t>83K1002WRK</t>
  </si>
  <si>
    <t>Lenovo IdeaPad Slim 3 15IRH10 (Intel Core i7-13620H/ DDR5 8GB/ SSD 512GB/ 16" WUXGA/ Intel® UHD Graphics/ NoOS/ RU) Luna Grey (83K2000XRK) (официальный)</t>
  </si>
  <si>
    <t>83K2000XRK</t>
  </si>
  <si>
    <t>Lenovo IdeaPad Slim 3 15IRH10 (Intel Core i7-13620H/ DDR5 16GB/ SSD 512GB/ 15.3" WUXGA/ Intel® UHD Graphics/ NoOS/ RU) Luna Grey (83K10032RK) (официалный)</t>
  </si>
  <si>
    <t>83K10032RK</t>
  </si>
  <si>
    <t xml:space="preserve">Lenovo LOQ 15IAX9E (Intel Core i5-12450HX/ DDR5 16GB/ SSD 512GB/ 15.6 FHD IPS 144Hz/ 6GB GF RTX3050/ Win11/ RU) Luna Grey (83LK00CVUS) </t>
  </si>
  <si>
    <t>83LK00CVUS</t>
  </si>
  <si>
    <t>Lenovo LOQ 15IRX9 (Intel Core i7-13650HX/ DDR5 16GB/ SSD 512GB/ 15.6" FHD IPS 144Hz/ 6GB RTX4050/ Backlit/ NoOS/ RU) Luna Grey (83DV01CTSA)</t>
  </si>
  <si>
    <t>83DV01CTSA</t>
  </si>
  <si>
    <t>Lenovo LOQ 15IRX10 (Intel Core i7-13650HX/ DDR5 16GB/ SSD 512GB/ 15.6" FHD IPS 144Hz/ 8GB RTX5050/ Backlit/ Win11/ RU) Luna Grey (83JE00KCCC)</t>
  </si>
  <si>
    <t>83JE00KCCC</t>
  </si>
  <si>
    <t xml:space="preserve">Lenovo LOQ 17IRX10 (Intel Core i5-13450HX/ DDR5 16GB/ SSD 512GB/ 17.3 FHD IPS 165Hz / 8GB GF RTX5050/ Backlit/ NoOS/ RU) Luna Grey (83JH0089RK) </t>
  </si>
  <si>
    <t>83JH0089RK</t>
  </si>
  <si>
    <t>Lenovo LOQ 15IRX10 (Intel Core i7-13650HX/ DDR5 16GB/ SSD 512GB/ 15.6" FHD IPS 144Hz/ 8GB RTX5060/ Backlit/ Win11/ RU) Luna Grey (83JE002LUS)</t>
  </si>
  <si>
    <t>83JE002LUS</t>
  </si>
  <si>
    <t>Lenovo Legion Go S 8ARP1 (AMD Ryzen™ Z2 Go/ DDR5 32GB/ SSD 1TB/ 8" WUXGA (1920x1200) IPS Touch/  Integrated AMD Radeon™ Graphics/ W11 Home SL) Glacier White (83L3001BRK) (2 штук)</t>
  </si>
  <si>
    <t>83L3001BRK</t>
  </si>
  <si>
    <t xml:space="preserve">Lenovo Legion 5 15IRX10 (Intel Core i7-13650HX/ DDR5 16GB/ SSD 1000GB/ 15.6 WUXGA IPS 165Hz / 8GB GF RTX5050/ Backlit/ NoOS/ RU) Black (83LY00QNPS) </t>
  </si>
  <si>
    <t>83LY00QNPS</t>
  </si>
  <si>
    <t>Lenovo Legion Pro 5 15IRX10 (Intel Core i9-14900HX/ DDR5 32GB/ SSD 512GB/ 15,1" WQXGA (2560x1600) OLED 165Hz/ 8GB RTX5070/ Backlit/ NoOS/ RU) Eclipse Black (83LY00K1RK)</t>
  </si>
  <si>
    <t>83LY00K1RK</t>
  </si>
  <si>
    <t>Lenovo Legion 9 16IRX9 (Intel Core i9-14900HX/ DDR5 32GB/ SSD 2TB/ 16" 3,2K (3200x2000) Mini LED 165Hz/ 12GB RTX™ 4080/ Backlit/ NoOS/ RU) Carbon Black (83G0002LRK) + Леново рюкзак в подарок (1 штук)</t>
  </si>
  <si>
    <t>83G0002LRK</t>
  </si>
  <si>
    <t>Lenovo Legion 9 16IRX9 (Intel Core i9-14900HX/ DDR5 32GB/ SSD 2TB/ 16" 3,2K (3200x2000) Mini LED 165Hz/ 16GB RTX™ 4090/ Backlit/ NoOS/ RU) Carbon Black (83G0002MRK) + Леново рюкзак в подарок (1 штук)</t>
  </si>
  <si>
    <t>83G0002MRK</t>
  </si>
  <si>
    <t>Lenovo ThinkBook 14 G6 (Intel Core i5-13420H/ DDR5 8GB/ SSD 512GB/ 14" WUXGA IPS/ Intel UHD Graphics/ NoOS/ RU) Arctic Grey (21KG00TXUE)</t>
  </si>
  <si>
    <t>21KG00TXUE</t>
  </si>
  <si>
    <t>Lenovo Thinkbook 13x G4 IMH (Intel Core Ultra 5-125U/ DDR5 16GB/ SSD 512GB/ 13.5" 2.8K (2880x1920) IPS/ Integrated Intel® Arc™ Graphics/ Backlit/ Win11Pro/ RU) Luna Grey (21KR0008RU) (официальный)</t>
  </si>
  <si>
    <t>21KR0008RU</t>
  </si>
  <si>
    <t>Lenovo ThinkPad T14s G5 (Intel Core Ultra 7-155U/ DDR5 16GB/ SSD 512GB/ 14" WUXGA IPS/ Integrated Intel® Graphics/ Backlit/ NoOS/ RU) Black (21LS008BFW)  (официальный)</t>
  </si>
  <si>
    <t>21LS008BFW</t>
  </si>
  <si>
    <t>Lenovo ThinkPad X1 Carbon G13 Aura Edition (Intel Core Ultra 7-255U/ DDR5 32GB/ SSD 1000GB/ 14" WUXGA IPS/ Integrated Intel® Graphics/ Backlit/ Win11Pro/ RU) Black (21NX00F8FW)</t>
  </si>
  <si>
    <t>21NX00F8FW</t>
  </si>
  <si>
    <t>Lenovo ThinkPad X1 Carbon G13 Aura Edition (Intel Core Ultra 7-258V/ DDR5 32GB/ SSD 512GB/ 14" WUXGA IPS/ Integrated Intel® Arc™ Graphics/ Backlit/ Win11Pro/ RU) Black (21NS004WFW) (перечисление)</t>
  </si>
  <si>
    <t>21NS004WFW</t>
  </si>
  <si>
    <t>Lenovo ThinkPad Z16 Gen 2 (AMD Ryzen 7-258V/ DDR5 32GB/ SSD 512GB/ 16" WUXGA/ AMD Radeon™ RX 6550M/ Backlit/ Win11Pro/ RU) Black (21JX001JRT) (1 штук)</t>
  </si>
  <si>
    <t>21JX001JRT</t>
  </si>
  <si>
    <t>Acer Aspire Lite AL15-52P (Intel Celeron N4500/ DDR4 8GB/ SSD 256GB/ 15.6 FHD IPS/ Intel UHD Graphics/ NoOS/ RU) Silver (NX.JB8ER.001) (официальный)</t>
  </si>
  <si>
    <t>NX.JB8ER.001</t>
  </si>
  <si>
    <t>Acer Aspire Go 15 (Intel Core i3-N355/ DDR5 8GB/ UFS 128GB/ 15.6" FHD/ Intel UHD Graphics/ Win11/ RU) Steel Gray (NX.JJLAA.001)</t>
  </si>
  <si>
    <t>NX.JJLAA.001</t>
  </si>
  <si>
    <t>Acer Aspire Lite AL16-52P (Intel Core i3-1305U/ DDR5 8GB/ SSD 256GB/ 16" WUXGA IPS/ Intel UHD Graphics/ NoOS/ RU) Silver (NX.JN0EM.001)</t>
  </si>
  <si>
    <t>NX.JN0EM.001</t>
  </si>
  <si>
    <t>Acer Aspire Lite AL16-54P (Intel Core i3-1305U/ DDR5 8GB/ SSD 512GB/ 16" WUXGA IPS/ Intel UHD Graphics/ NoOS/ RU) Silver (NX.D75EM.004)</t>
  </si>
  <si>
    <t>NX.D75EM.004</t>
  </si>
  <si>
    <t>Acer Aspire Lite AL15-33P (Intel Core i3-N355/ DDR5 16GB/ SSD 512GB/ 15.6" FHD IPS/ Intel UHD Graphics/ NoOS/ RU) Natural Titanium (NX.D62ER.001) (официальный)</t>
  </si>
  <si>
    <t>NX.D62ER.001</t>
  </si>
  <si>
    <t>Acer Aspire Lite 15-44P (AMD Ryzen 5-7430U/ DDR4 16GB/ SSD 512GB/ 15,6 FHD IPS/ AMD Radeon Graphics/ NoOS/ RU) Silver (NX.DJZEX.001)</t>
  </si>
  <si>
    <t>NX.DJZEX.001</t>
  </si>
  <si>
    <t>NX.D5JEM.001</t>
  </si>
  <si>
    <t>Acer Aspire Lite AL16-54P (Intel Core i5-1334U/ DDR5 8GB/ SSD 512GB/ 16" WUXGA IPS/ Intel UHD Graphics/ NoOS/ RU) Silver (NX.D75EM.003)</t>
  </si>
  <si>
    <t>NX.D75EM.003</t>
  </si>
  <si>
    <t>Acer Aspire Lite AL15-45P (AMD Ryzen 7-5825U/ DDR4 16GB/ SSD 512GB/ 15,6 FHD IPS/ AMD Radeon Graphics/ NoOS/ RU) Silver (NX.DLQEM.001)</t>
  </si>
  <si>
    <t>NX.DLQEM.001</t>
  </si>
  <si>
    <t xml:space="preserve">Acer Aspire Lite AL15-72P (Intel Core i5-13420H/ DDR5 16GB/ SSD 512GB/ 15,6" FHD IPS / Intel UHD Graphics/ NoOS/ RU) Silver (NX.D5HEM.003) </t>
  </si>
  <si>
    <t>NX.D5HEM.003</t>
  </si>
  <si>
    <t xml:space="preserve">Acer Aspire Lite AL15-72P (Intel Core i5-13420H/ DDR5 16GB/ SSD 512GB/ 15,6" FHD IPS / Intel UHD Graphics/ NoOS/ RU) Silver (NX.D5HEX.002) </t>
  </si>
  <si>
    <t>NX.D5HEX.002</t>
  </si>
  <si>
    <t>Acer Aspire 3 A325-53 (Intel Core i5-1334U/ DDR4 16GB/ SSD 512GB/ 15.6 FHD IPS / Intel Iris Xe Graphics/ Backlit/ No OS/ RU) Silver (ZN.N01SI.03P)</t>
  </si>
  <si>
    <t>ZN.N01SI.03P</t>
  </si>
  <si>
    <t>Acer Gadget Etbook CWI570 (Intel Core i5-12450H/ DDR4 16GB/ SSD 512GB/ 14" QHD(2160x1440) 2K IPS/ Intel UHD Graphics/ WIN11H/ RU) Black</t>
  </si>
  <si>
    <t>CWI570</t>
  </si>
  <si>
    <t>Acer Aspire Lite AL16-54P (Intel Core i5-1334U/ DDR5 16GB/ SSD 512GB/ 16" WUXGA IPS / Intel UHD Graphics/ NoOS/ RU) Silver (NX.D76ER.001) (официальный)</t>
  </si>
  <si>
    <t>NX.D76ER.001</t>
  </si>
  <si>
    <t>Acer Aspire Lite 15-72P (Intel Core i7-13620H/ DDR5 16GB/ SSD 1TB/ 15.6" FHD IPS/ Intel UHD Graphics/ NoOS/ RU) Silver (NX.D5GEX.001)</t>
  </si>
  <si>
    <t>NX.D5GEX.001</t>
  </si>
  <si>
    <t xml:space="preserve">Acer Nitro Lite (Intel Core i5-13420H/ DDR5 16GB/ SSD 512GB/ 16" WUXGA IPS 165Hz/ 6GB RTX3050/ Backlit/ NoOS/ RU) Black (NH.DAAEM.002) </t>
  </si>
  <si>
    <t>NH.DAAEM.002</t>
  </si>
  <si>
    <t xml:space="preserve">Acer Nitro Lite (Intel Core i5-13420H/ DDR5 16GB/ SSD 512GB/ 16" WUXGA IPS 165Hz/ 6GB RTX4050/ Backlit/ NoOS/ RU) Black (NH.DAEEM.002) </t>
  </si>
  <si>
    <t>NH.DAEEM.002</t>
  </si>
  <si>
    <t>Acer Nitro Lite (Intel Core i7-13620H/ DDR5 16GB/ SSD 512GB/ 16" WUXGA IPS 165Hz/ 6GB RTX3050/ Backlit/ NoOS/ RU) Black (NH.DAAEM.003)</t>
  </si>
  <si>
    <t>NH.DAAEM.003</t>
  </si>
  <si>
    <t xml:space="preserve">Acer Nitro V15 (Intel Core 5-210H/ DDR4 16GB/ SSD 512GB/ 15,6" FHD IPS 165Hz/ 6GB RTX5050/ Backlit/ Win11/ RU) Black (NH.QZ9SG.00J) </t>
  </si>
  <si>
    <t>NH.QZ9SG.00J</t>
  </si>
  <si>
    <t xml:space="preserve">Acer Nitro Lite (Intel Core i7-13620H/ DDR5 16GB/ SSD 512GB/ 16" WUXGA IPS 165Hz/ 6GB RTX4050/ Backlit/ Win11/ RU) White (NH.D5ASG.003) </t>
  </si>
  <si>
    <t>NH.D5ASG.003</t>
  </si>
  <si>
    <t>HP 15-fc0171nia (5M5) (AMD Athlon Silver 7120U/ DDR5 8GB/ SSD 256GB/ 15,6" FHD/ AMD Radeon Graphics/ NoOS/ RU) Silver (BK5M5EA)</t>
  </si>
  <si>
    <t>BK5M5EA</t>
  </si>
  <si>
    <t>HP 240 G10 (053) (Intel Core i3-1315U/ DDR4 8GB/ SSD 256GB/ 14" FHD IPS/ Intel UHD Graphics/ NoOS/RU) Black (9G2G5ET)</t>
  </si>
  <si>
    <t>9G2G5ET</t>
  </si>
  <si>
    <t>HP 15-fd0133wm (KT4) (Intel Core i3-N305/ DDR4 8GB/ SSD 256GB/ 15.6" FHD/ Intel® UHD Graphics/ Win11H/ RU) Silver (B4KT4UA)</t>
  </si>
  <si>
    <t>B82HWEA</t>
  </si>
  <si>
    <r>
      <rPr>
        <b/>
        <sz val="11"/>
        <color theme="1"/>
        <rFont val="Calibri"/>
        <family val="2"/>
        <charset val="204"/>
      </rPr>
      <t xml:space="preserve">HP 15-fd0230WM (8GJ) (Intel Core i3-N305/ DDR4 8GB/ SSD 256GB/ 15.6" FHD </t>
    </r>
    <r>
      <rPr>
        <b/>
        <sz val="11"/>
        <color rgb="FFFF0000"/>
        <rFont val="Calibri"/>
        <family val="2"/>
        <charset val="204"/>
      </rPr>
      <t>Touch</t>
    </r>
    <r>
      <rPr>
        <b/>
        <sz val="11"/>
        <color theme="1"/>
        <rFont val="Calibri"/>
        <family val="2"/>
        <charset val="204"/>
      </rPr>
      <t xml:space="preserve">/ Intel UHD Graphics/ Backlit/ Win11/ Eng) Silver (C68GJUA) </t>
    </r>
  </si>
  <si>
    <t>C68GJUA</t>
  </si>
  <si>
    <t>HP 255 G10 (549) (AMD Ryzen 3-7320U/ DDR4 8GB/ SSD 256GB/ 15,6" FHD/ AMD Radeon Graphics/ NoOS/ RU) Silver (8A549EA) (перечисление)</t>
  </si>
  <si>
    <t>8A549EA</t>
  </si>
  <si>
    <t>HP 15-fc0196nia (1R2) (AMD Ryzen 5-7520U/ DDR5 8GB/ SSD 512GB/ 15,6 FHD IPS/ AMD Radeon Graphics/ NoOS/ ENG) Silver (D01R2EA)</t>
  </si>
  <si>
    <t>D01R2EA</t>
  </si>
  <si>
    <t>HP 15-Fc0046nq (AW5) (AMD Ryzen 5-7520U/ DDR4 16GB/ SSD 512GB/ 15,6 FHD/ AMD Radeon Graphics/ NoOS/ RU) Silver (C5AW5EA)</t>
  </si>
  <si>
    <t>C5AW5EA</t>
  </si>
  <si>
    <t>HP 15-Fc0025wm (3Q5) (AMD Ryzen 5-7520U/ DDR4 8GB/ SSD 1TB/ 15,6 FHD Touch/ AMD Radeon Graphics/ NoOS/ RU) Silver (CK3Q5UA)</t>
  </si>
  <si>
    <t>CK3Q5UA</t>
  </si>
  <si>
    <t xml:space="preserve">HP 15-fd0250wn (0S6) (Intel Core i5-1334U/ DDR4 8GB/ SSD 512GB/ 15.6" HD/ Intel Iris Xe graphics/ NoOS/ ENG) Silver (BY0S6UA) </t>
  </si>
  <si>
    <t>BY0S6UA</t>
  </si>
  <si>
    <t>HP 250R G9 (NK9) (Intel Core i5-1334U/ DDR4 8GB/ SSD 512GB/ 15,6" FHD IPS/ Intel Iris Xe Graphics/ NoOS/ RU) Black (B2NK9ES) (распродажа)</t>
  </si>
  <si>
    <t>B2NK9ES</t>
  </si>
  <si>
    <t>HP 250R G10 (1B0) (Intel Core 5-120U/ DDR4 8GB/ SSD 512GB/ 15,6" FHD IPS/ Intel UHD Graphics/ Backlit/ NoOS/ RU) Silver (CW1B0AT) (распродажа)</t>
  </si>
  <si>
    <t>CW1B0AT</t>
  </si>
  <si>
    <t>HP 15-fd0154wm (1W9) (Intel Core i5-1334U/ DDR4 8GB/ SSD 512GB/ 15.6" FHD IPS Touch / Intel UHD Graphics/ NoOS/ Eng) Silver (BZ1W9UA)</t>
  </si>
  <si>
    <t>D18P3EA</t>
  </si>
  <si>
    <t xml:space="preserve">HP 15-fd0684nr (3L2) (Intel Core i5-1334U/ DDR4 12GB/ SSD 512GB/ 15.6" FHD IPS/ Intel Iris Xe graphics/ Win11/ RU) Silver (BM3L2UA) </t>
  </si>
  <si>
    <t>BM3L2UA</t>
  </si>
  <si>
    <t>HP 15-fd0215dx (CN6) (Intel Core i5-1334U/ DDR4 16GB/ SSD 512GB/ 15.6" FHD IPS Touch / Intel UHD Graphics/ NoOS/ RU) Silver (C0CN6UA)</t>
  </si>
  <si>
    <t>C0CN6UA</t>
  </si>
  <si>
    <t>Hp 15-Fd1003nq (BL2) (Intel Ultra 5-125H/ DDR5 24GB/ SSD 1TB/ 15.6" FHD IPS/ Integrated Intel® Arc™ Graphics/ NoOS/ RU)  Silver (D0BL2EA)</t>
  </si>
  <si>
    <t>D0BL2EA</t>
  </si>
  <si>
    <t>HP 15-fd0099nq (8T3) (Intel Core i7-150U/ DDR4 16GB/ SSD 1TB/ 15.6" FHD/ Intel UHD Graphics/ Backlit/ NoOS/ RU) Moonlight Blue (C58T3EA)</t>
  </si>
  <si>
    <t>C58T3EA</t>
  </si>
  <si>
    <t>HP ProBook 460 G11 (6L0) (Intel Core Ultra 5-125U/ DDR5 8GB/ SSD 512GB/ 16" WUXGA IPS/ Intel UHD Graphics/ Backlit/ NoOS/ RU) Pike Silver (B26L0PT)</t>
  </si>
  <si>
    <t>B26L0PT</t>
  </si>
  <si>
    <t>HP ProBook 460 G11 (9ZP) (Intel Core Ultra 7-155U/ DDR5 8GB/ SSD 512GB/ 16" WUXGA IPS/ Intel UHD Graphics/ Backlit/ NoOS/ RU) Pike Silver (B49ZPPT)</t>
  </si>
  <si>
    <t>B49ZPPT</t>
  </si>
  <si>
    <t>HP ProBook 4 G1iR (9X8) (Intel Core i5-1334U/ DDR5 16GB/ SSD 512GB/ 14 WUXGA IPS/ Intel UHD Graphics/ Backlit/ DOS) Pike Silver (B39X8AT)</t>
  </si>
  <si>
    <t>B39X8AT</t>
  </si>
  <si>
    <t>HP ProBook 4 G1iR (9G0) (Intel Core 5-120U/ DDR5 16GB/ SSD 512GB/ 16 WUXGA IPS/ Intel UHD Graphics/ Backlit/ DOS/ RU ) Silver (CW9G0AT)</t>
  </si>
  <si>
    <t>CW9G0AT</t>
  </si>
  <si>
    <t xml:space="preserve">HP Victus 15-fa2013dx (5WH) (Intel Core i5-13420H/ DDR4 8GB/ SSD 512GB/ 15,6" FHD 144Hz/ 6GB GF RTX3050/ Backlit/ Win11/ RU) Black (B95WHUA) </t>
  </si>
  <si>
    <t>B95WHUA</t>
  </si>
  <si>
    <t>HP Victus 15-fa2082wm (EQ3) (Intel Core i5-13420H/ DDR4 16GB/ SSD 512GB / 15,6" FHD 144Hz/ 6GB GF RTX4050/ Backlit/ Win11H/ RU) Mica Silver (B5EQ3UA)</t>
  </si>
  <si>
    <t>B5EQ3UA</t>
  </si>
  <si>
    <t>HP Victus 15-fa2318tx (4KH) (Intel Core i7-13620H/ DDR4 16GB/ SSD 512GB/ 15,6 FHD IPS 144hz/ 6GB RTX3050/ Backlit/ NoOS/ RU) Black (C34KHPA)</t>
  </si>
  <si>
    <t>C34KHPA</t>
  </si>
  <si>
    <t>HP Victus 15-fa2021nia (1TG) (Intel Core i7-13620H/ DDR4 16GB/ SSD 512GB/ 15,6 FHD IPS 144hz/ 6GB RTX3050/ Backlit/ Win11/ RU) Black (C21TGEA)</t>
  </si>
  <si>
    <t>C21TGEA</t>
  </si>
  <si>
    <t>HP Victus 15-fa2317tx (4K7) (Intel Core i7-13620H/ DDR4 16GB/ SSD 512GB/ 15,6 FHD IPS 144hz/ 6GB RTX4050/ Backlit/ NoOS/ RU) Black (C34K7PA)</t>
  </si>
  <si>
    <t>C34K7PA</t>
  </si>
  <si>
    <t>HP Victus 15-fa2309tx (5MS) (Intel Core i7-13600H/ DDR5 24GB/ SSD 1TB/ 15,6 FHD IPS 144hz/ 8GB RTX5050/ Backlit/ Win11/ RU) Black (C25MSPA)</t>
  </si>
  <si>
    <t>C25MSPA</t>
  </si>
  <si>
    <t>HP OmniBook 3 15-fn0105dx (0WB) (AMD Ryzen AI 5-330/ DDR5 16GB/ SSD 512GB/ 15,6 FHD IPS Touch/ AMD Radeon Graphics/ NoOS/ RU) Silver (C20WBUA)</t>
  </si>
  <si>
    <t>C20WBUA</t>
  </si>
  <si>
    <t>HP OmniBook 5 16-af1017wm (PX1) (Intel Core Ultra 7-255U/ DDR5 16GB/ SSD 1TB/ 16" WUXGA Touchscreen/ Integrated Intel® Graphics/ Backlit/ Win11H/ Eng) Silver (B5PX1UA)</t>
  </si>
  <si>
    <t>B5PX1UA</t>
  </si>
  <si>
    <t>HP Elite Dragonfly G3 (913) (Intel Core i7-1255U/ DDR5 16GB/ SSD 512GB NVMe/ 13.5 WUXGA+ (1920x1280)  Integrated Intel® Graphics/ Backlit/ RU) Blue (5P6P6EA)</t>
  </si>
  <si>
    <t>5P6P6EA</t>
  </si>
  <si>
    <t>HP EliteBook 8 G1i 16 (843) (Intel Core Ultra 7-255U/ DDR5 16GB/ SSD 1TB / 16 WUXGA IPS/ Intel® Graphics/  Backlit/ NoOS/ Ru) Glacier Silver Aluminium (D13HXAT)</t>
  </si>
  <si>
    <t>D13HXAT</t>
  </si>
  <si>
    <t>HP EliteBook 8 G1i 16 (577) (Intel Core Ultra 7-255U/ DDR5 32GB/ SSD 1TB / 16 WUXGA IPS/ Intel® Graphics/ Backlit/ NoOS/ Ru) Glacier Silver Aluminium (A37GJET) (перечисление)</t>
  </si>
  <si>
    <t>A37GJET</t>
  </si>
  <si>
    <t>HP EliteBook 8 G1i 16 (947) (Intel Core Ultra 7-255H/ DDR5 32GB/ SSD 1TB/ 16" WUXGA IPS/  Intel Arc 140T/ Win11Pro/ RU) Silver (AD3T0ET) (перечисление)</t>
  </si>
  <si>
    <t>AD3T0ET</t>
  </si>
  <si>
    <t>HP OmniBook Ultra Flip x360 14-fh0005ci (4Z9) (Intel Core Ultra 7-256V/ LPDDR5X 16GB/ SSD 1TB/ 14" 3K OLED/ Intel Arc Graphics/ W11H/RU) Eclipse Gray (B54Z9EA)  (перечисление)</t>
  </si>
  <si>
    <t>B54Z9EA</t>
  </si>
  <si>
    <t>HP Omen MAX 16-ah0028ci (4L4) (Intel Core Ultra 9-275HX/ DDR5 32GB/ SSD 1TB/ 16 WQXGA OLED 240hz/ 8GB RTX5060/RGB Backlit/ FreeDOS/ RU) Shadow black (C94L4EA) (перечисление)</t>
  </si>
  <si>
    <t>C94L4EA</t>
  </si>
  <si>
    <t>HP Omen MAX 16-ah0027ci (4L3) (Intel Core Ultra 9-275HX/ DDR5 32GB/ SSD 1TB/ 16 WQXGA OLED 240hz/ 8GB RTX5060/RGB Backlit/ FreeDOS/ RU) Ceramic white (C94L3EA) (перечисление)</t>
  </si>
  <si>
    <t>C94L3EA</t>
  </si>
  <si>
    <t>HP Omen MAX 16-ah0019ci (9Z2) (Intel Core Ultra 9-275HX / DDR5 64GB/ SSD 2TB/ 16 WQXGA IPS 240hz/ 24GB RTX5090/RGB Backlit/ FreeDOS/ RU) Shadow black (BK9Z2EA) (перечисление)</t>
  </si>
  <si>
    <t>BK9Z2EA</t>
  </si>
  <si>
    <t>All In One Компьютеры (Моноблоки)</t>
  </si>
  <si>
    <t>ASUS ExpertCenter V440VA  (Intel Core i5-13420U/ DDR5 8GB/ SSD 512GB/ 24 FHD/ Intel® UHD Graphics/ No DVD/ key + mouse/ RU) White (V440VAK-WPC0120 / 90PT03X1-M00100)</t>
  </si>
  <si>
    <t>V440VAK-WPC0120 / 90PT03X1-M00100</t>
  </si>
  <si>
    <t>Acer Aspire C24-2G (Intel N150/ DDR4 8GB/ SSD 512GB/ 23.8 FHD IPS 120Hz / Intel® UHD Graphics/ No DVD/ key + mouse/ NoOS/ RU) (DQ.BPGEC.002)</t>
  </si>
  <si>
    <t>DQ.BPGEC.002</t>
  </si>
  <si>
    <t>HP 24-cr0004ny (4H5) (Intel Core i3-1315U/ DDR4 8GB/ SSD 256GB/ 23,8 FHD/ Intel® UHD Graphics/ No DVD/ key + mouse/ NoOS/ RU) White (8G4H5EA)</t>
  </si>
  <si>
    <t>8G4H5EA</t>
  </si>
  <si>
    <t>HP 24-cr0264l (RS0) (AMD Ryzen 5-7520U/ DDR5 8GB/ SSD 512GB/ 23,8 FHD/ AMD Radeon Graphics/ No DVD/ key + mouse/ NoOS/ RU) White (A4RS0EA)</t>
  </si>
  <si>
    <t>A4RS0EA</t>
  </si>
  <si>
    <t>HP 24-cr0049l (9Y8) (Intel Core i5-1335U/ DDR4 8GB/ SSD 512GB/ 23,8 FHD/ Intel Iris Xe Graphics/ No DVD/ key + mouse/ NoOS/ RU) Black (BJ9Y8PA)</t>
  </si>
  <si>
    <t>BJ9Y8PA</t>
  </si>
  <si>
    <t>HP 24-cr0308nh (3T9) (Intel Core i5-1334U/ DDR4 8GB/ SSD 512GB/ 23,8 FHD IPS/ Intel Iris Xe Graphics/ No DVD/ key + mouse/ NoOS/ RU) Black (B73T9EA)</t>
  </si>
  <si>
    <t>B73T9EA</t>
  </si>
  <si>
    <t>HP 24-cr0309nh (3TB) (Intel Core i5-1334U/ DDR4 8GB/ SSD 512GB/ 23,8 FHD IPS/ Intel Iris Xe Graphics/ No DVD/ key + mouse/ NoOS/ RU) White (B73TBEA)</t>
  </si>
  <si>
    <t>B73TBEA</t>
  </si>
  <si>
    <t>HP 24-cr0032l (NU0) (Intel Core i5-1335U/ DDR4 8GB/ SSD 512GB/ 23,8 FHD IPS/ Intel Iris Xe Graphics/ No DVD/ key + mouse/ NoOS/ RU) White (B6NU0PA)</t>
  </si>
  <si>
    <t>B6NU0PA</t>
  </si>
  <si>
    <t>HP 24-cr0078ci (298/117/385) (Intel Core i5-1335U/ DDR4 8GB/ SSD 512GB/ 23,8 FHD/ Intel Iris Xe Graphics/ No DVD/ key + mouse/ NoOS/ RU) White (B08WBEA) (официальный)</t>
  </si>
  <si>
    <t>B08WBEA</t>
  </si>
  <si>
    <t>HP 24-cr1026ci (259/299/476/384) (Intel Core Ultra5-125U/ DDR5 8GB/ SSD 512GB/ 23,8 FHD/ Intel Graphics/ key + mouse/ NoOS/ RU) White (B08WCEA) (официальный)</t>
  </si>
  <si>
    <t>B08WCEA</t>
  </si>
  <si>
    <t>HP 24-cr1060ci (477) (Intel Core Ultra 5-125U/ DDR5 16GB/ SSD 512GB/ 23,8 FHD/  Intel UHD Graphics/ key + mouse/ FreeDOS/ RU) White (D10D6EA)</t>
  </si>
  <si>
    <t>D10D6EA</t>
  </si>
  <si>
    <t>HP 27-cr0046ci (606/129) (Intel Core i5-1335U/ DDR4 8GB/ SSD 512GB/ 27" FHD/ Intel Iris Xe Graphics/ No DVD/ key + mouse/ NoOS/ RU) White (B08WDEA)</t>
  </si>
  <si>
    <t>B08WDEA</t>
  </si>
  <si>
    <t>HP 27-cr0156nh (VA3) (Intel Core i7-1355U/ DDR4 8GB/ SSD 512GB/ 27" FHD IPS/ Intel Iris Xe Graphics/  No DVD/ key + mouse/ NoOS/ RU) White (A9VA3EA) (официальный)</t>
  </si>
  <si>
    <t>A9VA3EA</t>
  </si>
  <si>
    <t>HP 27-cr1058ci (768) (Intel Core Ultra 7-155U/ DDR5 8GB/ SSD 512GB/ 27 FHD IPS/Intel Iris Xe Graphics/ key + mouse/ NoOS/ RU) White (D2GQ2EA)  (официальный)</t>
  </si>
  <si>
    <t>D2GQ2EA</t>
  </si>
  <si>
    <t>HP 27-cr1004ci (714/662) (Intel Core Ultra 7-155U/ DDR5 16GB/ SSD 512GB/ 27 FHD IPS/Intel Iris Xe Graphics/ key + mouse/ NoOS/ RU) White (A33HKEA)</t>
  </si>
  <si>
    <t>A33HKEA</t>
  </si>
  <si>
    <t>HP ProStudio 4 G1i 24 (252) (Intel Core Ultra 5-225T/ DDR5 16GB/ SSD 512GB/ 23,8" FHD IPS/ Intel UHD Graphics/ key + mouse/ NoOS/ RU) Black (D4PL9ET)</t>
  </si>
  <si>
    <t>D4PL9ET</t>
  </si>
  <si>
    <t>HP ProStudio 4 G1i 24 (950) (Intel Core Ultra 5-235T/ DDR5 16GB/ SSD 512GB/ 24 FHD/ Intel Graphics / key + mouse/ NoOS/ RU) Black  (D4RR2ET)</t>
  </si>
  <si>
    <t>D4RR2ET</t>
  </si>
  <si>
    <t>HP EliteOne 870 G9 (719) (Intel Core i7-14700/ DDR5 16GB/ SSD 512GB/ 27" FHD IPS/ Intel® UHD Graphics/ NoOS/ RU) Silver (99B30ET)</t>
  </si>
  <si>
    <t>99B30ET</t>
  </si>
  <si>
    <t>HP EliteOne 870 G9 (6Y6) (Intel Core i7-14700/ DDR5 16GB/ SSD 512GB/ 27" FHD IPS/ Intel® UHD Graphics/ NoOS/ RU) Silver (5V6Y6ES)</t>
  </si>
  <si>
    <t>5V6Y6ES</t>
  </si>
  <si>
    <t>HP EliteOne 870 G9 (5W4) (Intel Core i7-14700/ DDR5 16GB/ SSD 1000GB/ 27" FHD IPS/  Intel® UHD Graphics/ NoOS/ RU) Silver (D05W4PT)</t>
  </si>
  <si>
    <t>D05W4PT</t>
  </si>
  <si>
    <t>HP EliteStudio 8 G1i (914) (Intel Core Ultra 7 265/ DDR5 16GB/ SSD 512GB/ 27" QHD IPS/  Intel® UHD Graphics/ NoOS/ RU) Silver (C8AB5ET)</t>
  </si>
  <si>
    <t>C8AB5ET</t>
  </si>
  <si>
    <t>HP OmniStudio X 32-c0004ci (082) (Intel Core Ultra 5 125H/ DDR5 16GB 5600/ SSD 512GB/ 31,5" 4K UHD IPS/ Intel® Arc/ No DVD/ key + mouse/ Win 11H/ RU) (CD9P0EA)</t>
  </si>
  <si>
    <t>CD9P0EA</t>
  </si>
  <si>
    <t>HP OmniStudio X 32-c0011ci (549) (Intel Core Ultra 5-226V/ DDR5 16GB 5600/ SSD 512GB/ 31,5" 4K UHD IPS/ Intel® Arc/ No DVD/ key + mouse/ Win 11H/ RU) (CJ9E5EA)</t>
  </si>
  <si>
    <t>CJ9E5EA</t>
  </si>
  <si>
    <t>HP OmniStudio X 32-c0015ci (389) (Intel Core Ultra 7-155H/ DDR5 16GB 5600/ SSD 512GB/ 31,5" 4K UHD IPS/ Intel® Arc/ No DVD/ key + mouse/ Win 11H/ RU) (D10D8EA) (2 штук)</t>
  </si>
  <si>
    <t>D10D8EA</t>
  </si>
  <si>
    <t xml:space="preserve">HP OmniStudio X 32-c1004ci (977) (Intel Core Ultra 7-256V/ DDR5 16GB 5600/ SSD 512GB/  31,5 4K UHD IPS/  Intel® Arc/ No DVD/ key + mouse/ Win 11H/ RU) (D10D9EA) </t>
  </si>
  <si>
    <t>D10D9EA</t>
  </si>
  <si>
    <t>HP OmniStudio X 32-c0011ci (974) (Intel Core Ultra 7-258V/ DDR5 32GB 5600/ SSD 1TB/  31,5" 4K UHD IPS/ Intel® Arc/ No DVD/ key + mouse/ Win 11H/ RU) (C09HKEA)</t>
  </si>
  <si>
    <t>C09HKEA</t>
  </si>
  <si>
    <t>HP OmniStudio X 32-c0014ci (406/118) (Intel Core Ultra 7-155H/ DDR5 16GB 5600/ SSD 512GB/ 31,5" 4K UHD IPS/6GB RTX4050/ No DVD/ key + mouse/ Win 11H/ RU) (D10D7EA)</t>
  </si>
  <si>
    <t>D10D7EA</t>
  </si>
  <si>
    <t>HP OmniStudio X 32-c0016ci (132) (Intel Core Ultra 7-155H/ DDR5 16GB 5600/ SSD 1TB/ 31,5 4K UHD IPS/ 6GB RTX4050/ No DVD/ key + mouse/ Win 11H/ RU) (B49H8EA)</t>
  </si>
  <si>
    <t>B49H8EA</t>
  </si>
  <si>
    <t>HP OmniStudio X 32-c0021ny (967) (Intel Core Ultra 7-155H/ DDR5 32GB 5600/ SSD 1000GB/ 31,5" 4K UHD IPS/ 6GB RTX4050/ No DVD/ key + mouse/ Win 11H/ RU) (CV0J4EA)</t>
  </si>
  <si>
    <t>CV0J4EA</t>
  </si>
  <si>
    <t>Lenovo A100 (Intel Core i3-N305/ DDR4 8GB/ SSD 512GB/ 23,8 FHD/ Integrated Intel® UHD Graphics/ key + mouse/ NoOS/ RU) Luna Grey (F0J60070LK)</t>
  </si>
  <si>
    <t>F0J60070LK</t>
  </si>
  <si>
    <t>Lenovo IdeaCentre AIO 24IRH9 (Intel Core i5-13420H/ DDR5 8GB/ SSD 512GB/ 23,8" FHD/ Integrated Intel® UHD Graphics/ key + mouse/ NoOS/ RU) Luna Grey (F0HN00VPLK)</t>
  </si>
  <si>
    <t>F0HN00VPLK</t>
  </si>
  <si>
    <t>Lenovo IdeaCentre AIO 27IRH9 (Intel Core i5-13420H/ DDR5 8GB/ SSD 512GB/ 27" FHD IPS/ Integrated Intel® UHD Graphics/ key + mouse/ NoOS/ RU) Luna Grey (F0HM00GELK)</t>
  </si>
  <si>
    <t>F0HM00GELK</t>
  </si>
  <si>
    <t>Lenovo IdeaCentre AIO 27IRH9 (Intel Core i5-13420H/ DDR5 8GB/ SSD 512GB/ 27" FHD IPS/ Integrated Intel® UHD Graphics/ wireless key + mouse/ NoOS/ RU) Cloud Grey (F0HM005GRU)</t>
  </si>
  <si>
    <t>F0HM005GRU</t>
  </si>
  <si>
    <t>Lenovo IdeaCentre AIO 27IRH9 (Intel Core i5-13420H/ DDR5 16GB/ SSD 1TB/ 27" FHD IPS/ Integrated Intel® UHD Graphics/ wireless key + mouse/ NoOS/ RU) Cloud Grey (F0HM012BRU)</t>
  </si>
  <si>
    <t>F0HM012BRU</t>
  </si>
  <si>
    <t>Lenovo IdeaCentre AIO 27IRH9 (Intel Core i7-13620H/ DDR5 8GB/ SSD 512GB/ 27" FHD/ Integrated Intel® UHD Graphics/ wireless keyboard + mouse/ NoOS/ RU) Luna Grey (F0HM00TQAK)</t>
  </si>
  <si>
    <t>F0HM00TQAK</t>
  </si>
  <si>
    <t>Lenovo IdeaCentre AIO 27IRH9 (Intel Core i7-13620H/ DDR5 8GB/ SSD 512GB/ 27" FHD/ Integrated Intel® UHD Graphics/ wireless keyboard + mouse/ NoOS/ RU) Luna Grey (F0HM00UYAK)</t>
  </si>
  <si>
    <t>F0HM00UYAK</t>
  </si>
  <si>
    <t>Lenovo IdeaCentre AIO 27IRH9 (Intel Core 7-240H/ DDR5 16GB/ SSD 1TB/ 27"FHD IPS/ Integrated Intel® UHD Graphics/ wireless keyboard + mouse/ NoOS/ RU) Luna Grey (F0HM012ERU)</t>
  </si>
  <si>
    <t>F0HM012ERU</t>
  </si>
  <si>
    <t>Lenovo ThinkCentre neo 50a 24 Gen 5 (Intel Core i5-13420H/ DDR5 8GB/ SSD 512GB/ 24" FHD (1920x1080) IPS/ Intel® UHD Graphics/ keyboard + mouse/ RU) Luna Grey (12SC000YRU)</t>
  </si>
  <si>
    <t>12SC000YRU</t>
  </si>
  <si>
    <t>Lenovo ThinkCentre neo 50a 27 Gen 5 (Intel Core i5-13420H/ DDR5 16GB/ SSD 512GB/ 27" FHD (1920x1080) IPS/ Intel® UHD Graphics/ keyboard + mouse/ RU) Luna Grey (12SA000KRU)</t>
  </si>
  <si>
    <t>12SA000KRU</t>
  </si>
  <si>
    <t>Lenovo ThinkCentre neo 50a 27 Gen 5 (Intel Core i7-13620H/ DDR5 16GB/ SSD 512GB/ 27" FHD (1920x1080) IPS/ Intel® UHD Graphics/ keyboard + mouse/ RU) Luna Grey (12SA000RRU)</t>
  </si>
  <si>
    <t>12SA000RRU</t>
  </si>
  <si>
    <t>Lenovo ThinkCentre neo 50a 27 Gen 5 (Intel Core 7-240H/DDR5 16GB/SSD 512GB/27" FHD (1920x1080) IPS / Intel® UHD Graphics/ keyboard + mouse/ RU) Luna Grey (12SA0028RU)</t>
  </si>
  <si>
    <t>12SA0028RU</t>
  </si>
  <si>
    <t>Lenovo Yoga AIO 32ILL10  (Intel Core Ultra 7-258V/ LPDDR5X 32GB/ SSD 1TB/ 32" Intel Arc Graphics 140V/ WIN11 Pro) (F0HX0018RU)</t>
  </si>
  <si>
    <t>F0HX0018RU</t>
  </si>
  <si>
    <t>Dell 27 AIO EC27250 (Intel Core i5-1334U/ DDR5 16GB/ SSD 512GB/ 27" FHD/ Intel Iris Xe Graphics/ wireless key + mouse/ Win11/ RU) White (1022177832)</t>
  </si>
  <si>
    <t>Dell 27 AIO EC27250 (Intel Core 7-150U/ DDR5 16GB/ SSD 512GB/ 27" FHD/ Intel Iris Xe Graphics/ wireless key + mouse/ Win11/ RU) White (1022177833)</t>
  </si>
  <si>
    <t>Компьютеры белой сборки (гарантия от производителя 1 год)</t>
  </si>
  <si>
    <t>ASUS ExpertCenter Tower Desktop (Intel Core i3-1315U/ DDR5 8GB/ SSD 256GB/ Intel UHD Graphics/ keyboard+mouse/ NoOS/ RU) Grey (P500MV-31315U0020 / 90PF05I1-M00110)</t>
  </si>
  <si>
    <t>P500MV-31315U0020 / 90PF05I1-M00110</t>
  </si>
  <si>
    <t>ASUS ExpertCenter Tower Desktop (Intel Core i3-1315U/ DDR5 8GB/ SSD 256GB/ Intel UHD Graphics/ keyboard+mouse/ NoOS/ RU) White (90PF05R1-M00040 / V500MV-31315U0010)</t>
  </si>
  <si>
    <t>90PF05R1-M00040 / V500MV-31315U0010</t>
  </si>
  <si>
    <t>ASUS ExpertCenter Tower Desktop (Intel Core i5-13420H/ DDR5 8GB/ SSD 512GB/ Intel UHD Graphics/ keyboard+mouse/ NoOS/ RU) Black (90PF05I1-M00CR0 / P500MV-13420H0760)</t>
  </si>
  <si>
    <t>90PF05I1-M00CR0 / P500MV-13420H0760</t>
  </si>
  <si>
    <t>ASUS ExpertCenter Tower Desktop (Intel Core i5-13420H/ DDR5 8GB/ SSD 512GB/ Intel UHD Graphics/ keyboard+mouse/ NoOS/ RU) White (90PF05R1-M00610 / V500MV-13420H0120)</t>
  </si>
  <si>
    <t>90PF05R1-M00610 / V500MV-13420H0120</t>
  </si>
  <si>
    <t>Lenovo V50T-13IMB (Intel Core i3-10100/ DDR4 4GB/ HDD 1TB/ DVD-RW/ Keyboard+mouse/ DOS/ RU) Black (11HD001FFM) (распродажа)</t>
  </si>
  <si>
    <t>11HD001FFM</t>
  </si>
  <si>
    <t>Dell Vostro 3030 MT (Intel Core i3-14100/ DDR4 8GB/ SSD 512GB/ Intel UHD Graphics/ NoOS/ RU) Black (распродажа)</t>
  </si>
  <si>
    <t>HP S01-aF0055ur Tower Desktop (295) (AMD Ryzen 3-3250U/ DDR4 8GB/ SSD 256GB/ AMD Radeon™ Vega/ No DVD-RW/ DOS/ RU) Black (5D295EA)</t>
  </si>
  <si>
    <t>5D295EA</t>
  </si>
  <si>
    <t>HP S01-aF0054ur Tower Desktop (294) (AMD Ryzen 3-3250U/ DDR4 8GB/ SSD 512GB/ AMD Radeon™ Vega/ No DVD-RW/ Win11/ RU) Black (5D294EA) (распродажа)</t>
  </si>
  <si>
    <t>5D294EA</t>
  </si>
  <si>
    <t>HP M01-F1079ur Tower Desktop (M46/2C9) (AMD Ryzen 3-4300G/ DDR4 4GB/ SSD 256GB/ AMD Radeon™ Vega/ No DVD-RW/ DOS/ RU) Black (5D2C9EA) (распродажа)</t>
  </si>
  <si>
    <t>5D2C9EA</t>
  </si>
  <si>
    <t>HP M01-F1078ur Tower Desktop (291) (AMD Ryzen 3-4300G/ DDR4 8GB/ SSD 512GB/ AMD Radeon™ Vega/ No DVD-RW/ win11/ RU) Black (5D291EA)</t>
  </si>
  <si>
    <t>5D291EA</t>
  </si>
  <si>
    <t>HP Slim Desktop S01-pF2007ur (7S3) (Intel Core i3-10105G/ DDR4 8GB/ SSD 256GB/ No DVD-RW/ DOS/ RU) Black (5R7S3EA) (распродажа)</t>
  </si>
  <si>
    <t>5R7S3EA</t>
  </si>
  <si>
    <t>HP 290 G9 PRO Tower E PCI (325) (Intel Core i5-14400/ DDR5 16GB/ SSD 512GB/ Intel® UHD Graphics/ DOS) Black (A54XLET)</t>
  </si>
  <si>
    <t>A54XLET</t>
  </si>
  <si>
    <t>HP ProDesk 2 G1i E Tower (337) (Intel® Core i5-14400/ DDR5 8GB/ SSD 512GB/ Intel® UHD Graphics/ DOS) Black (BY7F3ET)</t>
  </si>
  <si>
    <t>BY7F3ET</t>
  </si>
  <si>
    <t>HP ProDesk 2 G1i E Tower (336) (Intel® Core i7-14700/ DDR5 16GB/ SSD 512GB/ Intel® UHD Graphics/ DOS) Black (B70W1AT)</t>
  </si>
  <si>
    <t>B70W1AT</t>
  </si>
  <si>
    <t>DVD</t>
  </si>
  <si>
    <t>Transcend  - Ext DVD-RW, BOX, original (TS8XDVDS-K)</t>
  </si>
  <si>
    <t xml:space="preserve">Noname  - Ext DVD-RW (LiteON DS-8ACSH-01-PLDS) </t>
  </si>
  <si>
    <t>LiteON DS-8ACSH-01-PLDS</t>
  </si>
  <si>
    <t>UPS (Блоки безперебойного питания)</t>
  </si>
  <si>
    <t>Gembird EG-UPS-B850, 850VA/510W, AVR, Аккумулятор: 12 В/8 А·ч * 1штук,  2xSchuko</t>
  </si>
  <si>
    <t>EG-UPS-B850</t>
  </si>
  <si>
    <t>Gembird EG-UPS-033, 1200VA/720W, AVR, Аккумулятор: 12 В/7 А·ч * 2штук,  2xSchuko, LCD</t>
  </si>
  <si>
    <t>EG-UPS-033</t>
  </si>
  <si>
    <t>Gembird EG-UPS-034, 1500VA/900W, AVR, Аккумулятор: 12 В/8 А·ч *3штук,  2xSchuko, LCD</t>
  </si>
  <si>
    <t>EG-UPS-034</t>
  </si>
  <si>
    <t>Gembird EG-UPS-036, 3000VA/1800W, AVR, Аккумулятор: 12 В/7 А·ч *4штук,  3xSchuko, LCD</t>
  </si>
  <si>
    <t>EG-UPS-036</t>
  </si>
  <si>
    <t>Gembird EG-UPS-PS3000-01, 3000VA/2400W, AVR, Аккумулятор: 12 В/9 А·ч *4штук,  3xSchuko, LCD</t>
  </si>
  <si>
    <t>EG-UPS-PS3000-01</t>
  </si>
  <si>
    <t>ELT i-800 800VA/480W, LED, 1x9Ah</t>
  </si>
  <si>
    <t>ELT i-800</t>
  </si>
  <si>
    <t>ELT i-1200 1200VA/720W, LED, 2x7Ah</t>
  </si>
  <si>
    <t>ELT i-1200</t>
  </si>
  <si>
    <t>ELT i-1500 1500VA/900W, LED, 2x9Ah</t>
  </si>
  <si>
    <t>ELT i-1500</t>
  </si>
  <si>
    <t>ELT i-2000 2000VA/1200W, LCD, USB, 2x9Ah</t>
  </si>
  <si>
    <t>ELT i-2000</t>
  </si>
  <si>
    <t>ELT i-3000 3000VA/1800W, LCD, USB, 4x9Ah</t>
  </si>
  <si>
    <t>ELT i-3000</t>
  </si>
  <si>
    <t>ION A-600T, 600VA / 360W,  with 4,5Ah battery х 1,   RJ-11,  2xSchuko, Simulated Sinewave</t>
  </si>
  <si>
    <t>iON A-600T</t>
  </si>
  <si>
    <t>ION A-600, 600VA / 360W, with 7Ah battery х 1,  RJ-11,  2xSchuko, Simulated Sinewave</t>
  </si>
  <si>
    <t>iON A-600</t>
  </si>
  <si>
    <t>ION A-800, 800VA / 480W, with 9Ah battery х 1,  RJ-11,  2 Schuko, Simulated Sinewave</t>
  </si>
  <si>
    <t>iON A-800</t>
  </si>
  <si>
    <t xml:space="preserve">ION V-1000T, 1000VA / 500W, with 9Ah battery х 1, RJ-11/45 , USB port ,  2xSchuko, Simulated Sinewave,  RU software </t>
  </si>
  <si>
    <t>iON V-1000T</t>
  </si>
  <si>
    <t xml:space="preserve">ION V-1200T , 1200VA / 600W, with7Ah battery х 2, RJ-11/45 , USB port , 4xSchuko, Simulated Sinewave,  RU software </t>
  </si>
  <si>
    <t>iON V-1200T</t>
  </si>
  <si>
    <t>ION A-1500 1500VA/900W with 12V/9Ah battery х 2  RJ-11/45  4xSchuko  Simulated Sinewave</t>
  </si>
  <si>
    <t>iON A-1500</t>
  </si>
  <si>
    <t>ION A-2000, 2000VA/1200W,  with9Ah battery х 2, RJ-11/45 , 4xSchuko, Simulated Sinewave</t>
  </si>
  <si>
    <t>iON A-2000</t>
  </si>
  <si>
    <t xml:space="preserve">ION V-3000 LCD, 3000VA / 1800W, with Tescom 9Ah battery x 4pcs, RJ-11/45, USB port, LCD display,4хSchuko, Simulated Sinewave,  RU software  </t>
  </si>
  <si>
    <t>iON V-3000 LCD</t>
  </si>
  <si>
    <t>MUST 600VA  / 145-290 VAC AVR /  with 7Ah х 1,  2 розетки</t>
  </si>
  <si>
    <t>MUST 600VA</t>
  </si>
  <si>
    <t>Cases (Корпуса)</t>
  </si>
  <si>
    <t xml:space="preserve">Pixel - Корпус Микро АТХ </t>
  </si>
  <si>
    <t>Coolers</t>
  </si>
  <si>
    <t>ID Cooling DK-03 Halo AMD RED</t>
  </si>
  <si>
    <t>ID Cooling  Брикет  ABF-1700</t>
  </si>
  <si>
    <t>ID Cooling  Брикет  ABF-1851</t>
  </si>
  <si>
    <t>ID Cooling  Брикет  ABF-AM5</t>
  </si>
  <si>
    <t>ID Cooling  SE-802-SD V3</t>
  </si>
  <si>
    <t>ID Cooling  SE-903-XT FRGB</t>
  </si>
  <si>
    <t>ID Cooling BLITZ X4</t>
  </si>
  <si>
    <t>ID Cooling SE-214-XT ARGB</t>
  </si>
  <si>
    <t>ID Cooling SE-214-XT PLUS</t>
  </si>
  <si>
    <t>ID Cooling SE-224-XTS</t>
  </si>
  <si>
    <t>ID Cooling SE-224-XTS ARGB</t>
  </si>
  <si>
    <t>ID Cooling FROZN A410 BLACK</t>
  </si>
  <si>
    <t>ID Cooling FROZN A400 BLACK</t>
  </si>
  <si>
    <t>ID Cooling FROZN A410 DK</t>
  </si>
  <si>
    <t>ID Cooling FROZN A410 DW</t>
  </si>
  <si>
    <t>ID Cooling FROZN A410 GDL</t>
  </si>
  <si>
    <t>ID Cooling FROZN A410 ARGB</t>
  </si>
  <si>
    <t>ID Cooling FROZN A410 ARGB WHITE</t>
  </si>
  <si>
    <t>ID Cooling FROZN A620 PRO SE ARGB SNOW</t>
  </si>
  <si>
    <t>ID Cooling SE-225-XT BLACK V2</t>
  </si>
  <si>
    <t>ID Cooling FROZN A610 BLACK</t>
  </si>
  <si>
    <t>ID Cooling FROZN A610 ARGB WHITE</t>
  </si>
  <si>
    <t>ID Cooling FX360 PRO</t>
  </si>
  <si>
    <t>ID Cooling FX360 PRO WHITE</t>
  </si>
  <si>
    <t>ID Cooling FX360 INF</t>
  </si>
  <si>
    <t>ID Cooling FX360 INF WHITE</t>
  </si>
  <si>
    <t>ID Cooling DX360 MAX</t>
  </si>
  <si>
    <t>ID Cooling PINKFLOW 240 ARGB (водяной кулер)</t>
  </si>
  <si>
    <t>ID Cooling PINKFLOW 240 DIAMOND (водяной кулер)</t>
  </si>
  <si>
    <t>ID Cooling DASHFLOW 360 BASIC BLACK Liquid Cooling</t>
  </si>
  <si>
    <t>ID Cooling SL240</t>
  </si>
  <si>
    <t>ID Cooling DASHFLOW 360 XT PRO</t>
  </si>
  <si>
    <t>ID Cooling SL360 PRO SE</t>
  </si>
  <si>
    <t>ID Cooling SL360 XE</t>
  </si>
  <si>
    <t>ID Cooling SL360 XE WHITE</t>
  </si>
  <si>
    <t>ID Cooling SL360</t>
  </si>
  <si>
    <t>ID Cooling SL360 WHITE</t>
  </si>
  <si>
    <t>Видеостены</t>
  </si>
  <si>
    <t>Китай</t>
  </si>
  <si>
    <t>скидка</t>
  </si>
  <si>
    <r>
      <rPr>
        <sz val="11"/>
        <color theme="1"/>
        <rFont val="Calibri"/>
        <family val="2"/>
        <charset val="204"/>
      </rPr>
      <t xml:space="preserve">Дисплей для видеостен e-SURF ET5535
55", </t>
    </r>
    <r>
      <rPr>
        <b/>
        <sz val="11"/>
        <color theme="1"/>
        <rFont val="Calibri"/>
        <family val="2"/>
        <charset val="204"/>
      </rPr>
      <t>4K</t>
    </r>
    <r>
      <rPr>
        <sz val="11"/>
        <color theme="1"/>
        <rFont val="Calibri"/>
        <family val="2"/>
        <charset val="204"/>
      </rPr>
      <t xml:space="preserve">, </t>
    </r>
    <r>
      <rPr>
        <b/>
        <sz val="11"/>
        <color theme="1"/>
        <rFont val="Calibri"/>
        <family val="2"/>
        <charset val="204"/>
      </rPr>
      <t>шов 3.5мм</t>
    </r>
    <r>
      <rPr>
        <sz val="11"/>
        <color theme="1"/>
        <rFont val="Calibri"/>
        <family val="2"/>
        <charset val="204"/>
      </rPr>
      <t>, яркость 500кд/м², режим 24/7</t>
    </r>
  </si>
  <si>
    <r>
      <rPr>
        <sz val="11"/>
        <color theme="1"/>
        <rFont val="Calibri"/>
        <family val="2"/>
        <charset val="204"/>
      </rPr>
      <t xml:space="preserve">Дисплей для видеостен e-SURF EA5518
55", </t>
    </r>
    <r>
      <rPr>
        <b/>
        <sz val="11"/>
        <color theme="1"/>
        <rFont val="Calibri"/>
        <family val="2"/>
        <charset val="204"/>
      </rPr>
      <t>4K</t>
    </r>
    <r>
      <rPr>
        <sz val="11"/>
        <color theme="1"/>
        <rFont val="Calibri"/>
        <family val="2"/>
        <charset val="204"/>
      </rPr>
      <t xml:space="preserve">, </t>
    </r>
    <r>
      <rPr>
        <b/>
        <sz val="11"/>
        <color theme="1"/>
        <rFont val="Calibri"/>
        <family val="2"/>
        <charset val="204"/>
      </rPr>
      <t>шов 1.8мм</t>
    </r>
    <r>
      <rPr>
        <sz val="11"/>
        <color theme="1"/>
        <rFont val="Calibri"/>
        <family val="2"/>
        <charset val="204"/>
      </rPr>
      <t>, яркость 500кд/м², режим 24/7</t>
    </r>
  </si>
  <si>
    <t>Интерактивные киоски, столы и LED</t>
  </si>
  <si>
    <t>Рекламный LED постер TLP-2583
83", шаг пикселя 2.5, 256х768 точек, яркость 600-1100кд/м², ≥100000 часов</t>
  </si>
  <si>
    <t>Интерактивный инфокиоск MV43
43", FullHD, Android, 2/8Gb, антивандальное стекло</t>
  </si>
  <si>
    <r>
      <rPr>
        <sz val="11"/>
        <color theme="1"/>
        <rFont val="Calibri"/>
        <family val="2"/>
        <charset val="204"/>
      </rPr>
      <t xml:space="preserve">Интерактивный инфокиоск E4354V </t>
    </r>
    <r>
      <rPr>
        <b/>
        <sz val="11"/>
        <color theme="1"/>
        <rFont val="Calibri"/>
        <family val="2"/>
        <charset val="204"/>
      </rPr>
      <t>(Вертикальный)</t>
    </r>
    <r>
      <rPr>
        <sz val="11"/>
        <color theme="1"/>
        <rFont val="Calibri"/>
        <family val="2"/>
        <charset val="204"/>
      </rPr>
      <t xml:space="preserve">
43", FullHD, Windows 10 Pro, i5-4gen/4/128Gb, антивандальное стекло</t>
    </r>
  </si>
  <si>
    <r>
      <rPr>
        <sz val="11"/>
        <color theme="1"/>
        <rFont val="Calibri"/>
        <family val="2"/>
        <charset val="204"/>
      </rPr>
      <t xml:space="preserve">Интерактивный инфокиоск E4354H </t>
    </r>
    <r>
      <rPr>
        <b/>
        <sz val="11"/>
        <color theme="1"/>
        <rFont val="Calibri"/>
        <family val="2"/>
        <charset val="204"/>
      </rPr>
      <t>(Горизонтальный)</t>
    </r>
    <r>
      <rPr>
        <sz val="11"/>
        <color theme="1"/>
        <rFont val="Calibri"/>
        <family val="2"/>
        <charset val="204"/>
      </rPr>
      <t xml:space="preserve">
43", FullHD, Windows 10 Pro, i5-4gen/4/128Gb, антивандальное стекло</t>
    </r>
  </si>
  <si>
    <t>Интерактивный инфокиоск EV55W
55", FullHD, Windows 10 Pro, i5-4gen/4/128Gb, антивандальное стекло</t>
  </si>
  <si>
    <t>Интерактивный сенсорный стол Teleset TTI-55C
55", FullHD, Windows 10, i5-7gen/8/256Gb, сенсор P-CAP (емкостный)</t>
  </si>
  <si>
    <t>Интерактивный сенсорный стол Teleset TTI-55X
55", FullHD, Windows 10, i5-7gen/8/256Gb, сенсор P-CAP (емкостный)</t>
  </si>
  <si>
    <t>Интерактивный сенсорный стол Teleset TTI-55T
55", FullHD, Windows 10, i5-7gen/8/256Gb, сенсор P-CAP (емкостный)</t>
  </si>
  <si>
    <t>Интерактивные панели и крепления</t>
  </si>
  <si>
    <t>Настенное крепление для интерактивной панели 65"</t>
  </si>
  <si>
    <t>Настенное крепление для интерактивной панели 75"</t>
  </si>
  <si>
    <t>Настенное крепление для интерактивной панели 86"</t>
  </si>
  <si>
    <t>Настенное крепление для дисплеев видеостены</t>
  </si>
  <si>
    <t>Выдвижное крепление (пуш механизм) для дисплеев видеостены</t>
  </si>
  <si>
    <r>
      <rPr>
        <sz val="11"/>
        <color theme="1"/>
        <rFont val="Calibri"/>
        <family val="2"/>
        <charset val="204"/>
      </rPr>
      <t xml:space="preserve">Интерактивный дисплей e-SURF E6514
65", 4K,колонки 16Вт х2, </t>
    </r>
    <r>
      <rPr>
        <b/>
        <sz val="11"/>
        <color theme="1"/>
        <rFont val="Calibri"/>
        <family val="2"/>
        <charset val="204"/>
      </rPr>
      <t>Android 14.0</t>
    </r>
    <r>
      <rPr>
        <sz val="11"/>
        <color theme="1"/>
        <rFont val="Calibri"/>
        <family val="2"/>
        <charset val="204"/>
      </rPr>
      <t>, 4/32Gb, вес 42 кг</t>
    </r>
  </si>
  <si>
    <r>
      <rPr>
        <sz val="11"/>
        <color theme="1"/>
        <rFont val="Calibri"/>
        <family val="2"/>
        <charset val="204"/>
      </rPr>
      <t xml:space="preserve">Интерактивный дисплей e-SURF E7514
75", 4K,колонки 16Вт х2, </t>
    </r>
    <r>
      <rPr>
        <b/>
        <sz val="11"/>
        <color theme="1"/>
        <rFont val="Calibri"/>
        <family val="2"/>
        <charset val="204"/>
      </rPr>
      <t>Android 14.0</t>
    </r>
    <r>
      <rPr>
        <sz val="11"/>
        <color theme="1"/>
        <rFont val="Calibri"/>
        <family val="2"/>
        <charset val="204"/>
      </rPr>
      <t>, 4/32Gb, вес 47 кг</t>
    </r>
  </si>
  <si>
    <r>
      <rPr>
        <sz val="11"/>
        <color theme="1"/>
        <rFont val="Calibri"/>
        <family val="2"/>
        <charset val="204"/>
      </rPr>
      <t xml:space="preserve">Интерактивный дисплей e-SURF E8614
86", 4K,колонки 16Вт х2, </t>
    </r>
    <r>
      <rPr>
        <b/>
        <sz val="11"/>
        <color theme="1"/>
        <rFont val="Calibri"/>
        <family val="2"/>
        <charset val="204"/>
      </rPr>
      <t>Android 14.0</t>
    </r>
    <r>
      <rPr>
        <sz val="11"/>
        <color theme="1"/>
        <rFont val="Calibri"/>
        <family val="2"/>
        <charset val="204"/>
      </rPr>
      <t>, 4/32Gb, вес 66 кг</t>
    </r>
  </si>
  <si>
    <r>
      <rPr>
        <sz val="11"/>
        <color theme="1"/>
        <rFont val="Calibri"/>
        <family val="2"/>
        <charset val="204"/>
      </rPr>
      <t xml:space="preserve">Интерактивный дисплей e-SURF E9814
98", 4K, </t>
    </r>
    <r>
      <rPr>
        <b/>
        <sz val="11"/>
        <color theme="1"/>
        <rFont val="Calibri"/>
        <family val="2"/>
        <charset val="204"/>
      </rPr>
      <t>встроенная камера 4К + массив из 8 микрофонов</t>
    </r>
    <r>
      <rPr>
        <sz val="11"/>
        <color theme="1"/>
        <rFont val="Calibri"/>
        <family val="2"/>
        <charset val="204"/>
      </rPr>
      <t xml:space="preserve">, колонки 15Вт х2, </t>
    </r>
    <r>
      <rPr>
        <b/>
        <sz val="11"/>
        <color theme="1"/>
        <rFont val="Calibri"/>
        <family val="2"/>
        <charset val="204"/>
      </rPr>
      <t>Android 14.0</t>
    </r>
    <r>
      <rPr>
        <sz val="11"/>
        <color theme="1"/>
        <rFont val="Calibri"/>
        <family val="2"/>
        <charset val="204"/>
      </rPr>
      <t>, 4/32Gb, вес 105 кг</t>
    </r>
  </si>
  <si>
    <t>Южная Корея</t>
  </si>
  <si>
    <r>
      <rPr>
        <sz val="11"/>
        <color theme="1"/>
        <rFont val="Calibri"/>
        <family val="2"/>
        <charset val="204"/>
      </rPr>
      <t xml:space="preserve">Интерактивный дисплей LG 86TR3PJ
86", 4k,колонки 16Вт х2, </t>
    </r>
    <r>
      <rPr>
        <b/>
        <sz val="11"/>
        <color theme="1"/>
        <rFont val="Calibri"/>
        <family val="2"/>
        <charset val="204"/>
      </rPr>
      <t>Android 9.0</t>
    </r>
    <r>
      <rPr>
        <sz val="11"/>
        <color theme="1"/>
        <rFont val="Calibri"/>
        <family val="2"/>
        <charset val="204"/>
      </rPr>
      <t>, 4/32Gb, антивандальное покрытие</t>
    </r>
  </si>
  <si>
    <t>США</t>
  </si>
  <si>
    <r>
      <rPr>
        <sz val="11"/>
        <color theme="1"/>
        <rFont val="Calibri"/>
        <family val="2"/>
        <charset val="204"/>
      </rPr>
      <t xml:space="preserve">Интерактивный дисплей NewLine TT-8621Q
86", 4k, колонки 20Вт х2, </t>
    </r>
    <r>
      <rPr>
        <b/>
        <sz val="11"/>
        <color theme="1"/>
        <rFont val="Calibri"/>
        <family val="2"/>
        <charset val="204"/>
      </rPr>
      <t>Android 11.0</t>
    </r>
    <r>
      <rPr>
        <sz val="11"/>
        <color theme="1"/>
        <rFont val="Calibri"/>
        <family val="2"/>
        <charset val="204"/>
      </rPr>
      <t xml:space="preserve">, 4/32Gb, антивандальное покрытие
</t>
    </r>
    <r>
      <rPr>
        <b/>
        <sz val="11"/>
        <color rgb="FFFF0000"/>
        <rFont val="Calibri"/>
        <family val="2"/>
        <charset val="204"/>
      </rPr>
      <t>+ ПОДАРОК OPS i3-11gen/8/256Gb и мобильный стенд</t>
    </r>
  </si>
  <si>
    <t>Слотовые компьютеры для интерактивных панелей</t>
  </si>
  <si>
    <t>OPS Процессор: i3-10gen, ОЗУ: DDR4 8Gb, SSD: 256Gb, Wi-Fi, Bluetooth</t>
  </si>
  <si>
    <t>OPS Процессор: i3-11gen, ОЗУ: DDR4 8Gb, SSD: 256Gb, Wi-Fi, Bluetooth</t>
  </si>
  <si>
    <t>OPS Процессор: i5-10gen, ОЗУ: DDR4 8Gb, SSD: 256Gb, Wi-Fi, Bluetooth</t>
  </si>
  <si>
    <t>OPS Процессор: i5-11gen, ОЗУ: DDR4 8Gb, SSD: 256Gb, Wi-Fi, Bluetooth</t>
  </si>
  <si>
    <t>OPS Процессор: i5-12gen, ОЗУ: DDR4 8Gb, SSD: 256Gb, Wi-Fi, Bluetooth</t>
  </si>
  <si>
    <t>OPS Процессор: i7-11gen, ОЗУ: DDR4 8Gb, SSD: 256Gb, Wi-Fi, Bluetooth</t>
  </si>
  <si>
    <t>Стойки</t>
  </si>
  <si>
    <t xml:space="preserve">Мобильный стенд для интерактивной сенсорной панели с диагональю экрана до 75", максимальная нагрузка 55кг, цвет: черный </t>
  </si>
  <si>
    <r>
      <rPr>
        <sz val="11"/>
        <color theme="1"/>
        <rFont val="Calibri"/>
        <family val="2"/>
        <charset val="204"/>
      </rPr>
      <t xml:space="preserve">Мобильный стенд для интерактивной сенсорной панели с диагональю экрана до 75"  + </t>
    </r>
    <r>
      <rPr>
        <b/>
        <sz val="11"/>
        <color theme="1"/>
        <rFont val="Calibri"/>
        <family val="2"/>
        <charset val="204"/>
      </rPr>
      <t>крепление для камеры,</t>
    </r>
    <r>
      <rPr>
        <sz val="11"/>
        <color theme="1"/>
        <rFont val="Calibri"/>
        <family val="2"/>
        <charset val="204"/>
      </rPr>
      <t xml:space="preserve"> максимальная нагрузка 55кг, цвет: черный </t>
    </r>
  </si>
  <si>
    <t xml:space="preserve">Мобильный стенд для интерактивной сенсорной панели с диагональю экрана до 100", максимальная нагрузка 110кг, цвет: черный  </t>
  </si>
  <si>
    <r>
      <rPr>
        <sz val="11"/>
        <color theme="1"/>
        <rFont val="Calibri"/>
        <family val="2"/>
        <charset val="204"/>
      </rPr>
      <t xml:space="preserve">Мобильный стенд для интерактивной сенсорной панели с диагональю экрана до 100" + </t>
    </r>
    <r>
      <rPr>
        <b/>
        <sz val="11"/>
        <color theme="1"/>
        <rFont val="Calibri"/>
        <family val="2"/>
        <charset val="204"/>
      </rPr>
      <t>крепление для камеры</t>
    </r>
    <r>
      <rPr>
        <sz val="11"/>
        <color theme="1"/>
        <rFont val="Calibri"/>
        <family val="2"/>
        <charset val="204"/>
      </rPr>
      <t xml:space="preserve">, максимальная нагрузка 110кг, цвет: черный  </t>
    </r>
  </si>
  <si>
    <t>Аксессуары</t>
  </si>
  <si>
    <r>
      <rPr>
        <sz val="11"/>
        <color theme="1"/>
        <rFont val="Calibri"/>
        <family val="2"/>
        <charset val="204"/>
      </rPr>
      <t xml:space="preserve">Клавиатура + мышь TMK-01B
Безбарьерная дальность передачи </t>
    </r>
    <r>
      <rPr>
        <b/>
        <sz val="11"/>
        <color theme="1"/>
        <rFont val="Calibri"/>
        <family val="2"/>
        <charset val="204"/>
      </rPr>
      <t>более 10 метров</t>
    </r>
    <r>
      <rPr>
        <sz val="11"/>
        <color theme="1"/>
        <rFont val="Calibri"/>
        <family val="2"/>
        <charset val="204"/>
      </rPr>
      <t>, беспроводная двусторонняя передача 2.4G, скорость 2 Мбит</t>
    </r>
  </si>
  <si>
    <t>IR smart pen
Умная ручка совмещает в себе функции презентера, воздушной мыши, стилуса и лазерной указки</t>
  </si>
  <si>
    <r>
      <rPr>
        <sz val="11"/>
        <color theme="1"/>
        <rFont val="Calibri"/>
        <family val="2"/>
        <charset val="204"/>
      </rPr>
      <t xml:space="preserve">TWC-2AFH + массив микрофонов
</t>
    </r>
    <r>
      <rPr>
        <b/>
        <sz val="11"/>
        <color theme="1"/>
        <rFont val="Calibri"/>
        <family val="2"/>
        <charset val="204"/>
      </rPr>
      <t>Камера:</t>
    </r>
    <r>
      <rPr>
        <sz val="11"/>
        <color theme="1"/>
        <rFont val="Calibri"/>
        <family val="2"/>
        <charset val="204"/>
      </rPr>
      <t xml:space="preserve"> 1920x1080p, максимальная частота кадров 30, Выходной формат Mjpeg/YUV, совместимость с USB3.0, угол поворота видео на 360 градусов влево и вправо, на 90 градусов вверх и вниз
</t>
    </r>
    <r>
      <rPr>
        <b/>
        <sz val="11"/>
        <color theme="1"/>
        <rFont val="Calibri"/>
        <family val="2"/>
        <charset val="204"/>
      </rPr>
      <t xml:space="preserve">Микрофон: </t>
    </r>
    <r>
      <rPr>
        <sz val="11"/>
        <color theme="1"/>
        <rFont val="Calibri"/>
        <family val="2"/>
        <charset val="204"/>
      </rPr>
      <t>встроенный цифровой микрофон с шумоподавлением</t>
    </r>
  </si>
  <si>
    <t>Проводная конференц-система</t>
  </si>
  <si>
    <t>Центральный контроллер для проводной системы Vissonic VIS-DCP1000-D</t>
  </si>
  <si>
    <t>Лифтовый дисплей Vissonic VIS-15LSSC</t>
  </si>
  <si>
    <t>Проводной пульт председателя Vissonic VIS-DEC-T</t>
  </si>
  <si>
    <t>Проводной пульт делегата Vissonic VIS-DED-T</t>
  </si>
  <si>
    <t>Микрофон на «гусиной шее» Vissonic VIS-M410</t>
  </si>
  <si>
    <t>Полночастотная цифровая звуковая колонна Vissonic VIS-SPK4-AL</t>
  </si>
  <si>
    <t>WEB/PTZ камеры</t>
  </si>
  <si>
    <r>
      <rPr>
        <sz val="11"/>
        <color theme="1"/>
        <rFont val="Calibri"/>
        <family val="2"/>
        <charset val="204"/>
      </rPr>
      <t xml:space="preserve">TWC-2AFH + массив микрофонов
</t>
    </r>
    <r>
      <rPr>
        <b/>
        <sz val="11"/>
        <color theme="1"/>
        <rFont val="Calibri"/>
        <family val="2"/>
        <charset val="204"/>
      </rPr>
      <t>Камера:</t>
    </r>
    <r>
      <rPr>
        <sz val="11"/>
        <color theme="1"/>
        <rFont val="Calibri"/>
        <family val="2"/>
        <charset val="204"/>
      </rPr>
      <t xml:space="preserve"> 1920x1080p, максимальная частота кадров 30, Выходной формат Mjpeg/YUV, совместимость с USB3.0, угол поворота видео на 360 градусов влево и вправо, на 90 градусов вверх и вниз
</t>
    </r>
    <r>
      <rPr>
        <b/>
        <sz val="11"/>
        <color theme="1"/>
        <rFont val="Calibri"/>
        <family val="2"/>
        <charset val="204"/>
      </rPr>
      <t xml:space="preserve">Микрофон: </t>
    </r>
    <r>
      <rPr>
        <sz val="11"/>
        <color theme="1"/>
        <rFont val="Calibri"/>
        <family val="2"/>
        <charset val="204"/>
      </rPr>
      <t>встроенный цифровой микрофон с шумоподавлением</t>
    </r>
  </si>
  <si>
    <r>
      <rPr>
        <sz val="11"/>
        <color theme="1"/>
        <rFont val="Calibri"/>
        <family val="2"/>
        <charset val="204"/>
      </rPr>
      <t xml:space="preserve">Teleset TCM-20UIHS
</t>
    </r>
    <r>
      <rPr>
        <b/>
        <sz val="11"/>
        <color theme="1"/>
        <rFont val="Calibri"/>
        <family val="2"/>
        <charset val="204"/>
      </rPr>
      <t>Камера:</t>
    </r>
    <r>
      <rPr>
        <sz val="11"/>
        <color theme="1"/>
        <rFont val="Calibri"/>
        <family val="2"/>
        <charset val="204"/>
      </rPr>
      <t xml:space="preserve"> Full HD 1080p (1920x1080p), 20х оптический, 3.5 мегапикселя, 9 предустановленных режимов камеры, Угол обзора: горизонталь 58,7° (режим wide), Поворот: 355° (макс. cкорость: 80°/с), Наклон: -30°/+90° (макс. cкорость: 60°/с)</t>
    </r>
  </si>
  <si>
    <r>
      <rPr>
        <sz val="11"/>
        <color theme="1"/>
        <rFont val="Calibri"/>
        <family val="2"/>
        <charset val="204"/>
      </rPr>
      <t xml:space="preserve">Teleset TSP-22U
Всенаправленный полнодуплексный портативный микрофон для конференц-связи
</t>
    </r>
    <r>
      <rPr>
        <b/>
        <sz val="11"/>
        <color theme="1"/>
        <rFont val="Calibri"/>
        <family val="2"/>
        <charset val="204"/>
      </rPr>
      <t>Спикерфон:</t>
    </r>
    <r>
      <rPr>
        <sz val="11"/>
        <color theme="1"/>
        <rFont val="Calibri"/>
        <family val="2"/>
        <charset val="204"/>
      </rPr>
      <t xml:space="preserve"> 3 кардиоидных микрофона, Динамики: регулируется до УЗД 94 дБ, Диапозон охвата: до 3м с динамеским шумоподавлением</t>
    </r>
  </si>
  <si>
    <r>
      <rPr>
        <sz val="11"/>
        <color theme="1"/>
        <rFont val="Calibri"/>
        <family val="2"/>
        <charset val="204"/>
      </rPr>
      <t xml:space="preserve">Aver VB130
</t>
    </r>
    <r>
      <rPr>
        <b/>
        <sz val="11"/>
        <color theme="1"/>
        <rFont val="Calibri"/>
        <family val="2"/>
        <charset val="204"/>
      </rPr>
      <t>Камера:</t>
    </r>
    <r>
      <rPr>
        <sz val="11"/>
        <color theme="1"/>
        <rFont val="Calibri"/>
        <family val="2"/>
        <charset val="204"/>
      </rPr>
      <t xml:space="preserve"> 4K 30fps (3840х2160р), 10 предустановленных режимов камеры, Объектив: широкоугольный 4K, Поле обзора: 90 - 120 градусов
</t>
    </r>
    <r>
      <rPr>
        <b/>
        <sz val="11"/>
        <color theme="1"/>
        <rFont val="Calibri"/>
        <family val="2"/>
        <charset val="204"/>
      </rPr>
      <t>Аудио:</t>
    </r>
    <r>
      <rPr>
        <sz val="11"/>
        <color theme="1"/>
        <rFont val="Calibri"/>
        <family val="2"/>
        <charset val="204"/>
      </rPr>
      <t xml:space="preserve"> Регулируемое звуковое ограждение, встроенные 5 микрофонов, шумоподавление, Диапазон охвата: 4 метра, Динамики: 6 Вт x 1 с басовым портом</t>
    </r>
  </si>
  <si>
    <r>
      <rPr>
        <sz val="11"/>
        <color theme="1"/>
        <rFont val="Calibri"/>
        <family val="2"/>
        <charset val="204"/>
      </rPr>
      <t xml:space="preserve">Aver VC520 Pro
</t>
    </r>
    <r>
      <rPr>
        <b/>
        <sz val="11"/>
        <color theme="1"/>
        <rFont val="Calibri"/>
        <family val="2"/>
        <charset val="204"/>
      </rPr>
      <t>Камера:</t>
    </r>
    <r>
      <rPr>
        <sz val="11"/>
        <color theme="1"/>
        <rFont val="Calibri"/>
        <family val="2"/>
        <charset val="204"/>
      </rPr>
      <t xml:space="preserve"> Full HD 1080p 60fps (1920x1080p) , 10 предустановленных режимов камеры , 18-кратное увеличение (12x-оптическое), Поворот: +130°/-130°, наклон: +90°/-25°
</t>
    </r>
    <r>
      <rPr>
        <b/>
        <sz val="11"/>
        <color theme="1"/>
        <rFont val="Calibri"/>
        <family val="2"/>
        <charset val="204"/>
      </rPr>
      <t>Спикерфон:</t>
    </r>
    <r>
      <rPr>
        <sz val="11"/>
        <color theme="1"/>
        <rFont val="Calibri"/>
        <family val="2"/>
        <charset val="204"/>
      </rPr>
      <t xml:space="preserve"> Полнодуплексный двунаправленный микрофон, Эхоподавление, шумоподавление, Диапазон охвата: до 5м, Динамики: 10 Вт, регулируется до УЗД 90 дБ</t>
    </r>
  </si>
  <si>
    <t>Расширенный спикерфон к Aver VC520 Pro</t>
  </si>
  <si>
    <r>
      <rPr>
        <sz val="11"/>
        <color theme="1"/>
        <rFont val="Calibri"/>
        <family val="2"/>
        <charset val="204"/>
      </rPr>
      <t xml:space="preserve">Avonic CM73-IP-W
</t>
    </r>
    <r>
      <rPr>
        <b/>
        <sz val="11"/>
        <color theme="1"/>
        <rFont val="Calibri"/>
        <family val="2"/>
        <charset val="204"/>
      </rPr>
      <t>Камера:</t>
    </r>
    <r>
      <rPr>
        <sz val="11"/>
        <color theme="1"/>
        <rFont val="Calibri"/>
        <family val="2"/>
        <charset val="204"/>
      </rPr>
      <t xml:space="preserve"> Full HD 1080p 60fps (1920х1080p), 30-х оптический зум, Поле зрения: 58.9° по горизонтали, Поворот: +170°/-170°, наклон: +90°/-30°</t>
    </r>
  </si>
  <si>
    <t>Настенные</t>
  </si>
  <si>
    <t>Проекторы &amp; крепления</t>
  </si>
  <si>
    <t>EMWM-AV-70
Диагональ: 99"/ Размер: 178x178см/ Соотношение сторон: AV (1:1)/ Материал: Matte White/ Тип: настенный</t>
  </si>
  <si>
    <t>Acer Projector X1123HP (DLP, 4000 люмен, 20000:1, 800x600, D-Sub, HDMI, RCA, USB, ПДУ, 2D/3D) (MR.JSA11.005)</t>
  </si>
  <si>
    <t>EMWM-AV-80
Диагональ: 113"/ Размер: 203x203см/ Соотношение сторон: AV (1:1)/ Материал: Matte White/ Тип: настенный</t>
  </si>
  <si>
    <t>Optoma X400LVe (DLP, 4000 люмен,  XGA (1024x768),  Динамик 10Вт, HDMI, VGA, ПДУ)</t>
  </si>
  <si>
    <t>EMWM-AV-84
Диагональ: 120"/ Размер: 213x213см/ Соотношение сторон: AV (1:1)/ Материал: Matte White/ Тип: настенный</t>
  </si>
  <si>
    <r>
      <rPr>
        <b/>
        <sz val="11"/>
        <color rgb="FF000000"/>
        <rFont val="Congenial"/>
      </rPr>
      <t xml:space="preserve">Optoma ZX300 Projector (Лазерный 24/7, DLP, 3500 люмен,  XGA (1024x768),  Динамик 15Вт, HDMI, USB, ПДУ)
</t>
    </r>
    <r>
      <rPr>
        <b/>
        <sz val="12"/>
        <color rgb="FFFF0000"/>
        <rFont val="Calibri"/>
        <family val="2"/>
        <charset val="204"/>
      </rPr>
      <t>+ СКИДКА 50$ на любой проекционный экран</t>
    </r>
  </si>
  <si>
    <t>EMWM-AV-96
Диагональ: 136"/ Размер: 244x244см/ Соотношение сторон: AV (1:1)/ Материал: Matte White/ Тип: настенный</t>
  </si>
  <si>
    <r>
      <rPr>
        <b/>
        <sz val="11"/>
        <color rgb="FF000000"/>
        <rFont val="Congenial"/>
      </rPr>
      <t xml:space="preserve">Optoma HD29i Projector (DLP, 4000 люмен,  FHD (1980x1080), Динамик 5Вт, HDMI, USB, ПДУ)
</t>
    </r>
    <r>
      <rPr>
        <b/>
        <sz val="12"/>
        <color rgb="FFFF0000"/>
        <rFont val="Calibri"/>
        <family val="2"/>
        <charset val="204"/>
      </rPr>
      <t>+ СКИДКА 50$ на любой проекционный экран</t>
    </r>
  </si>
  <si>
    <t>MWM-NTSC-84D
Диагональ: 84"/ Размер: 170x127см/ Соотношение сторон: NTSC (4:3)/ Материал: Matte White/ Тип: настенный</t>
  </si>
  <si>
    <t>ViewSonic PA503SE (DLP, 800x600, 3600Lm, VS16907, HDMI, USB, ПДУ)</t>
  </si>
  <si>
    <t>EMWM-NTSC-100D
Диагональ: 100"/ Размер: 203x153см/ Соотношение сторон: NTSC (4:3)/ Материал: Matte White/ Тип: настенный</t>
  </si>
  <si>
    <t>ViewSonic PX704HD (DLP,  FHD (1920x1080), 4000Lm, Optical zoom 1.3x, Динамик 3Вт, HDMI, USB, ПДУ)</t>
  </si>
  <si>
    <t>EMWM-NTSC-120D
Диагональ: 120"/ Размер: 244x183см/ Соотношение сторон: NTSC (4:3)/ Материал: Matte White/ Тип: настенный</t>
  </si>
  <si>
    <t>ViewSonic PX701-4K (DLP,  4K (3840x2160), 3200Lm, 240 Гц, 5мс, Optical zoom 1.3x, Динамик 10Вт, HDR, HDMI 2.0, USB, ПДУ)</t>
  </si>
  <si>
    <t>SwNT-150
Диагональ: 150"/ Размер: 305x229см/ Соотношение сторон: NTSC(4:3)/ Материал: Matte White/ Тип: настенный</t>
  </si>
  <si>
    <t>Epson MultiMedia Projector CO-W01 (3xLCD, 3000 люмен, 15000:1, XGA (1280×800), D-Sub, HDMI, USB, ПДУ)</t>
  </si>
  <si>
    <t>MW-HD-92D
Диагональ: 92"/ Размер: 203x114см/ Соотношение сторон: HD (16:9)/ Материал: Matte White/ Тип: настенный</t>
  </si>
  <si>
    <t>Epson MultiMedia Projector EB-E01 (3xLCD, 3300 люмен, 15000:1, XGA (1280×800), D-Sub, HDMI, USB, ПДУ)</t>
  </si>
  <si>
    <t>MW-HD-100D
Диагональ: 100"/ Размер: 221x124см/ Соотношение сторон: HD (16:9)/ Материал: Matte White/ Тип: настенный</t>
  </si>
  <si>
    <t>Sony VPL-FHZ91 (Лазерно-люминофорный инсталяционный 24/7, 3LCD, 9000 люмен, WUXGA (1920x1200), ∞:1, HDMI, HDBaseT)</t>
  </si>
  <si>
    <t>MWM-HD-150D
Диагональ: 150"/ Размер: 331x191см/ Соотношение сторон: HD (16:9)/ Материал: Matte White/ Тип: настенный</t>
  </si>
  <si>
    <t>Panasonic PT-VMZ71 (Лазерный проектор 24/7, 3LCD, 7000 люмен, WUXGA (1920x1200) HDMI, HDBaseT)</t>
  </si>
  <si>
    <t>MW-HCG-82D
Диагональ: 84"/ Размер: 187x105см/ Соотношение сторон: HD (16:9)/ Материал: H.C Grey/ Тип: настенный</t>
  </si>
  <si>
    <t>Panasonic PT-MZ770E (Лазерно-люминофорный инсталяционный 24/7, 3LCD, 8000 люмен, WUXGA (1920x1200) HDMI, HDBaseT)</t>
  </si>
  <si>
    <t>MW-HCG-92D
Диагональ: 92"/ Размер: 203x114см/ Соотношение сторон: HD (16:9)/ Материал: H.C Grey/ Тип: настенный</t>
  </si>
  <si>
    <t>Panasonic PT-RZ120BE (Лазерно-люминофорный инсталяционный 24/7, DLP, 12000 люмен, WUXGA (1920x1200) HDMI, HDBaseT)
+ линза ET-DLE170</t>
  </si>
  <si>
    <t>На треноге</t>
  </si>
  <si>
    <t>Panasonic PT-MZ13KLBE без линзы (Лазерно-люминофорный инсталяционный 24/7, 3LCD, 13000 люмен, WUXGA (1920x1200) HDMI, HDBaseT)</t>
  </si>
  <si>
    <t>ETRM-AV-70
Диагональ: 99"/ Размер: 178х178см/ Соотношение сторон: AV (1:1)/ Материал: Matte White/ Тип: на треноге</t>
  </si>
  <si>
    <t>PCM-65 (Крепление потолочное для проектора 43см. ~ 65см. Материал - алюминий. Цвет - белый. Нагрузка - Макс. 20кг. Наклон ±15º)</t>
  </si>
  <si>
    <t>ETRM-AV-80
Диагональ: 113"/ Размер: 204х204см/ Соотношение сторон: AV (1:1)/ Материал: Matte White/ Тип: на треноге</t>
  </si>
  <si>
    <t>PCM-180 (Крепление потолочное для проектора 90см. ~ 180см. Материал - алюминий. Цвет - белый. Нагрузка - Макс. 20кг. Наклон ±15º)</t>
  </si>
  <si>
    <t>ETRM-AV-84
Диагональ: 120"/ Размер: 214х214см/ Соотношение сторон: AV (1:1)/ Материал: Matte White/ Тип: на треноге</t>
  </si>
  <si>
    <t>PWM-150 (Настенное крепление для проекторов весом до 15 кг, 800-1500 мм, с изменяемым углом наклона и поворота 20 градусов)</t>
  </si>
  <si>
    <t>ETRM-AV-96
Диагональ: 136"/ Размер: 244х244см/ Соотношение сторон: AV (1:1)/ Материал: Matte White/ Тип: на треноге</t>
  </si>
  <si>
    <t>ETRM-NTSC-100D
Диагональ: 100"/ Размер: 204х153см/ Соотношение сторон: NTSC (4:3)/ Материал: Matte White/ Тип: на треноге</t>
  </si>
  <si>
    <t>ETRM-NTSC-120D
Диагональ: 120"/ Размер: 244х183см/ Соотношение сторон: NTSC (4:3)/ Материал: Matte White/ Тип: на треноге</t>
  </si>
  <si>
    <t>Лифтовые</t>
  </si>
  <si>
    <t>EEFS-HD-100D
Диагональ: 100"/ Размер: 228х161см/ Соотношение сторон: HD (16:9)/ Материал: Matte White/ Тип: лифтовой (снизу-вверх)</t>
  </si>
  <si>
    <t>EEFS-HD-110D
Диагональ: 110"/ Размер: 251х176см/ Соотношение сторон: HD (16:9)/ Материал: Matte White/ Тип: лифтовой (снизу-вверх)</t>
  </si>
  <si>
    <t>EEFS-HD-120D
Диагональ: 120"/ Размер: 271х177см/ Соотношение сторон: HD (16:9)/ Материал: Matte White/ Тип: лифтовой (снизу-вверх)</t>
  </si>
  <si>
    <t>Подвесные-рамные</t>
  </si>
  <si>
    <t>FXB-3150
Диагональ: 150"/ Размер: 305х229см/ Соотношение сторон: NTSC (4:3)/ Материал: Matte White/ Тип: подвесной в черной металлической раме, высокое натяжение, моющаяся поверхность</t>
  </si>
  <si>
    <t>Моторизованные</t>
  </si>
  <si>
    <t>MRS-NTSC-84DL
Диагональ: 84"/ Размер: 170х127см/ Соотношение сторон: NTSC (4:3)/ Материал: Matte White LITE/ Тип: моторизованный + пульт</t>
  </si>
  <si>
    <t>EMRSM-NTSC-84D
Диагональ: 84"/ Размер: 170х127см/ Соотношение сторон: NTSC (4:3)/ Материал: Matte White/ Тип: моторизованный + пульт</t>
  </si>
  <si>
    <t>EMRSM-NTSC-100D
Диагональ: 100"/ Размер: 204х153см/ Соотношение сторон: NTSC (4:3)/ Материал: Matte White/ Тип: моторизованный + пульт</t>
  </si>
  <si>
    <t>MRSM-NTSC-120D
Диагональ: 120"/ Размер: 244х183см/ Соотношение сторон: NTSC (4:3)/ Материал: Matte White/ Тип: моторизованный + пульт</t>
  </si>
  <si>
    <t>EMRSM-NTSC-150D
Диагональ: 150"/ Размер: 305х229см/ Соотношение сторон: NTSC (4:3)/ Материал: Matte White/ Тип: моторизованный + пульт</t>
  </si>
  <si>
    <t>EMRS-NTSC-180D
Диагональ: 180"/ Размер: 365x275 см/ Соотношение сторон: NTSC (4:3)/ Материал: Matte White/ Тип: моторизованный + пульт</t>
  </si>
  <si>
    <t>MRS-NTSC-200
Диагональ: 200"/ Размер: 406х305см/ Соотношение сторон: NTSC (4:3)/ Материал: Matte White/ Тип: моторизованный + пульт</t>
  </si>
  <si>
    <t>EMRS-NTSC-200D (SL)
Диагональ: 200"/ Размер: 406х305см/ Соотношение сторон: NTSC (4:3)/ Материал: Matte White БЕСШОВНЫЙ/ Тип: моторизованный + пульт</t>
  </si>
  <si>
    <t>EMRS-LF-240D
Диагональ: 240"/ Размер: 488x366см/ Соотношение сторон: NTSC (4:3)/ Материал: Matte White/ Тип: моторизованный + пульт</t>
  </si>
  <si>
    <t>EMRS-LF-250D (SL)
Диагональ: 250"/ Размер: 508x381см/ Соотношение сторон: NTSC (4:3)/ Материал: Matte White БЕСШОВНЫЙ/ Тип: моторизованный + пульт</t>
  </si>
  <si>
    <t>MRS-LF-300D
Диагональ: 300"/ Размер: 610x457см/ Соотношение сторон: NTSC (4:3)/ Материал: Matte White/ Тип: моторизованный + пульт</t>
  </si>
  <si>
    <t>MRS-LF-300D (SL)
Диагональ: 300"/ Размер: 610x457см/ Соотношение сторон: NTSC (4:3)/ Материал: Matte White БЕСШОВНЫЙ/ Тип: моторизованный + пульт</t>
  </si>
  <si>
    <t>MRS-HD-92D
Диагональ: 92"/ Размер: 203x114см/ Соотношение сторон: HD (16:9)/ Материал: Matte White/ Тип: моторизованный + пульт</t>
  </si>
  <si>
    <t>EMRSM-HD-100D
Диагональ: 100"/ Размер: 221x124см/ Соотношение сторон: HD (16:9)/ Материал: Matte White/ Тип: моторизованный + пульт</t>
  </si>
  <si>
    <t>EMRSM-HD-120D
Диагональ: 120"/ Размер: 244x183см/ Соотношение сторон: HD (16:9)/ Материал: Matte White/ Тип: моторизованный + пульт</t>
  </si>
  <si>
    <t>EMRSM-HD-135D
Диагональ: 135"/ Размер: 294x165см/ Соотношение сторон: HD (16:9)/ Материал: Matte White/ Тип: моторизованный + пульт</t>
  </si>
  <si>
    <t>EMRSM-HD-150D
Диагональ: 150"/ Размер: 330x191см/ Соотношение сторон: HD (16:9)/ Материал: Matte White/ Тип: моторизованный + пульт</t>
  </si>
  <si>
    <t>Моторизованные натяжные</t>
  </si>
  <si>
    <t>TTM-AV-96
Диагональ: 136"/ Размер: 245x245см/ Соотношение сторон: AV (1:1)/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полотне. Широкая по высоте верхняя обрамляющая черная рамка 0.9м- дополнительное удобство для высоких потолков</t>
  </si>
  <si>
    <t>TTM-NTSC-100D
Диагональ: 100"/ Размер: 204х153см/ Соотношение сторон: NTSC (4:3)/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полотне. Широкая по высоте верхняя обрамляющая черная рамка 0.9м- дополнительное удобство для высоких потолков</t>
  </si>
  <si>
    <t>ETTM-NTSC-120D
Диагональ: 120"/ Размер: 244х183см/ Соотношение сторон: NTSC (4:3)/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полотне.</t>
  </si>
  <si>
    <t>ETTM-NTSC-150D
Диагональ: 150"/ Размер:294х220см/ Соотношение сторон: NTSC (4:3)/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полотне.</t>
  </si>
  <si>
    <t xml:space="preserve">ETTM-HD-120D
Диагональ: 120"/ Размер: 264х150см/ Соотношение сторон: HD (16:9)/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полотне. </t>
  </si>
  <si>
    <t>TTM-HD-135D
Диагональ: 135"/ Размер: 299х168см/ Соотношение сторон: HD (16:9)/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полотне.  Широкая по высоте верхняя обрамляющая черная рамка 0.9м- дополнительное удобство для высоких потолков</t>
  </si>
  <si>
    <t xml:space="preserve">ETTM-HD-150D
Диагональ: 150"/ Размер: 330х190см/ Соотношение сторон: HD (16:9)/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полотне. </t>
  </si>
  <si>
    <t>Хромакей</t>
  </si>
  <si>
    <t>TW-PC-94DCKG
Диагональ: 94"/ Размер: 203х127см/ Соотношение сторон: PC (16:10)/ Цвет: зеленый/ Тип: на треноге</t>
  </si>
  <si>
    <t>TW-PC-94DMW
Диагональ: 94"/ Размер: 203х127см/ Соотношение сторон: PC (16:10)/ Цвет: Matte White/ Тип: на треноге</t>
  </si>
  <si>
    <t>TW-AV-70CKG
Диагональ: 99"/ Размер: 178х178см/ Соотношение сторон: AV (1:1)/ Цвет: зеленый/ Тип: на треноге</t>
  </si>
  <si>
    <t>TW-AV-70MW
Диагональ: 99"/ Размер: 178х178см/ Соотношение сторон: AV (1:1)/ Цвет: Matte White/ Тип: на треноге</t>
  </si>
  <si>
    <t>TW-NTSC-100DCKG
Диагональ: 100"/ Размер: 200х150см/ Соотношение сторон: NTSC (4:3)/ Цвет: зеленый/ Тип: на треноге</t>
  </si>
  <si>
    <t>TW-NTSC-100DMW
Диагональ: 100"/ Размер: 200х150см/ Соотношение сторон: NTSC (4:3)/ Цвет: Matte White/ Тип: на треноге</t>
  </si>
  <si>
    <t>Переносные настольные и напольные 
с алюминиевым кейсом</t>
  </si>
  <si>
    <t>LTS-50V
Диагональ: 50"/ Размер: 108х66см/ Материал: High Contract Grey/ Тип: настольный, переносной с мобильным алюминиевым кейсом</t>
  </si>
  <si>
    <t>FS-POST-60D
Диагональ: 60"/ Размер: 122х93см/ Материал: Matte White/ Тип: напольный, переносной с мобильным алюминиевым кейсом</t>
  </si>
  <si>
    <t>аксессуары</t>
  </si>
  <si>
    <t>Вид номенклатуры</t>
  </si>
  <si>
    <t>Артикул</t>
  </si>
  <si>
    <t>Номенклатура</t>
  </si>
  <si>
    <t>Оптом USD</t>
  </si>
  <si>
    <t>Розница UZS</t>
  </si>
  <si>
    <t>Клавиатура для офиса</t>
  </si>
  <si>
    <t>GX31F38001</t>
  </si>
  <si>
    <t>Lenovo 510 Wireless Keyboard and Mouse Combo White</t>
  </si>
  <si>
    <t>Новинка</t>
  </si>
  <si>
    <t>4X30M39487</t>
  </si>
  <si>
    <t>Lenovo Essential Wireless Combo Black</t>
  </si>
  <si>
    <t>Клавиатура игровая</t>
  </si>
  <si>
    <t>GY41N91872</t>
  </si>
  <si>
    <t>Lenovo Legion K310 RGB Gaming Keyboard</t>
  </si>
  <si>
    <t>GY40T26479</t>
  </si>
  <si>
    <t>Lenovo Legion K500 RGB</t>
  </si>
  <si>
    <t>Мышь для офиса</t>
  </si>
  <si>
    <t>GX30M39704</t>
  </si>
  <si>
    <t>Lenovo 300 USB Mouse</t>
  </si>
  <si>
    <t>GY51L52638</t>
  </si>
  <si>
    <t>Lenovo 150 Wireless Compact Mouse</t>
  </si>
  <si>
    <t>GX30K79401</t>
  </si>
  <si>
    <t>Lenovo 300 Wireless Compact Mouse</t>
  </si>
  <si>
    <t>GY51Q65621</t>
  </si>
  <si>
    <t>Lenovo WL310 Bluetooth Silent Mouse</t>
  </si>
  <si>
    <t>GY50R91293</t>
  </si>
  <si>
    <t>Lenovo 400 Wireless Mouse (WW)</t>
  </si>
  <si>
    <t>GY51D20865</t>
  </si>
  <si>
    <t>Lenovo 400 USB-C Compact Wireless Mouse</t>
  </si>
  <si>
    <t>GY51D20867</t>
  </si>
  <si>
    <t>Lenovo 540 USB-C Wireless Compact Mouse (Storm Grey)</t>
  </si>
  <si>
    <t>GY51D20869</t>
  </si>
  <si>
    <t>Lenovo 540 USB-C Compact Wireless Mouse (Cloud Grey)</t>
  </si>
  <si>
    <t>GY51D20871</t>
  </si>
  <si>
    <t>Lenovo 540 USB-C Compact Wireless Mouse (Abyss Blue)</t>
  </si>
  <si>
    <t>GY50U89282</t>
  </si>
  <si>
    <t>Lenovo 600 Wireless Media Mouse</t>
  </si>
  <si>
    <t>GY51P14335</t>
  </si>
  <si>
    <t>Lenovo Yoga Pro Mouse</t>
  </si>
  <si>
    <t>GY51C21210</t>
  </si>
  <si>
    <t>Lenovo Go USB-C Wireless Mouse (Storm Grey)</t>
  </si>
  <si>
    <t>GY50X88833</t>
  </si>
  <si>
    <t>Lenovo 600 Bluetooth Silent Mouse</t>
  </si>
  <si>
    <t>GY51C21211</t>
  </si>
  <si>
    <t>Lenovo Go Wireless Multi-Device Mouse (Storm Grey)</t>
  </si>
  <si>
    <t>GY51B37795</t>
  </si>
  <si>
    <t>Lenovo Yoga Mouse with Laser Presenter (Shadow Black)</t>
  </si>
  <si>
    <t>Мышь</t>
  </si>
  <si>
    <t>GY51M74265</t>
  </si>
  <si>
    <t>Lenovo M210 RGB Gaming Mouse</t>
  </si>
  <si>
    <t>GY51P83012</t>
  </si>
  <si>
    <t>Lenovo Legion M410 Wireless RGB Gaming Mouse</t>
  </si>
  <si>
    <t>GY50X79384</t>
  </si>
  <si>
    <t>Lenovo Legion M300 RGB Gaming Mouse</t>
  </si>
  <si>
    <t>GY51H47350</t>
  </si>
  <si>
    <t>Lenovo Legion M300s RGB Gaming Mouse</t>
  </si>
  <si>
    <t>GY50T26467</t>
  </si>
  <si>
    <t>Lenovo Legion M500 Mouse - WW</t>
  </si>
  <si>
    <t>GY50X79385</t>
  </si>
  <si>
    <t>Lenovo Legion M600 Wireless Gaming Mouse (Black)</t>
  </si>
  <si>
    <t>GY51C96033</t>
  </si>
  <si>
    <t>Lenovo Legion M600 Wireless Gaming Mouse (Stingray)</t>
  </si>
  <si>
    <t>GY51H47355</t>
  </si>
  <si>
    <t>Lenovo Legion M600s Qi Wireless Gaming Mouse</t>
  </si>
  <si>
    <t>Коврик для мыши</t>
  </si>
  <si>
    <t>GXH1C97873</t>
  </si>
  <si>
    <t>Lenovo IdeaPad Gaming Cloth Mouse Pad M (285 * 300 * 3 mm)</t>
  </si>
  <si>
    <t>GXH1C97868</t>
  </si>
  <si>
    <t>Lenovo Legion Gaming Control Mouse Pad L (Grey) (450 * 400 * 2 mm)</t>
  </si>
  <si>
    <t>GXH1C97870</t>
  </si>
  <si>
    <t>Lenovo Legion Gaming Control Mouse Pad L (450 * 400 * 2 mm)</t>
  </si>
  <si>
    <t>GXH0W29068</t>
  </si>
  <si>
    <t>Lenovo Legion Gaming Cloth XL Mouse Pad (900 * 300 * 3 mm)</t>
  </si>
  <si>
    <t>Беспроводные наушники</t>
  </si>
  <si>
    <t>GXD1Q65146</t>
  </si>
  <si>
    <t>Lenovo E310 True Wireless Stereo Earbuds standalone Black</t>
  </si>
  <si>
    <t>GXD1Q65145</t>
  </si>
  <si>
    <t>Lenovo E310 True Wireless Stereo Earbuds standalone White</t>
  </si>
  <si>
    <t>GXD1N63507</t>
  </si>
  <si>
    <t>Lenovo TWS YOGA PC Edition - Tidal Teal</t>
  </si>
  <si>
    <t>Игровые Наушники</t>
  </si>
  <si>
    <t>GXD1P46879</t>
  </si>
  <si>
    <t>Lenovo H110 Gaming Headset</t>
  </si>
  <si>
    <t>GXD1P46880</t>
  </si>
  <si>
    <t>Lenovo H210 Gaming Headset</t>
  </si>
  <si>
    <t>GXD1C67963</t>
  </si>
  <si>
    <t>Lenovo IdeaPad Gaming H100</t>
  </si>
  <si>
    <t>GXD0T69863</t>
  </si>
  <si>
    <t>Lenovo Legion H300 Stereo Gaming Headset</t>
  </si>
  <si>
    <t>GXD1A03963</t>
  </si>
  <si>
    <t>Lenovo Legion H600 Wireless Gaming Headset</t>
  </si>
  <si>
    <t>GXD0T69864</t>
  </si>
  <si>
    <t>Lenovo Legion H500 Pro 7,1 Surround Sound Gaming Headset</t>
  </si>
  <si>
    <t>Игровая станция</t>
  </si>
  <si>
    <t>GXF1B64183</t>
  </si>
  <si>
    <t>Lenovo Legion S600 Gaming Station-CE</t>
  </si>
  <si>
    <t>Подставка для ноутбука</t>
  </si>
  <si>
    <t>GXF0X02618</t>
  </si>
  <si>
    <t>Lenovo Portable Aluminum Laptop Stand (Brown Box)</t>
  </si>
  <si>
    <t>USB Хаб</t>
  </si>
  <si>
    <t>GX90X21431</t>
  </si>
  <si>
    <t>Lenovo USB-C to 4 Port USB-A Hub</t>
  </si>
  <si>
    <t>GX91A34575</t>
  </si>
  <si>
    <t>Lenovo Travel Hub Gen2 USB-C to Ethernet, HDMI, VGA, USB-A</t>
  </si>
  <si>
    <t>4X90S92381</t>
  </si>
  <si>
    <t>Lenovo Powered USB-C Travel Hub to Ethernet, HDMI, VGA, 2x USB-A</t>
  </si>
  <si>
    <t>Док станция</t>
  </si>
  <si>
    <t>40AY0090EU</t>
  </si>
  <si>
    <t>Lenovo ThinkPad Universal USB-C Dock</t>
  </si>
  <si>
    <t>Веб камера</t>
  </si>
  <si>
    <t>GXC1D66063</t>
  </si>
  <si>
    <t>Lenovo 510 FHD Webcam</t>
  </si>
  <si>
    <t>Чехол</t>
  </si>
  <si>
    <t>GX40Z50941</t>
  </si>
  <si>
    <t>Lenovo 14-inch Laptop Urban Sleeve Case</t>
  </si>
  <si>
    <t>GX40Z50942</t>
  </si>
  <si>
    <t>Lenovo 15.6-inch Laptop Urban Sleeve Case</t>
  </si>
  <si>
    <t>GX40X02934</t>
  </si>
  <si>
    <t>Lenovo Yoga 15-inch Laptop Sleeve</t>
  </si>
  <si>
    <t>GX41K68624</t>
  </si>
  <si>
    <t>Lenovo Yoga 14.5-inch Sleeve Grey</t>
  </si>
  <si>
    <t>GX41K68626</t>
  </si>
  <si>
    <t>Lenovo Yoga 14.5-inch Sleeve Tidal Teal</t>
  </si>
  <si>
    <t>GX41K68627</t>
  </si>
  <si>
    <t>Lenovo Yoga 16-inch Sleeve Grey</t>
  </si>
  <si>
    <t>Сумка</t>
  </si>
  <si>
    <t>GX40Q17229</t>
  </si>
  <si>
    <t>Lenovo 15,6 inch Laptop Casual Toploader T210</t>
  </si>
  <si>
    <t>GX40X54262</t>
  </si>
  <si>
    <t>Lenovo 15,6-inch Laptop Urban Toploader T530</t>
  </si>
  <si>
    <t>Рюкзак</t>
  </si>
  <si>
    <t>GX40Q17225</t>
  </si>
  <si>
    <t>Lenovo 15,6-inch Laptop Backpack B210</t>
  </si>
  <si>
    <t>GX40Q75214</t>
  </si>
  <si>
    <t>Lenovo 15,6-inch Laptop Everyday Backpack B510 Black</t>
  </si>
  <si>
    <t>GX40Q75217</t>
  </si>
  <si>
    <t>Lenovo 15,6-inch Laptop Everyday Backpack B515 Grey</t>
  </si>
  <si>
    <t>Lenovo 15,6-inch Laptop Everyday Backpack B515 Black</t>
  </si>
  <si>
    <t>GX40Z24050</t>
  </si>
  <si>
    <t>Lenovo IdeaPad Gaming 15,6-inch Backpack</t>
  </si>
  <si>
    <t>GX41H70101</t>
  </si>
  <si>
    <t>Lenovo IdeaPad Gaming Modern Backpack Black</t>
  </si>
  <si>
    <t>GX41H71241</t>
  </si>
  <si>
    <t>Lenovo IdeaPad Gaming Modern Backpack White</t>
  </si>
  <si>
    <t>GX41C86982</t>
  </si>
  <si>
    <t>Lenovo Legion 17-inch Active Gaming Backpack</t>
  </si>
  <si>
    <t>Lenovo 15.6-inch Laptop Urban Backpack B810</t>
  </si>
  <si>
    <t>GX41M53146</t>
  </si>
  <si>
    <t>Lenovo Legion 16" Gaming Backpack GB400</t>
  </si>
  <si>
    <t>GX40V10007</t>
  </si>
  <si>
    <t>Lenovo Legion 17-inch Laptop Armored Backpack II</t>
  </si>
  <si>
    <t>GX41M53147</t>
  </si>
  <si>
    <t>Lenovo Legion 16" Gaming Backpack GB700</t>
  </si>
  <si>
    <t>Планшет</t>
  </si>
  <si>
    <t>ZA5H0060RU</t>
  </si>
  <si>
    <t>Lenovo Tab M8 TB-8505X 2/32GB 8"</t>
  </si>
  <si>
    <t>ZA5V0289RU</t>
  </si>
  <si>
    <t>Lenovo Tab M10 TB-X606X 4/64gb 10.1" FHD Plus</t>
  </si>
  <si>
    <t>Цена В $</t>
  </si>
  <si>
    <t>UZS БЕЗ Ндс</t>
  </si>
  <si>
    <t>UZS с НДС</t>
  </si>
  <si>
    <t>Web камеры</t>
  </si>
  <si>
    <t>4C9Q2AA</t>
  </si>
  <si>
    <t>HP 950 4K Webcam EURO (p/n 4C9Q2AA)</t>
  </si>
  <si>
    <t>1 790 000,00</t>
  </si>
  <si>
    <t>2 040 000,00</t>
  </si>
  <si>
    <t>695J6AA</t>
  </si>
  <si>
    <t>HP 960 4K USB-A Streaming Webcam EURO (p/n 695J6AA)</t>
  </si>
  <si>
    <t>2 480 000,00</t>
  </si>
  <si>
    <t>2 830 000,00</t>
  </si>
  <si>
    <t>Акустические системы</t>
  </si>
  <si>
    <t>2D802AA</t>
  </si>
  <si>
    <t>HP 350 Simba Blk BT Speaker EURO (p/n 2D802AA)</t>
  </si>
  <si>
    <t>380 000,00</t>
  </si>
  <si>
    <t>430 000,00</t>
  </si>
  <si>
    <t>2D803AA</t>
  </si>
  <si>
    <t>HP 350 Simba Blue BT Speaker EURO (p/n 2D803AA)</t>
  </si>
  <si>
    <t>2D799AA</t>
  </si>
  <si>
    <t>HP 360 Nala Blk BT Speaker EURO (p/n 2D799AA)</t>
  </si>
  <si>
    <t>8PB07AA</t>
  </si>
  <si>
    <t>HP PAVILION Game Speaker EURO (p/n 8PB07AA)</t>
  </si>
  <si>
    <t>1 080 000,00</t>
  </si>
  <si>
    <t>1 230 000,00</t>
  </si>
  <si>
    <t>5UU40AA</t>
  </si>
  <si>
    <t>HP S101 SOUNDBAR (5UU40AA)</t>
  </si>
  <si>
    <t>610 000,00</t>
  </si>
  <si>
    <t>690 000,00</t>
  </si>
  <si>
    <t>Кабеля</t>
  </si>
  <si>
    <t>X1B84AA</t>
  </si>
  <si>
    <t>HP HDMI to VGA Adapter EURO (p/n X1B84AA)</t>
  </si>
  <si>
    <t>270 000,00</t>
  </si>
  <si>
    <t>310 000,00</t>
  </si>
  <si>
    <t>2PC54AA</t>
  </si>
  <si>
    <t>HP USB-C to HDMI 2,0 Adapter EURO (p/n 2PC54AA)</t>
  </si>
  <si>
    <t>410 000,00</t>
  </si>
  <si>
    <t>460 000,00</t>
  </si>
  <si>
    <t>P7Z54AA</t>
  </si>
  <si>
    <t>HP USB-C to VGA Adapter EURO (p/n P7Z54AA)</t>
  </si>
  <si>
    <t>4Z527AA</t>
  </si>
  <si>
    <t>HP USBC to RJ45 Adapter G2 EURO (p/n 4Z527AA)</t>
  </si>
  <si>
    <t>360 000,00</t>
  </si>
  <si>
    <t>4Z534AA</t>
  </si>
  <si>
    <t>HP USBC to RJ45 Adapter G2 EURO (p/n 4Z534AA)</t>
  </si>
  <si>
    <t>Проводной USB переходник (адаптер) марки Ugreen (p/n 50307) USB-C 3.1 GEN1 To Gigabit Ethernet Adapt</t>
  </si>
  <si>
    <t>230 000,00</t>
  </si>
  <si>
    <t>260 000,00</t>
  </si>
  <si>
    <t>Картриджи и расходные материалы</t>
  </si>
  <si>
    <t>3YP61AE</t>
  </si>
  <si>
    <t>HP - Tri-color + black Печатающая головка HP</t>
  </si>
  <si>
    <t>540 000,00</t>
  </si>
  <si>
    <t>620 000,00</t>
  </si>
  <si>
    <t>6ZA18AE</t>
  </si>
  <si>
    <t>HP - Tri-color Печатающая головка HP</t>
  </si>
  <si>
    <t>340 000,00</t>
  </si>
  <si>
    <t>390 000,00</t>
  </si>
  <si>
    <t>M0H54AE</t>
  </si>
  <si>
    <t>HP - Чернила HP GT52 Cyan Original Ink Bottle</t>
  </si>
  <si>
    <t>220 000,00</t>
  </si>
  <si>
    <t>250 000,00</t>
  </si>
  <si>
    <t>M0H55AE</t>
  </si>
  <si>
    <t>HP - Чернила HP GT52 Magenta Original Ink Bottle</t>
  </si>
  <si>
    <t>M0H56AE</t>
  </si>
  <si>
    <t>HP - Чернила HP GT52 Yellow Original Ink Bottle</t>
  </si>
  <si>
    <t>1VV21AE</t>
  </si>
  <si>
    <t>HP - Чернила HP GT53XL Black Original Ink Bottle</t>
  </si>
  <si>
    <t>CF530A</t>
  </si>
  <si>
    <t>HP 205A Black LaserJet Toner Cartridge (CF530A)</t>
  </si>
  <si>
    <t>800 000,00</t>
  </si>
  <si>
    <t>910 000,00</t>
  </si>
  <si>
    <t>6ZA17AE</t>
  </si>
  <si>
    <t>HP Black Printhead 500/600 Smart Tank</t>
  </si>
  <si>
    <t>CF531A</t>
  </si>
  <si>
    <t>HP LaserJet Pro 205A M154/180/181 CYAN</t>
  </si>
  <si>
    <t>1 210 000,00</t>
  </si>
  <si>
    <t>1 380 000,00</t>
  </si>
  <si>
    <t>CF533A</t>
  </si>
  <si>
    <t>HP LaserJet Pro 205A M154/180/181 Magenta</t>
  </si>
  <si>
    <t>CF532A</t>
  </si>
  <si>
    <t>HP LaserJet Pro 205A M154/180/181 Yellow</t>
  </si>
  <si>
    <t>W1103AD</t>
  </si>
  <si>
    <t>HP Neverstop Laser 2 Toner Reload kits 103AD</t>
  </si>
  <si>
    <t>3YP17AE</t>
  </si>
  <si>
    <t>Tri-color Printhead for Smart tank 700</t>
  </si>
  <si>
    <t>470 000,00</t>
  </si>
  <si>
    <t>Клавиатуры</t>
  </si>
  <si>
    <t>3L1F0AA</t>
  </si>
  <si>
    <t>HP 230 Wireless Mouse and Keyboard Combo RUSS White</t>
  </si>
  <si>
    <t>1Y4D0AA</t>
  </si>
  <si>
    <t>HP 235 Wireless Mouse and Keyboard Combo</t>
  </si>
  <si>
    <t>692S9AA</t>
  </si>
  <si>
    <t>Клавиатура HP 355 Compact Multi</t>
  </si>
  <si>
    <t>510 000,00</t>
  </si>
  <si>
    <t>590 000,00</t>
  </si>
  <si>
    <t>286J4AA</t>
  </si>
  <si>
    <t>HP 225 Wired Mouse and KB RUSS (286J4AA)</t>
  </si>
  <si>
    <t>350 000,00</t>
  </si>
  <si>
    <t>400 000,00</t>
  </si>
  <si>
    <t>3L1E7AA</t>
  </si>
  <si>
    <t>HP 230 BLK WL KBD EMEA1 (p/n 3L1E7AA)</t>
  </si>
  <si>
    <t>330 000,00</t>
  </si>
  <si>
    <t>370 000,00</t>
  </si>
  <si>
    <t>4R184AA</t>
  </si>
  <si>
    <t>HP 450 BLK Programmable WL KBD EMEA1 (p/n 4R184AA)</t>
  </si>
  <si>
    <t>5JS06AA</t>
  </si>
  <si>
    <t>HP 800 Pav Gam BLK Mech WD GKBD EURO (p/n 5JS06AA)</t>
  </si>
  <si>
    <t>850 000,00</t>
  </si>
  <si>
    <t>970 000,00</t>
  </si>
  <si>
    <t>J8F16AA</t>
  </si>
  <si>
    <t>HP Keyboard K1600</t>
  </si>
  <si>
    <t>6YW76AA</t>
  </si>
  <si>
    <t>HP OMEN Encoder Keyboard</t>
  </si>
  <si>
    <t>2 240 000,00</t>
  </si>
  <si>
    <t>2 560 000,00</t>
  </si>
  <si>
    <t>1MY13AA</t>
  </si>
  <si>
    <t>HP OMEN Keyboard 1100 - RUSS</t>
  </si>
  <si>
    <t>2 540 000,00</t>
  </si>
  <si>
    <t>2 900 000,00</t>
  </si>
  <si>
    <t>2VN99AA</t>
  </si>
  <si>
    <t>HP OMEN Sequencer (2VN99AA)</t>
  </si>
  <si>
    <t>1 850 000,00</t>
  </si>
  <si>
    <t>2 120 000,00</t>
  </si>
  <si>
    <t>9BU31AA</t>
  </si>
  <si>
    <t>HP OMEN SPACER BL WL GKBD EURO (p/n 9BU31AA)</t>
  </si>
  <si>
    <t>1 870 000,00</t>
  </si>
  <si>
    <t>2 130 000,00</t>
  </si>
  <si>
    <t>3VN40AA</t>
  </si>
  <si>
    <t>HP Pavilion Gaming Keyboard 500 RUSS</t>
  </si>
  <si>
    <t>1 280 000,00</t>
  </si>
  <si>
    <t>1 460 000,00</t>
  </si>
  <si>
    <t>E5E78AA</t>
  </si>
  <si>
    <t>HP Wireless Keyboard K2500</t>
  </si>
  <si>
    <t>530 000,00</t>
  </si>
  <si>
    <t>600 000,00</t>
  </si>
  <si>
    <t>HP-Pavilion wireless keyboard and mouse 800 white</t>
  </si>
  <si>
    <t>940 000,00</t>
  </si>
  <si>
    <t>4R013AA</t>
  </si>
  <si>
    <t>Беспроводный комплект клавиатура + мышь HP 650 Black</t>
  </si>
  <si>
    <t>880 000,00</t>
  </si>
  <si>
    <t>1 000 000,00</t>
  </si>
  <si>
    <t>4R016AA</t>
  </si>
  <si>
    <t>Беспроводный комплект клавиатура + мышь HP 650 White</t>
  </si>
  <si>
    <t>Коврики для мыши</t>
  </si>
  <si>
    <t>8X594AA</t>
  </si>
  <si>
    <t>Коврик для мыши HP 100 Sanitizable MSE (8X594AA)</t>
  </si>
  <si>
    <t>170 000,00</t>
  </si>
  <si>
    <t>190 000,00</t>
  </si>
  <si>
    <t>3ML37AA</t>
  </si>
  <si>
    <t>HP OMEN Mousepad 200</t>
  </si>
  <si>
    <t>6CM14AA</t>
  </si>
  <si>
    <t>HP OMEN Outpost Mousepad</t>
  </si>
  <si>
    <t>1 360 000,00</t>
  </si>
  <si>
    <t>1 550 000,00</t>
  </si>
  <si>
    <t>Комплектующие</t>
  </si>
  <si>
    <t>Адаптер HP 280W AC LC Power Adapter-EURO</t>
  </si>
  <si>
    <t>2 020 000,00</t>
  </si>
  <si>
    <t>2 300 000,00</t>
  </si>
  <si>
    <t>Адаптер HP 90W AC For AIO</t>
  </si>
  <si>
    <t>2JA63AA</t>
  </si>
  <si>
    <t>HP DisplayPort to HDMI True 4k Adapter</t>
  </si>
  <si>
    <t>2UK37AA</t>
  </si>
  <si>
    <t>Док-станция HP Thunderbolt 120Вт (USB-C, 3.0, VGA, DP, RJ-45, AC, аудио) (2UK37AA#ABB)</t>
  </si>
  <si>
    <t>2 550 000,00</t>
  </si>
  <si>
    <t>2 910 000,00</t>
  </si>
  <si>
    <t>5TW10AA</t>
  </si>
  <si>
    <t>Док-станция HP USB-C G5 (5TW10AA)</t>
  </si>
  <si>
    <t>Док-станция HP, pn 5TW10AA, док станция для ноутбуков HP USB-C Dock G5</t>
  </si>
  <si>
    <t>4X491AA</t>
  </si>
  <si>
    <t>Зарядка для стилуса HP RCHRGLE Slim Pen Charger (p/n 4X491AA)</t>
  </si>
  <si>
    <t>3V2X4AA</t>
  </si>
  <si>
    <t>Стилус HP MPP 1.51 Pen - Dark Grey</t>
  </si>
  <si>
    <t>680 000,00</t>
  </si>
  <si>
    <t>770 000,00</t>
  </si>
  <si>
    <t>630W7AA</t>
  </si>
  <si>
    <t>Стилус HP Slim RECHBL Pen-WW</t>
  </si>
  <si>
    <t>810 000,00</t>
  </si>
  <si>
    <t>920 000,00</t>
  </si>
  <si>
    <t>Мыши</t>
  </si>
  <si>
    <t>6CR71AA</t>
  </si>
  <si>
    <t>HP Dual Mode Mouse 300</t>
  </si>
  <si>
    <t>5JS07AA</t>
  </si>
  <si>
    <t>HP Pavilion Gaming Mouse 200</t>
  </si>
  <si>
    <t>630 000,00</t>
  </si>
  <si>
    <t>720 000,00</t>
  </si>
  <si>
    <t>6H1A4AA</t>
  </si>
  <si>
    <t>Беспроводная мышка HP 920 Ergonomic</t>
  </si>
  <si>
    <t>3V0G9AA</t>
  </si>
  <si>
    <t>Беспроводная мышь HP 240 Black Bluetooth (3V0G9AA)</t>
  </si>
  <si>
    <t>210 000,00</t>
  </si>
  <si>
    <t>43N04AA</t>
  </si>
  <si>
    <t>Беспроводная мышь HP 240 Pike Silver Bluetooth (43N04AA)</t>
  </si>
  <si>
    <t>V0L79AA</t>
  </si>
  <si>
    <t>Беспроводная мышь HP Z3700 Black</t>
  </si>
  <si>
    <t>300 000,00</t>
  </si>
  <si>
    <t>V0L81AA</t>
  </si>
  <si>
    <t>Беспроводная мышь HP Z3700 Blue</t>
  </si>
  <si>
    <t>171D8AA</t>
  </si>
  <si>
    <t>Беспроводная мышь HP Z3700 Ceramic White/Silver</t>
  </si>
  <si>
    <t>X7Q43AA</t>
  </si>
  <si>
    <t>Беспроводная мышь HP Z3700 Gold</t>
  </si>
  <si>
    <t>4VY82AA</t>
  </si>
  <si>
    <t>Беспроводная мышь HP Z3700 Pink</t>
  </si>
  <si>
    <t>V0L82AA</t>
  </si>
  <si>
    <t>Беспроводная мышь HP Z3700 Red</t>
  </si>
  <si>
    <t>X7Q44AA</t>
  </si>
  <si>
    <t>Беспроводная мышь HP Z3700 Silver</t>
  </si>
  <si>
    <t>AZ7B2AA</t>
  </si>
  <si>
    <t>Беспроводная мышь HP 400 Quiet Black (AZ7B2AA)</t>
  </si>
  <si>
    <t>AZ7B6AA</t>
  </si>
  <si>
    <t>Беспроводная мышь HP 400 Quiet Maple (AZ7B6AA)</t>
  </si>
  <si>
    <t>8T6M3AA</t>
  </si>
  <si>
    <t>Беспроводная мышь HP 480 Comfort Bluetooth (8T6M3AA)</t>
  </si>
  <si>
    <t>758A9AA</t>
  </si>
  <si>
    <t>Беспроводная мышь HP Z3700 Dual Silver</t>
  </si>
  <si>
    <t>265A9A6</t>
  </si>
  <si>
    <t>HP 125 WRD (265A9A6)</t>
  </si>
  <si>
    <t>110 000,00</t>
  </si>
  <si>
    <t>130 000,00</t>
  </si>
  <si>
    <t>4M0X5AA</t>
  </si>
  <si>
    <t>HP 410 Slim AHS Bluetooth Mouse EURO (p/n 4M0X5AA)</t>
  </si>
  <si>
    <t>3YF38AA</t>
  </si>
  <si>
    <t>HP BT BLK Mouse EURO (p/n 3YF38AA)</t>
  </si>
  <si>
    <t>960 000,00</t>
  </si>
  <si>
    <t>1 090 000,00</t>
  </si>
  <si>
    <t>1D0K9AA</t>
  </si>
  <si>
    <t>HP Creator 930 SLV WRLS Mouse EURO (p/n 1D0K9AA)</t>
  </si>
  <si>
    <t>1 140 000,00</t>
  </si>
  <si>
    <t>1 300 000,00</t>
  </si>
  <si>
    <t>3ML38AA</t>
  </si>
  <si>
    <t>HP OMEN Mouse 400</t>
  </si>
  <si>
    <t>1KF75AA</t>
  </si>
  <si>
    <t>HP OMEN Mouse 600</t>
  </si>
  <si>
    <t>980 000,00</t>
  </si>
  <si>
    <t>1 120 000,00</t>
  </si>
  <si>
    <t>J6N88AA</t>
  </si>
  <si>
    <t>HP OMEN Mouse X9000</t>
  </si>
  <si>
    <t>760 000,00</t>
  </si>
  <si>
    <t>860 000,00</t>
  </si>
  <si>
    <t>6CL96AA</t>
  </si>
  <si>
    <t>HP OMEN PHOTON Wireless Mouse</t>
  </si>
  <si>
    <t>2VP02AA</t>
  </si>
  <si>
    <t>HP OMEN Reactor Mouse</t>
  </si>
  <si>
    <t>7ZF19AA</t>
  </si>
  <si>
    <t>HP OMEN Reactor Mouse White</t>
  </si>
  <si>
    <t>8BC52AA</t>
  </si>
  <si>
    <t>HP OMEN Vector Essential Mouse</t>
  </si>
  <si>
    <t>520 000,00</t>
  </si>
  <si>
    <t>2B349AA</t>
  </si>
  <si>
    <t>Беспроводная игровая мышь HP OMEN Vector</t>
  </si>
  <si>
    <t>3B4Q2AA</t>
  </si>
  <si>
    <t>Беспроводная мышка HP 430 Black</t>
  </si>
  <si>
    <t>AZ7B0AA</t>
  </si>
  <si>
    <t>Беспроводная мышь HP 700 с возможностью зарядки (AZ7B0AA)</t>
  </si>
  <si>
    <t>6E6F2AA</t>
  </si>
  <si>
    <t>Беспроводная мышь HP 710 с возможностью зарядки (6E6F2AA)</t>
  </si>
  <si>
    <t>V0L80AA</t>
  </si>
  <si>
    <t>Беспроводная мышь HP Z3700 White</t>
  </si>
  <si>
    <t>6G4E6AA</t>
  </si>
  <si>
    <t>Мышка HP 285 Silent Wireless Mouse (p/n 6G4E6AA)</t>
  </si>
  <si>
    <t>2S9L1AA</t>
  </si>
  <si>
    <t>Мышь беспроводная HP 150 WRLS Mouse EURO (p/n 2S9L1AA)</t>
  </si>
  <si>
    <t>6VY96AA</t>
  </si>
  <si>
    <t>Проводная мышка HP 100 Wired Mouse - Black (p/n 6VY96AA)</t>
  </si>
  <si>
    <t>Наушники</t>
  </si>
  <si>
    <t>2J875AA</t>
  </si>
  <si>
    <t>HP Kiara Blk BT Headset EURO (p/n 2J875AA)</t>
  </si>
  <si>
    <t>570 000,00</t>
  </si>
  <si>
    <t>650 000,00</t>
  </si>
  <si>
    <t>6MF35AA</t>
  </si>
  <si>
    <t>HP OMEN Headset MINDFRAME PRIME</t>
  </si>
  <si>
    <t>1 480 000,00</t>
  </si>
  <si>
    <t>1 690 000,00</t>
  </si>
  <si>
    <t>1KF76AA</t>
  </si>
  <si>
    <t>HP OMEN Headset 800</t>
  </si>
  <si>
    <t>1 510 000,00</t>
  </si>
  <si>
    <t>1 720 000,00</t>
  </si>
  <si>
    <t>428H6AA</t>
  </si>
  <si>
    <t>HP Stereo USB G2 Headset 3.5mm (428H6AA)</t>
  </si>
  <si>
    <t>420 000,00</t>
  </si>
  <si>
    <t>8JE67AA</t>
  </si>
  <si>
    <t>OMEN Dyad WD 3,5mm ILCTRL GAM HS EURO (p/n 8JE67AA)</t>
  </si>
  <si>
    <t>580 000,00</t>
  </si>
  <si>
    <t>660 000,00</t>
  </si>
  <si>
    <t>Сумки и чехлы</t>
  </si>
  <si>
    <t>2Z8A3AA</t>
  </si>
  <si>
    <t>HP Renew Travel 15,6-inch Backpack - Black/Grey</t>
  </si>
  <si>
    <t>2F2L0AA</t>
  </si>
  <si>
    <t>HP Protective Reversible 15 Blk/Geo Sleeve Чехол для ноутбука(2F2L0AA)</t>
  </si>
  <si>
    <t>2F1W8AA</t>
  </si>
  <si>
    <t>HP Protective Reversible 15 Grey/Mauve Sleeve Чехол для ноутбука (2F1W8AA)</t>
  </si>
  <si>
    <t>1C1Y5AA</t>
  </si>
  <si>
    <t>HP - USB Hub HP Travel Type (1C1Y5AA)</t>
  </si>
  <si>
    <t>14V32AA</t>
  </si>
  <si>
    <t>HP 14 Sleeve EURO (p/n 14V32AA)</t>
  </si>
  <si>
    <t>14V33AA</t>
  </si>
  <si>
    <t>HP 15 Sleeve EURO (p/n 14V33AA)</t>
  </si>
  <si>
    <t>1LU24AA</t>
  </si>
  <si>
    <t>HP Backpack HP 15,6 Active Blue/Yellow</t>
  </si>
  <si>
    <t>3KJ72AA</t>
  </si>
  <si>
    <t>HP ENVY Urban 15 Backpack Black</t>
  </si>
  <si>
    <t>1 610 000,00</t>
  </si>
  <si>
    <t>1 840 000,00</t>
  </si>
  <si>
    <t>1G6D3AA</t>
  </si>
  <si>
    <t>HP Lightweight 15 LT Backpack (p/n 1G6D3AA)</t>
  </si>
  <si>
    <t>7MT84AA</t>
  </si>
  <si>
    <t>HP Omen Transceptor Backpack</t>
  </si>
  <si>
    <t>1E7D6AA</t>
  </si>
  <si>
    <t>HP Prelude Backpack 15.6</t>
  </si>
  <si>
    <t>500S6AA</t>
  </si>
  <si>
    <t>HP Professional 17,3 Laptop Backpack</t>
  </si>
  <si>
    <t>2F2J1AA</t>
  </si>
  <si>
    <t>HP Protective Reversible 14 Blk/Slv Sleeve</t>
  </si>
  <si>
    <t>1A213AA</t>
  </si>
  <si>
    <t>HP RENEW 15 Grey Topload EURO</t>
  </si>
  <si>
    <t>740 000,00</t>
  </si>
  <si>
    <t>6B8U7AA</t>
  </si>
  <si>
    <t>HP Travel 18L 15,6 BNGLaptop Bckpck (p/n 6B8U7AA)</t>
  </si>
  <si>
    <t>6B8U5AA</t>
  </si>
  <si>
    <t>HP Travel 25L 15,6 BNGLaptop Bckpck (p/n 6B8U5AA)</t>
  </si>
  <si>
    <t>50H98AA</t>
  </si>
  <si>
    <t>HP Univ USB-C Multiport Hub EURO (p/n 50H98AA)</t>
  </si>
  <si>
    <t>1 350 000,00</t>
  </si>
  <si>
    <t>1 530 000,00</t>
  </si>
  <si>
    <t>235N8AA</t>
  </si>
  <si>
    <t>HP USBC Travel Hub G2 EURO (p/n 235N8AA)</t>
  </si>
  <si>
    <t>5EF00AA</t>
  </si>
  <si>
    <t>HP-Pavilion Tech Backpack</t>
  </si>
  <si>
    <t>1 010 000,00</t>
  </si>
  <si>
    <t>1 150 000,00</t>
  </si>
  <si>
    <t>7K0E5AA</t>
  </si>
  <si>
    <t>Рюкзак HP Campus Blue</t>
  </si>
  <si>
    <t>7J597AA</t>
  </si>
  <si>
    <t>Рюкзак HP Campus Lavender</t>
  </si>
  <si>
    <t>7K0E2AA</t>
  </si>
  <si>
    <t>Рюкзак HP Campus XL Marble Stone</t>
  </si>
  <si>
    <t>7J594AA</t>
  </si>
  <si>
    <t>Рюкзак HP Campus XL Tartan plaid</t>
  </si>
  <si>
    <t>7K0E3AA</t>
  </si>
  <si>
    <t>Рюкзак HP Campus XL Tie dye</t>
  </si>
  <si>
    <t>6H2D9AA</t>
  </si>
  <si>
    <t>Рюкзак для ноутбука HP Travel 18L IGR 15.6 Laptop Backpack (p/n 6H2D9AA)</t>
  </si>
  <si>
    <t>9C2H0AA</t>
  </si>
  <si>
    <t>Рюкзак-трансформер для ноутбука HP с диагональю 14 дюймов (9C2H0AA)</t>
  </si>
  <si>
    <t>6M5S4AA</t>
  </si>
  <si>
    <t>Сумка HP Creator 13.3- inch Laptop Sling - Dark Navy</t>
  </si>
  <si>
    <t>6M5S3AA</t>
  </si>
  <si>
    <t>Сумка HP Creator 16.1- inch Laptop Backpack - Dark Navy</t>
  </si>
  <si>
    <t>9J4C2AA</t>
  </si>
  <si>
    <t>Сумка для ноутбука HP 15.6 Mod Lptp Bag (9J4C2AA)</t>
  </si>
  <si>
    <t>6KD04AA</t>
  </si>
  <si>
    <t>Сумка для ноутбука HP Executive 14.1 Slim Top Load (6KD04AA)</t>
  </si>
  <si>
    <t>1E7D7AA</t>
  </si>
  <si>
    <t>Сумка для ноутбука HP Prelude 15.6 Top Load (1E7D7AA)</t>
  </si>
  <si>
    <t>500S7AA</t>
  </si>
  <si>
    <t>Сумка для ноутбука HP Professional 15,6 (500S7AA)</t>
  </si>
  <si>
    <t>Deepcool</t>
  </si>
  <si>
    <t>Case</t>
  </si>
  <si>
    <t>R-CL6600-WHNNA0-G</t>
  </si>
  <si>
    <t>Корпус Deepcool CL6600 WHITE (с водяным кулером)</t>
  </si>
  <si>
    <t>R-CL6600-BKNNA0-G-1</t>
  </si>
  <si>
    <t>Корпус Deepcool CL6600 (с водяным кулером)</t>
  </si>
  <si>
    <t>Корпус Deepcool CH780 Black</t>
  </si>
  <si>
    <t>Корпус Deepcool CH690 DIGITAL</t>
  </si>
  <si>
    <t>Корпус Deepcool CG580 4F WH</t>
  </si>
  <si>
    <t>Корпус Deepcool CG580 4F</t>
  </si>
  <si>
    <t>R-CG580-BKADA4-G-2</t>
  </si>
  <si>
    <t>Корпус Deepcool CG580 4F V2</t>
  </si>
  <si>
    <t>R-CG580-WHADA4-G-2</t>
  </si>
  <si>
    <t>Корпус Deepcool CG580 4F V2 WH</t>
  </si>
  <si>
    <t>R-CL600-WHNNA2-G-1</t>
  </si>
  <si>
    <t>Корпус Deepcool CL600 White</t>
  </si>
  <si>
    <t>R-CL600-BKNNA2-G-1</t>
  </si>
  <si>
    <t>Корпус Deepcool CL600</t>
  </si>
  <si>
    <t>Корпус Deepcool CK560 White</t>
  </si>
  <si>
    <t>Корпус Deepcool CK560 Black</t>
  </si>
  <si>
    <t>R-CG530U-WHAGA4-G</t>
  </si>
  <si>
    <t>Корпус Deepcool CG530U 4F White</t>
  </si>
  <si>
    <t>R-CG530U-BKAGA4-C</t>
  </si>
  <si>
    <t>Корпус Deepcool CG530U 4F</t>
  </si>
  <si>
    <t>Корпус Deepcool MATREXX 55 V4</t>
  </si>
  <si>
    <t>Корпус Deepcool MATREXX 55 MESH V4</t>
  </si>
  <si>
    <t>Корпус Deepcool MATREXX 55 V3 ADD-RGB WH 3F</t>
  </si>
  <si>
    <t>Распродажа</t>
  </si>
  <si>
    <t>Корпус Deepcool CH270 DIGITAL</t>
  </si>
  <si>
    <t>R-CG530-WHADA4-G-1</t>
  </si>
  <si>
    <t>Корпус Deepcool CG530 4F WH</t>
  </si>
  <si>
    <t>R-CG530-BKADA4-G-1</t>
  </si>
  <si>
    <t>Корпус Deepcool CG530 4F</t>
  </si>
  <si>
    <t>Корпус Deepcool CH260 White</t>
  </si>
  <si>
    <t>Корпус Deepcool CH260 Black</t>
  </si>
  <si>
    <t>R-CG380-WHAGM3-G</t>
  </si>
  <si>
    <t>Корпус Deepcool CG380 3F WH</t>
  </si>
  <si>
    <t>Корпус Deepcool CG380 3F White</t>
  </si>
  <si>
    <t>R-CG380-BKAGM3-G</t>
  </si>
  <si>
    <t>Корпус Deepcool CG380 3F</t>
  </si>
  <si>
    <t>Корпус Deepcool CH370 Black</t>
  </si>
  <si>
    <t>R-CG330-WHNGM3-G</t>
  </si>
  <si>
    <t>Корпус Deepcool CG330 3F White</t>
  </si>
  <si>
    <t>R-CG330-BKNGM3-G</t>
  </si>
  <si>
    <t>Корпус Deepcool CG330 3F</t>
  </si>
  <si>
    <t>Корпус Deepcool CH370 White</t>
  </si>
  <si>
    <t>2 штук</t>
  </si>
  <si>
    <t>Корпус Deepcool CH170 DIGITAL</t>
  </si>
  <si>
    <t>1 штук</t>
  </si>
  <si>
    <t>Корпус Deepcool CC560 MESH V2 White</t>
  </si>
  <si>
    <t>Корпус Deepcool CC560 MESH V2</t>
  </si>
  <si>
    <t>Корпус Deepcool CC360 White ARGB</t>
  </si>
  <si>
    <t>Корпус Deepcool CC360 ARGB</t>
  </si>
  <si>
    <t>Корпус Deepcool CH160 MESH White</t>
  </si>
  <si>
    <t>Корпус Deepcool CH160 MESH</t>
  </si>
  <si>
    <t>Корпус Deepcool CC560 White V2</t>
  </si>
  <si>
    <t>Корпус Deepcool CC560 V2</t>
  </si>
  <si>
    <t>Power Supply</t>
  </si>
  <si>
    <t>R-PQC00G-FD0W-WGEU-V1</t>
  </si>
  <si>
    <t>Блок питание Deepcool Gamerstorm PQ1200G White(1200W, 80+ Gold, APFC, 20+4 pin)</t>
  </si>
  <si>
    <t>R-PQC00G-FD0B-WGEU-V1</t>
  </si>
  <si>
    <t>Блок питание Deepcool Gamerstorm PQ1200G (1200W, 80+ Gold, APFC, 20+4 pin)</t>
  </si>
  <si>
    <t>R-PQA00G-FD0W-WGEU-V1</t>
  </si>
  <si>
    <t>Блок питание Deepcool Gamerstorm PQ1000G White(1000W, 80+ Gold, APFC, 20+4 pin)</t>
  </si>
  <si>
    <t>R-PQA00G-FD0B-WGEU-V1</t>
  </si>
  <si>
    <t>Блок питание Deepcool Gamerstorm PQ1000G (1000W, 80+ Gold, APFC, 20+4 pin)</t>
  </si>
  <si>
    <t>R-PQ850G-FD0W-WGEU-V1</t>
  </si>
  <si>
    <t>Блок питание Deepcool Gamerstorm PQ850G White (850W, 80+ Gold, APFC, 20+4 pin)</t>
  </si>
  <si>
    <t>R-PQ850G-FD0B-WGEU-V1</t>
  </si>
  <si>
    <t>Блок питание Deepcool Gamerstorm PQ850G (850W, 80+ Gold, APFC, 20+4 pin)</t>
  </si>
  <si>
    <t>R-PQ750G-FD0W-WGEU-V1</t>
  </si>
  <si>
    <t>Блок питание Deepcool Gamerstorm PQ750G White (750W, 80+ Gold, APFC, 20+4 pin)</t>
  </si>
  <si>
    <t>R-PQ750G-FD0B-WGEU-V1</t>
  </si>
  <si>
    <t>Блок питание Deepcool Gamerstorm PQ750G (750W, 80+ Gold, APFC, 20+4 pin)</t>
  </si>
  <si>
    <t>R-PQ650G-FD0W-WGEU-V1</t>
  </si>
  <si>
    <t>Блок питание Deepcool Gamerstorm PQ650G White (650W, 80+ Gold, APFC, 20+4 pin)</t>
  </si>
  <si>
    <t>R-PQ650G-FD0B-WGEU-V1</t>
  </si>
  <si>
    <t>Блок питание Deepcool Gamerstorm PQ650G (650W, 80+ Gold, APFC, 20+4 pin)</t>
  </si>
  <si>
    <t>R-PNA00D-FC0B-WGEU-V2</t>
  </si>
  <si>
    <t>Блок питание Deepcool PN1000D (1000W, 80+ Gold, APFC, 20+4 pin)</t>
  </si>
  <si>
    <t>R-PN850D-FC0B-EU</t>
  </si>
  <si>
    <t>Блок питание Deepcool PN850D (850W, 80+ Gold, APFC, 20+4 pin)</t>
  </si>
  <si>
    <t>Блок питание Deepcool PN750M WHITE (750W, 80+ Gold, APFC, 20+4 pin)</t>
  </si>
  <si>
    <t>R-PN750M-FC0B-EU</t>
  </si>
  <si>
    <t>Блок питание Deepcool PN750M (750W, 80+ Gold, APFC, 20+4 pin)</t>
  </si>
  <si>
    <t>R-PN750D-FC0B-EU</t>
  </si>
  <si>
    <t>Блок питание Deepcool PN750D (850W, 80+ Gold, APFC, 20+4 pin)</t>
  </si>
  <si>
    <t>Блок питание Deepcool PL800D (800W, 80+ Bronze, APFC, 20+4 pin)</t>
  </si>
  <si>
    <t>Блок питание Deepcool PL750D (750W, 80+ Bronze, APFC, 20+4 pin)</t>
  </si>
  <si>
    <t>R-PL650D-FC0B-WDEU</t>
  </si>
  <si>
    <t>Блок питание Deepcool PL650D (650W, 80+ Bronze, APFC, 20+4 pin)</t>
  </si>
  <si>
    <t>R-PK850D-FA0B-EU</t>
  </si>
  <si>
    <t>Блок питание Deepcool PK850D (850W, 80+ Bronze, APFC, 20+4 pin)</t>
  </si>
  <si>
    <t>Блок питание Deepcool PK750D (750W, 80+ Bronze, APFC, 20+4 pin)</t>
  </si>
  <si>
    <t>R-PK650D-FA0B-WGEU</t>
  </si>
  <si>
    <t>Блок питание Deepcool PK650D (650W, 80+ Bronze, APFC, 20+4 pin)</t>
  </si>
  <si>
    <t>R-PK550D-FA0B-WGEU</t>
  </si>
  <si>
    <t>Блок питание Deepcool PK550D (550W, 80+ Bronze, APFC, 20+4 pin)</t>
  </si>
  <si>
    <t>R-PF750D-HA0B-EU</t>
  </si>
  <si>
    <t>Блок питание Deepcool PF750 (750W, 80+, APFC, 20+4 pin)</t>
  </si>
  <si>
    <t>R-PF650D-HA0B-EU</t>
  </si>
  <si>
    <t>Блок питание Deepcool PF650 (650W, 80+, APFC, 20+4 pin)</t>
  </si>
  <si>
    <t>Блок питание Deepcool PF550 (550W, 80+, APFC, 20+4 pin)</t>
  </si>
  <si>
    <t>Блок питание Deepcool PF450 (450W, 80+, APFC, 20+4 pin) (распродажа)</t>
  </si>
  <si>
    <t>распродажа</t>
  </si>
  <si>
    <t>Блок питание Deepcool GamerStorm PF700X (700W, 80+ Bronze, APFC, 20+4 pin)</t>
  </si>
  <si>
    <t>Блок питание Deepcool GamerStorm PF600X (600W, 80+ Bronze, APFC, 20+4 pin)</t>
  </si>
  <si>
    <t>Блок питание Deepcool GamerStorm PF500X (500W, 80+ Bronze, APFC, 20+4 pin)</t>
  </si>
  <si>
    <t>Блок питание Deepcool DE600 V2 (450W, 20+4 pin) (распродажа)</t>
  </si>
  <si>
    <t>Блок питание Deepcool DE500 V2 (350W, 20+4 pin) (распродажа)</t>
  </si>
  <si>
    <t>Liquid Cooler</t>
  </si>
  <si>
    <t>R-LX750-BKDSNMP-G-1</t>
  </si>
  <si>
    <t>Водяной кулер Deepcool MYSTIQUE 360</t>
  </si>
  <si>
    <t>Водяной кулер Deepcool MYSTIQUE 360 WHITE</t>
  </si>
  <si>
    <t>R-LP360-WHMSMC-G-1</t>
  </si>
  <si>
    <t>Водяной кулер Deepcool LP360 White</t>
  </si>
  <si>
    <t>Водяной кулер Deepcool LT720</t>
  </si>
  <si>
    <t>Водяной кулер Deepcool LS720 White</t>
  </si>
  <si>
    <t>Водяной кулер Deepcool LS720</t>
  </si>
  <si>
    <t>Водяной кулер Deepcool LQ360 White</t>
  </si>
  <si>
    <t>R-LQ360-BKASMC-G-1</t>
  </si>
  <si>
    <t>Водяной кулер Deepcool  LQ360 ULTRA ARGB</t>
  </si>
  <si>
    <t>R-LQ360-WHASMC-G-1</t>
  </si>
  <si>
    <t>Водяной кулер Deepcool  LQ360 ULTRA White ARGB</t>
  </si>
  <si>
    <t>R-SPT420-BKDSMP-G-1</t>
  </si>
  <si>
    <t>Водяной кулер Deepcool  SPARTACUS 420</t>
  </si>
  <si>
    <t>R-SPT360-BKDSMP-G-1</t>
  </si>
  <si>
    <t>Водяной кулер Deepcool  SPARTACUS 360</t>
  </si>
  <si>
    <t>R-LD360-WHDMMN-G-1</t>
  </si>
  <si>
    <t>Водяной кулер Deepcool LD360</t>
  </si>
  <si>
    <t>R-LM360-BKDMMC-1</t>
  </si>
  <si>
    <t>Водяной кулер Deepcool LM360</t>
  </si>
  <si>
    <t>R-LM360-WHDMMC-1</t>
  </si>
  <si>
    <t>Водяной кулер Deepcool LM360 White</t>
  </si>
  <si>
    <t>R-LE360-WHAMMN-G-2</t>
  </si>
  <si>
    <t>Водяной кулер Deepcool LE360 White V2</t>
  </si>
  <si>
    <t>R-LE360-BKAMMC-G-2</t>
  </si>
  <si>
    <t>Водяной кулер Deepcool LE360 V2</t>
  </si>
  <si>
    <t>Cooler</t>
  </si>
  <si>
    <t>ASSASSIN IV VC VISION</t>
  </si>
  <si>
    <t>Кулер Deepcool ASSASSIN IV VC VISION</t>
  </si>
  <si>
    <t>R-ASN4-WHNVNN-GJD</t>
  </si>
  <si>
    <t>Кулер Deepcool ASSASSIN VC ELITE WH</t>
  </si>
  <si>
    <t>R-ASN4-BKNVNN-GJD</t>
  </si>
  <si>
    <t xml:space="preserve">Кулер Deepcool ASSASSIN VC ELITE </t>
  </si>
  <si>
    <t>R-ASN4-WHNNMT-G</t>
  </si>
  <si>
    <t>Кулер Deepcool ASSASSIN IV WH</t>
  </si>
  <si>
    <t>R-ASN4-BKNNMT-G</t>
  </si>
  <si>
    <t>Кулер Deepcool ASSASSIN IV</t>
  </si>
  <si>
    <t>R-ASN4S-WHGPMN-G</t>
  </si>
  <si>
    <t>Кулер Deepcool ASSASSIN 4S WH</t>
  </si>
  <si>
    <t>R-ASN4S-BKGPMN-G</t>
  </si>
  <si>
    <t>Кулер Deepcool ASSASSIN 4S</t>
  </si>
  <si>
    <t>R-AK700-BKNNMN-GJD-1</t>
  </si>
  <si>
    <t>Кулер Deepcool AK700 DIGITAL NYX</t>
  </si>
  <si>
    <t>Кулер Deepcool AK620 ZERO DARK</t>
  </si>
  <si>
    <t>R-AK620-WHADMN-GJD</t>
  </si>
  <si>
    <t>Кулер Deepcool AK620 DIGITAL SE WH</t>
  </si>
  <si>
    <t>Кулер Deepcool AK620 DIGITAL SE</t>
  </si>
  <si>
    <t>R-AK620-WHNNMT-G-1</t>
  </si>
  <si>
    <t>Кулер Deepcool AK620 WH</t>
  </si>
  <si>
    <t>R-AK620-BKNNMT-G</t>
  </si>
  <si>
    <t>Кулер Deepcool AK620</t>
  </si>
  <si>
    <t>Кулер Deepcool AK500 DIGITAL PRO</t>
  </si>
  <si>
    <t>Кулер Deepcool AK500 DIGITAL WH</t>
  </si>
  <si>
    <t>3 штук</t>
  </si>
  <si>
    <t>R-AK500G2-BKNNMN-GJD</t>
  </si>
  <si>
    <t xml:space="preserve">Кулер Deepcool AK500 G2 </t>
  </si>
  <si>
    <t>Кулер Deepcool AK500 ZERO DARK</t>
  </si>
  <si>
    <t>4 штук</t>
  </si>
  <si>
    <t>Кулер Deepcool AK500 WH</t>
  </si>
  <si>
    <t>Кулер Deepcool AK500</t>
  </si>
  <si>
    <t>R-AK500S-WHADMN-GJD</t>
  </si>
  <si>
    <t>Кулер Deepcool AK500S DIGITAL SE WH</t>
  </si>
  <si>
    <t>R-AK500S-BKADMN-GJD</t>
  </si>
  <si>
    <t>Кулер Deepcool AK500S DIGITAL SE</t>
  </si>
  <si>
    <t>Кулер Deepcool AK400 DIGITAL WH</t>
  </si>
  <si>
    <t>Кулер Deepcool AK400 ZERO DARK</t>
  </si>
  <si>
    <t>R-AK400-WHADMN-GJD</t>
  </si>
  <si>
    <t>Кулер Deepcool AK400 DIGITAL SE WH</t>
  </si>
  <si>
    <t>R-AK400-BKADMN-GJD</t>
  </si>
  <si>
    <t>Кулер Deepcool AK400 DIGITAL SE</t>
  </si>
  <si>
    <t>Кулер Deepcool AK400 WH</t>
  </si>
  <si>
    <t>R-AK400-BKNNMN-G-1</t>
  </si>
  <si>
    <t>Кулер Deepcool AK400</t>
  </si>
  <si>
    <t>Кулер Deepcool AG620 DIGITAL WHITE ARGB</t>
  </si>
  <si>
    <t>R-AG620-BKAMMN-GJD</t>
  </si>
  <si>
    <t>Кулер Deepcool AG620 DIGITAL BLACK ARGB</t>
  </si>
  <si>
    <t>Кулер Deepcool AG620 BK ARGB</t>
  </si>
  <si>
    <t>Кулер Deepcool AG620 DIGITAL</t>
  </si>
  <si>
    <t>R-AG620-WHNPMG2-G</t>
  </si>
  <si>
    <t>Кулер Deepcool AG620 G2 WH</t>
  </si>
  <si>
    <t>R-AG620-BKNPMG2-G</t>
  </si>
  <si>
    <t>Кулер Deepcool AG620 G2</t>
  </si>
  <si>
    <t>Кулер Deepcool AG500 DIGITAL WH ARGB</t>
  </si>
  <si>
    <t>Кулер Deepcool AG500 DIGITAL ARGB</t>
  </si>
  <si>
    <t>Кулер Deepcool AG500 BK ARGB V2</t>
  </si>
  <si>
    <t>Кулер Deepcool AG500 WH ARGB</t>
  </si>
  <si>
    <t>Кулер Deepcool AG400 DIGITAL WH ARGB</t>
  </si>
  <si>
    <t>Кулер Deepcool AG400 DIGITAL BK ARGB</t>
  </si>
  <si>
    <t xml:space="preserve">Кулер Deepcool AG400 DIGITAL White </t>
  </si>
  <si>
    <t xml:space="preserve">Кулер Deepcool AG400 DIGITAL Black </t>
  </si>
  <si>
    <t>R-AG400-BKAMMN-GJD</t>
  </si>
  <si>
    <t>Кулер Deepcool AG400 BK ARGB V2</t>
  </si>
  <si>
    <t>Кулер Deepcool AG400 BK ARGB</t>
  </si>
  <si>
    <t>R-AG400-BKLNMC-G-1</t>
  </si>
  <si>
    <t>Кулер Deepcool AG400 LED</t>
  </si>
  <si>
    <t>R-AG400-WHNPMG2-G</t>
  </si>
  <si>
    <t>Кулер Deepcool AG400 G2 WH</t>
  </si>
  <si>
    <t>R-AG400-BKNPMG2-G</t>
  </si>
  <si>
    <t>Кулер Deepcool AG400 G2</t>
  </si>
  <si>
    <t>R-AG300-BKLNMN-G</t>
  </si>
  <si>
    <t>Кулер Deepcool AG300 LED</t>
  </si>
  <si>
    <t>Кулер Deepcool AG300</t>
  </si>
  <si>
    <t>Кулер Deepcool GAMMA ARCHER V2 (опт - 6)</t>
  </si>
  <si>
    <t>Кулер Deepcool CK-11508 PWM (опт - 3)</t>
  </si>
  <si>
    <t>TRYX</t>
  </si>
  <si>
    <t>L-P360A-AS3M-G1K</t>
  </si>
  <si>
    <t>Водяной кулер TRYX PANORAMA 360mm AIO Liquid Cooler ARGB Black</t>
  </si>
  <si>
    <t>L-P360A-AS3M-G1W</t>
  </si>
  <si>
    <t>Водяной кулер TRYX PANORAMA 360mm AIO Liquid Cooler ARGB White</t>
  </si>
  <si>
    <t>L-P360N-DS3M-G1K</t>
  </si>
  <si>
    <t>Водяной кулер TRYX PANORAMA 360mm AIO Liquid Cooler Black</t>
  </si>
  <si>
    <t>L-P360N-DS3M-G1W</t>
  </si>
  <si>
    <t>Водяной кулер TRYX PANORAMA 360mm AIO Liquid Cooler White</t>
  </si>
  <si>
    <t>L-P360L-AM3M-G0K</t>
  </si>
  <si>
    <t>Водяной кулер TRYX PANORAMA SE 360 ARGB Liquid Cooler Black</t>
  </si>
  <si>
    <t>L-P360L-AM3M-G0W</t>
  </si>
  <si>
    <t>Водяной кулер TRYX PANORAMA SE 360 ARGB Liquid Cooler White</t>
  </si>
  <si>
    <t>C-L700N-NN0H-G0K</t>
  </si>
  <si>
    <t>Корпус TRYX LUCA L70 Midtower Case Black</t>
  </si>
  <si>
    <t>C-L700N-NN0H-G0W</t>
  </si>
  <si>
    <t>Корпус TRYX LUCA L70 Midtower Case White</t>
  </si>
  <si>
    <t>A-S300C-PCI5-G0K</t>
  </si>
  <si>
    <t>TRYX STRING PCIE 5.0 Riser cable 300mm Black</t>
  </si>
  <si>
    <t>A-S300C-PCI5-G0W</t>
  </si>
  <si>
    <t>TRYX STRING PCIE 5.0 Riser cable 300mm White</t>
  </si>
  <si>
    <t>оплата принимается в сумах по курсу ЦБ Республики Узбекистан на день оплаты</t>
  </si>
  <si>
    <t>наименование</t>
  </si>
  <si>
    <t>коробка</t>
  </si>
  <si>
    <t>цена</t>
  </si>
  <si>
    <t>характеристики</t>
  </si>
  <si>
    <t>сетевые фильтры до 10 ампер</t>
  </si>
  <si>
    <t xml:space="preserve">SPG3-B-5PPB  1,5м                                                                  </t>
  </si>
  <si>
    <t xml:space="preserve"> 10 А (2500 Вт),  Автоматический выключатель 10А механизм свободного расцепления, совмещенный с силовым кулисным выключателем с лампочкой
Розетки: SPG3-B-5PPB -5 шт, немецкий тип Schuko                                                                       SPG6-B-10PPB - 6 шт, немецкий тип Schuko                                                                                            SPG6-B-15PPB - 6 шт, немецкий тип Schuko</t>
  </si>
  <si>
    <t xml:space="preserve">SPG6-B-10PPB 3м                                                            </t>
  </si>
  <si>
    <t xml:space="preserve">SPG6-B-15PPB 5м                                                                    </t>
  </si>
  <si>
    <t>сетевые фильтры до 16 ампер</t>
  </si>
  <si>
    <r>
      <rPr>
        <b/>
        <sz val="11"/>
        <color theme="1"/>
        <rFont val="Calibri"/>
        <family val="2"/>
        <charset val="204"/>
      </rPr>
      <t xml:space="preserve">SPG5-C-5 1,5м                                                                                                  </t>
    </r>
    <r>
      <rPr>
        <b/>
        <sz val="11"/>
        <color rgb="FFFF0000"/>
        <rFont val="Calibri"/>
        <family val="2"/>
        <charset val="204"/>
      </rPr>
      <t xml:space="preserve">для нагрузки до 16 ампер                                         продажа только коробка                                                                            кол-во в коробке: 20шт </t>
    </r>
  </si>
  <si>
    <t>16 А, Встроенная защита от помех и выбросов напряжения
Высококачественный огнеупорный корпус
Само-восстанавливающийся предохранитель
Проверка заземления розетки-источника
Самодиагностика защитной цепи
Шторки детской защиты в каждой розетке                                                                      Максимальная нагрузка: 250 V переменного тока.                                                             Подсветка выключателя питания.
Рабочий диапазон температур: (-5…+40) °C</t>
  </si>
  <si>
    <r>
      <rPr>
        <b/>
        <sz val="11"/>
        <color theme="1"/>
        <rFont val="Calibri"/>
        <family val="2"/>
        <charset val="204"/>
      </rPr>
      <t xml:space="preserve">SPG5-C-10 3м                                                                                               </t>
    </r>
    <r>
      <rPr>
        <b/>
        <sz val="11"/>
        <color rgb="FFFF0000"/>
        <rFont val="Calibri"/>
        <family val="2"/>
        <charset val="204"/>
      </rPr>
      <t xml:space="preserve">для нагрузки до 16 ампер                                        продажа только коробка                                                             кол-во в коробке: 20шт </t>
    </r>
  </si>
  <si>
    <r>
      <rPr>
        <b/>
        <sz val="11"/>
        <color theme="1"/>
        <rFont val="Calibri"/>
        <family val="2"/>
        <charset val="204"/>
      </rPr>
      <t xml:space="preserve">SPG5-C-15  4,5м                                                                                                         </t>
    </r>
    <r>
      <rPr>
        <b/>
        <sz val="11"/>
        <color rgb="FFFF0000"/>
        <rFont val="Calibri"/>
        <family val="2"/>
        <charset val="204"/>
      </rPr>
      <t xml:space="preserve">для нагрузки до 16 ампер                                              продажа только коробка                                                              кол-во в коробке: 20шт </t>
    </r>
  </si>
  <si>
    <t>Аккумуляторы для UPS</t>
  </si>
  <si>
    <t>BAT-12V7AH</t>
  </si>
  <si>
    <t>Перезаряжаемая аккумуляторная батарея 12 В, 7 Ач для ИБП</t>
  </si>
  <si>
    <t>BAT-12V9AH</t>
  </si>
  <si>
    <t>Перезаряжаемая аккумуляторная батарея 12 В, 9 Ач для ИБП</t>
  </si>
  <si>
    <t xml:space="preserve"> line interactive UPS</t>
  </si>
  <si>
    <r>
      <rPr>
        <b/>
        <sz val="11"/>
        <color theme="1"/>
        <rFont val="Calibri"/>
        <family val="2"/>
        <charset val="204"/>
      </rPr>
      <t xml:space="preserve">EG-UPS-B850                                                                                           </t>
    </r>
    <r>
      <rPr>
        <b/>
        <sz val="11"/>
        <color rgb="FFFF0000"/>
        <rFont val="Calibri"/>
        <family val="2"/>
        <charset val="204"/>
      </rPr>
      <t>Мощность: 850ВА</t>
    </r>
  </si>
  <si>
    <t>Разъемы: евророзетки х 2шт.                                                                                                     Аккумулятор: 12 В/8 А·ч x 1 шт                                                                                  Автоматичекий регулятор выходного напряжения (AVR)
Светодиодная индикация статуса, Защита от коротких замыканий
Защита от выбросов напряжения, помех и молний
Звуковое и визуальное оповещение о событиях
Защита батареи от перезаряда и глубокого разряда</t>
  </si>
  <si>
    <r>
      <rPr>
        <b/>
        <sz val="11"/>
        <color theme="1"/>
        <rFont val="Calibri"/>
        <family val="2"/>
        <charset val="204"/>
      </rPr>
      <t xml:space="preserve">EG-UPS-033                                                                               </t>
    </r>
    <r>
      <rPr>
        <b/>
        <sz val="11"/>
        <color rgb="FFFF0000"/>
        <rFont val="Calibri"/>
        <family val="2"/>
        <charset val="204"/>
      </rPr>
      <t>Мощность: 1200ВА</t>
    </r>
  </si>
  <si>
    <t>Разъемы:                                                                                                                                         EG-UPS-033 и EG-UPS-034 Выход С13х3шт, Shuko х 2шт, USB-BF                                                                 EG-UPS-036  Выход С13х3шт, Shuko х 3шт, USB-BF                                                                            Аккумулятор:                                                                                                                                                                 EG-UPS-033 12В/7А·ч х 2шт.                                                                                                                                                       EG-UPS-034 12В/8А·ч х 2шт.                                                                                                       EG-UPS-036 12В/7А·ч х 4шт.                                                                                             Автоматичекий регулятор выходного напряжения (AVR)
USB-интерфейс для управления и индикации
ЖК-индикатор статуса
Защита от коротких замыканий
Защита от выбросов напряжения, помех и молний
Звуковое и визуальное оповещение о событиях
Защита батареи от перезаряда и глубокого разряда</t>
  </si>
  <si>
    <r>
      <rPr>
        <b/>
        <sz val="11"/>
        <color theme="1"/>
        <rFont val="Calibri"/>
        <family val="2"/>
        <charset val="204"/>
      </rPr>
      <t xml:space="preserve">EG-UPS-034                                                                                         </t>
    </r>
    <r>
      <rPr>
        <b/>
        <sz val="11"/>
        <color rgb="FFFF0000"/>
        <rFont val="Calibri"/>
        <family val="2"/>
        <charset val="204"/>
      </rPr>
      <t>Мощность: 1500ВА</t>
    </r>
  </si>
  <si>
    <r>
      <rPr>
        <b/>
        <sz val="11"/>
        <color theme="1"/>
        <rFont val="Calibri"/>
        <family val="2"/>
        <charset val="204"/>
      </rPr>
      <t xml:space="preserve">EG-UPS-036                                                                                  </t>
    </r>
    <r>
      <rPr>
        <b/>
        <sz val="11"/>
        <color rgb="FFFF0000"/>
        <rFont val="Calibri"/>
        <family val="2"/>
        <charset val="204"/>
      </rPr>
      <t>Мощность: 3 000ВА</t>
    </r>
  </si>
  <si>
    <t>ONLINE SMART UPS / ЧИСТАЯ СИНУСОИДА</t>
  </si>
  <si>
    <r>
      <rPr>
        <b/>
        <sz val="11"/>
        <color theme="1"/>
        <rFont val="Calibri"/>
        <family val="2"/>
        <charset val="204"/>
      </rPr>
      <t xml:space="preserve">EG-UPS-PS3000-01                                                                                     </t>
    </r>
    <r>
      <rPr>
        <b/>
        <sz val="11"/>
        <color rgb="FFFF0000"/>
        <rFont val="Calibri"/>
        <family val="2"/>
        <charset val="204"/>
      </rPr>
      <t>Мощность: 3 000ВА</t>
    </r>
  </si>
  <si>
    <r>
      <rPr>
        <b/>
        <sz val="14"/>
        <color rgb="FFFF0000"/>
        <rFont val="Calibri"/>
        <family val="2"/>
        <charset val="204"/>
      </rPr>
      <t xml:space="preserve">Чистая синусоида </t>
    </r>
    <r>
      <rPr>
        <b/>
        <sz val="8"/>
        <color rgb="FFFF0000"/>
        <rFont val="Calibri"/>
        <family val="2"/>
        <charset val="204"/>
      </rPr>
      <t xml:space="preserve">    </t>
    </r>
    <r>
      <rPr>
        <b/>
        <sz val="8"/>
        <color theme="1"/>
        <rFont val="Calibri"/>
        <family val="2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Разъемы: вход - С14, выход С13х6шт, USB-BF                                                                                                                                                  Аккумулятор: 12В/9А·ч х 4шт.</t>
    </r>
  </si>
  <si>
    <r>
      <rPr>
        <b/>
        <sz val="11"/>
        <color theme="1"/>
        <rFont val="Calibri"/>
        <family val="2"/>
        <charset val="204"/>
      </rPr>
      <t xml:space="preserve">EG-UPSO-6000                                                                            </t>
    </r>
    <r>
      <rPr>
        <b/>
        <sz val="11"/>
        <color rgb="FFFF0000"/>
        <rFont val="Calibri"/>
        <family val="2"/>
        <charset val="204"/>
      </rPr>
      <t>Мощность: 6000ВА (~6 000 Ватт)</t>
    </r>
  </si>
  <si>
    <r>
      <rPr>
        <b/>
        <sz val="14"/>
        <color rgb="FFFF0000"/>
        <rFont val="Calibri"/>
        <family val="2"/>
        <charset val="204"/>
      </rPr>
      <t>Чистая синусоида</t>
    </r>
    <r>
      <rPr>
        <b/>
        <sz val="8"/>
        <color theme="1"/>
        <rFont val="Calibri"/>
        <family val="2"/>
        <charset val="204"/>
      </rPr>
      <t xml:space="preserve">                                                                               Входные разъемы: вход клеммной колодки - однофазный трехпроводной (1F + N + PE);
Выходные разъемы: 6 выходных разъемов C13
Интерфейс связи: USB; Дополнительные слоты: RS485 / сухие контакты / SNMP / компенсация температуры батареи                                                                                                 Вход: 176 ~ 288 В, 40 - 70 Гц, автоматическое определение
Выход: 208 В / 220 В / 230 В / 240 В (устанавливается)                                          </t>
    </r>
    <r>
      <rPr>
        <b/>
        <sz val="8"/>
        <color rgb="FFFF0000"/>
        <rFont val="Calibri"/>
        <family val="2"/>
        <charset val="204"/>
      </rPr>
      <t xml:space="preserve">Аккумулятор:                                                                                                                                       </t>
    </r>
    <r>
      <rPr>
        <b/>
        <sz val="8"/>
        <color theme="1"/>
        <rFont val="Calibri"/>
        <family val="2"/>
        <charset val="204"/>
      </rPr>
      <t xml:space="preserve">EG-UPSO-6000 </t>
    </r>
    <r>
      <rPr>
        <b/>
        <sz val="8"/>
        <color rgb="FFFF0000"/>
        <rFont val="Calibri"/>
        <family val="2"/>
        <charset val="204"/>
      </rPr>
      <t xml:space="preserve">12В/7А·ч х 16 шт.; 192 В постоянного тока                                             </t>
    </r>
    <r>
      <rPr>
        <b/>
        <sz val="10"/>
        <color rgb="FFFF0000"/>
        <rFont val="Calibri"/>
        <family val="2"/>
        <charset val="204"/>
      </rPr>
      <t xml:space="preserve">  в комплекте 3 м. кабель 6 кв.мм</t>
    </r>
    <r>
      <rPr>
        <b/>
        <sz val="8"/>
        <color rgb="FFFF0000"/>
        <rFont val="Calibri"/>
        <family val="2"/>
        <charset val="204"/>
      </rPr>
      <t xml:space="preserve">    </t>
    </r>
    <r>
      <rPr>
        <b/>
        <sz val="8"/>
        <color theme="1"/>
        <rFont val="Calibri"/>
        <family val="2"/>
        <charset val="204"/>
      </rPr>
      <t xml:space="preserve">                                                                                                EG-UPSO-10000</t>
    </r>
    <r>
      <rPr>
        <b/>
        <sz val="8"/>
        <color rgb="FFFF0000"/>
        <rFont val="Calibri"/>
        <family val="2"/>
        <charset val="204"/>
      </rPr>
      <t xml:space="preserve"> 12В/9А·ч х 16 шт.; 192 В постоянного тока                                                                                                                 </t>
    </r>
    <r>
      <rPr>
        <b/>
        <sz val="10"/>
        <color rgb="FFFF0000"/>
        <rFont val="Calibri"/>
        <family val="2"/>
        <charset val="204"/>
      </rPr>
      <t xml:space="preserve"> в комплекте 3м. кабель 10 кв.мм</t>
    </r>
  </si>
  <si>
    <r>
      <rPr>
        <b/>
        <sz val="11"/>
        <color theme="1"/>
        <rFont val="Calibri"/>
        <family val="2"/>
        <charset val="204"/>
      </rPr>
      <t xml:space="preserve">EG-UPSO-10000                                                                                              </t>
    </r>
    <r>
      <rPr>
        <b/>
        <sz val="11"/>
        <color rgb="FFFF0000"/>
        <rFont val="Calibri"/>
        <family val="2"/>
        <charset val="204"/>
      </rPr>
      <t>Мощность: 10 000ВА (~10 000 Ватт)</t>
    </r>
  </si>
  <si>
    <t>Куллер</t>
  </si>
  <si>
    <t>Рамка</t>
  </si>
  <si>
    <t>ID Cooling SE-224-XTS WHITE</t>
  </si>
  <si>
    <t>ID Cooling FROZN A620 ARGB WHITE</t>
  </si>
  <si>
    <t>Водяной кулер</t>
  </si>
  <si>
    <t>ID Cooling FROSTFLOW X 360 (водяной кулер)</t>
  </si>
  <si>
    <t>ID Cooling AURAFLOW X 360 (водяной кулер)</t>
  </si>
  <si>
    <t>ID Cooling ZOOMFLOW 240 XT (водяной кулер)</t>
  </si>
  <si>
    <t>ID Cooling ZOOMFLOW 360XT SNOW (водяной кулер)</t>
  </si>
  <si>
    <t>ID Cooling SL240 WHITE</t>
  </si>
  <si>
    <t>Fan - ID Cooling WF-14025-XT ARGB</t>
  </si>
  <si>
    <t>Fan - ID Cooling AF-127-ARGB-W TRIO</t>
  </si>
  <si>
    <t>Fan - ID Cooling AF-127-ARGB-K TRIO</t>
  </si>
  <si>
    <t>Genius</t>
  </si>
  <si>
    <t>key+mouse</t>
  </si>
  <si>
    <t>Проводная клавиатура+мышь Genius KM-170, Black</t>
  </si>
  <si>
    <t>Проводная клавиатура+мышь Genius KM-160, Black</t>
  </si>
  <si>
    <t>Проводная клавиатура+мышь Genius Smart KM-200, Black</t>
  </si>
  <si>
    <t>Проводная клавиатура+мышь Genius SlimStar C126, Black</t>
  </si>
  <si>
    <t>Беспроводная клавиатура+мышь Genius KM-8101, Black, 2.4GHZ</t>
  </si>
  <si>
    <t>Беспроводная клавиатура+мышь Genius KM-8206S Wireless Black</t>
  </si>
  <si>
    <t>Беспроводная клавиатура+мышь Genius Smart KM-8200, Black, 2.4GHZ</t>
  </si>
  <si>
    <t>Беспроводная клавиатура+мышь Genius SlimStar 8230, Black, 2.4GHz</t>
  </si>
  <si>
    <t>Беспроводная клавиатура+мышь Genius SlimStar 8230, White, 2.4GHz</t>
  </si>
  <si>
    <t>HEADSET</t>
  </si>
  <si>
    <t>Наушник Genius HS-400A, GREEN</t>
  </si>
  <si>
    <t>Корпус Gigabyte C102G M-ATX</t>
  </si>
  <si>
    <t xml:space="preserve">Корпус Gigabyte C301G V2 ATX </t>
  </si>
  <si>
    <t>Корпус Gigabyte C500P ST ATX</t>
  </si>
  <si>
    <t>Корпус Gigabyte GB-C500PI ST</t>
  </si>
  <si>
    <t>Корпус Gigabyte AORUS GB-AC300G</t>
  </si>
  <si>
    <t>Клавиатура Gigabyte GK-KM6300 (Клава+мышь) (50 штук - 10.5, 100 штук - 10)</t>
  </si>
  <si>
    <t>Водяной кулер GP-AORUS WATERFORCEX II 360I</t>
  </si>
  <si>
    <t>Водяной кулер GP-AORUS WATERFORCE X II 360</t>
  </si>
  <si>
    <t>Водяной кулер GP-AORUS WATERFORCE X 240</t>
  </si>
  <si>
    <t>Водяной кулер GP-AORUS WATERFORCE II 360I</t>
  </si>
  <si>
    <t>Водяной кулер GP-GIGABYTE GME 360I</t>
  </si>
  <si>
    <t xml:space="preserve">Водяной кулер GP-AORUS WATERFORCE 240 </t>
  </si>
  <si>
    <t>Блок питание Gigabyte P550B 550W, 120mm, 80 Plus Bronze,  ATX Power Supply</t>
  </si>
  <si>
    <t>Блок питание Gigabyte GP-P650SS 650W, 120mm, 80 Plus Silver,  ATX Power Supply (Распродажа)</t>
  </si>
  <si>
    <t xml:space="preserve">Блок питание Gigabyte GP-P650SS ICE 650W, 120mm, 80 Plus Silver,  ATX Power Supply </t>
  </si>
  <si>
    <t>Блок питание Gigabyte P650G 650W, 120mm, 80 Plus Gold,  ATX Power Supply (Распродажа)</t>
  </si>
  <si>
    <t xml:space="preserve">Блок питание Gigabyte GP-P750BS 750W, 120mm, 80 Plus Bronze, ATX Power Supply </t>
  </si>
  <si>
    <t xml:space="preserve">Блок питание Gigabyte GP-P750GM 750W, 120mm, 80 Plus Gold, ATX Power Supply </t>
  </si>
  <si>
    <t xml:space="preserve">Блок питание Gigabyte UD750GM PG5 750W, 120mm, 80 Plus Gold,  Modular ATX Power Supply </t>
  </si>
  <si>
    <t xml:space="preserve">Блок питание Gigabyte GP-UD750GM PG5 V2, 750W, 120mm, 80 Plus Gold,  Modular ATX Power Supply </t>
  </si>
  <si>
    <t xml:space="preserve">Блок питание Gigabyte GP-P850GM 850W, 120mm, 80 Plus Gold,  Modular ATX Power Supply </t>
  </si>
  <si>
    <t xml:space="preserve">Блок питание Gigabyte UD850GM PG5 850W, 120mm, 80 Plus Gold,  Modular ATX Power Supply </t>
  </si>
  <si>
    <t xml:space="preserve">Блок питание Gigabyte UD850GM PG5W White 850W, 120mm, 80 Plus Gold,  Modular ATX Power Supply </t>
  </si>
  <si>
    <t xml:space="preserve">Блок питание AORUS GP-AE850PM PG5 80+ Platinum Modular ATX Power Supply </t>
  </si>
  <si>
    <t xml:space="preserve">Блок питание AORUS GP-AE850PM PG5 ICE  80+ Platinum Modular ATX Power Supply </t>
  </si>
  <si>
    <t xml:space="preserve">Блок питание Gigabyte GP-UD1000GM PG5, 1000W, 80 Plus Gold, Modular ATX Power Supply </t>
  </si>
  <si>
    <t xml:space="preserve">Блок питание AORUS GP-AE1000PM PG5 80+ Platinum Modular ATX Power Supply </t>
  </si>
  <si>
    <t xml:space="preserve">Блок питание AORUS GP-AE1000PM PG5 ICE  80+ Platinum Modular ATX Power Supply </t>
  </si>
  <si>
    <t xml:space="preserve">Блок питание Gigabyte GP-UD1300GM PG5, 1300W, 80 Plus Gold, Modular ATX Power Supply  </t>
  </si>
  <si>
    <t xml:space="preserve">Блок питание Gigabyte GP-UD1600PM PG5, 1600W, 80 Plus Platinum, Modular ATX Power Supply  </t>
  </si>
  <si>
    <t>DXRacer</t>
  </si>
  <si>
    <t>Игровое кресло</t>
  </si>
  <si>
    <t>GC-P132-N-F2-158</t>
  </si>
  <si>
    <t>Кресло DXRacer Black Prince Chair (GC-P132-N-F2-158)</t>
  </si>
  <si>
    <t>GC-P132-NW-F2-158</t>
  </si>
  <si>
    <t>Кресло DXRacer Black and White Prince Chair (GC-P132-NW-F2-158)</t>
  </si>
  <si>
    <t>GC-P132-RN-F2-158</t>
  </si>
  <si>
    <t>Кресло DXRacer Red and Black Prince Chair (GC-P132-RN-F2-158)</t>
  </si>
  <si>
    <t>GC-G001-NR-B2-423</t>
  </si>
  <si>
    <t>Кресло DXRacer Black and Red Gladiator Chair (GC-G001-NR-B2-423)</t>
  </si>
  <si>
    <t>GC-G001-NB-B2-423</t>
  </si>
  <si>
    <t>Кресло DXRacer Black and Blue Gladiator Chair (GC-G001-NB-B2-423)</t>
  </si>
  <si>
    <t>GC-G001-NW-B2-423</t>
  </si>
  <si>
    <t>Кресло DXRacer Black and White Gladiator Chair (GC-G001-NW-B2-423)</t>
  </si>
  <si>
    <t>DMC-I238S-N-N1-A1</t>
  </si>
  <si>
    <t>Кресло DXRacer Full Black Master Chair (DMC-I238S-N-N1-A1)</t>
  </si>
  <si>
    <t>DMC-I238S-R-A1</t>
  </si>
  <si>
    <t>Кресло DXRacer Full Red Master Chair (DMC-I238S-R-A1)</t>
  </si>
  <si>
    <t>DMC-I238S-WN-A1</t>
  </si>
  <si>
    <t>Кресло DXRacer White and Black Master Chair (DMC-I238S-WN-A1)</t>
  </si>
  <si>
    <t>DMC-I238S-GNF-GNF1-A1</t>
  </si>
  <si>
    <t>Кресло DXRacer White and Grey Master Chair - Fabric (DMC-I238S-GNF-GNF1-A1)</t>
  </si>
  <si>
    <t>DMC-I238S-V-V1-A1</t>
  </si>
  <si>
    <t>Кресло DXRacer Full Purple Master Chair (DMC-I238S-V-V1-A1)</t>
  </si>
  <si>
    <t>GC-CRA-PRO-N</t>
  </si>
  <si>
    <t>Кресло DXRacer Full Black Craft Pro Chair (GC-CRA-PRO-N)</t>
  </si>
  <si>
    <t>GC-CRA-PRO-Y</t>
  </si>
  <si>
    <t>Кресло DXRacer Full Yellow Craft Pro Chair (GC-CRA-PRO-Y)</t>
  </si>
  <si>
    <t>GC-CRA-PRO-O</t>
  </si>
  <si>
    <t>Кресло DXRacer Full Orange Craft Pro Chair (GC-CRA-PRO-O)</t>
  </si>
  <si>
    <t>GC-CRA-PRO-P</t>
  </si>
  <si>
    <t>Кресло DXRacer Full Pink Craft Pro Chair (GC-CRA-PRO-P)</t>
  </si>
  <si>
    <t>GC-CRA-PRO-BG</t>
  </si>
  <si>
    <t>Кресло DXRacer Fabric Gray Craft Pro Chair (GC-CRA-PRO-BG)</t>
  </si>
  <si>
    <t>Кресло  DXRacer Black and Red Drifting Chair</t>
  </si>
  <si>
    <t>Корпус Gamdias AURA GC9M ELITE ARGB</t>
  </si>
  <si>
    <t>Корпус Gamdias AURA GC10M V2 ARGB Gaming Case (3 Built-in 120mm ARGB Fans)</t>
  </si>
  <si>
    <t>5 штук</t>
  </si>
  <si>
    <t>Корпус Gamdias ATHENA M3 Gaming Case (4 Built-in 120mm PWM ARGB Fans with 8-port Hub)</t>
  </si>
  <si>
    <t>Корпус Gamdias ATHENA M3 WHITE Gaming Case (4 Built-in 120mm PWM ARGB Fans with 8-port Hub)</t>
  </si>
  <si>
    <t>Корпус Gamdias ATLAS M3M (3 Built-in 120mm ARGB PWM Fans) MicroATX</t>
  </si>
  <si>
    <t>Корпус Gamdias ATLAS M4 (4 Built-in 120mm NOTUS M1 ARGB Fans)</t>
  </si>
  <si>
    <t>Корпус Gamdias ATLAS M1 (3 Built-in 120mm ARGB PWM Fans)</t>
  </si>
  <si>
    <t>Корпус Gamdias ATHENA M6 LITE WHITE (4 Built-in 120mm ARGB Fans)</t>
  </si>
  <si>
    <t>Корпус Gamdias ATLAS E2 CG (3 Built-in 120mm ARGB Fans, Customized Monitor for System Information)</t>
  </si>
  <si>
    <t>Корпус Gamdias ATLAS P2 CG (4 Built-in 120mm ARGB Fans, Customized Monitor for System Information)</t>
  </si>
  <si>
    <t>Блок питание Gamdias AURA GP550 (на количестве - 23)</t>
  </si>
  <si>
    <t>Блок питание Gamdias AURA GP650 (на количестве - 26)</t>
  </si>
  <si>
    <t>Блок питание Gamdias AURA GP750 (на количестве - 31)</t>
  </si>
  <si>
    <t>Клавиатура Gamdias ARES E3 2-IN-1 COMBO (Клавиатура+мышь)</t>
  </si>
  <si>
    <t>Клавиатура Gamdias-ARES P2 3-IN-1 COMBO (клавиатура+мышь+коврик)</t>
  </si>
  <si>
    <t>Клавиатура Gamdias POSEIDON E2 3-IN-1 COMBO  (клавиатура+мышь+коврик)</t>
  </si>
  <si>
    <t>Клавиатура Gamdias HERMES E5</t>
  </si>
  <si>
    <t>Клавиатура Gamdias HERMES E6 Elite</t>
  </si>
  <si>
    <t>Корпус MSI MAG FORGE M100R</t>
  </si>
  <si>
    <t>Корпус MSI MAG FORGE 120A AIRFLOW</t>
  </si>
  <si>
    <t>Корпус MSI MAG FORGE 320R AIRFLOW WHITE</t>
  </si>
  <si>
    <t>Корпус MSI MAG PANO M100R PZ</t>
  </si>
  <si>
    <t>Корпус MSI MAG PANO M100R PZ WHITE</t>
  </si>
  <si>
    <t xml:space="preserve">Корпус MSI MAG PANO 110R PZ </t>
  </si>
  <si>
    <t xml:space="preserve">Корпус MSI MAG PANO 100R PZ </t>
  </si>
  <si>
    <t>Корпус MSI MAG PANO 100R PZ WHITE</t>
  </si>
  <si>
    <t>Корпус MSI MPG GUNGNIR 111R</t>
  </si>
  <si>
    <t>Корпус MSI MPG GUNGNIR 300R AIRFLOW</t>
  </si>
  <si>
    <t>Корпус MSI MPG GUNGNIR 300R AIRFLOW WHITE</t>
  </si>
  <si>
    <t>MSI - Cooler MAG CORELIQUID 240R V2</t>
  </si>
  <si>
    <t>MSI - Cooler MAG CORELIQUID A13 360</t>
  </si>
  <si>
    <t>MSI - Cooler MAG CORELIQUID A15 360</t>
  </si>
  <si>
    <t xml:space="preserve">MSI - Cooler MAG CORELIQUID M360 </t>
  </si>
  <si>
    <t xml:space="preserve">MSI - Cooler MAG CORELIQUID i360 </t>
  </si>
  <si>
    <t>MSI - Cooler MAG CORELIQUID i360 White</t>
  </si>
  <si>
    <t>MSI - Cooler MAG CORELIQUID 360R V2</t>
  </si>
  <si>
    <t>MSI - Cooler MAG CORELIQUID P240</t>
  </si>
  <si>
    <t>MSI - Cooler MEG CORELIQUID S360</t>
  </si>
  <si>
    <t>MSI MAG A500N-H, 80 PLUS Standard, 500 Watt Power Supply</t>
  </si>
  <si>
    <t>MSI MAG A500DN, 80 PLUS Standard, 500 Watt Power Supply</t>
  </si>
  <si>
    <t>MSI MAG A600DN, 80 PLUS Standard, 600 Watt Power Supply</t>
  </si>
  <si>
    <t>MSI MAG A550BN, 80 PLUS Bronze, 550 Watt Power Supply</t>
  </si>
  <si>
    <t>Блок питание - MSI MAG A650BN, 80 PLUS Bronze, 650 Watt Power Supply</t>
  </si>
  <si>
    <t>Блок питание - MSI MAG A750BN, 80 Plus Bronze, 750 Watt (306-7ZP2C11-CE0)</t>
  </si>
  <si>
    <t>Блок питание - MSI MAG A750GN PCIE5, 80 Plus Gold, 750 Watt</t>
  </si>
  <si>
    <t>Блок питание - MSI MAG A850GN PCIE5, 80 Plus Gold, 850 Watt</t>
  </si>
  <si>
    <t>Блок питание - MSI MAG A750GL PCIE5, 80 Plus Gold, Modular, 750 Watt</t>
  </si>
  <si>
    <t>Блок питание - MSI MAG A850GL PCIE5, 80 Plus Gold, Modular, 850 Watt</t>
  </si>
  <si>
    <t>Блок питание - MSI MAG A850GL PCIE5, 80 Plus Gold, Modular, White</t>
  </si>
  <si>
    <t>Блок питание - MSI A850GLS MLG EDITION, 80 Plus Gold, 850W</t>
  </si>
  <si>
    <t>Блок питание - MSI MAG A1000GL PCIE5, 80 PLUS Gold, 1000W Modular</t>
  </si>
  <si>
    <t>Блок питание - MSI MAG A1250GL PCIE5, 80 PLUS Gold, 1250W Modular</t>
  </si>
  <si>
    <t>Наушники MSI-Headset Immerse GH20</t>
  </si>
  <si>
    <t>Наушники MSI-Headset Immerse GH30</t>
  </si>
  <si>
    <t>Наушники MSI-Headset Immerse GH50</t>
  </si>
  <si>
    <t>Наушники MSI-Headset Immerse GH61</t>
  </si>
  <si>
    <t>MSI-Коврик AGILITY GD20</t>
  </si>
  <si>
    <t>Кресло - MSI MAG CH120</t>
  </si>
  <si>
    <t>Кресло - MSI MAG CH120 X</t>
  </si>
  <si>
    <t>Клавиатура MSI-VIGOR VIGOR GK20 RU</t>
  </si>
  <si>
    <t>цена нал</t>
  </si>
  <si>
    <t>MSRP</t>
  </si>
  <si>
    <t>Блоки питания</t>
  </si>
  <si>
    <r>
      <rPr>
        <b/>
        <sz val="10"/>
        <color theme="1"/>
        <rFont val="Calibri"/>
        <family val="2"/>
        <charset val="204"/>
      </rPr>
      <t xml:space="preserve">APX550                                                                                            </t>
    </r>
    <r>
      <rPr>
        <b/>
        <sz val="10"/>
        <color rgb="FFFF0000"/>
        <rFont val="Calibri"/>
        <family val="2"/>
        <charset val="204"/>
      </rPr>
      <t>80 PLUS White</t>
    </r>
  </si>
  <si>
    <t>Эффективность: обычно 83 процента
Среднее время безотказной работы: &gt; 100 000 ч
Защиты: ОВП / ОПП / УВП / SCP</t>
  </si>
  <si>
    <r>
      <rPr>
        <b/>
        <sz val="10"/>
        <color theme="1"/>
        <rFont val="Calibri"/>
        <family val="2"/>
        <charset val="204"/>
      </rPr>
      <t xml:space="preserve">GAMMA II 750                                                                                                    </t>
    </r>
    <r>
      <rPr>
        <b/>
        <sz val="10"/>
        <color rgb="FFFF0000"/>
        <rFont val="Calibri"/>
        <family val="2"/>
        <charset val="204"/>
      </rPr>
      <t xml:space="preserve"> 80 PLUS GOLD</t>
    </r>
  </si>
  <si>
    <t>Выход постоянного тока 12В - 744W                                                                               M/B 20+4Pin 1
CPU 4+4Pin 2
PCIE 6+2 4
SATA 8
Molex 4Pin 3
FDD 1</t>
  </si>
  <si>
    <r>
      <rPr>
        <b/>
        <sz val="10"/>
        <color theme="1"/>
        <rFont val="Calibri"/>
        <family val="2"/>
        <charset val="204"/>
      </rPr>
      <t xml:space="preserve">CENTURY G5 850 Модульный                                                                                 </t>
    </r>
    <r>
      <rPr>
        <b/>
        <sz val="10"/>
        <color rgb="FFFF0000"/>
        <rFont val="Calibri"/>
        <family val="2"/>
        <charset val="204"/>
      </rPr>
      <t xml:space="preserve"> 80 PLUS GOLD </t>
    </r>
    <r>
      <rPr>
        <b/>
        <sz val="10"/>
        <color theme="1"/>
        <rFont val="Calibri"/>
        <family val="2"/>
        <charset val="204"/>
      </rPr>
      <t>Мощность	 850W</t>
    </r>
  </si>
  <si>
    <t xml:space="preserve">Совместимость с Intel ATX 3.0 и PCIe 5.0                                                  </t>
  </si>
  <si>
    <r>
      <rPr>
        <b/>
        <sz val="10"/>
        <color rgb="FFFF0000"/>
        <rFont val="Calibri"/>
        <family val="2"/>
        <charset val="204"/>
      </rPr>
      <t xml:space="preserve">Century II 1050  Модульный   </t>
    </r>
    <r>
      <rPr>
        <b/>
        <sz val="10"/>
        <color rgb="FFFF0000"/>
        <rFont val="Calibri"/>
        <family val="2"/>
        <charset val="204"/>
      </rPr>
      <t xml:space="preserve">                                                            80 PLUS GOLD </t>
    </r>
    <r>
      <rPr>
        <b/>
        <sz val="10"/>
        <color rgb="FFFF0000"/>
        <rFont val="Calibri"/>
        <family val="2"/>
        <charset val="204"/>
      </rPr>
      <t>Мощность 1050W                                          Выход постоянного                                                                                тока +12В - 1050W</t>
    </r>
  </si>
  <si>
    <t xml:space="preserve">Создан для платформ ATX 3.1 и PCIe 5.1               Сертификация 80 PLUS и Cybenetics Platinum                                                                              </t>
  </si>
  <si>
    <r>
      <rPr>
        <b/>
        <sz val="10"/>
        <color rgb="FFFF0000"/>
        <rFont val="Calibri"/>
        <family val="2"/>
        <charset val="204"/>
      </rPr>
      <t xml:space="preserve">Century II 1200  Модульный   </t>
    </r>
    <r>
      <rPr>
        <b/>
        <sz val="10"/>
        <color rgb="FFFF0000"/>
        <rFont val="Calibri"/>
        <family val="2"/>
        <charset val="204"/>
      </rPr>
      <t xml:space="preserve">                                                            80 PLUS GOLD </t>
    </r>
    <r>
      <rPr>
        <b/>
        <sz val="10"/>
        <color rgb="FFFF0000"/>
        <rFont val="Calibri"/>
        <family val="2"/>
        <charset val="204"/>
      </rPr>
      <t>Мощность 1200W                                                           Выход постоянного                                                                                             тока +12В - 1200W</t>
    </r>
  </si>
  <si>
    <t>Кейсы</t>
  </si>
  <si>
    <t>X3 MESH (B)</t>
  </si>
  <si>
    <t xml:space="preserve"> Поддержка ATX / Micro-ATX / Mini-ITX
Кнопка питания / Кнопка сброса /  Аудио*1 / Микрофон*1 / USB 3.0                                        Поддержка радиатора до 240 мм                          Процессорный кулер до 160мм
видеокарта до 305мм
БП 160мм АТХ                                            Предустановленные вентиляторы                                сверху 120 мм*2 (RGB Molex)
спереди 140 мм*3 (RGB Molex)
сзади 120 мм*1 (RGB Molex)                                                 3.5'' HDD x 2 / 2.5'' SSD x 4   </t>
  </si>
  <si>
    <t>X3 GLASS (W)</t>
  </si>
  <si>
    <t>SKY TWO (M)</t>
  </si>
  <si>
    <t xml:space="preserve">      Поддержка ATX / Micro-ATX / Mini-ITX
Кнопка питания / Кнопка сброса /  Микрофон*1 / Аудио*1 / / Type-C*1 / USB 3.0*2                                                             Поддержка радиатора до 360 мм                          Процессорный кулер до 168мм
видеокарта до 400мм, БП 210мм АТХ                                          Предустановленные вентиляторы                                                                     сбоку 120 мм*2 (RX120 ARGB)
Кожух блока питания 120 мм*1 (RX120 ARGB)
сзади 120 мм*1 (AX120 ARGB)                                                 3.5'' HDD x 2 / 2.5'' SSD x 4</t>
  </si>
  <si>
    <t>XR (B)</t>
  </si>
  <si>
    <t xml:space="preserve">      Поддержка ATX / Micro-ATX / Mini-ITX
Кнопка питания / Кнопка сброса /  Микрофон*1 / Аудио*1 / Type-C*1 / USB 3.0*2                                                             Поддержка радиатора до 360 мм                          Процессорный кулер до 175мм
видеокарта до 420мм
БП 230мм АТХ                                          Предустановленные вентиляторы                                                                     сбоку 120 мм*2 (ARGB)
сзади 120 мм*1 (GF120 ARGB)                                                 3.5'' HDD x 2 / 2.5'' SSD x 2</t>
  </si>
  <si>
    <t>XR (W)</t>
  </si>
  <si>
    <t>X5 (B)</t>
  </si>
  <si>
    <t xml:space="preserve"> Поддержка E-ATX / ATX / Micro-ATX / Mini-ITX
Кнопка питания / Кнопка LED /  Аудио*1 / Микрофон*1 / USB 3.0 / USB 2.0 / Type-C*1                                       Поддержка радиатора до 360 мм                          Процессорный кулер до 165мм
видеокарта до 410мм
БП 230мм АТХ                                            Предустановленные вентиляторы                                            спереди 140 мм*3 (ARGB) сзади 120 мм*1 (ARGB)                                                    3.5'' HDD x 2 / 2.5'' SSD x 2   </t>
  </si>
  <si>
    <t>AIR 903 MAX (B)</t>
  </si>
  <si>
    <t xml:space="preserve">Поддержка ATX / Micro-ATX / Mini-ITX
Кнопка питания / Кнопка сброса / Кнопка LED / Микрофон*1 / Аудио*1 / USB3.0*2 / Type-C*1 /                                  Поддержка радиатора до 360 мм                                Процессорный кулер до 180мм
 Видеокарта до 400мм
БП 240 мм АТХ                                             Предустановленные вентиляторы                                                  спереди 140 мм*3 (ARGB)
сзади 140 мм*1 (ARGB)                                                          3.5'' HDD x 2 / 2.5'' SSD x 5    </t>
  </si>
  <si>
    <t>HS01 PRO (B)</t>
  </si>
  <si>
    <t xml:space="preserve">Поддержка ATX / Micro-ATX / Mini-ITX
Кнопка питания / Кнопка LED / Микрофон*1 / Аудио*1 / Type-C*1 / USB3.0*1                                               Поддержка радиатора до 360 мм                                Процессорный кулер до 175мм
 Видеокарта до 420мм
БП 200 мм АТХ                                             Предустановленные вентиляторы                                                  	снизу 120 мм*3 (ARGB) сзади 120 мм*2 (ARGB)                              3.5'' HDD x 2 / 2.5'' SSD x 4    </t>
  </si>
  <si>
    <t>HS01 PRO (W)</t>
  </si>
  <si>
    <t>KING 45 PRO (B)</t>
  </si>
  <si>
    <t xml:space="preserve"> Поддержка ATX / Micro-ATX / Mini-ITX
Кнопка питания / Кнопка светодиодного индикатора /  Аудиоразъем для гарнитуры*1 / USB 3.0*2 / Type-C*1                                       Поддержка радиатора до 360 мм                          Процессорный кулер до 187мм
видеокарта до 435мм
БП 180мм АТХ                                            Предустановленные вентиляторы                                                            снизу 120 мм*3 (RX120 PRO)
сзади 120 мм*1 (AX120 PRO)                                                    3.5'' HDD x 2 / 2.5'' SSD x 2   </t>
  </si>
  <si>
    <t>KING 45 PRO (W)</t>
  </si>
  <si>
    <t>KING 65 Pro (B)</t>
  </si>
  <si>
    <t xml:space="preserve"> Поддержка ATX / Micro-ATX / Mini-ITX
Кнопка питания / Кнопка сброса /  Аудио*1 / Микрофон*1 / USB 3.0*2 / Type-C*1                                       Поддержка радиатора до 360 мм                          Процессорный кулер до 175мм
видеокарта до 420мм
БП 185мм АТХ                                            Предустановленные вентиляторы                                                            сбоку 140 мм*2 (ARGB PWM)
сзади 120 мм*1 (ARGB PWM)                                                    3.5'' HDD x 2 / 2.5'' SSD x 5   </t>
  </si>
  <si>
    <t>KING 65 Pro (W)</t>
  </si>
  <si>
    <t>KING 95 Pro (B)</t>
  </si>
  <si>
    <t xml:space="preserve"> Поддержка ATX / Micro-ATX / Mini-ITX
Кнопка питания / Кнопка сброса /  Аудио*1 / Микрофон*1 / USB 3.0*2 / Type-C*1                                       Поддержка радиатора до 360 мм                          Процессорный кулер до 175мм
видеокарта до 420мм
БП 185мм АТХ                                           Предустановленные вентиляторы                                                            Сбоку 140 мм*2 (RX140 ARGB)
снизу 120 мм*3 (RX120 ARGB)
сзади 120 мм*1 (AX120 ARGB)                                                   3.5'' HDD x 8 / 2.5'' SSD x 6</t>
  </si>
  <si>
    <t>KING 95 Pro (W)</t>
  </si>
  <si>
    <t>King95 PRO (R)</t>
  </si>
  <si>
    <t>#</t>
  </si>
  <si>
    <t>Наименование</t>
  </si>
  <si>
    <t>Цена опт</t>
  </si>
  <si>
    <t>Цена розница</t>
  </si>
  <si>
    <t>Проводная клавиатура Defender Daily HB-162</t>
  </si>
  <si>
    <t>Проводная игровая клавиатура Defender Arx GK-196L</t>
  </si>
  <si>
    <t>Проводная клавиатура Defender Ultra HB-330L</t>
  </si>
  <si>
    <t>Проводная игровая клавиатура Defender Dark Knight GK-077</t>
  </si>
  <si>
    <t>Проводная игровая клавиатура Defender Raid GK-778DL</t>
  </si>
  <si>
    <t>Проводная игровая клавиатура Defender Doom Keeper GK-100DL</t>
  </si>
  <si>
    <t>Игравая клавиатура + мышь Defender Glion C-123</t>
  </si>
  <si>
    <t>Игравая клавиатура + мышь Defender Singularity MKP-118</t>
  </si>
  <si>
    <t>Игравая клавиатура + мышь+наушники Defender Target MKP-350</t>
  </si>
  <si>
    <t>Механическая игровая клавиатура Defender Mechanoid GK-581</t>
  </si>
  <si>
    <t>Механическая игровая клавиатура Defender Quest GK-596</t>
  </si>
  <si>
    <t>Беспроводной набор Defender Berkeley C-925</t>
  </si>
  <si>
    <t>Беспроводной набор Defender Lima C-993</t>
  </si>
  <si>
    <t>Беспроводной набор Defender Skyline 895</t>
  </si>
  <si>
    <t>Проводная оптическая мышь Defender Trace MB-989</t>
  </si>
  <si>
    <t>Проводная оптическая мышь Defender Optimum MB-160</t>
  </si>
  <si>
    <t>Проводная игровая мышь Defender Killer GM-170L</t>
  </si>
  <si>
    <t>Беспроводная игровая мышь Defender Katana GM-511</t>
  </si>
  <si>
    <t>Беспроводная оптическая мышь Defender Hit MM-495</t>
  </si>
  <si>
    <t>Беспроводные стереонаушники Defender FreeMotion B595</t>
  </si>
  <si>
    <t>Беспроводные стереонаушники Defender Twins 639</t>
  </si>
  <si>
    <t>Беспроводные стереонаушники Defender FreeMotion B445</t>
  </si>
  <si>
    <t>Беспроводные стереонаушники Defender FreeMotion B695</t>
  </si>
  <si>
    <t>Игровое кресло Defender Tornado</t>
  </si>
  <si>
    <t>Игровое кресло Defender xCom</t>
  </si>
  <si>
    <t>Игровое кресло Defender Breeze</t>
  </si>
  <si>
    <t>Игровое кресло Defender Bora</t>
  </si>
  <si>
    <t>Игровое кресло Defender Ego</t>
  </si>
  <si>
    <t xml:space="preserve">Вебкамера Defender G-lens 2590 QHD </t>
  </si>
  <si>
    <t>Игровой стол Defender Electric</t>
  </si>
  <si>
    <t>Игровой стол Defender Exos</t>
  </si>
  <si>
    <t>КРЕСЛА</t>
  </si>
  <si>
    <t>Кресло AULA F8093 Red (витрина)</t>
  </si>
  <si>
    <t>МЫШИ</t>
  </si>
  <si>
    <t>Мышь игровая проводная AULA S11</t>
  </si>
  <si>
    <t>Мышь игровая проводная AULA S11 PRO (blue/white)</t>
  </si>
  <si>
    <t>Мышь игровая проводная AULA S13</t>
  </si>
  <si>
    <t>Мышь игровая проводная AULA F816</t>
  </si>
  <si>
    <t>Мышь игровая проводная AULA F815</t>
  </si>
  <si>
    <t>Мышь игровая проводная AULA S80</t>
  </si>
  <si>
    <t>Мышь игровая проводная AULA F820 white</t>
  </si>
  <si>
    <t>Мышь игровая беспроводная AULA SC620 (white)</t>
  </si>
  <si>
    <t>Мышь игровая беспроводная AULA SC620 (black)</t>
  </si>
  <si>
    <t>Мышь игровая беспроводная AULA SC580X black</t>
  </si>
  <si>
    <t>Мышь игровая беспроводная AULA SC580X white</t>
  </si>
  <si>
    <t>Мышь игровая беспроводная AULA SC590 Pro (Black)</t>
  </si>
  <si>
    <t>Мышь игровая беспроводная AULA SC590 Pro (White)</t>
  </si>
  <si>
    <t>Мышь игровая беспроводная AULA SC380 Pro (White)</t>
  </si>
  <si>
    <t>Мышь игровая беспроводная AULA SC380 Pro (Black)</t>
  </si>
  <si>
    <t>Мышь игровая беспроводная AULA S680 (black)</t>
  </si>
  <si>
    <t>Мышь игровая беспроводная AULA SC900 Max (RED)</t>
  </si>
  <si>
    <t>Мышь офисная проводная AULA AM104 (Black)</t>
  </si>
  <si>
    <t>Мышь офисная беспроводная AULA AM205 (Black)</t>
  </si>
  <si>
    <t>Мышь офисная беспроводная AULA AM212 (Black)</t>
  </si>
  <si>
    <t>Мышь офисная беспроводная AULA AM212 (White)</t>
  </si>
  <si>
    <t>КЛАВИАТУРЫ</t>
  </si>
  <si>
    <t>Клавиатура мембранная проводная AULA F2023 (RGB)</t>
  </si>
  <si>
    <t>Клавиатура механическа проводная AULA S2022 (RGB)</t>
  </si>
  <si>
    <t>Клавиатура механическа проводная AULA F3287 (RGB 80% TKL)</t>
  </si>
  <si>
    <t>Клавиатура механическа проводная AULA F2066-II (RGB)</t>
  </si>
  <si>
    <t>Клавиатура механическа проводная AULA F2058 (RGB, подставка под запястье)</t>
  </si>
  <si>
    <t>Клавиатура мембранная беспроводная AULA S99 (три вида подключения)</t>
  </si>
  <si>
    <t>Клавиатура механическа беспроводная AULA S98 (три вида подключения)</t>
  </si>
  <si>
    <t>Клавиатура механическая проводная AULA F75 (проводное подключение) white</t>
  </si>
  <si>
    <t>Клавиатура механическая проводная AULA F75 (проводное подключение) black</t>
  </si>
  <si>
    <t>Клавиатура механическая беспроводная AULA F75 (три вида подключения) black-blue-orange</t>
  </si>
  <si>
    <t>Клавиатура механическая беспроводная AULA F75 (три вида подключения) white-blue-purple</t>
  </si>
  <si>
    <t>Клавиатура механическая беспроводная AULA F75 pro (три вида подключения) gradient white to purple</t>
  </si>
  <si>
    <t>Клавиатура механическая беспроводная AULA F75 pro (три вида подключения) Black-Countour</t>
  </si>
  <si>
    <t xml:space="preserve">Клавиатура механическая беспроводная AULA F75 pro (три вида подключения) gradient black to grey </t>
  </si>
  <si>
    <t>Клавиатура механическая беспроводная AULA S75 Pro (три вида подключения) White-Blue-Purple</t>
  </si>
  <si>
    <t>Клавиатура механическа беспроводная AULA F87 (три вида подключения) Black-Blue-Orange</t>
  </si>
  <si>
    <t>Клавиатура механическа беспроводная AULA F87 PRO (три вида подключения)  black-green</t>
  </si>
  <si>
    <t>Клавиатура механическа беспроводная AULA F87 PRO (три вида подключения)  Black-White-Green</t>
  </si>
  <si>
    <t>Клавиатура механическа беспроводная AULA F87 pro V2 (три вида подключения) Yellow</t>
  </si>
  <si>
    <t>Клавиатура механическа проводная AULA HERO 84 HE (проводное подключение) White-pink</t>
  </si>
  <si>
    <t>Клавиатура механическа беспроводная AULA S98 Pro (три вида подключения) Black-White-Green</t>
  </si>
  <si>
    <t>Клавиатура механическа беспроводная AULA F98 (три вида подключения)</t>
  </si>
  <si>
    <t>Клавиатура механическа беспроводная AULA F98 PRO (три вида подключения)</t>
  </si>
  <si>
    <t>Клавиатура механическа беспроводная AULA F99 (три вида подключения) Grey-White-Dark Grey</t>
  </si>
  <si>
    <t>Клавиатура механическа беспроводная AULA F99 (три вида подключения) Comics</t>
  </si>
  <si>
    <t>Клавиатура механическа беспроводная AULA F99 Pro (три вида подключения) gradient black to grey</t>
  </si>
  <si>
    <t>Клавиатура механическа беспроводная F108 (три вида подключения) Black-Grey-Yellow</t>
  </si>
  <si>
    <t>Клавиатура механическа беспроводная F108 Pro (три вида подключения)  (Black-Grey-Yellow)</t>
  </si>
  <si>
    <t>Клавиатура механическа беспроводная AMG65 (три вида подключения) Purple</t>
  </si>
  <si>
    <t>НАБОРЫ</t>
  </si>
  <si>
    <t>Игровой набор 2 в 1 (клавиатура, мышь) AULA F2023 (RGB)</t>
  </si>
  <si>
    <t>Игровой набор 4 в 1 (клавиатура, мышь, коврик, наушники) AULA T650 подсветка</t>
  </si>
  <si>
    <t>Игровой набор 2 в 1  (механическая клавиатура, мышь) AULA T640</t>
  </si>
  <si>
    <t>Офисный набор 2 в 1 (проводная клавиатура, мышь) AC209</t>
  </si>
  <si>
    <t>Офисный набор 2 в 1  (беспроводная клавиатура, мышь) AC308</t>
  </si>
  <si>
    <t>НАУШНИКИ</t>
  </si>
  <si>
    <t>Наушники проводные AULA S608 RGB</t>
  </si>
  <si>
    <t>Наушники проводные AULA S605 RGB</t>
  </si>
  <si>
    <t>Наушники проводные AULA S606 RGB WHITE</t>
  </si>
  <si>
    <t>Наушники проводные AULA S505 RGB (black)</t>
  </si>
  <si>
    <t>Наушники беспроводные AULA S6 (black)</t>
  </si>
  <si>
    <t>Наушники беспроводные AULA S6 (white)</t>
  </si>
  <si>
    <t>Наушники беспроводные AULA G7 Pro (White)</t>
  </si>
  <si>
    <t>Наушники беспроводные AULA G7 Pro (Black)</t>
  </si>
  <si>
    <t>Наушники беспроводные AULA A500 (Black)</t>
  </si>
  <si>
    <t>КОВРИКИ</t>
  </si>
  <si>
    <t>Коврик AULA MP-W (250X300 mm)</t>
  </si>
  <si>
    <t>Коврик AULA MP-WFFM (300X700 mm)</t>
  </si>
  <si>
    <t>Коврик AULA MP-XL (400X900 mm)</t>
  </si>
  <si>
    <t>АКУСТИЧЕСКИЕ СИСТЕМЫ</t>
  </si>
  <si>
    <t>Акустическая система AULA N521 (2.0)</t>
  </si>
  <si>
    <t>Акустическая система AULA N169 Bluetooth</t>
  </si>
  <si>
    <t>Lian Li</t>
  </si>
  <si>
    <t>Корпус</t>
  </si>
  <si>
    <t>G99.OE744MX.10</t>
  </si>
  <si>
    <t>Корпус Lian Li LANCOOL 205M MESH, Black</t>
  </si>
  <si>
    <t>G99.OE744MS.10</t>
  </si>
  <si>
    <t>Корпус Lian Li LANCOOL 205M MESH SNOW</t>
  </si>
  <si>
    <t>G99.LAN215X.00</t>
  </si>
  <si>
    <t>Корпус Lian Li LANCOOL 215X black</t>
  </si>
  <si>
    <t>G99.V100RX.01</t>
  </si>
  <si>
    <t>Корпус Lian Li V100R case pre-installed Black</t>
  </si>
  <si>
    <t>G99.V100RW.01</t>
  </si>
  <si>
    <t>Корпус Lian Li V100R case pre-installed White</t>
  </si>
  <si>
    <t>G99.OE764CX.00</t>
  </si>
  <si>
    <t>Корпус Lian Li LANCOOL205 MESH BLACK</t>
  </si>
  <si>
    <t>G99.OE764CW.00</t>
  </si>
  <si>
    <t>Корпус Lian Li LANCOOL205 MESH WHITE</t>
  </si>
  <si>
    <t>G99.LAN216RW.00</t>
  </si>
  <si>
    <t>Корпус Lian Li LANCOOL 216RW white</t>
  </si>
  <si>
    <t>G99.O11AMX.00</t>
  </si>
  <si>
    <t>Корпус Lian Li O11 Air Mini black</t>
  </si>
  <si>
    <t>G99.O11AMW.00</t>
  </si>
  <si>
    <t>Корпус Lian Li O11 Air Mini white</t>
  </si>
  <si>
    <t>G99.O11DMI-X.00</t>
  </si>
  <si>
    <t>Корпус Lian Li O11 Dynamic Mini black</t>
  </si>
  <si>
    <t>G99.O11DMI-S.00</t>
  </si>
  <si>
    <t>Корпус Lian Li O11 Dynamic Mini snow</t>
  </si>
  <si>
    <t>G99.LAN2MRX.50</t>
  </si>
  <si>
    <t>Корпус Lian Li LANCOOL II Mesh C RGB-X Black</t>
  </si>
  <si>
    <t>G99.LAN2MRS.50</t>
  </si>
  <si>
    <t>Корпус Lian Li LANCOOL II Mesh C RGB-S Snow</t>
  </si>
  <si>
    <t>G99.O11VPX.00</t>
  </si>
  <si>
    <t>Корпус Lian Li O11 VISION Compact, black</t>
  </si>
  <si>
    <t>G99.O11VPW.00</t>
  </si>
  <si>
    <t>Корпус Lian Li O11 VISION Compact, white</t>
  </si>
  <si>
    <t>G99.O11DERGBX.00</t>
  </si>
  <si>
    <t>Корпус Lian Li O11 Dynamic EVO RGB</t>
  </si>
  <si>
    <t>G99.O11DERGBW.00</t>
  </si>
  <si>
    <t>Корпус Lian Li O11 Dynamic EVO RGB White</t>
  </si>
  <si>
    <t>G99.O11DEXL-X.00</t>
  </si>
  <si>
    <t>Корпус Lian Li O11 Dynamic EVO XL black</t>
  </si>
  <si>
    <t>G99.O11DEXL-W.00</t>
  </si>
  <si>
    <t>Корпус Lian Li O11 Dynamic EVO XL white</t>
  </si>
  <si>
    <t>Strimer cable</t>
  </si>
  <si>
    <t>G89.PW16-8PV2.00</t>
  </si>
  <si>
    <t>Lian Li Strimer PLUS V2 16-8</t>
  </si>
  <si>
    <t>G89.PW16-12PV2.00</t>
  </si>
  <si>
    <t>Lian Li Strimer PLUS V2 16-12</t>
  </si>
  <si>
    <t>G89.PW168-8PV2.00</t>
  </si>
  <si>
    <t>Lian Li Strimer PLUS V2 168-8</t>
  </si>
  <si>
    <t>Fan</t>
  </si>
  <si>
    <t>G99.12ST3B.00</t>
  </si>
  <si>
    <t>Lian Li ST120-3 Black cooler</t>
  </si>
  <si>
    <t>G99.12ST3W.00</t>
  </si>
  <si>
    <t>Lian Li ST120-3 White Cooler</t>
  </si>
  <si>
    <t>G99.12SLV23B.00</t>
  </si>
  <si>
    <t>Lian Li SL120V2-3B Black Cooler</t>
  </si>
  <si>
    <t>G99.12SLV23W.00</t>
  </si>
  <si>
    <t>Lian Li SL120V2-3W White Cooler</t>
  </si>
  <si>
    <t>G99.12ALV23B.00</t>
  </si>
  <si>
    <t>Lian Li AL120V2-3B Black Cooler</t>
  </si>
  <si>
    <t>G99.12ALV23W.00</t>
  </si>
  <si>
    <t>Lian Li AL120V2-3W White Cooler</t>
  </si>
  <si>
    <t>G99.12SLIN3B.00</t>
  </si>
  <si>
    <t>Lian Li SL-INF 120-3 Black Cooler</t>
  </si>
  <si>
    <t>G99.12SLIN3W.00</t>
  </si>
  <si>
    <t>Lian Li SL-INF 120-3 White Cooler</t>
  </si>
  <si>
    <t>G99.12P283B.00</t>
  </si>
  <si>
    <t>Lian Li P28-3B Black Cooler</t>
  </si>
  <si>
    <t>G99.12P283W.00</t>
  </si>
  <si>
    <t>Lian Li P28-3W White Cooler</t>
  </si>
  <si>
    <t>G99.12RSLV21B.00</t>
  </si>
  <si>
    <t>Lian Li Reverse SL120V2-1B Black</t>
  </si>
  <si>
    <t>G99.12RSLV21W.00</t>
  </si>
  <si>
    <t>Lian Li Reverse SL120V2-1B White</t>
  </si>
  <si>
    <t>G99.12RSLIN1B.00</t>
  </si>
  <si>
    <t>Lian Li Reverse SL-INF 120mm-1 Black</t>
  </si>
  <si>
    <t>G99.12RSLIN1W.00</t>
  </si>
  <si>
    <t>Lian Li Reverse SL-INF 120mm-1 White</t>
  </si>
  <si>
    <t>G99.14ALV21B.00</t>
  </si>
  <si>
    <t>Lian Li AL140V2-1B Black Cooler</t>
  </si>
  <si>
    <t>G99.14ALV21W.00</t>
  </si>
  <si>
    <t>Lian Li AL140V2-1W White Cooler</t>
  </si>
  <si>
    <t>G99.12TL1B.00</t>
  </si>
  <si>
    <t>Lian Li TL120-1 Black Cooler</t>
  </si>
  <si>
    <t>G99.12TL3B.00</t>
  </si>
  <si>
    <t>Lian Li TL120-3 Black Cooler</t>
  </si>
  <si>
    <t>G99.12TL1W.00</t>
  </si>
  <si>
    <t>Lian Li TL120-1 White Cooler</t>
  </si>
  <si>
    <t>G99.12TL3W.00</t>
  </si>
  <si>
    <t>Lian Li TL120-3 White Cooler</t>
  </si>
  <si>
    <t>G99.12RTL1B.00</t>
  </si>
  <si>
    <t>Lian Li Reverse TL 120mm-1 Black</t>
  </si>
  <si>
    <t>G99.12RTL3B.00</t>
  </si>
  <si>
    <t>Lian Li Reverse TL 120mm-3 Black</t>
  </si>
  <si>
    <t>G99.12RTL1W.00</t>
  </si>
  <si>
    <t>Lian Li Reverse TL 120mm-1 White</t>
  </si>
  <si>
    <t>G99.12RTL3W.00</t>
  </si>
  <si>
    <t>Lian Li Reverse TL 120mm-3 White</t>
  </si>
  <si>
    <t>G99.12TLLCD3B.00</t>
  </si>
  <si>
    <t>Lian Li TLLCD 120-3 Black Cooler</t>
  </si>
  <si>
    <t>G99.12TLLCD3W.00</t>
  </si>
  <si>
    <t>Lian Li TLLCD 120-3 White Cooler</t>
  </si>
  <si>
    <t>G99.12RTLLCD3B.00</t>
  </si>
  <si>
    <t>Lian Li Reverse TLLCD 120mm-3 Black</t>
  </si>
  <si>
    <t>G99.12RTLLCD3W.00</t>
  </si>
  <si>
    <t>Lian Li Reverse TLLCD 120mm-3 White</t>
  </si>
  <si>
    <t>Liquid cooling</t>
  </si>
  <si>
    <t>G89.GA2T24INB.00</t>
  </si>
  <si>
    <t>Lian Li GA II Trinity 240 SL-Inf Black</t>
  </si>
  <si>
    <t>G89.GA2T24INW.00</t>
  </si>
  <si>
    <t>Lian Li GA II Trinity 240 SL-Inf White</t>
  </si>
  <si>
    <t>G89.GHSLCD36SB.00</t>
  </si>
  <si>
    <t>Водяной кулер Lian Li HydroShift LCD 360S BLACK</t>
  </si>
  <si>
    <t>G89.GHSLCD36SW.00</t>
  </si>
  <si>
    <t>Водяной кулер Lian Li HydroShift LCD 360S WHITE</t>
  </si>
  <si>
    <t>G89.GHS2LCD36RB.00</t>
  </si>
  <si>
    <t>Водяной кулер HydroShift 2 LCD-C 360R</t>
  </si>
  <si>
    <t>G89.GHS2LCD36RW.00</t>
  </si>
  <si>
    <t>G89.GHS2LCD36TB.00</t>
  </si>
  <si>
    <t>Водяной кулер Lian Li HydroShift 2 LCD-C 360T</t>
  </si>
  <si>
    <t>G89.GHS2LCD36TW.00</t>
  </si>
  <si>
    <t>Водяной кулер Lian Li HydroShift 2 LCD-C 360TL</t>
  </si>
  <si>
    <t>PowerSupply</t>
  </si>
  <si>
    <t>G89.SP750B.00EU</t>
  </si>
  <si>
    <t>Lian-Li SP750 750W SFX 80 Plus Gold Full Modular Black</t>
  </si>
  <si>
    <t>Lian-Li SP750 750W SFX 80 Plus Gold Full Modular White</t>
  </si>
  <si>
    <t>G89.SP850B.01EU</t>
  </si>
  <si>
    <t>Lian-Li SP850 850W SFX 80 Plus Gold Full Modular Black</t>
  </si>
  <si>
    <t>G89.SP850W.01EU</t>
  </si>
  <si>
    <t>Lian-Li SP850 850W SFX 80 Plus Gold Full Modular White</t>
  </si>
  <si>
    <t>Bracket</t>
  </si>
  <si>
    <t>G89.VG4-4-V2X.00</t>
  </si>
  <si>
    <t>Lian Li Vertical GPU Bracket Kit</t>
  </si>
  <si>
    <t>G89.O11DM-1X.40</t>
  </si>
  <si>
    <t xml:space="preserve">Lian Li O11-MINI PCIe 4.0 Black Vertical GPU Bracket Kit </t>
  </si>
  <si>
    <t>G89.O11DM-1W.40</t>
  </si>
  <si>
    <t xml:space="preserve">Lian Li O11-MINI PCIe 4.0 White Vertical GPU Bracket Kit </t>
  </si>
  <si>
    <t>Блок питание</t>
  </si>
  <si>
    <t>FSP HV Pro 550W 80 Plus Power Supply (FSP550-51AAC)</t>
  </si>
  <si>
    <t>FSP HV Pro 650W 80 Plus Power Supply (FSP650-51AAC)</t>
  </si>
  <si>
    <t>FSP HYDRO Pro 600W 80 PLUS Bronze Power Supply (HP2-600)</t>
  </si>
  <si>
    <t>FSP HEXA 85+ Pro 650W 80 PLUS Bronze Power Supply (HA2-650)</t>
  </si>
  <si>
    <t>FSP HYDRO K Pro 750W 80 PLUS Power Supply (PCIe 5.0)</t>
  </si>
  <si>
    <t>FSP HYDRO Pro 700W 80 PLUS Bronze Power Supply (HP2-700)</t>
  </si>
  <si>
    <t>FSP HYDRO Pro 800W 80 PLUS Bronze Power Supply (HP2-800)</t>
  </si>
  <si>
    <t>FSP HYDRO Pro 800W 80 PLUS Bronze Power Supply PCIe 5.0 ATX 3.0 (HP2-800 Gen5)</t>
  </si>
  <si>
    <t>HP2-800 Gen5</t>
  </si>
  <si>
    <t>FSP HYDRO M Pro 800W 80 PLUS Bronze Power Supply (HP2-800M)</t>
  </si>
  <si>
    <t>FSP HEXA 85+ Pro 850W 80 PLUS Bronze Power Supply (HA2-850)</t>
  </si>
  <si>
    <t>FSP DAGGER Pro 750W 80 PLUS Gold Power Supply (SDA2-750)</t>
  </si>
  <si>
    <t>FSP HYDRO G Pro 750W 80 PLUS Gold Power Supply (HG2-750)</t>
  </si>
  <si>
    <t>FSP HYDRO G Pro 850W 80 PLUS Gold Power Supply (HG2-850)</t>
  </si>
  <si>
    <t>FSP HYDRO G Pro 850W 80 PLUS Gold Power Supply (HG2-850) GEN5</t>
  </si>
  <si>
    <t>FSP HYDRO G Pro 1000W 80 PLUS Gold Power Supply (HG2-1000) GEN5</t>
  </si>
  <si>
    <t>FSP HYDRO G Pro 1200W Power Supply, 80 Plus Gold  (HG2-1200-G5T)</t>
  </si>
  <si>
    <t>FSP HYDRO PTM PRO 1000W 80 PLUS Platinum Power Supply (HPT2-1000M) GEN5</t>
  </si>
  <si>
    <t>FSP HYDRO PTM PRO 1350W 80 Plus Platinum, Full Modular (HPT2-1350M, GEN5)</t>
  </si>
  <si>
    <t>HPT2-1350M, GEN5</t>
  </si>
  <si>
    <t>Case FSP CMT195A</t>
  </si>
  <si>
    <t>Case FSP CMT192 (Glass)</t>
  </si>
  <si>
    <t>Case FSP CMT192 (Mesh)</t>
  </si>
  <si>
    <t>Case FSP CMT196 (Black)</t>
  </si>
  <si>
    <t>Case FSP CMT380W</t>
  </si>
  <si>
    <t>Case FSP M340-BA Black</t>
  </si>
  <si>
    <t>Case FSP M340-WA White</t>
  </si>
  <si>
    <t>Case FSP S380 (S380-BA) Black</t>
  </si>
  <si>
    <t>Case FSP S380 (S380-WA) White</t>
  </si>
  <si>
    <t>Case FSP M580-BA Black</t>
  </si>
  <si>
    <t>Case FSP M580-WA White</t>
  </si>
  <si>
    <t>Case FSP CUT593P (Black)</t>
  </si>
  <si>
    <t>Case FSP CUT593P (White)</t>
  </si>
  <si>
    <t>характеристики (полные характеристики по ссылке)</t>
  </si>
  <si>
    <t>цена опт</t>
  </si>
  <si>
    <t>цена розн</t>
  </si>
  <si>
    <t>Litepower 550W</t>
  </si>
  <si>
    <t>эффективность работы до 85%, тихий 120мм вентилятор</t>
  </si>
  <si>
    <t>Litepower 650W</t>
  </si>
  <si>
    <t>Toughpower SFX 1000W 80 Plus Gold</t>
  </si>
  <si>
    <t>Модульный интерфейс, PCIe 12+4pin, Intel ATX 3.0, PCIe Gen 5.0, а также легко устанавливается в корпуса ATX или ITX.</t>
  </si>
  <si>
    <t>Toughpower GF A3 1050W  80 Plus Gold</t>
  </si>
  <si>
    <t>Модульный интерфейс, Плоские кабели, 80 PLUS GOLD, 16 pin (12VHPWR) 1 шт, Вентилятор 135 мм, японские конденсаторы 105°C</t>
  </si>
  <si>
    <t>Toughpower GF A3 1200W  80 Plus Gold</t>
  </si>
  <si>
    <t>Toughpower GF3 1000W 80 Plus Gold</t>
  </si>
  <si>
    <t>Toughpower GF3 1350W 80 Plus Gold</t>
  </si>
  <si>
    <t>кейсы</t>
  </si>
  <si>
    <t>Versa J24 TG RGB Black</t>
  </si>
  <si>
    <t>Поддержка ATX / Micro-ATX / Mini-ITX, зак.стекло 1шт, Предустановленные вентиляторы: спереди 120 мм * 3 шт, сзади 120 мм * 1 шт</t>
  </si>
  <si>
    <t>S200 TG ARGB Black</t>
  </si>
  <si>
    <t>Поддержка ATX / Micro-ATX / Mini-ITX, зак.стекло 1 шт, Предустановленные вентиляторы: спереди 120 мм * 3 шт, сзади 120 мм * 1 шт</t>
  </si>
  <si>
    <t>S200 TG ARGB Snow</t>
  </si>
  <si>
    <t>V350TG</t>
  </si>
  <si>
    <t>Поддержка ATX / Micro-ATX / Mini-ITX, Предустановленные вентиляторы спереди 120 мм *3 шт ARGB, сзади 120 мм*1 шт Turbo fan</t>
  </si>
  <si>
    <t>V350TG Snow</t>
  </si>
  <si>
    <t>S250 TG ARGB Snow</t>
  </si>
  <si>
    <t>Поддержка E-ATX / ATX / Micro-ATX / Mini-ITX, Предустановленные вентиляторы спереди 120 мм*3 ARGB сзади 120 мм*1 CT120 ARGB</t>
  </si>
  <si>
    <t>TT Premium A500 TG</t>
  </si>
  <si>
    <t>Поддержка ATX / Micro-ATX / Mini-ITX, Предустановленные вентиляторы спереди 120 мм*2 шт, сзади 120 мм</t>
  </si>
  <si>
    <t>Commander C34 TG White</t>
  </si>
  <si>
    <t>Поддержка ATX / Micro-ATX / Mini-ITX, Предустановленные вентиляторы спереди 200 mm ARGB fan x 2шт сзади 120 мм</t>
  </si>
  <si>
    <t>View 200 TG ARG  Black</t>
  </si>
  <si>
    <t>Поддержка ATX / Micro-ATX / Mini-ITX, Предустановленные вентиляторы спереди 120 mm ARGB fan x 3 шт</t>
  </si>
  <si>
    <t>View 200 TG ARGB Snow</t>
  </si>
  <si>
    <t>View 51TG Snow</t>
  </si>
  <si>
    <t>Поддержка E-ATX / ATX / Micro-ATX / Mini-ITX, Предустановленные вентиляторы  спереди 200 мм ARGB fan x 2шт, сзади 120 мм ARGB fan</t>
  </si>
  <si>
    <t>View 71TG Black</t>
  </si>
  <si>
    <t xml:space="preserve">Поддержка E-ATX / ATX / Micro-ATX / Mini-ITX, предустановленные вентиляторы спереди: 140 мм Riing LED Blue fanсзади: 140 x 140 x 25 mm Riing LED Blue fan                                                         </t>
  </si>
  <si>
    <t>View 71TG RGB</t>
  </si>
  <si>
    <t>Поддержка E-ATX / ATX / Micro-ATX / Mini-ITX, предустановленные вентиляторы спереди: 140 мм Riing RGB fan х 2 шт, Сзади: 140 мм Riing RGB fan</t>
  </si>
  <si>
    <t>View 71TG Snow</t>
  </si>
  <si>
    <t>Поддержка E-ATX / ATX / Micro-ATX / Mini-ITX, предустановленные вентиляторы спереди: 140 мм Riing LED White fan, сзади: 140 мм Riing LED White fan</t>
  </si>
  <si>
    <t>View 380 TG ARGB Black</t>
  </si>
  <si>
    <t>Поддержка ATX / Micro-ATX / Mini-ITX, предустановленые вентиляторы 120mm ARGB Lite White Fan * 4 шт</t>
  </si>
  <si>
    <t>View 380 TG ARGB Snow</t>
  </si>
  <si>
    <t>View 380 TG ARGB Matcha Green</t>
  </si>
  <si>
    <t>View 380 TG ARGB Hydrangea Blue</t>
  </si>
  <si>
    <t>Divider 300 TG</t>
  </si>
  <si>
    <t>Поддержка ATX / Micro-ATX / Mini-ITX, предустановленые вентиляторы сзади: 120 mm Turbo fan x 1 шт</t>
  </si>
  <si>
    <t>Divider 300 TG Snow</t>
  </si>
  <si>
    <t>Divider 300 TG ARGB</t>
  </si>
  <si>
    <t>Поддержка ATX / Micro-ATX / Mini-ITX, предустановленые вентиляторы Спереди: 120 мм ARGB fan x 3 шт, сзади: 120  мм Turbo fan x 1</t>
  </si>
  <si>
    <t>Divider 300 TG Snow ARGB</t>
  </si>
  <si>
    <t>Divider 500 TG ARGB</t>
  </si>
  <si>
    <t xml:space="preserve">Поддержка ATX / Micro-ATX / Mini-ITX, предустановленые вентиляторы Спереди: 120 мм ARGB fan x 3, сзади: 120 мм fan x 1 </t>
  </si>
  <si>
    <t>Divider 500 TG Snow ARGB</t>
  </si>
  <si>
    <t>Divider 500 TG Snow Air</t>
  </si>
  <si>
    <t>Поддержка ATX / Micro-ATX / Mini-ITX, предустановленые вентиляторы Спереди: 120 мм fan x 1, Сзади: 120 mm fan x 1</t>
  </si>
  <si>
    <t>Divider 550 TG Ultra</t>
  </si>
  <si>
    <t>Поддержка ATX / Micro-ATX / Mini-ITX, предустановленые вентиляторы спереди: 120 мм ARGB fan x 3, сзади: 120 мм fan x 1</t>
  </si>
  <si>
    <t>The Tower 600 Hydrangea Blue</t>
  </si>
  <si>
    <t>Поддержка ATX / Micro-ATX / Mini-ITX, предустановленые вентиляторы CT140 Fan * 2</t>
  </si>
  <si>
    <t>Кресла</t>
  </si>
  <si>
    <t>UFT Black &amp; Red</t>
  </si>
  <si>
    <t>Вес до 140 кг, Рост от 160 до 192 см</t>
  </si>
  <si>
    <t>U Comfort Black &amp; Red</t>
  </si>
  <si>
    <t>V Comfort Series Black &amp; Red</t>
  </si>
  <si>
    <t>Вес до 150 кг, Рост от 160 до 192 см</t>
  </si>
  <si>
    <t>Корпус Jonsbo D200 Black</t>
  </si>
  <si>
    <t>7 штук</t>
  </si>
  <si>
    <t>Корпус Jonsbo D40 Silver</t>
  </si>
  <si>
    <t>Корпус Jonsbo D40 White</t>
  </si>
  <si>
    <t>Корпус Jonsbo D400 Black</t>
  </si>
  <si>
    <t>Корпус Jonsbo U5 Black</t>
  </si>
  <si>
    <t>Корпус Jonsbo U5 Silver</t>
  </si>
  <si>
    <t>Jonsbo UMX4W Black</t>
  </si>
  <si>
    <t>Jonsbo UMX4W Silver</t>
  </si>
  <si>
    <t>Jonsbo TK-1 Black</t>
  </si>
  <si>
    <t>Jonsbo TK-1 White</t>
  </si>
  <si>
    <t>Jonsbo TK-2 Black</t>
  </si>
  <si>
    <t>Jonsbo TK-2 White</t>
  </si>
  <si>
    <t>Корпус Jonsbo V12 Black</t>
  </si>
  <si>
    <t>Корпус Jonsbo V12 White</t>
  </si>
  <si>
    <t>Корпус Jonsbo TK-1 Black</t>
  </si>
  <si>
    <t>Корпус Jonsbo TK-1 White</t>
  </si>
  <si>
    <t>Корпус Jonsbo TK-2 Black</t>
  </si>
  <si>
    <t>Корпус Jonsbo TK-2 White</t>
  </si>
  <si>
    <t>Корпус Jonsbo A4 Black</t>
  </si>
  <si>
    <t>Корпус Jonsbo UMX6-G Silver</t>
  </si>
  <si>
    <t>Корпус Jonsbo MOD-3 mini Gray</t>
  </si>
  <si>
    <t>Корпус Jonsbo MOD-3 mini White</t>
  </si>
  <si>
    <t>Корпус Jonsbo MOD-3 Gray</t>
  </si>
  <si>
    <t>Корпус Jonsbo MOD-3 Black</t>
  </si>
  <si>
    <t>Корпус Jonsbo TR03-G Silver</t>
  </si>
  <si>
    <t>Корпус Jonsbo TR03-G Black</t>
  </si>
  <si>
    <t>Корпус Jonsbo MOD-5 Gray</t>
  </si>
  <si>
    <t>Корпус Jonsbo MOD-5 Black</t>
  </si>
  <si>
    <t>Jonsbo CR-1200E Black</t>
  </si>
  <si>
    <t>Jonsbo CR-1200 Black</t>
  </si>
  <si>
    <t>Кулер Jonsbo CR-1000E Black</t>
  </si>
  <si>
    <t>Jonsbo CR-1400 EVO (ARGB)</t>
  </si>
  <si>
    <t>Jobsbo CR-3000E</t>
  </si>
  <si>
    <t>Jonsbo PISA A4 Gray/White</t>
  </si>
  <si>
    <t>Jonsbo PISA A5 ARGB Black</t>
  </si>
  <si>
    <t>Jonsbo HX5230</t>
  </si>
  <si>
    <t>Jonsbo HX6240 White</t>
  </si>
  <si>
    <t>Кулер Jonsbo HX6280 Black</t>
  </si>
  <si>
    <t>Кулер Jonsbo HX6280 White</t>
  </si>
  <si>
    <t>6 штук</t>
  </si>
  <si>
    <t>Liquid cooler</t>
  </si>
  <si>
    <t>Jonsbo TG-240 Black/White</t>
  </si>
  <si>
    <t>Jonsbo TG-360 Black/White</t>
  </si>
  <si>
    <t>Jonsbo TW7-240 ARGB</t>
  </si>
  <si>
    <t>Jonsbo TW7-360 ARGB Black</t>
  </si>
  <si>
    <t>Jonsbo TW7-360 ARGB White</t>
  </si>
  <si>
    <t>Jonsbo Shadow 360 ARGB Ver2</t>
  </si>
  <si>
    <t>Jonsbo Shadow 240 ARGB Plus</t>
  </si>
  <si>
    <t xml:space="preserve">Jonsbo TF 240 ARGB </t>
  </si>
  <si>
    <t xml:space="preserve">Jonsbo TF 360 ARGB </t>
  </si>
  <si>
    <t>Jonsbo Fan SL-120B Black</t>
  </si>
  <si>
    <t>Jonsbo Fan SL-120W White</t>
  </si>
  <si>
    <t>Jonsbo Fan SL-120BR Black</t>
  </si>
  <si>
    <t>Jonsbo Fan SL-120WR White</t>
  </si>
  <si>
    <t>Jonsbo Fan FR-505B Black</t>
  </si>
  <si>
    <t>Jonsbo Fan FR-505W White</t>
  </si>
  <si>
    <t>Jonsbo Fan HF2-120B Black</t>
  </si>
  <si>
    <t>Jonsbo Fan ZB-360B Black</t>
  </si>
  <si>
    <t>Jonsbo Fan ZB-360BR Black</t>
  </si>
  <si>
    <t>Jonsbo Fan ZA-360B Black</t>
  </si>
  <si>
    <t>Jonsbo Fan ZA-360BR Black</t>
  </si>
  <si>
    <t>Jonsbo Fan ZA-420B Black</t>
  </si>
  <si>
    <t>Jonsbo Fan ZA-420BR Black</t>
  </si>
  <si>
    <t>розница</t>
  </si>
  <si>
    <t>Meetion</t>
  </si>
  <si>
    <t xml:space="preserve">Mouse </t>
  </si>
  <si>
    <t xml:space="preserve">Безпровадная мышь MT-R545 2.4Ghz Wireless Mouse 3 buttons black </t>
  </si>
  <si>
    <t>Mouse</t>
  </si>
  <si>
    <t xml:space="preserve">Игравая мышь MT-M930 USB Corded Backlit Mouse </t>
  </si>
  <si>
    <t>Игравая мышь USB Corded Backlit Gaming Mouse MT-M940</t>
  </si>
  <si>
    <t xml:space="preserve">Игравая мышь MT-GM20 Gaming Mouse </t>
  </si>
  <si>
    <t xml:space="preserve">Игравая мышь MT-GM30 Gaming Mouse </t>
  </si>
  <si>
    <t xml:space="preserve">Игравая мышь MT-G3325 Gaming Mouse </t>
  </si>
  <si>
    <t>Keyboard</t>
  </si>
  <si>
    <t xml:space="preserve">Клавиатура MT-K841 USB Corded Keyboard AR  US+RU </t>
  </si>
  <si>
    <t xml:space="preserve">Игравая клавиатура MT-K9320 Gaming Keyboard US+RU </t>
  </si>
  <si>
    <t xml:space="preserve">Игравая клавиатура MT-K9300 Gaming Keyboard US+RU </t>
  </si>
  <si>
    <t xml:space="preserve">Беспроводная клавиатура + мышь MT-C4120 2.4G Wireless Combo black  US+RU </t>
  </si>
  <si>
    <t>Key+mouse</t>
  </si>
  <si>
    <t xml:space="preserve">Игравая клавиатура + мышь MT-C510 Backlit Gaming Keyboard and Mouse Combo  US+RU </t>
  </si>
  <si>
    <t>Kits for PC Gaming 4 in 1 Combo  US+RU MT-C500</t>
  </si>
  <si>
    <t>Механическая клавиатура MT-MK20 Mechanical Keyboard Gray  US+RU</t>
  </si>
  <si>
    <t>Headset</t>
  </si>
  <si>
    <t xml:space="preserve">Игравые наушники MT-HP010 Gaming Headset </t>
  </si>
  <si>
    <t xml:space="preserve">Игравые наушники MT-HP030 USB Gaming Headset Backlit </t>
  </si>
  <si>
    <t>оплата принимается в сумах по курсу ЦБ</t>
  </si>
  <si>
    <t>Блоки питания (PSU)</t>
  </si>
  <si>
    <t>PW500 80+ WHITE
мощность: 500W</t>
  </si>
  <si>
    <t>AC Input: 200-240V~, 50/60Hz, 5A
24(20+4)-pin ATX коннектор для мат. платы (550мм) х 1
8(4+4)-pin (12V) EPS коннекторы для CPU (600мм) х 1
8(6+2) pin PCI-Е - коннекторы для видеокарты х 2
5 pin - SATA х 5
4 pin - коннекторы для периферийных устройств х 2</t>
  </si>
  <si>
    <t>PW600 80+ WHITE
мощность: 600W</t>
  </si>
  <si>
    <t>PW700 80+ WHITE
мощность: 700W</t>
  </si>
  <si>
    <t>PB600 80+ BRONZE
Мощность: 600W</t>
  </si>
  <si>
    <t>AC Input: 200-240V~, 50 — 60Hz, 5A
Коннекторы: 24 (20+4)-pin ATX коннектор для мат. платы(550мм) х 1
8(4+4)-pin (12V) EPS коннекторы для CPU (600мм) х 1
8(6+2) pin PCI-Е - коннекторы для видеокарты х 2
5 pin - SATA х 6
4 pin - коннекторы для периферийных устройств х 2</t>
  </si>
  <si>
    <t>PB700 80+ BRONZE
Мощность: 700W</t>
  </si>
  <si>
    <t>PB850 80+ BRONZE
Мощность: 850W</t>
  </si>
  <si>
    <t>PG1000 80+ GOLD
Мощность: 1000W</t>
  </si>
  <si>
    <t>полностью модульные
100% японские конденсаторы
ATX 3.1 PCIe 5.1</t>
  </si>
  <si>
    <t>PG1200 (B) 80+ GOLD
Мощность: 1200W</t>
  </si>
  <si>
    <t>PG1200 (W) 80+ GOLD
Мощность: 1200W</t>
  </si>
  <si>
    <t>Корпусы с Блоками Питания (Case + PSU)</t>
  </si>
  <si>
    <r>
      <rPr>
        <b/>
        <sz val="10"/>
        <color theme="1"/>
        <rFont val="Calibri"/>
        <family val="2"/>
        <charset val="204"/>
      </rPr>
      <t xml:space="preserve">
ByteFlow
</t>
    </r>
    <r>
      <rPr>
        <b/>
        <sz val="10"/>
        <color rgb="FF0000FF"/>
        <rFont val="Calibri"/>
        <family val="2"/>
        <charset val="204"/>
      </rPr>
      <t xml:space="preserve">+ БП PB700B (B) 80+ BRONZE </t>
    </r>
  </si>
  <si>
    <t xml:space="preserve">Тип материнской платы ATX, Micro-ATX, Mini-ITX
Панель ввода / вывода USB3.0 x 1, HD Audio + USB2.0 x 2
Предустановленые  вентиляторы спереди: 3 x 120мм LED
Сзади: 1 x 120мм LED
Поддержка водяного охлаждения: до 360мм
Дисковая система 3.5'' HDD x 2, 2.5'' SSD x 2
Макс. допустимые размеры: CPU Кулер: 168мм
Видеокарта: 360мм
БП: 160мм
 PWM + ARGB контроллер без пульта ДУ
</t>
  </si>
  <si>
    <r>
      <rPr>
        <b/>
        <sz val="10"/>
        <color theme="1"/>
        <rFont val="Calibri"/>
        <family val="2"/>
        <charset val="204"/>
      </rPr>
      <t xml:space="preserve">
ByteFlow (W)
</t>
    </r>
    <r>
      <rPr>
        <b/>
        <sz val="10"/>
        <color rgb="FF0000FF"/>
        <rFont val="Calibri"/>
        <family val="2"/>
        <charset val="204"/>
      </rPr>
      <t>+ БП PB700B (W) 80+ BRONZE</t>
    </r>
  </si>
  <si>
    <r>
      <rPr>
        <b/>
        <sz val="10"/>
        <color theme="1"/>
        <rFont val="Calibri"/>
        <family val="2"/>
        <charset val="204"/>
      </rPr>
      <t xml:space="preserve">
Vision ATX WJ33
</t>
    </r>
    <r>
      <rPr>
        <b/>
        <sz val="10"/>
        <color rgb="FF0000FF"/>
        <rFont val="Calibri"/>
        <family val="2"/>
        <charset val="204"/>
      </rPr>
      <t>+ БП PG1000 (B) 80+ GOLD</t>
    </r>
  </si>
  <si>
    <t xml:space="preserve">Тип материнской платы ATX, Micro-ATX, Mini-ITX
Панель ввода / вывода USB3.0 x 1, TypeC x 1 
Предустановленые  вентиляторы спереди: 360мм ARGB
Сзади: 1 x 120мм ARGB
Поддержка водяного охлаждения: до 360мм
Дисковая система 3.5'' HDD x 2, 2.5'' SSD x 1
Макс. допустимые размеры: CPU Кулер: 185мм
Видеокарта: 420мм, БП: 200мм
PWM + ARGB контроллер без пульта ДУ
</t>
  </si>
  <si>
    <t>Корпусы (Case)</t>
  </si>
  <si>
    <t>Mistral S4B
(CMSB-L4)</t>
  </si>
  <si>
    <t>Тип материнской платы ATX, Micro-ATX, Mini-ITX
Панель ввода / вывода USB3.0 x 1, HD Audio + USB2.0 x 2
Предустановленые  вентиляторы спереди: 3 x 120мм LED
Сзади: 1 x 120мм LED
Поддержка водяного охлаждения: до 240мм
Дисковая система 3.5'' HDD x 2, 2.5'' SSD x 2
Макс. допустимые размеры: CPU Кулер: 155мм
Видеокарта: 340мм
БП: 160мм</t>
  </si>
  <si>
    <t>Mistral AY3B ARGB
(CMAYB-A3)</t>
  </si>
  <si>
    <t>Тип материнской платы ATX, Micro-ATX, Mini-ITX
Панель ввода / вывода USB3.0 x 1, HD Audio + USB2.0 x 2
Предустановленые  вентиляторы спереди: 2 x 120мм ARGB
Сзади: 1 x 120мм ARGB
Поддержка водяного охлаждения: до 240мм
Дисковая система 3.5'' HDD x 2, 2.5'' SSD x 2
Макс. допустимые размеры: CPU Кулер: 180мм
Видеокарта: 330мм
БП: 160мм
PWM+ARGB</t>
  </si>
  <si>
    <t>Mistral B415                                                                                 (CMAB415-A4)</t>
  </si>
  <si>
    <t>Тип материнской платы ATX, Micro-ATX, Mini-ITX
Панель ввода / вывода USB3.0 x 1, HD Audio + USB2.0 x 1
Предустановленые  вентиляторы спереди: 3 x 120мм ARGB
Сзади: 1 x 120мм ARGB
Поддержка водяного охлаждения: до 240мм
Дисковая система 3.5'' HDD x 1, 2.5'' SSD x 1
Макс. допустимые размеры: CPU Кулер: 165мм
Видеокарта: 285мм
БП: 160мм
PWM+ARGB</t>
  </si>
  <si>
    <t>ByteFlow V2 (B)
(CBFB-A4-V2)</t>
  </si>
  <si>
    <t>Тип материнской платы ATX, Micro-ATX, Mini-ITX
Панель ввода / вывода USB3.0 x 1, HD Audio + USB2.0 x 2
Предустановленые  вентиляторы спереди: 3 x 120мм ARGB
Сзади: 1 x 120мм ARGB
Поддержка водяного охлаждения: до 360мм
Дисковая система 3.5'' HDD x 2, 2.5'' SSD x 2
Макс. допустимые размеры: CPU Кулер: 160мм
Видеокарта: 330мм
БП: 180мм
PWM+ARGB</t>
  </si>
  <si>
    <t>Контролер для RGB</t>
  </si>
  <si>
    <t>PWM + ARGB
 контроллер
без пульта ДУ</t>
  </si>
  <si>
    <t>Контроллер подключается к 5V ARGB и PWM разъемам материнской платы, позволяя управлять всеми подключенными вентиляторами через ПО (ASUS Aura, MSI Mystic Light и т.д.).
Для корпусов:
ByteFlow V2
Mistral B415
Mistral AY3B ARGB</t>
  </si>
  <si>
    <t>Жидкостная система охлаждения</t>
  </si>
  <si>
    <t>ZX03-360 (B)</t>
  </si>
  <si>
    <t>INTEL: 115X/1200/1366/2011/1700/1851
AMD: AM4/AM5
 TDP: 300W</t>
  </si>
  <si>
    <t>ZX03-360 (W)</t>
  </si>
  <si>
    <t>Воздушная система охлаждения</t>
  </si>
  <si>
    <t>ZAC01-R (B)</t>
  </si>
  <si>
    <t>Intel: LGA 1700/1200/1366/115X
AMD: AM5,AM4,AM3
TDP: 220W</t>
  </si>
  <si>
    <t>ZAC01-T (B)</t>
  </si>
  <si>
    <t>INTEL: 115X/1200/1700/1851
AMD: AM4/AM5
TDP: 220W
Дисплей и датчик температуры</t>
  </si>
  <si>
    <t>ZAC01-T (W)</t>
  </si>
  <si>
    <t>ZAC02-R (B)</t>
  </si>
  <si>
    <t>INTEL: 115X/1200/1700/1851
AMD: AM4/AM5
TDP: 260W</t>
  </si>
  <si>
    <t>ZAC02-T (W)</t>
  </si>
  <si>
    <t>INTEL: 115X/1200/1700/1851
AMD: AM4/AM5
 TDP: 260W
Дисплей и датчик температуры</t>
  </si>
  <si>
    <t>Игровые кресла</t>
  </si>
  <si>
    <t>Игравой стол Sharkoon Skiller SGD20 Gaming Desk (черный)</t>
  </si>
  <si>
    <t>Ссылка</t>
  </si>
  <si>
    <t>Кресло - Sharkoon Skiller SGS20 Gaming Seat (black/blue/red)</t>
  </si>
  <si>
    <t>Кресло - Sharkoon Skiller SGS30 (черный/белый/серый)</t>
  </si>
  <si>
    <t>Кресло - MSI MAG CH120 I</t>
  </si>
  <si>
    <t>Кресло DXRacer Full Black Master Chair - Fabric (DMC-I239S-NF-A1)</t>
  </si>
  <si>
    <t>Кресло DXRacer Full Purple Master Chair (DMC-I239S-V-A1)</t>
  </si>
  <si>
    <t>Кресло DXRacer Fabric Gray Craft Pro Chair (GC-CRA-PRO-NG)</t>
  </si>
  <si>
    <t>цена розница</t>
  </si>
  <si>
    <t>Elite V3 500W</t>
  </si>
  <si>
    <t>coolermaster elite v3 500w/600w</t>
  </si>
  <si>
    <t>Elite V3 600W</t>
  </si>
  <si>
    <t>Gold 1250W 80 Plus Gold</t>
  </si>
  <si>
    <t>Устойчивость к высоким температурам, Полная модульная кабельная разводка</t>
  </si>
  <si>
    <t>кейсы с БП</t>
  </si>
  <si>
    <t>CMP510 с БП 650W CP510-KGNN65-S00</t>
  </si>
  <si>
    <t>CP510-KGNN65-S00</t>
  </si>
  <si>
    <t>поддержка ATX / Micro-ATX / Mini-ITXПредустановленные вентиляторы спереди 120 мм * 3 / Блок Питания Bronze 650</t>
  </si>
  <si>
    <t>кейсы c БП и СЖО</t>
  </si>
  <si>
    <t>COSMOS INFINITY 30th anniversary CPT                        MCC-C700M-KHNN-SL1</t>
  </si>
  <si>
    <t>MCC-C700M-KHNN-SL1</t>
  </si>
  <si>
    <r>
      <rPr>
        <b/>
        <sz val="12"/>
        <color theme="10"/>
        <rFont val="Calibri"/>
        <family val="2"/>
        <charset val="204"/>
      </rPr>
      <t xml:space="preserve">поддержка E-ATX / ATX / Micro-ATX / Mini-ITX Предустановленные: </t>
    </r>
    <r>
      <rPr>
        <b/>
        <sz val="12"/>
        <color rgb="FFFF0000"/>
        <rFont val="Calibri"/>
        <family val="2"/>
        <charset val="204"/>
      </rPr>
      <t>вентиляторы спереди 120 мм * 3 30th Anniversary MOBIUS ARGB</t>
    </r>
    <r>
      <rPr>
        <b/>
        <sz val="12"/>
        <color theme="10"/>
        <rFont val="Calibri"/>
        <family val="2"/>
        <charset val="204"/>
      </rPr>
      <t xml:space="preserve"> / </t>
    </r>
    <r>
      <rPr>
        <b/>
        <sz val="12"/>
        <color rgb="FF0C0C0C"/>
        <rFont val="Calibri"/>
        <family val="2"/>
        <charset val="204"/>
      </rPr>
      <t>Блок питания V1300 Platinum</t>
    </r>
    <r>
      <rPr>
        <b/>
        <sz val="12"/>
        <color theme="10"/>
        <rFont val="Calibri"/>
        <family val="2"/>
        <charset val="204"/>
      </rPr>
      <t xml:space="preserve"> / </t>
    </r>
    <r>
      <rPr>
        <b/>
        <sz val="12"/>
        <color rgb="FF1609BD"/>
        <rFont val="Calibri"/>
        <family val="2"/>
        <charset val="204"/>
      </rPr>
      <t xml:space="preserve">СЖО PL360 FLUX AIO </t>
    </r>
    <r>
      <rPr>
        <b/>
        <sz val="12"/>
        <color theme="10"/>
        <rFont val="Calibri"/>
        <family val="2"/>
        <charset val="204"/>
      </rPr>
      <t xml:space="preserve">  </t>
    </r>
  </si>
  <si>
    <t>Cosmos C700M  MCC-C700M-MG5N-S00</t>
  </si>
  <si>
    <t>MCC-C700M-MG5N-S00</t>
  </si>
  <si>
    <t>поддержка E-ATX / ATX / Micro-ATX / Mini-ITX Предустановленные вентиляторы спереди 140 мм * 3 PWM Fan, сзади 140 мм * 1 PWM Fan</t>
  </si>
  <si>
    <t>Cosmos C700P Black Ed. MCC-C700P-KG5N-S00</t>
  </si>
  <si>
    <t>MCC-C700P-KG5N-S00</t>
  </si>
  <si>
    <t xml:space="preserve">поддержка E-ATX / ATX / Micro-ATX / Mini-ITX Предустановленные вентиляторы спереди 140 мм * 2, сзади 140 мм * 1 </t>
  </si>
  <si>
    <t xml:space="preserve">MasterFrame 700 MCF-MF700-KGNN-S00 </t>
  </si>
  <si>
    <t xml:space="preserve">MCF-MF700-KGNN-S00 </t>
  </si>
  <si>
    <t xml:space="preserve">поддержка E-ATX / ATX / Micro-ATX / Mini-ITX </t>
  </si>
  <si>
    <t xml:space="preserve"> H500 Black H500-KGNN-S00</t>
  </si>
  <si>
    <t>H500-KGNN-S00</t>
  </si>
  <si>
    <t xml:space="preserve">поддержка SSI-CEB / E-ATX / ATX / Micro-ATX / Mini-ITX Предустановленные: вентиляторы Спереди 2 x 200mm ARGB Fan, Сзади 1 x 120mm SickleFlow PWM ARGB, над кожухом HDD 1 x 120mm SickleFlow PWM  </t>
  </si>
  <si>
    <t xml:space="preserve"> H500 white H500-WGNN-S00</t>
  </si>
  <si>
    <t>H500-WGNN-S00</t>
  </si>
  <si>
    <t>TD500 V2 black TD500V2-KGNN-S00</t>
  </si>
  <si>
    <t>TD500V2-KGNN-S00</t>
  </si>
  <si>
    <t>поддержка SSI-CEB / E-ATX / ATX / Micro-ATX / Mini-ITX Предустановленные вентиляторы Спереди 3 x 120mm CF120 ARGB</t>
  </si>
  <si>
    <t>TD500 V2 white TD500V2-WGNN-S00</t>
  </si>
  <si>
    <t>TD500V2-WGNN-S00</t>
  </si>
  <si>
    <t xml:space="preserve">Q500 black Q500-KGNN-S00 </t>
  </si>
  <si>
    <t xml:space="preserve">Q500-KGNN-S00 </t>
  </si>
  <si>
    <t>поддержка  E-ATX / ATX / Micro-ATX / Mini-ITX, Предустановленные: вентиляторы Сзади 1 x 120mm                                                     
в комплекте Q500-DGNN-S00 панели: Mint, Pink, Cream acaron Edition</t>
  </si>
  <si>
    <t>Q500 Macaron Edition Q500-DGNN-S00</t>
  </si>
  <si>
    <t>Q500-DGNN-S00</t>
  </si>
  <si>
    <t xml:space="preserve">CP520 CP520-KGNN-S00 </t>
  </si>
  <si>
    <t xml:space="preserve">CP520-KGNN-S00 </t>
  </si>
  <si>
    <t>поддержка ATX / Micro-ATX / Mini-ITX, Предустановленные: вентиляторы Сзади 3 x CF120 ARGB</t>
  </si>
  <si>
    <t>периферия для PC</t>
  </si>
  <si>
    <t>Devastator 3 Plus SGB-3001-KKMF1-RU</t>
  </si>
  <si>
    <t>SGB-3001-KKMF1-RU</t>
  </si>
  <si>
    <t>Проводная мышь, Кнопок 6 шт, Оптическое разрешение 400 – 3 200 / Проводная клавиатура, Подсветка клавиш, Подключения USB-A</t>
  </si>
  <si>
    <t>СЖО</t>
  </si>
  <si>
    <t>MLW-D24M-A18PC-RW ML240L V2 RGB White Ed.</t>
  </si>
  <si>
    <t>MLW-D24M-A18PC-RW</t>
  </si>
  <si>
    <t>LGA1700, LGA1200, LGA2066, LGA2011-v3, LGA2011, LGA1151, LGA1150, LGA1155, LGA1156, AM4, AM3+, AM3, AM2+, AM2, FM2+, FM2, FM1</t>
  </si>
  <si>
    <t xml:space="preserve"> </t>
  </si>
  <si>
    <t>REDRAGON</t>
  </si>
  <si>
    <t>Клавиатура проводная Redragon CENTAUR K506-1</t>
  </si>
  <si>
    <t>Клавиатура проводная Redragon KARURA-2 K502RGB</t>
  </si>
  <si>
    <t>Клавиатура проводная Redragon ADITYA K513</t>
  </si>
  <si>
    <t>Клавиатура проводная Redragon SHIVA 98 K515-RGB (98%)</t>
  </si>
  <si>
    <t>Клавиатура проводная Redragon SHIVA K512RGB (белого цвета)</t>
  </si>
  <si>
    <t>Комбо клавиатура+мышь+коврик Redragon S107-2</t>
  </si>
  <si>
    <t>Беспроводное комбо клавиатура+мышь+коврик S107-KS</t>
  </si>
  <si>
    <t>Механическая клавиатура Redragon FIZZ RGB K617 (60%)</t>
  </si>
  <si>
    <t>Механическая клавиатура KUMARA K552LGY-RGB</t>
  </si>
  <si>
    <t>Механическая клавиатура Redragon MITRA K551RGB (blue switch)</t>
  </si>
  <si>
    <t>Механическая клавиатура KITAVA K636CLO-RGB (red switch)</t>
  </si>
  <si>
    <t>Механическая клавиатура Redragon SURARA K582 RGB (red switch)</t>
  </si>
  <si>
    <t>Мембранная беспроводная клавиатура SHIVA 87 Pro K516RGB-PRO</t>
  </si>
  <si>
    <t>Механическая беспроводная клавиатура Redragon Anubis K539-RGB (slim/brown switch)</t>
  </si>
  <si>
    <t>Механическая беспроводная клавиатура Redragon CYCLONE PRO K716BLY-RGB-PRO</t>
  </si>
  <si>
    <t>Механическая беспроводная клавиатура Redragon UCAL PRO K673SP-RGB-PRO  (75% / Gasket) grey switch</t>
  </si>
  <si>
    <t>Механическая беспроводная клавиатура Redragon UCAL PRO K673WB-RGB-PRO (75% / Gasket) red switch</t>
  </si>
  <si>
    <t>Магнитная беспроводная клавиатура Redragon EISA MAGNETIC K686BG-RGB-M</t>
  </si>
  <si>
    <t>Механическая беспроводная клавиатура Redragon BEHEMOTH K724GBG-RGB-PRO (75% / Gasket / eng)</t>
  </si>
  <si>
    <t xml:space="preserve">Механическая беспроводная клавиатура Redragon Cyrus PRO K681AGC-RGB-PRO </t>
  </si>
  <si>
    <t>Механическая беспроводная клавиатура Redragon EISA K686SP-RGB-PRO</t>
  </si>
  <si>
    <t>Механическая беспроводная клавиатура Redragon EISA ANIME K686AK-RGB-PRO</t>
  </si>
  <si>
    <t xml:space="preserve">Механическая беспроводная клавиатура Redragon FLEKACT PRO ART K708GF-RGB-PRO </t>
  </si>
  <si>
    <t>Механическая беспроводная клавиатура Redragon WYVERN LCD PRO K761WB-RGB-PRO</t>
  </si>
  <si>
    <t xml:space="preserve">Механическая беспроводная клавиатура Redragon ARTEMIS PRO K719AK-RGB-PRO </t>
  </si>
  <si>
    <t>Мышь проводная Redragon BLUDHOUND M617-LITE</t>
  </si>
  <si>
    <t>Мышь проводная Redragon DEICIDE M816-RGB</t>
  </si>
  <si>
    <t>Мышь проводная Redragon Ranger BASIC M910-K</t>
  </si>
  <si>
    <t>Мышь проводная Redragon GRIFFIN M607</t>
  </si>
  <si>
    <t>Мышь проводная Redragon BOMBER M722</t>
  </si>
  <si>
    <t xml:space="preserve">Мышь проводная Redragon PREDATOR M612-RGB </t>
  </si>
  <si>
    <t>Мышь проводная Redragon INVADER M719</t>
  </si>
  <si>
    <t>Мышь проводная Redragon Plank M812-RGB</t>
  </si>
  <si>
    <t>Мышь проводная Redragon COBRA Christmas (белого цвета)</t>
  </si>
  <si>
    <t>Мышь беспроводная Redragon FYZU M995-LIT</t>
  </si>
  <si>
    <t>Мышь беспроводная Redragon ASTROLABE M725-LITE</t>
  </si>
  <si>
    <t>Мышь беспроводная Redragon KLYAMOOR M817AK-PRO-STD</t>
  </si>
  <si>
    <t>Мышь беспроводная Redragon HANA M694-RGB</t>
  </si>
  <si>
    <t>Мышь беспроводная Redragon EBONY (STANDARD)M998-STD</t>
  </si>
  <si>
    <t>Мышь беспроводная Redragon DEICIDE PRO M816RGB-LIT PRO</t>
  </si>
  <si>
    <t>Мышь беспроводная Redragon Ranger light M910-KS</t>
  </si>
  <si>
    <t>Мышь беспроводная Redragon Trident Pro M693</t>
  </si>
  <si>
    <t>Мышь беспроводная Redragon K1NG M916-LIT-1K Black</t>
  </si>
  <si>
    <t>Мышь беспроводная Redragon K1NG M916-LIT-1K White</t>
  </si>
  <si>
    <t>Мышь беспроводная Redragon ST4R PPRO M917GB-PRO</t>
  </si>
  <si>
    <t>Мышь беспроводная Redragon Impact Elite M913</t>
  </si>
  <si>
    <t>Мышь беспроводная Redragon K1NG PRO M916AK-PRO</t>
  </si>
  <si>
    <t xml:space="preserve">Мышь беспроводная Redragon K1NG MAX M918AKB-PRO </t>
  </si>
  <si>
    <t>Мышь беспроводная Redragon KING ULTRA M916OB-ULT</t>
  </si>
  <si>
    <t>Мышь беспроводная Redragon EBONY (ULTRA) M998-ULT</t>
  </si>
  <si>
    <t xml:space="preserve">Наушники Redragon LAGOPASMUTUS-2 H201-1 </t>
  </si>
  <si>
    <t xml:space="preserve">Наушники Redragon HYLAS H260RGB </t>
  </si>
  <si>
    <t>Наушники проводные Redragon Medea H280</t>
  </si>
  <si>
    <t>Наушники проводные Redragon ZEUS H510-RGB</t>
  </si>
  <si>
    <t>Наушники проводные Redragon Thoridal H730</t>
  </si>
  <si>
    <t>Наушники беспроводные Redragon LUCE H888 (Black)</t>
  </si>
  <si>
    <t>Наушники беспроводные Redragon LUCE H888W (White)</t>
  </si>
  <si>
    <t>Наушники беспроводные Redragon Ire H848 (Black)</t>
  </si>
  <si>
    <t>Наушники беспроводные Redragon Ire H848GW (White)</t>
  </si>
  <si>
    <t>Наушники беспроводные Redragon VibeCore H610</t>
  </si>
  <si>
    <t>Наушники беспроводные Redragon ZEUS PRO H510-PRO</t>
  </si>
  <si>
    <t>Наушники беспроводные Redragon VibeCore H620</t>
  </si>
  <si>
    <t>Подставка для наушников+USB хаб Redragon SCEPTER PRO HA300</t>
  </si>
  <si>
    <t>Коврик для мыши Redragon PLUTO P026RGB (330Х260Х3)</t>
  </si>
  <si>
    <t>Коврик для мыши Redragon AKI S P046 S (330Х260Х3)</t>
  </si>
  <si>
    <t>Коврик для мыши Redragon AK2 S P047 S (330Х260Х3)</t>
  </si>
  <si>
    <t>Коврик для мыши Redragon SUZAKU P003 (800Х300Х3)</t>
  </si>
  <si>
    <t>Коврик для мыши Redragon Flick L P031 (450Х400Х4)</t>
  </si>
  <si>
    <t>Коврик для мыши Redragon Flick XL P032 (900Х400Х4)</t>
  </si>
  <si>
    <t>Коврик для мыши Redragon AKI L P046 L (900Х400Х3)</t>
  </si>
  <si>
    <t>Коврик для мыши Redragon AK2 L P047 L (900Х400Х3)</t>
  </si>
  <si>
    <t>Коврик для мыши Redragon FLICK 3XL P040</t>
  </si>
  <si>
    <t>Акустическая система Redragon KAGE GS514</t>
  </si>
  <si>
    <t>Акустическая система Redragon GLYPH GS517</t>
  </si>
  <si>
    <t>Акустическая система Redragon YORICK GS511 (BT)</t>
  </si>
  <si>
    <t>Акустическая система Redragon DORA GS512 (BT)</t>
  </si>
  <si>
    <t>Акустическая система Redragon AHRI GS598 (6W/BT)</t>
  </si>
  <si>
    <t>Акустическая система Redragon Surge GS817 (30W/BT)</t>
  </si>
  <si>
    <t>БЛОКИ ПИТАНИЯ</t>
  </si>
  <si>
    <t>БП Redragon GC-PS001 500W</t>
  </si>
  <si>
    <t>БП Redragon GC-PS002 600W</t>
  </si>
  <si>
    <t>БП Redragon GC-PS005 700W полностью модульный</t>
  </si>
  <si>
    <t>БП Redragon GC-PS011 800W полностью модульный</t>
  </si>
  <si>
    <t>ПОДСТАВКА ПОД НОУТБУК</t>
  </si>
  <si>
    <t>Подставка под ноутбук Redragon Ingrid GCP511</t>
  </si>
  <si>
    <t>КУЛЕРА ДЛЯ КОРПУСА И ПРОЦЕССОРА</t>
  </si>
  <si>
    <t>СЕТ 3 ARGB-кулера+хаб+пульт Redragon GC-F009</t>
  </si>
  <si>
    <t>Кулер для процессора Redragon CC-1013 (With Temperature Display 12cm RGB Fan)</t>
  </si>
  <si>
    <t xml:space="preserve">Система водяного охлаждения для процессора 
Redragon EFFECT X CCW-3000 </t>
  </si>
  <si>
    <t>СТРИМОВСКИЕ МИКРОФОНЫ</t>
  </si>
  <si>
    <t>Микрофон Redragon PULSAR GM303</t>
  </si>
  <si>
    <t xml:space="preserve">Микрофон Redragon BLAZAR GM300 </t>
  </si>
  <si>
    <t>Микрофон Redragon Stellaris GM306</t>
  </si>
  <si>
    <t>Микрофон SOLARA GM307</t>
  </si>
  <si>
    <t>КОРПУСА</t>
  </si>
  <si>
    <t>ПК Кейс Redragon Ventra GC-627 with 1 ARGB fan</t>
  </si>
  <si>
    <t>ПК Кейс Redragon Ventra GC-627-3F with 3 ARGB fan</t>
  </si>
  <si>
    <t xml:space="preserve">ПК Кейс Redragon Strafe ITX EB211W </t>
  </si>
  <si>
    <t>Розница</t>
  </si>
  <si>
    <t>Sharkoon</t>
  </si>
  <si>
    <t>Игровая мышь</t>
  </si>
  <si>
    <t>Mouse Sharkoon Force II Black/White/Grey</t>
  </si>
  <si>
    <t>Mouse Sharkoon Light 180 black</t>
  </si>
  <si>
    <t xml:space="preserve">Mouse Sharkoon Light 200 black </t>
  </si>
  <si>
    <t>Клавиатура</t>
  </si>
  <si>
    <t>Keyboard Sharkoon-Skiller SGK4 (RU-Layout)</t>
  </si>
  <si>
    <t>Headset  Sharkoon Skiller SGH1</t>
  </si>
  <si>
    <t xml:space="preserve">Headset Sharkoon Rush ER3 </t>
  </si>
  <si>
    <t>Headset Sharkoon B1</t>
  </si>
  <si>
    <t xml:space="preserve">Case Sharkoon SK3 RGB </t>
  </si>
  <si>
    <t>Case Sharkoon Pure Steel Black</t>
  </si>
  <si>
    <t>Case Sharkoon TG4M RGB ATX</t>
  </si>
  <si>
    <t>Case Sharkoon TK5M RGB ATX</t>
  </si>
  <si>
    <t>Case Sharkoon Pure Steel Black RGB</t>
  </si>
  <si>
    <t>Case Sharkoon REV200</t>
  </si>
  <si>
    <t>Case Sharkoon REV220</t>
  </si>
  <si>
    <t>Case Sharkoon TG5 PRO RGB</t>
  </si>
  <si>
    <t>Кресло</t>
  </si>
  <si>
    <t>Sharkoon SGS20 (Black/Grey)</t>
  </si>
  <si>
    <t>Sharkoon SGS20 (Black/Blue)</t>
  </si>
  <si>
    <t>Sharkoon SGS20 (Black/Red)</t>
  </si>
  <si>
    <t xml:space="preserve">Sharkoon Elbrus 1 Gaming Seat </t>
  </si>
  <si>
    <t xml:space="preserve">Sharkoon Elbrus 2 Gaming Seat </t>
  </si>
  <si>
    <t>Акустические системы 2.0</t>
  </si>
  <si>
    <t>R40BT (USB)</t>
  </si>
  <si>
    <t>Мощность 60 Вт, Частотный диапазон 40 - 20 000 Гц</t>
  </si>
  <si>
    <t>R330BT (USB)</t>
  </si>
  <si>
    <t>мощность 20 Вт, Частотный диапазон 20 - 20 000 Гц</t>
  </si>
  <si>
    <t>T-35X (FM)</t>
  </si>
  <si>
    <t>Мощность 80 Вт, Частотный диапазон 20 - 20 000 Гц</t>
  </si>
  <si>
    <t>T-60X Pro (USB)</t>
  </si>
  <si>
    <t>Мощность 120 Вт, Частотный диапазон 20 -20 000 Гц</t>
  </si>
  <si>
    <t>T-68X (USB)</t>
  </si>
  <si>
    <t>Мощность 140Вт, Частотный диапазон 20 - 20 000 Гц</t>
  </si>
  <si>
    <t>Акустические системы 2.1</t>
  </si>
  <si>
    <t>A111X</t>
  </si>
  <si>
    <t>мощность 35 Вт, Частотный диапазон Сабвуфер 45-135 Гц Сателлиты 340-20000 Гц</t>
  </si>
  <si>
    <t>A140X (USB)</t>
  </si>
  <si>
    <t>Мощность 37 Вт, Частотный диапазон: сабвуфер 45 - 105 Гц, сателлиты 160 - 20 000 Гц</t>
  </si>
  <si>
    <t>A180X (USB)</t>
  </si>
  <si>
    <t>Мощность 42 Вт, Частотный диапазон: сабвуфер 35 - 117 Гц, сателлиты 170 - 20 000 Гц</t>
  </si>
  <si>
    <t>F190X (USB)</t>
  </si>
  <si>
    <t>Мощность 46 Вт, Частотный диапазон: сабвуфер 35 - 140 Гц, сателлиты 200 - 20 000 Гц</t>
  </si>
  <si>
    <t>F380X (USB)</t>
  </si>
  <si>
    <t>Мощность 54 Вт, Частотный диапазон: сабвуфер 30 - 90 Гц, сателлиты 110 - 20 000 Гц</t>
  </si>
  <si>
    <t>F590X (FM)</t>
  </si>
  <si>
    <t>Мощность 60 Вт</t>
  </si>
  <si>
    <t>Акустические системы 5.1</t>
  </si>
  <si>
    <t>F3800X (FM)</t>
  </si>
  <si>
    <t>Мощность 80 Вт, Частотный диапазон: сабвуфер 40 - 125 Гц, Сателлиты 120 - 20 000 Гц</t>
  </si>
  <si>
    <t>Саундбары</t>
  </si>
  <si>
    <t>HT-200 (USB)</t>
  </si>
  <si>
    <t>Мощность 30 Вт</t>
  </si>
  <si>
    <t>HT-350 (USB)</t>
  </si>
  <si>
    <t>Мощность 110 Вт, Частотный диапазон: 20 - 20 000 Гц</t>
  </si>
  <si>
    <t>HT-500DA (USB)</t>
  </si>
  <si>
    <t>Мощность 190 Вт, Частотный диапазон: сабвуфер 30 - 160 Гц, саундбар 100 - 20 000 Гц, колонки 150 - 20 000 Гц</t>
  </si>
  <si>
    <t>Портативная акустика</t>
  </si>
  <si>
    <t>PA200 (USB)</t>
  </si>
  <si>
    <t>PA300 (FM)</t>
  </si>
  <si>
    <t>Мощность 100 Вт, Частотный диапазон 40 - 20 000 Гц</t>
  </si>
  <si>
    <t>Компактные акустические системы</t>
  </si>
  <si>
    <t>D12 brown</t>
  </si>
  <si>
    <t>Мощность: 70Вт, частотный диапазон 54 Гц-20 кГц</t>
  </si>
  <si>
    <t>D32 black walnut</t>
  </si>
  <si>
    <t>Мощность 30 Вт, Частотный диапазон: 52Гц - 40кГц</t>
  </si>
  <si>
    <t>Акустические системы с зарядкой</t>
  </si>
  <si>
    <t>QD35</t>
  </si>
  <si>
    <t>Мощность 40 Вт, Частотный диапазон 60 Гц - 40 кГц</t>
  </si>
  <si>
    <t>QR65 black</t>
  </si>
  <si>
    <t>Мощность 70 Вт, Частотный диапазон 55 Гц – 40 кГц</t>
  </si>
  <si>
    <t>M1250</t>
  </si>
  <si>
    <t>Мощность: 1,2 Вт, Частотный диапазон: 150 Гц - 20 кГц</t>
  </si>
  <si>
    <t>R12U</t>
  </si>
  <si>
    <t>Мощность: 4 Вт, Частотный диапазон: 180 Гц - 20 кГц,</t>
  </si>
  <si>
    <t>R19BT</t>
  </si>
  <si>
    <t>Мощность: 4 Вт, Частотный диапазон: 150 Гц ~ 20 кГц</t>
  </si>
  <si>
    <t>QR30 white</t>
  </si>
  <si>
    <t xml:space="preserve">мощность: 30 Вт, </t>
  </si>
  <si>
    <t>M60 black</t>
  </si>
  <si>
    <t>Мощность 66 Вт, Частотный диапазон 58 Гц - 40 кГц</t>
  </si>
  <si>
    <t>M60 classic oak</t>
  </si>
  <si>
    <t>M60 white</t>
  </si>
  <si>
    <t>MR3 black</t>
  </si>
  <si>
    <t>Мощность 36 Вт, Частотный диапазон 52Гц - 40 кГц</t>
  </si>
  <si>
    <t>MR3 white</t>
  </si>
  <si>
    <t>MR5 black</t>
  </si>
  <si>
    <t>Мощность: 110W, Частотный диапазон: 46 Гц - 40 кГц</t>
  </si>
  <si>
    <t>R990BT</t>
  </si>
  <si>
    <t>Мощность 24 Вт, Частотный диапазон 60 Гц - 18 кГц</t>
  </si>
  <si>
    <t>R1010BT</t>
  </si>
  <si>
    <t>Мощность 24 Вт, Частотный диапазон 70 Гц - 20 кГц</t>
  </si>
  <si>
    <t>R1080BT</t>
  </si>
  <si>
    <t>Мощность колонок 24 Вт, Диапазон воспроизводимых частот 67-20000 Гц,</t>
  </si>
  <si>
    <t>R1700BTs brown</t>
  </si>
  <si>
    <t>Мощность: 66 Вт, Частотный диапазон: 52 Гц - 20 кГц</t>
  </si>
  <si>
    <t>R1280DB brown</t>
  </si>
  <si>
    <t>Мощность 42 Вт, Частотный диапазон 55 Гц-20 кГц</t>
  </si>
  <si>
    <t>R1280DBs black</t>
  </si>
  <si>
    <t>Мощность: 42 Вт, BLUETOOTH V5.0, Частотный диапазон 55 Гц - 20 кГц</t>
  </si>
  <si>
    <t>R1380DB black</t>
  </si>
  <si>
    <t>R1580MB</t>
  </si>
  <si>
    <t xml:space="preserve">Мощность 42 Вт, Частотный диапазон 55 Гц - 20 кГц </t>
  </si>
  <si>
    <t>R1855DB</t>
  </si>
  <si>
    <t>Мощность 70 Вт, Частотный диапазон 60 Гц - 20 кГц</t>
  </si>
  <si>
    <t>Акустические системы 2.0 + Стойки</t>
  </si>
  <si>
    <t>E25HD + SS01C</t>
  </si>
  <si>
    <t>Мощность 74 Вт, Частотный диапазон 30 Гц - 20 кГц</t>
  </si>
  <si>
    <t>R2750DB</t>
  </si>
  <si>
    <t>Мощность 136 Вт, Частотный диапазон 45 Гц - 20 кГц</t>
  </si>
  <si>
    <t>R2850DB</t>
  </si>
  <si>
    <t>Мощность 150Вт, Частотный диапазон 42 Гц - 20 кГц</t>
  </si>
  <si>
    <t>S880DB</t>
  </si>
  <si>
    <t>Мощность 88 Вт, Частотный диапазон 50 Гц - 40 кГц</t>
  </si>
  <si>
    <t>S1000W brown</t>
  </si>
  <si>
    <t>Мощность 120 Вт, Частотный диапазон 45 Гц - 40 кГц</t>
  </si>
  <si>
    <t>S2000MKIII brown</t>
  </si>
  <si>
    <t>Мощность 130 Вт, Частотный диапазон 45 Гц - 20 кГц</t>
  </si>
  <si>
    <t>S3000MKII brown</t>
  </si>
  <si>
    <t>Мощность 256 Вт, Частотный диапазон 38 Гц – 40 кГц</t>
  </si>
  <si>
    <t>M206BT</t>
  </si>
  <si>
    <t>Мощность 34 Вт, Частотный диапазон 63 Гц - 20 кГц</t>
  </si>
  <si>
    <t>S351DB</t>
  </si>
  <si>
    <t>Мощность 150 Вт, Частотный диапазон 40 Гц - 20 кГц</t>
  </si>
  <si>
    <t>Акустические системы с внешим усилителем</t>
  </si>
  <si>
    <t>CX7</t>
  </si>
  <si>
    <t>Мощность 69 Вт, Частотный диапазон 45 Гц - 19 кГц</t>
  </si>
  <si>
    <t>для геймеров</t>
  </si>
  <si>
    <t>G1500</t>
  </si>
  <si>
    <t>мощность: 5 Вт, Частотный диапазон: 93 Гц - 20 кГц</t>
  </si>
  <si>
    <t>MG300</t>
  </si>
  <si>
    <t>мощность: 5 Вт, Частотный диапазон: 80 Гц - 20 кГц, звуковая карта USB-A, микрофон</t>
  </si>
  <si>
    <t>G1500 BAR white</t>
  </si>
  <si>
    <t xml:space="preserve">мощность: 5 Вт, Частотный диапазон: 120 Гц - 20 кГц, микрофон </t>
  </si>
  <si>
    <t>QS30</t>
  </si>
  <si>
    <t>мощность: 5Вт, Частотная диапзон: 90 Гц-18 кГц, микрофон</t>
  </si>
  <si>
    <t>G1500 MAX</t>
  </si>
  <si>
    <t>мощность: 30W, Частотный диапазон: 93 Гц - 20 кГц</t>
  </si>
  <si>
    <t>G2000 PRO</t>
  </si>
  <si>
    <t>мощность: 32 Вт, Частотный диапазон: 75 Гц - 20 кГц</t>
  </si>
  <si>
    <t>Subwoofer</t>
  </si>
  <si>
    <t>T5</t>
  </si>
  <si>
    <t>Мощность 70 Вт; Частотный диапазон 38 Гц-200 Гц;</t>
  </si>
  <si>
    <t>T5s</t>
  </si>
  <si>
    <t>МОЩНОСТЬ: 70 Вт; ЧАСТОТНЫЙ ДИАПАЗОН: 38 Гц-200 Гц</t>
  </si>
  <si>
    <t>портативная акустика</t>
  </si>
  <si>
    <t>MP85 grey</t>
  </si>
  <si>
    <t>Мощность 2,2 Вт; Частотная характеристика 230 Гц – 17 кГц, Bluetooth V5.3</t>
  </si>
  <si>
    <t>A3-8S</t>
  </si>
  <si>
    <t>Мощность 11 Вт, беспроводной микрофон</t>
  </si>
  <si>
    <t>Наушники - коммуникаторы (проводные)</t>
  </si>
  <si>
    <t>K550 Single Plug</t>
  </si>
  <si>
    <t>Вход 2 x mini jack 3.5 mm + переходник, Частотный диапазон 20 Гц - 20 кГц</t>
  </si>
  <si>
    <t>K800 USB</t>
  </si>
  <si>
    <t>Вход USB-A, Длина кабеля 2 м, Частотный диапазон 20 Гц - 20 кГц</t>
  </si>
  <si>
    <t>CC100</t>
  </si>
  <si>
    <t>Частотный диапазон 20 Гц - 20 кГц, шумоподавление микрофона, Разъем USB Type-C / USB Type-A</t>
  </si>
  <si>
    <t>Наушники для геймеров (проводные)</t>
  </si>
  <si>
    <t>G2 II black</t>
  </si>
  <si>
    <t>Подсветка: RGB, Диаметр: 40 мм, Частотный диапазон: 20 Гц - 20 000 Гц</t>
  </si>
  <si>
    <t>G2 II white</t>
  </si>
  <si>
    <t>G50</t>
  </si>
  <si>
    <t xml:space="preserve">Подсветка: RGB, звук 7.1, Диаметр: 50 мм, Частотный диапазон: 20 Гц - 20 000 Гц </t>
  </si>
  <si>
    <t>Наушники для геймеров (беспроводные)</t>
  </si>
  <si>
    <t>G2BT Black</t>
  </si>
  <si>
    <t>RGB, Частотный диапазон 20 Гц - 20 кГц, Bluetooth V5.2 Зарядка USB-C</t>
  </si>
  <si>
    <t>G2BT  Gray</t>
  </si>
  <si>
    <t>G2BT White</t>
  </si>
  <si>
    <t>G2 S</t>
  </si>
  <si>
    <t>Виртуальный объемный звук 7.1, Частотный диапазон: 20 Гц - 20 000 Гц, передача аудио: Bluetooth V5.4 / 2,4 ГГц / USB</t>
  </si>
  <si>
    <t>Наушники (беспроводные)</t>
  </si>
  <si>
    <t>X3 Lite gray</t>
  </si>
  <si>
    <t>Bluetooth V5.3, Зарядка USB-C, Частотный диапазон 20 Гц - 20 кГц, IP55</t>
  </si>
  <si>
    <t>NeoDots</t>
  </si>
  <si>
    <t>Hi-Res Audio Wireless, Зарядка USB-C, Частотный диапазон 20 Гц - 40 кГц, IP55, Bluetooth V5.4</t>
  </si>
  <si>
    <t>X5 Pro black</t>
  </si>
  <si>
    <t>система активного шумоподавления, Bluetooth: V6.0,  Частотный диапазон: 20 Гц - 20 кГц</t>
  </si>
  <si>
    <t>X5 Pro ivory</t>
  </si>
  <si>
    <t>NeoBuds Plus starlight</t>
  </si>
  <si>
    <t>Hi-Res Audio Wireless, Bluetooth V5.4, Зарядка USB-C, Частотный диапазон 20 Гц - 40 кГц, IP54</t>
  </si>
  <si>
    <t>NeoBuds Pro 3</t>
  </si>
  <si>
    <t>Активное шумоподавление, Bluetooth V5.4, аудиокодеки: LDAC, LHDC 5.0, SBC, Частотная характеристика: 20 Гц - 40 кГц</t>
  </si>
  <si>
    <t>Полноразмерные наушники (беспроводные)</t>
  </si>
  <si>
    <t>W800BT Plus Red</t>
  </si>
  <si>
    <t>Частотный диапазон 20 Гц - 20 кГц, Зарядка USB-C, Bluetooth V5.1</t>
  </si>
  <si>
    <t>WH700NB Pro gray</t>
  </si>
  <si>
    <t>Bluetooth: V5.4, аудиокодеки: ААС, SBC, Частотный диапазон: 20 Гц - 20 кГц (режим Bluetooth), 20 Гц - 40 кГц (проводной режим)</t>
  </si>
  <si>
    <t>WH700NB Pro ivory</t>
  </si>
  <si>
    <t>W800BT SE black</t>
  </si>
  <si>
    <t>Bluetooth v5.4, Зарядка USB-С, Частотный диапазон 20 Гц - 20 кГц</t>
  </si>
  <si>
    <t>W800BT SE white</t>
  </si>
  <si>
    <t>W800BT Pro black</t>
  </si>
  <si>
    <t>Частотная характеристика: 20 Гц - 20 кГц (Bluetooth), 20 Гц - 40 кГц (провод), Bluetooth: V5.4, Аудиокодеки: ААС, SBC</t>
  </si>
  <si>
    <t>W830NB black</t>
  </si>
  <si>
    <t>Активное шумоподавление, Частотная диапазон: 20 Гц - 40 кГц, Bluetooth: V5.4, Аудиокодеки: LDAC, AAC, SBC</t>
  </si>
  <si>
    <t>W830NB sand white</t>
  </si>
  <si>
    <t>Atom Max</t>
  </si>
  <si>
    <t>Частотная диапазон: 20 Гц - 40 кГц, Bluetooth: V5.4, Аудиокодеки: SBC</t>
  </si>
  <si>
    <t>ES850NB</t>
  </si>
  <si>
    <t xml:space="preserve">Активное шумоподавление, Частотный диапазон: 20 Гц - 40 кГц, провод и Bluetooth: V5.4, Аудиокодеки: LDAC, AAC, SBC, </t>
  </si>
  <si>
    <t>WH950NB Black</t>
  </si>
  <si>
    <t>Bluetooth V5.3, Аудиокодеки LDAC, SBC, Частотный диапазон 20Hz - 40kHz</t>
  </si>
  <si>
    <t>WH950NB Ivory</t>
  </si>
  <si>
    <t xml:space="preserve">Stax Spirit S3 </t>
  </si>
  <si>
    <t>Hi-Res Audio и Hi-Res Audio Wireless, Bluetooth V5.2, Зарядка USB-C, Частотный диапазон 20 Гц - 40 кГц, EDIFIER ConneX app</t>
  </si>
  <si>
    <t>Edifier SS03</t>
  </si>
  <si>
    <t>Стойки SS03 под акустическую систему S3000 Pro</t>
  </si>
  <si>
    <t>проводные наушники - коммуникаторы</t>
  </si>
  <si>
    <t>CS100i</t>
  </si>
  <si>
    <t>частотный диапазон 30-16,000 Hz (наушники) частотный диапазон 100-16,000 Hz (микроф.) длина кабеля 2,4 м</t>
  </si>
  <si>
    <t>CS195 USB</t>
  </si>
  <si>
    <t>частотный диапазон 20-22,000 Hz, длина кабеля 2,4 м</t>
  </si>
  <si>
    <t>CS200 USB</t>
  </si>
  <si>
    <t>CS295 USB</t>
  </si>
  <si>
    <t>PORTA PRO headset</t>
  </si>
  <si>
    <t>частотный диапазон 15-25,000 Hz, длина кабеля 1,2м, подключение 3.5mm</t>
  </si>
  <si>
    <t>PORTA PRO MIC/REMOTE</t>
  </si>
  <si>
    <t>проводные игровые наушники</t>
  </si>
  <si>
    <t>GMR540A ISO</t>
  </si>
  <si>
    <t>частотный диапазон 15–22000 Гц, аудиокабель с микрофоном длина 1,2 м, 3,5 мм TRRS на 3,5 мм TRS
аудиокабель с микрофоном длина 2,4 м, 3,5 мм TRS на USB тип A</t>
  </si>
  <si>
    <t>GMR540 ISO USB</t>
  </si>
  <si>
    <t>GMR545 AIR ISO USB</t>
  </si>
  <si>
    <t>частотный диапазон 15–22000 Гц, аудиокабель с микрофоном длина 1,2 м 3,5 мм TRRS на 3,5 мм TRS
аудиокабель с микрофоном длина 2,4 м 3,5 мм TRS на USB тип A</t>
  </si>
  <si>
    <t>бютжетные музыкальные наушники</t>
  </si>
  <si>
    <t>KPH8K</t>
  </si>
  <si>
    <t>частотный диапазон 80 – 18 000 Гц, импеданс 32 Ом, аудиокабель длина 1,2 м 3.5мм</t>
  </si>
  <si>
    <t>KPH8V</t>
  </si>
  <si>
    <t>KPH8W</t>
  </si>
  <si>
    <t>KPH30iCL</t>
  </si>
  <si>
    <t>частотный диапазон 15 – 25 000 Гц, импеданс 60 Ом, аудиокабель с микрофоном длина 1,2 м 3,5 мм</t>
  </si>
  <si>
    <t>KPH30iRB</t>
  </si>
  <si>
    <t>KPH30iK</t>
  </si>
  <si>
    <t>KPH30iW</t>
  </si>
  <si>
    <t>KSC21K</t>
  </si>
  <si>
    <t>частотный диапазон 50 – 18 000 Гц, импеданс 36 Ом, аудиокабель длина 1,2 м 3,5 мм</t>
  </si>
  <si>
    <t xml:space="preserve">KSC22K </t>
  </si>
  <si>
    <t>частотный диапазон 60 – 20 000 Гц, импеданс 16 Ом, аудиокабель длина 1,2 м 3,5 мм</t>
  </si>
  <si>
    <t>KSC75 SB RW</t>
  </si>
  <si>
    <t>частотный диапазон 15 – 25 000 Гц, импеданс 60 Ом, аудиокабель длина 1,2 м 3,5 мм</t>
  </si>
  <si>
    <t>KTXPRO1</t>
  </si>
  <si>
    <t>PORTA PRO CLASSIC</t>
  </si>
  <si>
    <t>SB40</t>
  </si>
  <si>
    <t>частотный диапазон 20 – 20 000 Гц, импеданс 120 Ом</t>
  </si>
  <si>
    <t>SPORTA PRO</t>
  </si>
  <si>
    <t>TD85</t>
  </si>
  <si>
    <t>частотный диапазон 20 Гц -  17000 Гц, мониторные, тип подключения 3.5 мм,  Длина кабеля 2.4 м</t>
  </si>
  <si>
    <t>UR10</t>
  </si>
  <si>
    <t xml:space="preserve">частотный диапазон 60 – 20 000 Гц, импеданс 32 Ом, аудиокабель длина 1,2 м 3,5 мм </t>
  </si>
  <si>
    <t>UR10iK</t>
  </si>
  <si>
    <t>частотный диапазон 60 – 20 000 Гц, импеданс 32 Ом, аудиокабель с микрофоном длина 1,2 м 3,5 мм TRRS с микрофоном</t>
  </si>
  <si>
    <t>UR23iB</t>
  </si>
  <si>
    <t>частотный диапазон 20 – 20 000 Гц, импеданс 32 Ом, аудиокабель с микрофоном длина 1,2 м 3,5 мм</t>
  </si>
  <si>
    <t>UR23iK</t>
  </si>
  <si>
    <t>UR40</t>
  </si>
  <si>
    <t>частотный диапазон 15 – 22 000 Гц, импеданс 60 Ом, аудиокабель длина 1,2 м 3,5 мм</t>
  </si>
  <si>
    <t>наушники для меломанов</t>
  </si>
  <si>
    <t>Pro4S</t>
  </si>
  <si>
    <t>частотный диапазон 10 – 25 000 Гц, импеданс 60 Ом, аудиокабель 1,4м, подключение с любого из наушников
Кейс в комплекте</t>
  </si>
  <si>
    <t>беспроводные наушники</t>
  </si>
  <si>
    <t>BT115i</t>
  </si>
  <si>
    <t>время работы до 6ч, Bluetooth V4.2, защита от пота, Частотный диапазон 18-20,000 Hz</t>
  </si>
  <si>
    <t>BT221i</t>
  </si>
  <si>
    <t>Частотный диапазон 50–18 000 Гц, время работы до 6ч, Bluetooth® V4.2, Поворотная клипса создает идеальную 
посадку и герметичный устойчивый к поту, зажим для укладки кабеля.</t>
  </si>
  <si>
    <t>BT232i FITBUD</t>
  </si>
  <si>
    <t>Частотный диапазон 18–20 000 Гц, время работы до 6 ч, Bluetooth® V4.2, амбушюры с подушечками, из мягкого пеноматериала, клипса для укладки кабеля, в комплекте три размера подушек (маленький, средний и большой).</t>
  </si>
  <si>
    <t>Plug Wireless</t>
  </si>
  <si>
    <t>Диапазон частот: 10–20 000 Гц, Bluetooth V4.2, Время работы до 6 ч</t>
  </si>
  <si>
    <t>KPH7 Wireless</t>
  </si>
  <si>
    <t>Частотный диапазон 20-20 000 Гц
Bluetooth V5.0
До 18+ часов автономной работы
микрофон
Складная плоская конструкция</t>
  </si>
  <si>
    <t xml:space="preserve">Наушники для меломанов и </t>
  </si>
  <si>
    <t>KPH40 UTILITY</t>
  </si>
  <si>
    <t xml:space="preserve">15-25,000 Hz, При покупке  проводов  UTILITY CORD LTG и UTILITY CORD USB-C со встроенным DAC возможен                                                                              апгрейд до usb-с и apple стандарта </t>
  </si>
  <si>
    <t>PORTA PRO                                                          Utility</t>
  </si>
  <si>
    <t>Porta PRO hard case</t>
  </si>
  <si>
    <t>Жесткий чехол Porta Pro</t>
  </si>
  <si>
    <t>аксессуары к наушникам Utility</t>
  </si>
  <si>
    <t>UTILITY CORD LTG</t>
  </si>
  <si>
    <t>Кабель Koss Utility Series Lightning сертифицирован для работы с наушниками Koss Utility Series и iPhone, iPad и iPod.</t>
  </si>
  <si>
    <t>UTILITY CORD USB-C</t>
  </si>
  <si>
    <t>Кабель Koss Utility Series USB-C для работы с наушниками Koss Utility Series и устройствами с совместимым портом USB-C</t>
  </si>
  <si>
    <t>Динамические наушники закрытого типа</t>
  </si>
  <si>
    <t>ATH-AVC200</t>
  </si>
  <si>
    <t>диапазон воспроизводимых частот 20–22000 Гц</t>
  </si>
  <si>
    <t>ATH-AVC500</t>
  </si>
  <si>
    <t xml:space="preserve">диапазон воспроизводимых частот 5–35000 Гц </t>
  </si>
  <si>
    <t>Студийные мониторные наушники</t>
  </si>
  <si>
    <t>ATH-M50XDS</t>
  </si>
  <si>
    <t>диапазон воспроизводимых частот 15–28000 Гц</t>
  </si>
  <si>
    <t>ATH-M50xWH</t>
  </si>
  <si>
    <t>ATH-M60x</t>
  </si>
  <si>
    <t>ATH-M70x</t>
  </si>
  <si>
    <t>диапазон воспроизводимых частот 5–40000 Гц</t>
  </si>
  <si>
    <t>Наушники с Hi-Res Audio</t>
  </si>
  <si>
    <t>ATH-MSR7bBK</t>
  </si>
  <si>
    <t>диапазон воспроизводимых частот 5–50000 Гц</t>
  </si>
  <si>
    <t>Наушники для стриминга</t>
  </si>
  <si>
    <t>ATH-M50XSTS-XLR</t>
  </si>
  <si>
    <t>Премиальный класс Art Monitor</t>
  </si>
  <si>
    <t>ATH-A550Z</t>
  </si>
  <si>
    <t>диапазон воспроизводимых частот 5–35000 Гц</t>
  </si>
  <si>
    <t>ATH-A2000Z</t>
  </si>
  <si>
    <t>диапазон воспроизводимых частот 5–45000 Гц</t>
  </si>
  <si>
    <t>Открытые динамические наушники</t>
  </si>
  <si>
    <t>ATH-AVA400</t>
  </si>
  <si>
    <t>диапазон воспроизводимых частот 18–25000 Гц</t>
  </si>
  <si>
    <t>ATH-AD500X</t>
  </si>
  <si>
    <t>диапазон воспроизводимых частот 5–25000 Гц</t>
  </si>
  <si>
    <t>ATH-AD900X</t>
  </si>
  <si>
    <t>Профессиональные наушники открытого типа</t>
  </si>
  <si>
    <t>ATH-R70X</t>
  </si>
  <si>
    <t>ATH-AD2000X</t>
  </si>
  <si>
    <t>игровые проводные наушники</t>
  </si>
  <si>
    <t>ATH-G1</t>
  </si>
  <si>
    <t>ATH-GDL3BK</t>
  </si>
  <si>
    <t>диапазон воспроизводимых частот 10–35000 Гц</t>
  </si>
  <si>
    <t>ATH-GDL3WH</t>
  </si>
  <si>
    <t>ATH-GL3BK</t>
  </si>
  <si>
    <t>ATH-GL3WH</t>
  </si>
  <si>
    <t>ATH-PDG1a</t>
  </si>
  <si>
    <t>диапазон воспроизводимых частот 20–20000 Гц</t>
  </si>
  <si>
    <t>ATH-ANC100BT</t>
  </si>
  <si>
    <t>диапазон воспроизводимых частот 20–24000 Гц, Bluetooth и Аудиокабель 0,6 м</t>
  </si>
  <si>
    <t>ATH-C200BTBK</t>
  </si>
  <si>
    <t>диапазон воспроизводимых частот 20–24000 Гц, Bluetooth V4.1</t>
  </si>
  <si>
    <t>ATH-C200BTWH</t>
  </si>
  <si>
    <t>ATH-CKS330XBTBK</t>
  </si>
  <si>
    <t>диапазон воспроизводимых частот 5–30000 Гц, Bluetooth V5.0</t>
  </si>
  <si>
    <t>ATH-SQ1TWBK</t>
  </si>
  <si>
    <t>диапазон воспроизводимых частот 20–20000 Гц, Bluetooth V5.0</t>
  </si>
  <si>
    <t>ATH-SQ1TWWH</t>
  </si>
  <si>
    <t>диапазон воспроизводимых частот 20–20000 Гц, Bluetooth V5.1</t>
  </si>
  <si>
    <t>ATH-CKS50TWBK</t>
  </si>
  <si>
    <t>диапазон воспроизводимых частот 5–20000 Гц, Bluetooth V5.2</t>
  </si>
  <si>
    <t>ATH-TWX7WH</t>
  </si>
  <si>
    <t>диапазон воспроизводимых частот 10 - 40,000Hz, Bluetooth V5.1</t>
  </si>
  <si>
    <t>Полноразмерные беспроводные наушники</t>
  </si>
  <si>
    <t>ATH-S220BTBK</t>
  </si>
  <si>
    <t>ATH-S220BTWH</t>
  </si>
  <si>
    <t>диапазон воспроизводимых частот 5–30000 Гц, Bluetooth V5.1</t>
  </si>
  <si>
    <t>ATH-M20XBT</t>
  </si>
  <si>
    <t>диапазон воспроизводимых частот 5 - 32 000 Гц, Bluetooth V5.0</t>
  </si>
  <si>
    <t>ATH-M20XBTWH</t>
  </si>
  <si>
    <t>диапазон воспроизводимых частот 5 - 32 000 Гц, Bluetooth V5.1</t>
  </si>
  <si>
    <t>микрофон</t>
  </si>
  <si>
    <t>AT2020USBX</t>
  </si>
  <si>
    <t>Выходной разъем USB-C, Частотная диапазон 20-20 000 Гц</t>
  </si>
  <si>
    <t>ATGM1-USB</t>
  </si>
  <si>
    <t>воспринимаемый диапазон частот 40–16000 Гц, кабель USB-A 2м</t>
  </si>
  <si>
    <t>виниловый проигрыватель</t>
  </si>
  <si>
    <t>AT-LP140XPBK</t>
  </si>
  <si>
    <t>управление ручное, привод прямой, диапазон частот 20–18000 Гц</t>
  </si>
  <si>
    <t>Lenovo IdeaPad 1 15AMN7 (AMD Ryzen 5-7520U/ DDR5 8GB/ SSD 256GB/ 15,6" FHD/ AMD Radeon 610M Graphics/ Win11/ RU) Abyss Blue (82VG00WXUS)</t>
  </si>
  <si>
    <t>LG - 24" 24G411A-B UltraGear, IPS, 5mc, 144Hz, FHD (1920 x 1080), HDMI+Display Port, NVIDIA® G-SYNC®, AMD FreeSync™ (24G411A-B.ADG) (маркировка)</t>
  </si>
  <si>
    <t>24G411A-B.ADG</t>
  </si>
  <si>
    <t>LG - 27" 27G411A-B UltraGear, IPS, 5mc, 144Hz, FHD (1920 x 1080), HDMI+Display Port, NVIDIA® G-SYNC®, AMD FreeSync™ (27G411A-B.ADG) (маркировка)</t>
  </si>
  <si>
    <t>27G411A-B.ADG</t>
  </si>
  <si>
    <t>LG - 27" 27GS85Q-B UltraGear, IPS, 1mc, 200Hz, QHD (2560×1440), HDMI+Display Port, NVIDIA® G-SYNC®, AMD FreeSync™ (27GS85Q-B.ADG) (маркировка)</t>
  </si>
  <si>
    <t>27GS85Q-B.ADG</t>
  </si>
  <si>
    <t>LG - 27" 27UP650K-W 4K Monitor, IPS, 5mc, 60Hz, UHD (3840×2160), HDMI+Display Port , DisplayHDR™ 400 (27UP650K-W.ADG) (маркировка)</t>
  </si>
  <si>
    <t>27UP650K-W.ADG</t>
  </si>
  <si>
    <t>LG - 32" 32UN650K-W 4K Monitor, IPS, 5mc, 60Hz, UHD (3840×2160), HDMI+Display Port , DisplayHDR™ 10 (32UN650K-W.ADG) (маркировка)</t>
  </si>
  <si>
    <t>32UN650K-W.ADG</t>
  </si>
  <si>
    <t>LG - 34" 34U640B-B  UltraWide Curved Monitor, VA, 5mc, 144Hz, WQHD (3440×1440), HDMI+Display Port (27GS85Q-B.ADG) (34U640B-B.ADG) (маркировка)</t>
  </si>
  <si>
    <t>34U640B-B.ADG</t>
  </si>
  <si>
    <t>LG - 45" 45GX900A-B UltraGear Curved Monitor, OLED, 0,03mc, 240Hz, WQHD (3440×1440), HDMI+Display Port+TypeC, NVIDIA® G-SYNC®, AMD FreeSync™ (45GX900A-B.ADG) (34U640B-B.ADG) (маркировка)</t>
  </si>
  <si>
    <t xml:space="preserve">LG - 29" 29WP500-B Ultra Wide LED Monitor, IPS, 5mc, 75Hz, UWHD (2560 x 1080), HDMI, AMD FreeSync </t>
  </si>
  <si>
    <t>LG - 43" 43UN700-B 4K Monitor, IPS, 8mc, 65Hz, UHD (3840x2160), HDMI+Display Port, Type-C, Black (распродажа)</t>
  </si>
  <si>
    <t>Acer Aspire Lite AL15-72P (Intel Core i5-13420H/ DDR5 8GB/ SSD 512GB/ 15,6" FHD IPS/ Intel UHD Graphics/ NoOS/ RU) Silver (NX.D5JEM.001)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</si>
</sst>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[$$-409]#,##0.0"/>
    <numFmt numFmtId="166" formatCode="[$-809]d\ mmmm\ yyyy"/>
  </numFmts>
  <fonts count="95">
    <font>
      <sz val="11"/>
      <color theme="1"/>
      <name val="Calibri"/>
      <scheme val="minor"/>
    </font>
    <font>
      <b/>
      <sz val="11"/>
      <color rgb="FF0C0C0C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theme="1"/>
      <name val="Calibri"/>
      <family val="2"/>
      <charset val="204"/>
    </font>
    <font>
      <i/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b/>
      <i/>
      <sz val="11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sz val="11"/>
      <color theme="0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11"/>
      <color rgb="FFFFFFFF"/>
      <name val="Calibri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13"/>
      <color theme="1"/>
      <name val="Calibri"/>
      <family val="2"/>
      <charset val="204"/>
    </font>
    <font>
      <sz val="11"/>
      <name val="Calibri"/>
      <family val="2"/>
      <charset val="204"/>
    </font>
    <font>
      <strike/>
      <sz val="11"/>
      <color theme="1"/>
      <name val="Calibri"/>
      <family val="2"/>
      <charset val="204"/>
    </font>
    <font>
      <b/>
      <sz val="15"/>
      <color theme="1"/>
      <name val="Calibri"/>
      <family val="2"/>
      <charset val="204"/>
    </font>
    <font>
      <sz val="11"/>
      <color rgb="FF000000"/>
      <name val="Congenial"/>
    </font>
    <font>
      <b/>
      <sz val="11"/>
      <color rgb="FFFF0000"/>
      <name val="Congenial"/>
    </font>
    <font>
      <b/>
      <sz val="11"/>
      <color rgb="FF000000"/>
      <name val="Congenial"/>
    </font>
    <font>
      <sz val="11"/>
      <color rgb="FFFF0000"/>
      <name val="Congenial"/>
    </font>
    <font>
      <sz val="11"/>
      <color theme="1"/>
      <name val="Congenial"/>
    </font>
    <font>
      <b/>
      <sz val="18"/>
      <color rgb="FFFAFAFA"/>
      <name val="Helvetica Neue"/>
    </font>
    <font>
      <sz val="10"/>
      <color theme="1"/>
      <name val="Arial"/>
      <family val="2"/>
      <charset val="204"/>
    </font>
    <font>
      <sz val="12"/>
      <color theme="1"/>
      <name val="Helvetica Neue"/>
    </font>
    <font>
      <sz val="12"/>
      <color rgb="FFDC1918"/>
      <name val="Helvetica Neue"/>
    </font>
    <font>
      <b/>
      <sz val="11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12"/>
      <color theme="1"/>
      <name val="Calibri"/>
      <family val="2"/>
      <charset val="204"/>
    </font>
    <font>
      <sz val="12"/>
      <color rgb="FFFF0000"/>
      <name val="Calibri"/>
      <family val="2"/>
      <charset val="204"/>
    </font>
    <font>
      <b/>
      <sz val="10"/>
      <color theme="1"/>
      <name val="Calibri"/>
      <family val="2"/>
      <charset val="204"/>
    </font>
    <font>
      <b/>
      <sz val="10"/>
      <color rgb="FFFF0000"/>
      <name val="Calibri"/>
      <family val="2"/>
      <charset val="204"/>
    </font>
    <font>
      <b/>
      <sz val="8"/>
      <color theme="1"/>
      <name val="Calibri"/>
      <family val="2"/>
      <charset val="204"/>
    </font>
    <font>
      <sz val="12"/>
      <color rgb="FF002060"/>
      <name val="Calibri"/>
      <family val="2"/>
      <charset val="204"/>
    </font>
    <font>
      <sz val="11"/>
      <color rgb="FF002060"/>
      <name val="Calibri"/>
      <family val="2"/>
      <charset val="204"/>
    </font>
    <font>
      <b/>
      <sz val="12"/>
      <color rgb="FFFF0000"/>
      <name val="Calibri"/>
      <family val="2"/>
      <charset val="204"/>
    </font>
    <font>
      <sz val="36"/>
      <color rgb="FF0070C0"/>
      <name val="Calibri"/>
      <family val="2"/>
      <charset val="204"/>
    </font>
    <font>
      <b/>
      <sz val="12"/>
      <color rgb="FF0070C0"/>
      <name val="Calibri"/>
      <family val="2"/>
      <charset val="204"/>
    </font>
    <font>
      <b/>
      <sz val="16"/>
      <color rgb="FFFF0000"/>
      <name val="Calibri"/>
      <family val="2"/>
      <charset val="204"/>
    </font>
    <font>
      <sz val="12"/>
      <color theme="0"/>
      <name val="Calibri"/>
      <family val="2"/>
      <charset val="204"/>
    </font>
    <font>
      <b/>
      <sz val="11"/>
      <color theme="10"/>
      <name val="Calibri"/>
      <family val="2"/>
      <charset val="204"/>
    </font>
    <font>
      <b/>
      <sz val="11"/>
      <color rgb="FF0563C1"/>
      <name val="Calibri"/>
      <family val="2"/>
      <charset val="204"/>
    </font>
    <font>
      <b/>
      <u/>
      <sz val="11"/>
      <color theme="10"/>
      <name val="Calibri"/>
      <family val="2"/>
      <charset val="204"/>
    </font>
    <font>
      <b/>
      <u/>
      <sz val="11"/>
      <color theme="10"/>
      <name val="Calibri"/>
      <family val="2"/>
      <charset val="204"/>
    </font>
    <font>
      <b/>
      <u/>
      <sz val="11"/>
      <color theme="10"/>
      <name val="Calibri"/>
      <family val="2"/>
      <charset val="204"/>
    </font>
    <font>
      <b/>
      <sz val="12"/>
      <color theme="10"/>
      <name val="Calibri"/>
      <family val="2"/>
      <charset val="204"/>
    </font>
    <font>
      <b/>
      <u/>
      <sz val="12"/>
      <color theme="10"/>
      <name val="Calibri"/>
      <family val="2"/>
      <charset val="204"/>
    </font>
    <font>
      <b/>
      <u/>
      <sz val="12"/>
      <color theme="10"/>
      <name val="Calibri"/>
      <family val="2"/>
      <charset val="204"/>
    </font>
    <font>
      <b/>
      <u/>
      <sz val="12"/>
      <color theme="10"/>
      <name val="Calibri"/>
      <family val="2"/>
      <charset val="204"/>
    </font>
    <font>
      <b/>
      <u/>
      <sz val="12"/>
      <color theme="10"/>
      <name val="Calibri"/>
      <family val="2"/>
      <charset val="204"/>
    </font>
    <font>
      <b/>
      <u/>
      <sz val="12"/>
      <color theme="10"/>
      <name val="Calibri"/>
      <family val="2"/>
      <charset val="204"/>
    </font>
    <font>
      <b/>
      <u/>
      <sz val="12"/>
      <color theme="10"/>
      <name val="Calibri"/>
      <family val="2"/>
      <charset val="204"/>
    </font>
    <font>
      <u/>
      <sz val="12"/>
      <color theme="1"/>
      <name val="Calibri"/>
      <family val="2"/>
      <charset val="204"/>
    </font>
    <font>
      <u/>
      <sz val="12"/>
      <color rgb="FFFF0000"/>
      <name val="Calibri"/>
      <family val="2"/>
      <charset val="204"/>
    </font>
    <font>
      <u/>
      <sz val="12"/>
      <color rgb="FF0000FF"/>
      <name val="Calibri"/>
      <family val="2"/>
      <charset val="204"/>
    </font>
    <font>
      <u/>
      <sz val="12"/>
      <color rgb="FFFF0000"/>
      <name val="Calibri"/>
      <family val="2"/>
      <charset val="204"/>
    </font>
    <font>
      <u/>
      <sz val="12"/>
      <color theme="1"/>
      <name val="Calibri"/>
      <family val="2"/>
      <charset val="204"/>
    </font>
    <font>
      <u/>
      <sz val="12"/>
      <color rgb="FF0000FF"/>
      <name val="Calibri"/>
      <family val="2"/>
      <charset val="204"/>
    </font>
    <font>
      <u/>
      <sz val="11"/>
      <color theme="1"/>
      <name val="Calibri"/>
      <family val="2"/>
      <charset val="204"/>
    </font>
    <font>
      <u/>
      <sz val="11"/>
      <color rgb="FFFF0000"/>
      <name val="Calibri"/>
      <family val="2"/>
      <charset val="204"/>
    </font>
    <font>
      <u/>
      <sz val="11"/>
      <color rgb="FF0000FF"/>
      <name val="Calibri"/>
      <family val="2"/>
      <charset val="204"/>
    </font>
    <font>
      <b/>
      <sz val="9"/>
      <color theme="1"/>
      <name val="Calibri"/>
      <family val="2"/>
      <charset val="204"/>
    </font>
    <font>
      <b/>
      <sz val="13"/>
      <color theme="1"/>
      <name val="Calibri"/>
      <family val="2"/>
      <charset val="204"/>
    </font>
    <font>
      <u/>
      <sz val="11"/>
      <color theme="10"/>
      <name val="Calibri"/>
      <family val="2"/>
      <charset val="204"/>
    </font>
    <font>
      <u/>
      <sz val="11"/>
      <color theme="10"/>
      <name val="Calibri"/>
      <family val="2"/>
      <charset val="204"/>
    </font>
    <font>
      <u/>
      <sz val="11"/>
      <color theme="1"/>
      <name val="Calibri"/>
      <family val="2"/>
      <charset val="204"/>
    </font>
    <font>
      <b/>
      <u/>
      <sz val="11"/>
      <color theme="10"/>
      <name val="Calibri"/>
      <family val="2"/>
      <charset val="204"/>
    </font>
    <font>
      <sz val="36"/>
      <color rgb="FFFF0000"/>
      <name val="Arial"/>
      <family val="2"/>
      <charset val="204"/>
    </font>
    <font>
      <b/>
      <sz val="12"/>
      <color rgb="FFC00000"/>
      <name val="Calibri"/>
      <family val="2"/>
      <charset val="204"/>
    </font>
    <font>
      <sz val="12"/>
      <color rgb="FF000000"/>
      <name val="Calibri"/>
      <family val="2"/>
      <charset val="204"/>
    </font>
    <font>
      <b/>
      <u/>
      <sz val="11"/>
      <color theme="10"/>
      <name val="Calibri"/>
      <family val="2"/>
      <charset val="204"/>
    </font>
    <font>
      <b/>
      <u/>
      <sz val="11"/>
      <color theme="10"/>
      <name val="Calibri"/>
      <family val="2"/>
      <charset val="204"/>
    </font>
    <font>
      <sz val="12"/>
      <color theme="10"/>
      <name val="Calibri"/>
      <family val="2"/>
      <charset val="204"/>
    </font>
    <font>
      <sz val="10"/>
      <color theme="1"/>
      <name val="Calibri"/>
      <family val="2"/>
      <charset val="204"/>
    </font>
    <font>
      <b/>
      <u/>
      <sz val="10"/>
      <color theme="10"/>
      <name val="Calibri"/>
      <family val="2"/>
      <charset val="204"/>
    </font>
    <font>
      <b/>
      <u/>
      <sz val="10"/>
      <color theme="10"/>
      <name val="Calibri"/>
      <family val="2"/>
      <charset val="204"/>
    </font>
    <font>
      <b/>
      <u/>
      <sz val="11"/>
      <color rgb="FF0000FF"/>
      <name val="Calibri"/>
      <family val="2"/>
      <charset val="204"/>
    </font>
    <font>
      <b/>
      <u/>
      <sz val="11"/>
      <color rgb="FF0000FF"/>
      <name val="Calibri"/>
      <family val="2"/>
      <charset val="204"/>
    </font>
    <font>
      <b/>
      <sz val="11"/>
      <color rgb="FF0000FF"/>
      <name val="Calibri"/>
      <family val="2"/>
      <charset val="204"/>
    </font>
    <font>
      <b/>
      <u/>
      <sz val="11"/>
      <color rgb="FF0000FF"/>
      <name val="Calibri"/>
      <family val="2"/>
      <charset val="204"/>
    </font>
    <font>
      <b/>
      <u/>
      <sz val="11"/>
      <color rgb="FF0000FF"/>
      <name val="Calibri"/>
      <family val="2"/>
      <charset val="204"/>
    </font>
    <font>
      <b/>
      <u/>
      <sz val="12"/>
      <color theme="10"/>
      <name val="Calibri"/>
      <family val="2"/>
      <charset val="204"/>
    </font>
    <font>
      <b/>
      <u/>
      <sz val="12"/>
      <color theme="10"/>
      <name val="Calibri"/>
      <family val="2"/>
      <charset val="204"/>
    </font>
    <font>
      <b/>
      <u/>
      <sz val="12"/>
      <color theme="10"/>
      <name val="Calibri"/>
      <family val="2"/>
      <charset val="204"/>
    </font>
    <font>
      <b/>
      <sz val="14"/>
      <color rgb="FFFF0000"/>
      <name val="Calibri"/>
      <family val="2"/>
      <charset val="204"/>
    </font>
    <font>
      <b/>
      <sz val="8"/>
      <color rgb="FFFF0000"/>
      <name val="Calibri"/>
      <family val="2"/>
      <charset val="204"/>
    </font>
    <font>
      <b/>
      <sz val="10"/>
      <color rgb="FF0000FF"/>
      <name val="Calibri"/>
      <family val="2"/>
      <charset val="204"/>
    </font>
    <font>
      <b/>
      <sz val="12"/>
      <color rgb="FF0C0C0C"/>
      <name val="Calibri"/>
      <family val="2"/>
      <charset val="204"/>
    </font>
    <font>
      <b/>
      <sz val="12"/>
      <color rgb="FF1609BD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charset val="204"/>
    </font>
    <font>
      <sz val="11"/>
      <color theme="1" tint="4.9989318521683403E-2"/>
      <name val="Calibri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989898"/>
        <bgColor rgb="FF989898"/>
      </patternFill>
    </fill>
    <fill>
      <patternFill patternType="solid">
        <fgColor rgb="FFCBCBCB"/>
        <bgColor rgb="FFCBCBCB"/>
      </patternFill>
    </fill>
    <fill>
      <patternFill patternType="solid">
        <fgColor rgb="FFE2231A"/>
        <bgColor rgb="FFE2231A"/>
      </patternFill>
    </fill>
    <fill>
      <patternFill patternType="solid">
        <fgColor rgb="FFFAFAFA"/>
        <bgColor rgb="FFFAFAFA"/>
      </patternFill>
    </fill>
    <fill>
      <patternFill patternType="solid">
        <fgColor rgb="FF024AD8"/>
        <bgColor rgb="FF024AD8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ADADA"/>
        <bgColor rgb="FFDADADA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7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2" fillId="0" borderId="50"/>
  </cellStyleXfs>
  <cellXfs count="467">
    <xf numFmtId="0" fontId="0" fillId="0" borderId="0" xfId="0"/>
    <xf numFmtId="0" fontId="2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2" borderId="5" xfId="0" applyFont="1" applyFill="1" applyBorder="1"/>
    <xf numFmtId="0" fontId="5" fillId="2" borderId="2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6" fillId="0" borderId="7" xfId="0" applyFont="1" applyBorder="1"/>
    <xf numFmtId="0" fontId="2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 applyAlignment="1">
      <alignment horizontal="center"/>
    </xf>
    <xf numFmtId="0" fontId="2" fillId="0" borderId="0" xfId="0" applyFont="1"/>
    <xf numFmtId="0" fontId="7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0" xfId="0" applyFont="1"/>
    <xf numFmtId="0" fontId="5" fillId="0" borderId="7" xfId="0" applyFont="1" applyBorder="1"/>
    <xf numFmtId="0" fontId="5" fillId="0" borderId="8" xfId="0" applyFont="1" applyBorder="1" applyAlignment="1">
      <alignment horizontal="center"/>
    </xf>
    <xf numFmtId="0" fontId="3" fillId="0" borderId="7" xfId="0" applyFont="1" applyBorder="1" applyAlignment="1">
      <alignment horizontal="left" vertical="top"/>
    </xf>
    <xf numFmtId="1" fontId="4" fillId="0" borderId="2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top"/>
    </xf>
    <xf numFmtId="1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2" borderId="5" xfId="0" applyFont="1" applyFill="1" applyBorder="1"/>
    <xf numFmtId="0" fontId="6" fillId="2" borderId="2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9" xfId="0" applyFont="1" applyBorder="1"/>
    <xf numFmtId="0" fontId="2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3" fillId="0" borderId="9" xfId="0" applyFont="1" applyBorder="1"/>
    <xf numFmtId="0" fontId="4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9" xfId="0" applyFont="1" applyBorder="1"/>
    <xf numFmtId="0" fontId="5" fillId="0" borderId="10" xfId="0" applyFont="1" applyBorder="1" applyAlignment="1">
      <alignment horizontal="center"/>
    </xf>
    <xf numFmtId="0" fontId="8" fillId="0" borderId="10" xfId="0" applyFont="1" applyBorder="1"/>
    <xf numFmtId="0" fontId="10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6" fillId="0" borderId="2" xfId="0" applyFont="1" applyBorder="1"/>
    <xf numFmtId="0" fontId="6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6" fillId="5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13" fillId="0" borderId="0" xfId="0" applyFont="1"/>
    <xf numFmtId="0" fontId="2" fillId="0" borderId="2" xfId="0" applyFont="1" applyBorder="1" applyAlignment="1">
      <alignment horizontal="center" vertical="top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3" fillId="0" borderId="0" xfId="0" applyFont="1"/>
    <xf numFmtId="0" fontId="12" fillId="2" borderId="2" xfId="0" applyFont="1" applyFill="1" applyBorder="1" applyAlignment="1">
      <alignment horizontal="center"/>
    </xf>
    <xf numFmtId="0" fontId="3" fillId="0" borderId="11" xfId="0" applyFont="1" applyBorder="1"/>
    <xf numFmtId="0" fontId="8" fillId="0" borderId="9" xfId="0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4" borderId="2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14" fillId="0" borderId="0" xfId="0" applyFont="1"/>
    <xf numFmtId="0" fontId="6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3" fillId="7" borderId="17" xfId="0" applyFont="1" applyFill="1" applyBorder="1" applyAlignment="1">
      <alignment horizontal="center" vertical="center"/>
    </xf>
    <xf numFmtId="0" fontId="2" fillId="0" borderId="18" xfId="0" applyFont="1" applyBorder="1" applyAlignment="1">
      <alignment wrapText="1"/>
    </xf>
    <xf numFmtId="0" fontId="3" fillId="3" borderId="2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center" wrapText="1"/>
    </xf>
    <xf numFmtId="0" fontId="3" fillId="3" borderId="17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20" fillId="5" borderId="32" xfId="0" applyFont="1" applyFill="1" applyBorder="1" applyAlignment="1">
      <alignment horizontal="left" vertical="center" wrapText="1"/>
    </xf>
    <xf numFmtId="0" fontId="20" fillId="5" borderId="33" xfId="0" applyFont="1" applyFill="1" applyBorder="1" applyAlignment="1">
      <alignment horizontal="left" vertical="center" wrapText="1"/>
    </xf>
    <xf numFmtId="0" fontId="2" fillId="0" borderId="3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1" fillId="5" borderId="18" xfId="0" applyFont="1" applyFill="1" applyBorder="1" applyAlignment="1">
      <alignment horizontal="left" vertical="center" wrapText="1"/>
    </xf>
    <xf numFmtId="0" fontId="21" fillId="5" borderId="35" xfId="0" applyFont="1" applyFill="1" applyBorder="1" applyAlignment="1">
      <alignment horizontal="left" vertical="center" wrapText="1"/>
    </xf>
    <xf numFmtId="0" fontId="20" fillId="5" borderId="36" xfId="0" applyFont="1" applyFill="1" applyBorder="1" applyAlignment="1">
      <alignment horizontal="left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1" fillId="5" borderId="37" xfId="0" applyFont="1" applyFill="1" applyBorder="1" applyAlignment="1">
      <alignment horizontal="left" vertical="center" wrapText="1"/>
    </xf>
    <xf numFmtId="0" fontId="21" fillId="5" borderId="33" xfId="0" applyFont="1" applyFill="1" applyBorder="1" applyAlignment="1">
      <alignment horizontal="left" vertical="center" wrapText="1"/>
    </xf>
    <xf numFmtId="0" fontId="3" fillId="0" borderId="34" xfId="0" applyFont="1" applyBorder="1" applyAlignment="1">
      <alignment horizontal="center" vertical="center"/>
    </xf>
    <xf numFmtId="0" fontId="22" fillId="5" borderId="18" xfId="0" applyFont="1" applyFill="1" applyBorder="1" applyAlignment="1">
      <alignment horizontal="left" vertical="center" wrapText="1"/>
    </xf>
    <xf numFmtId="0" fontId="22" fillId="5" borderId="35" xfId="0" applyFont="1" applyFill="1" applyBorder="1" applyAlignment="1">
      <alignment horizontal="left" vertical="center" wrapText="1"/>
    </xf>
    <xf numFmtId="0" fontId="20" fillId="0" borderId="38" xfId="0" applyFont="1" applyBorder="1" applyAlignment="1">
      <alignment horizontal="left" vertical="center" wrapText="1"/>
    </xf>
    <xf numFmtId="0" fontId="20" fillId="0" borderId="39" xfId="0" applyFont="1" applyBorder="1" applyAlignment="1">
      <alignment horizontal="left" vertical="center" wrapText="1"/>
    </xf>
    <xf numFmtId="0" fontId="22" fillId="5" borderId="21" xfId="0" applyFont="1" applyFill="1" applyBorder="1" applyAlignment="1">
      <alignment horizontal="left" vertical="center" wrapText="1"/>
    </xf>
    <xf numFmtId="0" fontId="22" fillId="5" borderId="40" xfId="0" applyFont="1" applyFill="1" applyBorder="1" applyAlignment="1">
      <alignment horizontal="left" vertical="center" wrapText="1"/>
    </xf>
    <xf numFmtId="0" fontId="23" fillId="5" borderId="41" xfId="0" applyFont="1" applyFill="1" applyBorder="1" applyAlignment="1">
      <alignment horizontal="left" vertical="center" wrapText="1"/>
    </xf>
    <xf numFmtId="0" fontId="23" fillId="5" borderId="42" xfId="0" applyFont="1" applyFill="1" applyBorder="1" applyAlignment="1">
      <alignment horizontal="left" vertical="center" wrapText="1"/>
    </xf>
    <xf numFmtId="0" fontId="4" fillId="0" borderId="43" xfId="0" applyFont="1" applyBorder="1" applyAlignment="1">
      <alignment horizontal="center" vertical="center"/>
    </xf>
    <xf numFmtId="0" fontId="24" fillId="5" borderId="18" xfId="0" applyFont="1" applyFill="1" applyBorder="1" applyAlignment="1">
      <alignment horizontal="left" vertical="center" wrapText="1"/>
    </xf>
    <xf numFmtId="0" fontId="24" fillId="5" borderId="35" xfId="0" applyFont="1" applyFill="1" applyBorder="1" applyAlignment="1">
      <alignment horizontal="left" vertical="center" wrapText="1"/>
    </xf>
    <xf numFmtId="0" fontId="20" fillId="0" borderId="16" xfId="0" applyFont="1" applyBorder="1" applyAlignment="1">
      <alignment horizontal="left" vertical="center" wrapText="1"/>
    </xf>
    <xf numFmtId="0" fontId="20" fillId="0" borderId="24" xfId="0" applyFont="1" applyBorder="1" applyAlignment="1">
      <alignment horizontal="left" vertical="center" wrapText="1"/>
    </xf>
    <xf numFmtId="0" fontId="23" fillId="5" borderId="44" xfId="0" applyFont="1" applyFill="1" applyBorder="1" applyAlignment="1">
      <alignment horizontal="left" vertical="center" wrapText="1"/>
    </xf>
    <xf numFmtId="0" fontId="23" fillId="5" borderId="18" xfId="0" applyFont="1" applyFill="1" applyBorder="1" applyAlignment="1">
      <alignment horizontal="left" vertical="center" wrapText="1"/>
    </xf>
    <xf numFmtId="0" fontId="23" fillId="5" borderId="35" xfId="0" applyFont="1" applyFill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center"/>
    </xf>
    <xf numFmtId="0" fontId="20" fillId="5" borderId="45" xfId="0" applyFont="1" applyFill="1" applyBorder="1" applyAlignment="1">
      <alignment horizontal="left" vertical="center" wrapText="1"/>
    </xf>
    <xf numFmtId="0" fontId="20" fillId="5" borderId="46" xfId="0" applyFont="1" applyFill="1" applyBorder="1" applyAlignment="1">
      <alignment horizontal="left" vertical="center" wrapText="1"/>
    </xf>
    <xf numFmtId="0" fontId="6" fillId="0" borderId="47" xfId="0" applyFont="1" applyBorder="1" applyAlignment="1">
      <alignment horizontal="center" vertical="center"/>
    </xf>
    <xf numFmtId="0" fontId="23" fillId="5" borderId="37" xfId="0" applyFont="1" applyFill="1" applyBorder="1" applyAlignment="1">
      <alignment horizontal="left" vertical="center" wrapText="1"/>
    </xf>
    <xf numFmtId="0" fontId="23" fillId="5" borderId="33" xfId="0" applyFont="1" applyFill="1" applyBorder="1" applyAlignment="1">
      <alignment horizontal="left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6" fillId="0" borderId="17" xfId="0" applyFont="1" applyBorder="1" applyAlignment="1">
      <alignment horizontal="center" vertical="center"/>
    </xf>
    <xf numFmtId="0" fontId="20" fillId="5" borderId="48" xfId="0" applyFont="1" applyFill="1" applyBorder="1" applyAlignment="1">
      <alignment horizontal="left" vertical="center" wrapText="1"/>
    </xf>
    <xf numFmtId="0" fontId="20" fillId="5" borderId="40" xfId="0" applyFont="1" applyFill="1" applyBorder="1" applyAlignment="1">
      <alignment horizontal="left" vertical="center" wrapText="1"/>
    </xf>
    <xf numFmtId="0" fontId="20" fillId="5" borderId="21" xfId="0" applyFont="1" applyFill="1" applyBorder="1" applyAlignment="1">
      <alignment horizontal="left" vertical="center" wrapText="1"/>
    </xf>
    <xf numFmtId="0" fontId="6" fillId="0" borderId="23" xfId="0" applyFont="1" applyBorder="1" applyAlignment="1">
      <alignment horizontal="center" vertical="center"/>
    </xf>
    <xf numFmtId="0" fontId="20" fillId="5" borderId="44" xfId="0" applyFont="1" applyFill="1" applyBorder="1" applyAlignment="1">
      <alignment horizontal="left" vertical="center" wrapText="1"/>
    </xf>
    <xf numFmtId="0" fontId="20" fillId="5" borderId="42" xfId="0" applyFont="1" applyFill="1" applyBorder="1" applyAlignment="1">
      <alignment horizontal="left" vertical="center" wrapText="1"/>
    </xf>
    <xf numFmtId="0" fontId="2" fillId="0" borderId="43" xfId="0" applyFont="1" applyBorder="1" applyAlignment="1">
      <alignment horizontal="center" vertical="center"/>
    </xf>
    <xf numFmtId="0" fontId="20" fillId="5" borderId="52" xfId="0" applyFont="1" applyFill="1" applyBorder="1" applyAlignment="1">
      <alignment horizontal="left" vertical="center" wrapText="1"/>
    </xf>
    <xf numFmtId="0" fontId="20" fillId="5" borderId="53" xfId="0" applyFont="1" applyFill="1" applyBorder="1" applyAlignment="1">
      <alignment horizontal="left" vertical="center" wrapText="1"/>
    </xf>
    <xf numFmtId="0" fontId="2" fillId="0" borderId="54" xfId="0" applyFont="1" applyBorder="1" applyAlignment="1">
      <alignment horizontal="center" vertical="center"/>
    </xf>
    <xf numFmtId="0" fontId="20" fillId="0" borderId="13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20" fillId="0" borderId="37" xfId="0" applyFont="1" applyBorder="1" applyAlignment="1">
      <alignment horizontal="left" vertical="center" wrapText="1"/>
    </xf>
    <xf numFmtId="0" fontId="20" fillId="0" borderId="21" xfId="0" applyFont="1" applyBorder="1" applyAlignment="1">
      <alignment horizontal="left" vertical="center" wrapText="1"/>
    </xf>
    <xf numFmtId="0" fontId="20" fillId="5" borderId="37" xfId="0" applyFont="1" applyFill="1" applyBorder="1" applyAlignment="1">
      <alignment horizontal="left" vertical="center" wrapText="1"/>
    </xf>
    <xf numFmtId="0" fontId="20" fillId="5" borderId="5" xfId="0" applyFont="1" applyFill="1" applyBorder="1" applyAlignment="1">
      <alignment horizontal="left" vertical="center" wrapText="1"/>
    </xf>
    <xf numFmtId="0" fontId="26" fillId="0" borderId="0" xfId="0" applyFont="1" applyAlignment="1">
      <alignment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7" fillId="9" borderId="2" xfId="0" applyFont="1" applyFill="1" applyBorder="1" applyAlignment="1">
      <alignment horizontal="center" vertical="center" wrapText="1"/>
    </xf>
    <xf numFmtId="0" fontId="27" fillId="9" borderId="2" xfId="0" applyFont="1" applyFill="1" applyBorder="1" applyAlignment="1">
      <alignment horizontal="left" vertical="center" wrapText="1"/>
    </xf>
    <xf numFmtId="3" fontId="27" fillId="9" borderId="2" xfId="0" applyNumberFormat="1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left" vertical="center" wrapText="1"/>
    </xf>
    <xf numFmtId="3" fontId="27" fillId="5" borderId="2" xfId="0" applyNumberFormat="1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vertical="center" wrapText="1"/>
    </xf>
    <xf numFmtId="3" fontId="27" fillId="0" borderId="2" xfId="0" applyNumberFormat="1" applyFont="1" applyBorder="1" applyAlignment="1">
      <alignment horizontal="center" vertical="center" wrapText="1"/>
    </xf>
    <xf numFmtId="0" fontId="26" fillId="5" borderId="1" xfId="0" applyFont="1" applyFill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9" fillId="11" borderId="2" xfId="0" applyFont="1" applyFill="1" applyBorder="1" applyAlignment="1">
      <alignment vertical="center"/>
    </xf>
    <xf numFmtId="0" fontId="29" fillId="11" borderId="2" xfId="0" applyFont="1" applyFill="1" applyBorder="1" applyAlignment="1">
      <alignment horizontal="center" vertical="center"/>
    </xf>
    <xf numFmtId="0" fontId="30" fillId="12" borderId="2" xfId="0" applyFont="1" applyFill="1" applyBorder="1" applyAlignment="1">
      <alignment vertical="center"/>
    </xf>
    <xf numFmtId="0" fontId="14" fillId="12" borderId="2" xfId="0" applyFont="1" applyFill="1" applyBorder="1" applyAlignment="1">
      <alignment vertical="center"/>
    </xf>
    <xf numFmtId="0" fontId="14" fillId="12" borderId="2" xfId="0" applyFont="1" applyFill="1" applyBorder="1" applyAlignment="1">
      <alignment horizontal="center" vertical="center"/>
    </xf>
    <xf numFmtId="3" fontId="14" fillId="12" borderId="2" xfId="0" applyNumberFormat="1" applyFont="1" applyFill="1" applyBorder="1" applyAlignment="1">
      <alignment horizontal="center" vertical="center"/>
    </xf>
    <xf numFmtId="0" fontId="30" fillId="0" borderId="2" xfId="0" applyFont="1" applyBorder="1" applyAlignment="1">
      <alignment vertical="center"/>
    </xf>
    <xf numFmtId="3" fontId="2" fillId="0" borderId="2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right" vertical="center"/>
    </xf>
    <xf numFmtId="0" fontId="14" fillId="0" borderId="2" xfId="0" applyFont="1" applyBorder="1" applyAlignment="1">
      <alignment vertical="center"/>
    </xf>
    <xf numFmtId="0" fontId="26" fillId="0" borderId="0" xfId="0" applyFont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31" fillId="0" borderId="2" xfId="0" applyFont="1" applyBorder="1" applyAlignment="1">
      <alignment vertical="center"/>
    </xf>
    <xf numFmtId="0" fontId="31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left" vertical="center"/>
    </xf>
    <xf numFmtId="0" fontId="32" fillId="0" borderId="2" xfId="0" applyFont="1" applyBorder="1" applyAlignment="1">
      <alignment vertical="center"/>
    </xf>
    <xf numFmtId="0" fontId="32" fillId="0" borderId="2" xfId="0" applyFont="1" applyBorder="1" applyAlignment="1">
      <alignment horizontal="left" vertical="center"/>
    </xf>
    <xf numFmtId="0" fontId="32" fillId="0" borderId="2" xfId="0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1" fillId="0" borderId="58" xfId="0" applyFont="1" applyBorder="1" applyAlignment="1">
      <alignment vertical="center"/>
    </xf>
    <xf numFmtId="0" fontId="31" fillId="0" borderId="58" xfId="0" applyFont="1" applyBorder="1" applyAlignment="1">
      <alignment horizontal="left" vertical="center"/>
    </xf>
    <xf numFmtId="0" fontId="31" fillId="0" borderId="58" xfId="0" applyFont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2" fillId="0" borderId="2" xfId="0" applyFont="1" applyBorder="1"/>
    <xf numFmtId="0" fontId="32" fillId="3" borderId="2" xfId="0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3" fillId="0" borderId="0" xfId="0" applyFont="1" applyAlignment="1">
      <alignment horizontal="right" vertical="center"/>
    </xf>
    <xf numFmtId="49" fontId="6" fillId="13" borderId="2" xfId="0" applyNumberFormat="1" applyFont="1" applyFill="1" applyBorder="1" applyAlignment="1">
      <alignment horizontal="center" vertical="center" wrapText="1"/>
    </xf>
    <xf numFmtId="164" fontId="6" fillId="13" borderId="2" xfId="0" applyNumberFormat="1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right" vertical="center" wrapText="1"/>
    </xf>
    <xf numFmtId="0" fontId="6" fillId="0" borderId="58" xfId="0" applyFont="1" applyBorder="1" applyAlignment="1">
      <alignment horizontal="right" vertical="center" wrapText="1"/>
    </xf>
    <xf numFmtId="0" fontId="6" fillId="0" borderId="58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right" vertical="center" wrapText="1"/>
    </xf>
    <xf numFmtId="0" fontId="6" fillId="0" borderId="60" xfId="0" applyFont="1" applyBorder="1" applyAlignment="1">
      <alignment horizontal="center" vertical="center" wrapText="1"/>
    </xf>
    <xf numFmtId="164" fontId="6" fillId="0" borderId="8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right" vertical="center" wrapText="1"/>
    </xf>
    <xf numFmtId="0" fontId="6" fillId="0" borderId="10" xfId="0" applyFont="1" applyBorder="1" applyAlignment="1">
      <alignment horizontal="righ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9" fontId="31" fillId="0" borderId="2" xfId="0" applyNumberFormat="1" applyFont="1" applyBorder="1" applyAlignment="1">
      <alignment horizontal="left" vertical="center" wrapText="1"/>
    </xf>
    <xf numFmtId="0" fontId="31" fillId="0" borderId="2" xfId="0" applyFont="1" applyBorder="1" applyAlignment="1">
      <alignment horizontal="right" vertical="center"/>
    </xf>
    <xf numFmtId="49" fontId="32" fillId="0" borderId="2" xfId="0" applyNumberFormat="1" applyFont="1" applyBorder="1" applyAlignment="1">
      <alignment horizontal="left" vertical="center" wrapText="1"/>
    </xf>
    <xf numFmtId="0" fontId="3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49" fontId="31" fillId="0" borderId="0" xfId="0" applyNumberFormat="1" applyFont="1" applyAlignment="1">
      <alignment horizontal="left" vertical="center" wrapText="1"/>
    </xf>
    <xf numFmtId="0" fontId="3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6" fillId="0" borderId="2" xfId="0" applyFont="1" applyBorder="1" applyAlignment="1">
      <alignment vertical="center"/>
    </xf>
    <xf numFmtId="0" fontId="37" fillId="0" borderId="2" xfId="0" applyFont="1" applyBorder="1" applyAlignment="1">
      <alignment horizontal="left" vertical="center"/>
    </xf>
    <xf numFmtId="0" fontId="6" fillId="0" borderId="58" xfId="0" applyFont="1" applyBorder="1" applyAlignment="1">
      <alignment horizontal="center" vertical="center"/>
    </xf>
    <xf numFmtId="0" fontId="31" fillId="0" borderId="2" xfId="0" applyFont="1" applyBorder="1" applyAlignment="1">
      <alignment horizontal="left" vertical="center" wrapText="1"/>
    </xf>
    <xf numFmtId="0" fontId="32" fillId="0" borderId="2" xfId="0" applyFont="1" applyBorder="1" applyAlignment="1">
      <alignment horizontal="left" vertical="center" wrapText="1"/>
    </xf>
    <xf numFmtId="0" fontId="32" fillId="0" borderId="2" xfId="0" applyFont="1" applyBorder="1" applyAlignment="1">
      <alignment vertical="center" wrapText="1"/>
    </xf>
    <xf numFmtId="0" fontId="38" fillId="0" borderId="2" xfId="0" applyFont="1" applyBorder="1" applyAlignment="1">
      <alignment vertical="center"/>
    </xf>
    <xf numFmtId="0" fontId="38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vertical="center" wrapText="1"/>
    </xf>
    <xf numFmtId="49" fontId="38" fillId="0" borderId="2" xfId="0" applyNumberFormat="1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/>
    </xf>
    <xf numFmtId="49" fontId="31" fillId="0" borderId="0" xfId="0" applyNumberFormat="1" applyFont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33" fillId="0" borderId="0" xfId="0" applyFont="1" applyAlignment="1">
      <alignment horizontal="center" vertical="center"/>
    </xf>
    <xf numFmtId="0" fontId="33" fillId="13" borderId="2" xfId="0" applyFont="1" applyFill="1" applyBorder="1" applyAlignment="1">
      <alignment horizontal="center" vertical="center" wrapText="1"/>
    </xf>
    <xf numFmtId="164" fontId="33" fillId="13" borderId="2" xfId="0" applyNumberFormat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right" vertical="center" wrapText="1"/>
    </xf>
    <xf numFmtId="164" fontId="33" fillId="0" borderId="2" xfId="0" applyNumberFormat="1" applyFont="1" applyBorder="1" applyAlignment="1">
      <alignment horizontal="right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/>
    </xf>
    <xf numFmtId="0" fontId="34" fillId="0" borderId="2" xfId="0" applyFont="1" applyBorder="1" applyAlignment="1">
      <alignment horizontal="right" vertical="center" wrapText="1"/>
    </xf>
    <xf numFmtId="164" fontId="33" fillId="0" borderId="2" xfId="0" applyNumberFormat="1" applyFont="1" applyBorder="1" applyAlignment="1">
      <alignment horizontal="right" vertical="center"/>
    </xf>
    <xf numFmtId="0" fontId="33" fillId="0" borderId="0" xfId="0" applyFont="1" applyAlignment="1">
      <alignment horizontal="right" vertical="center" wrapText="1"/>
    </xf>
    <xf numFmtId="164" fontId="33" fillId="0" borderId="0" xfId="0" applyNumberFormat="1" applyFont="1" applyAlignment="1">
      <alignment horizontal="right" vertical="center"/>
    </xf>
    <xf numFmtId="164" fontId="33" fillId="0" borderId="0" xfId="0" applyNumberFormat="1" applyFont="1" applyAlignment="1">
      <alignment horizontal="center" vertical="center"/>
    </xf>
    <xf numFmtId="0" fontId="6" fillId="14" borderId="61" xfId="0" applyFont="1" applyFill="1" applyBorder="1" applyAlignment="1">
      <alignment horizontal="center" vertical="center"/>
    </xf>
    <xf numFmtId="0" fontId="10" fillId="14" borderId="62" xfId="0" applyFont="1" applyFill="1" applyBorder="1" applyAlignment="1">
      <alignment horizontal="center" vertical="center"/>
    </xf>
    <xf numFmtId="165" fontId="10" fillId="14" borderId="62" xfId="0" applyNumberFormat="1" applyFont="1" applyFill="1" applyBorder="1" applyAlignment="1">
      <alignment horizontal="center" vertical="center"/>
    </xf>
    <xf numFmtId="165" fontId="10" fillId="14" borderId="63" xfId="0" applyNumberFormat="1" applyFont="1" applyFill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/>
    </xf>
    <xf numFmtId="165" fontId="31" fillId="0" borderId="2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165" fontId="31" fillId="0" borderId="2" xfId="0" applyNumberFormat="1" applyFont="1" applyBorder="1" applyAlignment="1">
      <alignment horizontal="right" vertical="center"/>
    </xf>
    <xf numFmtId="165" fontId="2" fillId="0" borderId="0" xfId="0" applyNumberFormat="1" applyFont="1" applyAlignment="1">
      <alignment horizontal="center" vertical="center"/>
    </xf>
    <xf numFmtId="166" fontId="31" fillId="0" borderId="2" xfId="0" applyNumberFormat="1" applyFont="1" applyBorder="1" applyAlignment="1">
      <alignment vertical="center"/>
    </xf>
    <xf numFmtId="0" fontId="42" fillId="0" borderId="0" xfId="0" applyFont="1" applyAlignment="1">
      <alignment vertical="center"/>
    </xf>
    <xf numFmtId="0" fontId="10" fillId="0" borderId="2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5" borderId="2" xfId="0" applyFont="1" applyFill="1" applyBorder="1" applyAlignment="1">
      <alignment horizontal="left" vertical="center"/>
    </xf>
    <xf numFmtId="0" fontId="43" fillId="5" borderId="2" xfId="0" applyFont="1" applyFill="1" applyBorder="1" applyAlignment="1">
      <alignment horizontal="left" vertical="center"/>
    </xf>
    <xf numFmtId="0" fontId="44" fillId="5" borderId="2" xfId="0" applyFont="1" applyFill="1" applyBorder="1" applyAlignment="1">
      <alignment horizontal="left" vertical="center"/>
    </xf>
    <xf numFmtId="0" fontId="38" fillId="0" borderId="59" xfId="0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/>
    </xf>
    <xf numFmtId="0" fontId="44" fillId="0" borderId="2" xfId="0" applyFont="1" applyBorder="1" applyAlignment="1">
      <alignment horizontal="left" vertical="center"/>
    </xf>
    <xf numFmtId="0" fontId="38" fillId="0" borderId="2" xfId="0" applyFont="1" applyBorder="1" applyAlignment="1">
      <alignment horizontal="left" vertical="center"/>
    </xf>
    <xf numFmtId="0" fontId="3" fillId="0" borderId="59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2" xfId="0" applyFont="1" applyBorder="1" applyAlignment="1">
      <alignment vertical="center"/>
    </xf>
    <xf numFmtId="164" fontId="38" fillId="0" borderId="2" xfId="0" applyNumberFormat="1" applyFont="1" applyBorder="1" applyAlignment="1">
      <alignment horizontal="center" vertical="center"/>
    </xf>
    <xf numFmtId="0" fontId="46" fillId="5" borderId="2" xfId="0" applyFont="1" applyFill="1" applyBorder="1" applyAlignment="1">
      <alignment vertical="center"/>
    </xf>
    <xf numFmtId="164" fontId="38" fillId="0" borderId="58" xfId="0" applyNumberFormat="1" applyFont="1" applyBorder="1" applyAlignment="1">
      <alignment horizontal="center" vertical="center"/>
    </xf>
    <xf numFmtId="0" fontId="48" fillId="5" borderId="2" xfId="0" applyFont="1" applyFill="1" applyBorder="1" applyAlignment="1">
      <alignment vertical="center"/>
    </xf>
    <xf numFmtId="0" fontId="49" fillId="5" borderId="2" xfId="0" applyFont="1" applyFill="1" applyBorder="1" applyAlignment="1">
      <alignment vertical="center" wrapText="1"/>
    </xf>
    <xf numFmtId="0" fontId="51" fillId="5" borderId="2" xfId="0" applyFont="1" applyFill="1" applyBorder="1" applyAlignment="1">
      <alignment vertical="center"/>
    </xf>
    <xf numFmtId="0" fontId="52" fillId="5" borderId="2" xfId="0" applyFont="1" applyFill="1" applyBorder="1" applyAlignment="1">
      <alignment horizontal="left" vertical="center" wrapText="1"/>
    </xf>
    <xf numFmtId="0" fontId="53" fillId="5" borderId="2" xfId="0" applyFont="1" applyFill="1" applyBorder="1" applyAlignment="1">
      <alignment horizontal="left" vertical="center"/>
    </xf>
    <xf numFmtId="164" fontId="38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0" fontId="55" fillId="5" borderId="2" xfId="0" applyFont="1" applyFill="1" applyBorder="1" applyAlignment="1">
      <alignment horizontal="left" vertical="center"/>
    </xf>
    <xf numFmtId="0" fontId="56" fillId="5" borderId="2" xfId="0" applyFont="1" applyFill="1" applyBorder="1" applyAlignment="1">
      <alignment horizontal="left" vertical="center"/>
    </xf>
    <xf numFmtId="0" fontId="57" fillId="5" borderId="2" xfId="0" applyFont="1" applyFill="1" applyBorder="1" applyAlignment="1">
      <alignment horizontal="left" vertical="center"/>
    </xf>
    <xf numFmtId="0" fontId="58" fillId="0" borderId="2" xfId="0" applyFont="1" applyBorder="1" applyAlignment="1">
      <alignment horizontal="left" vertical="center"/>
    </xf>
    <xf numFmtId="0" fontId="59" fillId="0" borderId="2" xfId="0" applyFont="1" applyBorder="1" applyAlignment="1">
      <alignment horizontal="left" vertical="center"/>
    </xf>
    <xf numFmtId="0" fontId="60" fillId="0" borderId="2" xfId="0" applyFont="1" applyBorder="1" applyAlignment="1">
      <alignment horizontal="left" vertical="center"/>
    </xf>
    <xf numFmtId="0" fontId="61" fillId="0" borderId="2" xfId="0" applyFont="1" applyBorder="1" applyAlignment="1">
      <alignment horizontal="left" vertical="center"/>
    </xf>
    <xf numFmtId="0" fontId="62" fillId="0" borderId="2" xfId="0" applyFont="1" applyBorder="1" applyAlignment="1">
      <alignment horizontal="left" vertical="center"/>
    </xf>
    <xf numFmtId="0" fontId="63" fillId="0" borderId="2" xfId="0" applyFont="1" applyBorder="1" applyAlignment="1">
      <alignment horizontal="left" vertical="center"/>
    </xf>
    <xf numFmtId="166" fontId="2" fillId="0" borderId="2" xfId="0" applyNumberFormat="1" applyFont="1" applyBorder="1" applyAlignment="1">
      <alignment vertical="center"/>
    </xf>
    <xf numFmtId="0" fontId="33" fillId="0" borderId="37" xfId="0" applyFont="1" applyBorder="1" applyAlignment="1">
      <alignment horizontal="right" vertical="center" wrapText="1"/>
    </xf>
    <xf numFmtId="164" fontId="33" fillId="0" borderId="65" xfId="0" applyNumberFormat="1" applyFont="1" applyBorder="1" applyAlignment="1">
      <alignment horizontal="right" vertical="center"/>
    </xf>
    <xf numFmtId="164" fontId="33" fillId="0" borderId="67" xfId="0" applyNumberFormat="1" applyFont="1" applyBorder="1" applyAlignment="1">
      <alignment horizontal="center" vertical="center"/>
    </xf>
    <xf numFmtId="164" fontId="33" fillId="0" borderId="67" xfId="0" applyNumberFormat="1" applyFont="1" applyBorder="1" applyAlignment="1">
      <alignment horizontal="right" vertical="center"/>
    </xf>
    <xf numFmtId="0" fontId="33" fillId="0" borderId="18" xfId="0" applyFont="1" applyBorder="1" applyAlignment="1">
      <alignment horizontal="right" vertical="center" wrapText="1"/>
    </xf>
    <xf numFmtId="164" fontId="33" fillId="0" borderId="8" xfId="0" applyNumberFormat="1" applyFont="1" applyBorder="1" applyAlignment="1">
      <alignment horizontal="right" vertical="center"/>
    </xf>
    <xf numFmtId="0" fontId="33" fillId="0" borderId="21" xfId="0" applyFont="1" applyBorder="1" applyAlignment="1">
      <alignment horizontal="right" vertical="center" wrapText="1"/>
    </xf>
    <xf numFmtId="164" fontId="33" fillId="0" borderId="69" xfId="0" applyNumberFormat="1" applyFont="1" applyBorder="1" applyAlignment="1">
      <alignment horizontal="right" vertical="center"/>
    </xf>
    <xf numFmtId="164" fontId="33" fillId="0" borderId="22" xfId="0" applyNumberFormat="1" applyFont="1" applyBorder="1" applyAlignment="1">
      <alignment horizontal="center" vertical="center"/>
    </xf>
    <xf numFmtId="164" fontId="33" fillId="0" borderId="22" xfId="0" applyNumberFormat="1" applyFont="1" applyBorder="1" applyAlignment="1">
      <alignment horizontal="right" vertical="center"/>
    </xf>
    <xf numFmtId="0" fontId="64" fillId="0" borderId="0" xfId="0" applyFont="1" applyAlignment="1">
      <alignment vertical="center"/>
    </xf>
    <xf numFmtId="0" fontId="35" fillId="0" borderId="0" xfId="0" applyFont="1" applyAlignment="1">
      <alignment horizontal="right" vertical="center"/>
    </xf>
    <xf numFmtId="0" fontId="16" fillId="3" borderId="1" xfId="0" applyFont="1" applyFill="1" applyBorder="1" applyAlignment="1">
      <alignment vertical="center"/>
    </xf>
    <xf numFmtId="0" fontId="66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67" fillId="0" borderId="2" xfId="0" applyFont="1" applyBorder="1" applyAlignment="1">
      <alignment vertical="center"/>
    </xf>
    <xf numFmtId="0" fontId="68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69" fillId="5" borderId="2" xfId="0" applyFont="1" applyFill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48" fillId="5" borderId="2" xfId="0" applyFont="1" applyFill="1" applyBorder="1" applyAlignment="1">
      <alignment vertical="center" wrapText="1"/>
    </xf>
    <xf numFmtId="0" fontId="48" fillId="5" borderId="2" xfId="0" applyFont="1" applyFill="1" applyBorder="1" applyAlignment="1">
      <alignment horizontal="left" vertical="center" wrapText="1"/>
    </xf>
    <xf numFmtId="0" fontId="48" fillId="5" borderId="2" xfId="0" applyFont="1" applyFill="1" applyBorder="1" applyAlignment="1">
      <alignment horizontal="left" vertical="center"/>
    </xf>
    <xf numFmtId="0" fontId="6" fillId="14" borderId="72" xfId="0" applyFont="1" applyFill="1" applyBorder="1" applyAlignment="1">
      <alignment horizontal="center"/>
    </xf>
    <xf numFmtId="0" fontId="10" fillId="14" borderId="73" xfId="0" applyFont="1" applyFill="1" applyBorder="1" applyAlignment="1">
      <alignment horizontal="center"/>
    </xf>
    <xf numFmtId="165" fontId="10" fillId="14" borderId="73" xfId="0" applyNumberFormat="1" applyFont="1" applyFill="1" applyBorder="1" applyAlignment="1">
      <alignment horizontal="center"/>
    </xf>
    <xf numFmtId="165" fontId="10" fillId="14" borderId="54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1" fillId="0" borderId="2" xfId="0" applyFont="1" applyBorder="1"/>
    <xf numFmtId="165" fontId="31" fillId="0" borderId="2" xfId="0" applyNumberFormat="1" applyFont="1" applyBorder="1" applyAlignment="1">
      <alignment horizontal="right"/>
    </xf>
    <xf numFmtId="0" fontId="31" fillId="0" borderId="2" xfId="0" applyFont="1" applyBorder="1" applyAlignment="1">
      <alignment horizontal="left" vertical="top"/>
    </xf>
    <xf numFmtId="49" fontId="31" fillId="0" borderId="2" xfId="0" applyNumberFormat="1" applyFont="1" applyBorder="1" applyAlignment="1">
      <alignment horizontal="left" vertical="top" wrapText="1"/>
    </xf>
    <xf numFmtId="0" fontId="31" fillId="0" borderId="2" xfId="0" applyFont="1" applyBorder="1" applyAlignment="1">
      <alignment horizontal="left"/>
    </xf>
    <xf numFmtId="0" fontId="31" fillId="0" borderId="8" xfId="0" applyFont="1" applyBorder="1"/>
    <xf numFmtId="0" fontId="72" fillId="0" borderId="2" xfId="0" applyFont="1" applyBorder="1"/>
    <xf numFmtId="0" fontId="31" fillId="0" borderId="8" xfId="0" applyFont="1" applyBorder="1" applyAlignment="1">
      <alignment wrapText="1"/>
    </xf>
    <xf numFmtId="0" fontId="72" fillId="0" borderId="2" xfId="0" applyFont="1" applyBorder="1" applyAlignment="1">
      <alignment horizontal="left" vertical="top" wrapText="1"/>
    </xf>
    <xf numFmtId="165" fontId="31" fillId="0" borderId="2" xfId="0" applyNumberFormat="1" applyFont="1" applyBorder="1"/>
    <xf numFmtId="0" fontId="31" fillId="0" borderId="0" xfId="0" applyFont="1"/>
    <xf numFmtId="165" fontId="2" fillId="0" borderId="0" xfId="0" applyNumberFormat="1" applyFont="1"/>
    <xf numFmtId="165" fontId="31" fillId="0" borderId="59" xfId="0" applyNumberFormat="1" applyFont="1" applyBorder="1"/>
    <xf numFmtId="0" fontId="73" fillId="5" borderId="4" xfId="0" applyFont="1" applyFill="1" applyBorder="1" applyAlignment="1">
      <alignment vertical="center"/>
    </xf>
    <xf numFmtId="164" fontId="38" fillId="0" borderId="9" xfId="0" applyNumberFormat="1" applyFont="1" applyBorder="1" applyAlignment="1">
      <alignment horizontal="center" vertical="center"/>
    </xf>
    <xf numFmtId="0" fontId="74" fillId="5" borderId="3" xfId="0" applyFont="1" applyFill="1" applyBorder="1" applyAlignment="1">
      <alignment horizontal="left" vertical="center"/>
    </xf>
    <xf numFmtId="0" fontId="75" fillId="5" borderId="2" xfId="0" applyFont="1" applyFill="1" applyBorder="1" applyAlignment="1">
      <alignment vertical="center"/>
    </xf>
    <xf numFmtId="49" fontId="35" fillId="0" borderId="0" xfId="0" applyNumberFormat="1" applyFont="1" applyAlignment="1">
      <alignment horizontal="right" vertical="center" wrapText="1"/>
    </xf>
    <xf numFmtId="0" fontId="76" fillId="0" borderId="0" xfId="0" applyFont="1" applyAlignment="1">
      <alignment vertical="center"/>
    </xf>
    <xf numFmtId="164" fontId="77" fillId="0" borderId="0" xfId="0" applyNumberFormat="1" applyFont="1" applyAlignment="1">
      <alignment horizontal="center" vertical="center"/>
    </xf>
    <xf numFmtId="164" fontId="78" fillId="0" borderId="0" xfId="0" applyNumberFormat="1" applyFont="1" applyAlignment="1">
      <alignment vertical="center"/>
    </xf>
    <xf numFmtId="0" fontId="79" fillId="5" borderId="2" xfId="0" applyFont="1" applyFill="1" applyBorder="1" applyAlignment="1">
      <alignment horizontal="left" vertical="center" wrapText="1"/>
    </xf>
    <xf numFmtId="0" fontId="80" fillId="5" borderId="2" xfId="0" applyFont="1" applyFill="1" applyBorder="1" applyAlignment="1">
      <alignment horizontal="left" vertical="center"/>
    </xf>
    <xf numFmtId="0" fontId="81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82" fillId="5" borderId="2" xfId="0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83" fillId="5" borderId="2" xfId="0" applyFont="1" applyFill="1" applyBorder="1" applyAlignment="1">
      <alignment vertical="center" wrapText="1"/>
    </xf>
    <xf numFmtId="0" fontId="81" fillId="5" borderId="2" xfId="0" applyFont="1" applyFill="1" applyBorder="1" applyAlignment="1">
      <alignment horizontal="left" vertical="center" wrapText="1"/>
    </xf>
    <xf numFmtId="164" fontId="10" fillId="0" borderId="0" xfId="0" applyNumberFormat="1" applyFont="1" applyAlignment="1">
      <alignment horizontal="center" vertical="center"/>
    </xf>
    <xf numFmtId="0" fontId="10" fillId="0" borderId="58" xfId="0" applyFont="1" applyBorder="1" applyAlignment="1">
      <alignment horizontal="left" vertical="center"/>
    </xf>
    <xf numFmtId="0" fontId="84" fillId="5" borderId="4" xfId="0" applyFont="1" applyFill="1" applyBorder="1" applyAlignment="1">
      <alignment vertical="center" wrapText="1"/>
    </xf>
    <xf numFmtId="0" fontId="85" fillId="5" borderId="4" xfId="0" applyFont="1" applyFill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86" fillId="5" borderId="3" xfId="0" applyFont="1" applyFill="1" applyBorder="1" applyAlignment="1">
      <alignment vertical="center"/>
    </xf>
    <xf numFmtId="0" fontId="2" fillId="0" borderId="0" xfId="0" applyFont="1" applyAlignment="1">
      <alignment horizontal="right"/>
    </xf>
    <xf numFmtId="0" fontId="94" fillId="3" borderId="74" xfId="1" applyFont="1" applyFill="1" applyBorder="1"/>
    <xf numFmtId="0" fontId="94" fillId="3" borderId="74" xfId="1" applyFont="1" applyFill="1" applyBorder="1" applyAlignment="1">
      <alignment horizontal="center"/>
    </xf>
    <xf numFmtId="0" fontId="1" fillId="2" borderId="74" xfId="0" applyFont="1" applyFill="1" applyBorder="1"/>
    <xf numFmtId="0" fontId="1" fillId="2" borderId="74" xfId="0" applyFont="1" applyFill="1" applyBorder="1" applyAlignment="1">
      <alignment horizontal="center"/>
    </xf>
    <xf numFmtId="0" fontId="93" fillId="3" borderId="74" xfId="1" applyFont="1" applyFill="1" applyBorder="1"/>
    <xf numFmtId="0" fontId="93" fillId="3" borderId="74" xfId="1" applyFont="1" applyFill="1" applyBorder="1" applyAlignment="1">
      <alignment horizontal="center"/>
    </xf>
    <xf numFmtId="0" fontId="3" fillId="3" borderId="74" xfId="1" applyFont="1" applyFill="1" applyBorder="1"/>
    <xf numFmtId="0" fontId="4" fillId="3" borderId="74" xfId="1" applyFont="1" applyFill="1" applyBorder="1" applyAlignment="1">
      <alignment horizontal="center"/>
    </xf>
    <xf numFmtId="0" fontId="3" fillId="3" borderId="74" xfId="1" applyFont="1" applyFill="1" applyBorder="1" applyAlignment="1">
      <alignment horizontal="center"/>
    </xf>
    <xf numFmtId="2" fontId="93" fillId="3" borderId="74" xfId="1" applyNumberFormat="1" applyFont="1" applyFill="1" applyBorder="1"/>
    <xf numFmtId="0" fontId="93" fillId="3" borderId="74" xfId="1" applyFont="1" applyFill="1" applyBorder="1" applyAlignment="1">
      <alignment wrapText="1"/>
    </xf>
    <xf numFmtId="0" fontId="94" fillId="3" borderId="74" xfId="1" applyFont="1" applyFill="1" applyBorder="1" applyAlignment="1">
      <alignment horizontal="center" wrapText="1"/>
    </xf>
    <xf numFmtId="0" fontId="93" fillId="0" borderId="74" xfId="1" applyFont="1" applyBorder="1"/>
    <xf numFmtId="0" fontId="93" fillId="0" borderId="74" xfId="1" applyFont="1" applyBorder="1" applyAlignment="1">
      <alignment horizontal="center"/>
    </xf>
    <xf numFmtId="49" fontId="93" fillId="0" borderId="74" xfId="1" applyNumberFormat="1" applyFont="1" applyBorder="1" applyAlignment="1">
      <alignment horizontal="left" vertical="top"/>
    </xf>
    <xf numFmtId="0" fontId="94" fillId="0" borderId="74" xfId="1" applyFont="1" applyBorder="1" applyAlignment="1">
      <alignment horizontal="center"/>
    </xf>
    <xf numFmtId="0" fontId="93" fillId="0" borderId="74" xfId="1" applyFont="1" applyBorder="1" applyAlignment="1">
      <alignment horizontal="left" vertical="top"/>
    </xf>
    <xf numFmtId="0" fontId="8" fillId="0" borderId="57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6" fillId="6" borderId="13" xfId="0" applyFont="1" applyFill="1" applyBorder="1" applyAlignment="1">
      <alignment horizontal="center" vertical="center"/>
    </xf>
    <xf numFmtId="0" fontId="17" fillId="0" borderId="14" xfId="0" applyFont="1" applyBorder="1"/>
    <xf numFmtId="0" fontId="17" fillId="0" borderId="15" xfId="0" applyFont="1" applyBorder="1"/>
    <xf numFmtId="0" fontId="16" fillId="6" borderId="13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center" vertical="center"/>
    </xf>
    <xf numFmtId="0" fontId="17" fillId="0" borderId="8" xfId="0" applyFont="1" applyBorder="1"/>
    <xf numFmtId="0" fontId="17" fillId="0" borderId="24" xfId="0" applyFont="1" applyBorder="1"/>
    <xf numFmtId="0" fontId="17" fillId="0" borderId="19" xfId="0" applyFont="1" applyBorder="1"/>
    <xf numFmtId="0" fontId="19" fillId="4" borderId="7" xfId="0" applyFont="1" applyFill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/>
    </xf>
    <xf numFmtId="0" fontId="19" fillId="6" borderId="49" xfId="0" applyFont="1" applyFill="1" applyBorder="1" applyAlignment="1">
      <alignment horizontal="center" vertical="center"/>
    </xf>
    <xf numFmtId="0" fontId="17" fillId="0" borderId="50" xfId="0" applyFont="1" applyBorder="1"/>
    <xf numFmtId="0" fontId="17" fillId="0" borderId="51" xfId="0" applyFont="1" applyBorder="1"/>
    <xf numFmtId="0" fontId="19" fillId="6" borderId="55" xfId="0" applyFont="1" applyFill="1" applyBorder="1" applyAlignment="1">
      <alignment horizontal="center" vertical="center" wrapText="1"/>
    </xf>
    <xf numFmtId="0" fontId="17" fillId="0" borderId="56" xfId="0" applyFont="1" applyBorder="1"/>
    <xf numFmtId="0" fontId="17" fillId="0" borderId="57" xfId="0" applyFont="1" applyBorder="1"/>
    <xf numFmtId="0" fontId="19" fillId="6" borderId="26" xfId="0" applyFont="1" applyFill="1" applyBorder="1" applyAlignment="1">
      <alignment horizontal="center" vertical="center"/>
    </xf>
    <xf numFmtId="0" fontId="17" fillId="0" borderId="27" xfId="0" applyFont="1" applyBorder="1"/>
    <xf numFmtId="0" fontId="17" fillId="0" borderId="28" xfId="0" applyFont="1" applyBorder="1"/>
    <xf numFmtId="0" fontId="19" fillId="6" borderId="29" xfId="0" applyFont="1" applyFill="1" applyBorder="1" applyAlignment="1">
      <alignment horizontal="center" vertical="center"/>
    </xf>
    <xf numFmtId="0" fontId="17" fillId="0" borderId="30" xfId="0" applyFont="1" applyBorder="1"/>
    <xf numFmtId="0" fontId="17" fillId="0" borderId="31" xfId="0" applyFont="1" applyBorder="1"/>
    <xf numFmtId="0" fontId="25" fillId="8" borderId="7" xfId="0" applyFont="1" applyFill="1" applyBorder="1" applyAlignment="1">
      <alignment horizontal="center" vertical="center" wrapText="1"/>
    </xf>
    <xf numFmtId="0" fontId="25" fillId="10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35" fillId="0" borderId="58" xfId="0" applyFont="1" applyBorder="1" applyAlignment="1">
      <alignment horizontal="right" vertical="center" wrapText="1"/>
    </xf>
    <xf numFmtId="0" fontId="17" fillId="0" borderId="59" xfId="0" applyFont="1" applyBorder="1"/>
    <xf numFmtId="0" fontId="17" fillId="0" borderId="9" xfId="0" applyFont="1" applyBorder="1"/>
    <xf numFmtId="49" fontId="6" fillId="13" borderId="7" xfId="0" applyNumberFormat="1" applyFont="1" applyFill="1" applyBorder="1" applyAlignment="1">
      <alignment horizontal="center" vertical="center" wrapText="1"/>
    </xf>
    <xf numFmtId="0" fontId="6" fillId="13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3" fillId="13" borderId="7" xfId="0" applyFont="1" applyFill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39" fillId="0" borderId="7" xfId="0" applyFont="1" applyBorder="1" applyAlignment="1">
      <alignment horizontal="left" vertical="center"/>
    </xf>
    <xf numFmtId="0" fontId="40" fillId="0" borderId="64" xfId="0" applyFont="1" applyBorder="1" applyAlignment="1">
      <alignment horizontal="center" vertical="center"/>
    </xf>
    <xf numFmtId="0" fontId="17" fillId="0" borderId="65" xfId="0" applyFont="1" applyBorder="1"/>
    <xf numFmtId="0" fontId="41" fillId="0" borderId="7" xfId="0" applyFont="1" applyBorder="1" applyAlignment="1">
      <alignment vertical="center"/>
    </xf>
    <xf numFmtId="0" fontId="38" fillId="0" borderId="7" xfId="0" applyFont="1" applyBorder="1" applyAlignment="1">
      <alignment horizontal="left" vertical="center"/>
    </xf>
    <xf numFmtId="0" fontId="54" fillId="5" borderId="58" xfId="0" applyFont="1" applyFill="1" applyBorder="1" applyAlignment="1">
      <alignment horizontal="left" vertical="center"/>
    </xf>
    <xf numFmtId="0" fontId="50" fillId="5" borderId="58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45" fillId="5" borderId="58" xfId="0" applyFont="1" applyFill="1" applyBorder="1" applyAlignment="1">
      <alignment horizontal="left" vertical="center"/>
    </xf>
    <xf numFmtId="0" fontId="47" fillId="5" borderId="58" xfId="0" applyFont="1" applyFill="1" applyBorder="1" applyAlignment="1">
      <alignment horizontal="left" vertical="center" wrapText="1"/>
    </xf>
    <xf numFmtId="0" fontId="17" fillId="0" borderId="66" xfId="0" applyFont="1" applyBorder="1"/>
    <xf numFmtId="0" fontId="10" fillId="0" borderId="7" xfId="0" applyFont="1" applyBorder="1" applyAlignment="1">
      <alignment horizontal="left" vertical="center"/>
    </xf>
    <xf numFmtId="49" fontId="33" fillId="13" borderId="55" xfId="0" applyNumberFormat="1" applyFont="1" applyFill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left" vertical="center"/>
    </xf>
    <xf numFmtId="49" fontId="33" fillId="13" borderId="26" xfId="0" applyNumberFormat="1" applyFont="1" applyFill="1" applyBorder="1" applyAlignment="1">
      <alignment horizontal="center" vertical="center" wrapText="1"/>
    </xf>
    <xf numFmtId="0" fontId="35" fillId="0" borderId="47" xfId="0" applyFont="1" applyBorder="1" applyAlignment="1">
      <alignment horizontal="right" vertical="center" wrapText="1"/>
    </xf>
    <xf numFmtId="0" fontId="17" fillId="0" borderId="68" xfId="0" applyFont="1" applyBorder="1"/>
    <xf numFmtId="0" fontId="17" fillId="0" borderId="70" xfId="0" applyFont="1" applyBorder="1"/>
    <xf numFmtId="49" fontId="33" fillId="13" borderId="7" xfId="0" applyNumberFormat="1" applyFont="1" applyFill="1" applyBorder="1" applyAlignment="1">
      <alignment horizontal="center" vertical="center" wrapText="1"/>
    </xf>
    <xf numFmtId="0" fontId="65" fillId="15" borderId="7" xfId="0" applyFont="1" applyFill="1" applyBorder="1" applyAlignment="1">
      <alignment horizontal="left" vertical="center"/>
    </xf>
    <xf numFmtId="164" fontId="38" fillId="0" borderId="7" xfId="0" applyNumberFormat="1" applyFont="1" applyBorder="1" applyAlignment="1">
      <alignment horizontal="center" vertical="center"/>
    </xf>
    <xf numFmtId="0" fontId="71" fillId="0" borderId="7" xfId="0" applyFont="1" applyBorder="1" applyAlignment="1">
      <alignment horizontal="center"/>
    </xf>
    <xf numFmtId="0" fontId="70" fillId="0" borderId="71" xfId="0" applyFont="1" applyBorder="1" applyAlignment="1">
      <alignment horizontal="center" vertical="center"/>
    </xf>
    <xf numFmtId="0" fontId="17" fillId="0" borderId="71" xfId="0" applyFont="1" applyBorder="1"/>
    <xf numFmtId="0" fontId="71" fillId="0" borderId="11" xfId="0" applyFont="1" applyBorder="1" applyAlignment="1">
      <alignment horizontal="center"/>
    </xf>
    <xf numFmtId="0" fontId="17" fillId="0" borderId="12" xfId="0" applyFont="1" applyBorder="1"/>
    <xf numFmtId="0" fontId="17" fillId="0" borderId="10" xfId="0" applyFont="1" applyBorder="1"/>
    <xf numFmtId="0" fontId="2" fillId="0" borderId="7" xfId="0" applyFont="1" applyBorder="1" applyAlignment="1">
      <alignment horizontal="center" vertical="center"/>
    </xf>
    <xf numFmtId="164" fontId="38" fillId="0" borderId="58" xfId="0" applyNumberFormat="1" applyFont="1" applyBorder="1" applyAlignment="1">
      <alignment horizontal="center" vertical="center"/>
    </xf>
  </cellXfs>
  <cellStyles count="2">
    <cellStyle name="Обычный" xfId="0" builtinId="0"/>
    <cellStyle name="Обычный 2" xfId="1" xr:uid="{D96528CA-63AC-4883-81CB-FC8DF31F1773}"/>
  </cellStyles>
  <dxfs count="5"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0</xdr:row>
      <xdr:rowOff>0</xdr:rowOff>
    </xdr:from>
    <xdr:ext cx="1304925" cy="4381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1171575</xdr:colOff>
      <xdr:row>0</xdr:row>
      <xdr:rowOff>0</xdr:rowOff>
    </xdr:from>
    <xdr:ext cx="514350" cy="5143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1600200</xdr:colOff>
      <xdr:row>0</xdr:row>
      <xdr:rowOff>0</xdr:rowOff>
    </xdr:from>
    <xdr:ext cx="2276475" cy="45720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76200</xdr:colOff>
      <xdr:row>0</xdr:row>
      <xdr:rowOff>0</xdr:rowOff>
    </xdr:from>
    <xdr:ext cx="2619375" cy="457200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2971800</xdr:colOff>
      <xdr:row>0</xdr:row>
      <xdr:rowOff>0</xdr:rowOff>
    </xdr:from>
    <xdr:ext cx="1771650" cy="43815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1057275</xdr:colOff>
      <xdr:row>0</xdr:row>
      <xdr:rowOff>0</xdr:rowOff>
    </xdr:from>
    <xdr:ext cx="2028825" cy="457200"/>
    <xdr:pic>
      <xdr:nvPicPr>
        <xdr:cNvPr id="2" name="image6.png" title="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771525</xdr:colOff>
      <xdr:row>0</xdr:row>
      <xdr:rowOff>0</xdr:rowOff>
    </xdr:from>
    <xdr:ext cx="971550" cy="438150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562350" cy="457200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0</xdr:row>
      <xdr:rowOff>85725</xdr:rowOff>
    </xdr:from>
    <xdr:ext cx="4000500" cy="257175"/>
    <xdr:pic>
      <xdr:nvPicPr>
        <xdr:cNvPr id="2" name="image9.png" title="Imag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19275" cy="457200"/>
    <xdr:pic>
      <xdr:nvPicPr>
        <xdr:cNvPr id="2" name="image10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47800" cy="457200"/>
    <xdr:pic>
      <xdr:nvPicPr>
        <xdr:cNvPr id="2" name="image15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2114550</xdr:colOff>
      <xdr:row>0</xdr:row>
      <xdr:rowOff>0</xdr:rowOff>
    </xdr:from>
    <xdr:ext cx="2771775" cy="419100"/>
    <xdr:pic>
      <xdr:nvPicPr>
        <xdr:cNvPr id="2" name="image11.png" title="Im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2019300</xdr:colOff>
      <xdr:row>0</xdr:row>
      <xdr:rowOff>0</xdr:rowOff>
    </xdr:from>
    <xdr:ext cx="2381250" cy="409575"/>
    <xdr:pic>
      <xdr:nvPicPr>
        <xdr:cNvPr id="2" name="image13.png" title="Imag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2266950</xdr:colOff>
      <xdr:row>0</xdr:row>
      <xdr:rowOff>0</xdr:rowOff>
    </xdr:from>
    <xdr:ext cx="1790700" cy="457200"/>
    <xdr:pic>
      <xdr:nvPicPr>
        <xdr:cNvPr id="2" name="image12.png" title="Imag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533400</xdr:colOff>
      <xdr:row>0</xdr:row>
      <xdr:rowOff>0</xdr:rowOff>
    </xdr:from>
    <xdr:ext cx="1971675" cy="447675"/>
    <xdr:pic>
      <xdr:nvPicPr>
        <xdr:cNvPr id="2" name="image14.png" title="Imag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1476375</xdr:colOff>
      <xdr:row>0</xdr:row>
      <xdr:rowOff>0</xdr:rowOff>
    </xdr:from>
    <xdr:ext cx="781050" cy="438150"/>
    <xdr:pic>
      <xdr:nvPicPr>
        <xdr:cNvPr id="2" name="image20.png" title="Image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2371725</xdr:colOff>
      <xdr:row>0</xdr:row>
      <xdr:rowOff>0</xdr:rowOff>
    </xdr:from>
    <xdr:ext cx="2628900" cy="409575"/>
    <xdr:pic>
      <xdr:nvPicPr>
        <xdr:cNvPr id="2" name="image16.png" title="Image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923925</xdr:colOff>
      <xdr:row>0</xdr:row>
      <xdr:rowOff>0</xdr:rowOff>
    </xdr:from>
    <xdr:ext cx="1876425" cy="409575"/>
    <xdr:pic>
      <xdr:nvPicPr>
        <xdr:cNvPr id="2" name="image17.png" title="Image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0</xdr:rowOff>
    </xdr:from>
    <xdr:ext cx="1790700" cy="457200"/>
    <xdr:pic>
      <xdr:nvPicPr>
        <xdr:cNvPr id="2" name="image18.png" title="Image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50</xdr:row>
      <xdr:rowOff>0</xdr:rowOff>
    </xdr:from>
    <xdr:ext cx="409575" cy="400050"/>
    <xdr:sp macro="" textlink="">
      <xdr:nvSpPr>
        <xdr:cNvPr id="3" name="Shape 3" descr="https://aerocool.io/wp-content/uploads/2019/07/Cylon4-Infographic700x700-01-150x150.jpg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5145975" y="3584738"/>
          <a:ext cx="40005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2190750</xdr:colOff>
      <xdr:row>0</xdr:row>
      <xdr:rowOff>0</xdr:rowOff>
    </xdr:from>
    <xdr:ext cx="1123950" cy="514350"/>
    <xdr:pic>
      <xdr:nvPicPr>
        <xdr:cNvPr id="2" name="image19.png" title="Image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419100" cy="476250"/>
    <xdr:sp macro="" textlink="">
      <xdr:nvSpPr>
        <xdr:cNvPr id="4" name="Shape 4" descr="https://thunderx3.com/wp-content/uploads/2018/10/ThunderX3-BC1-Camo-Gaming-Chair-TALL-DAY-COMFORT.png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5141213" y="3546638"/>
          <a:ext cx="409575" cy="466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4800600" cy="4886325"/>
    <xdr:sp macro="" textlink="">
      <xdr:nvSpPr>
        <xdr:cNvPr id="5" name="Shape 5" descr="https://cdn.cplonline.com.au/media/description/GAM-AER-UC5BK/ThunderX3-UC5-Gaming-Chair-Arm-Rest-600x400.png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/>
      </xdr:nvSpPr>
      <xdr:spPr>
        <a:xfrm>
          <a:off x="2950463" y="1341600"/>
          <a:ext cx="4791075" cy="4876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419100" cy="485775"/>
    <xdr:sp macro="" textlink="">
      <xdr:nvSpPr>
        <xdr:cNvPr id="6" name="Shape 6" descr="https://thunderx3.com/wp-content/uploads/2018/10/ThunderX3-BC1-Camo-Gaming-Chair-TALL-DAY-COMFORT.png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SpPr/>
      </xdr:nvSpPr>
      <xdr:spPr>
        <a:xfrm>
          <a:off x="5141213" y="3541875"/>
          <a:ext cx="409575" cy="476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</xdr:row>
      <xdr:rowOff>0</xdr:rowOff>
    </xdr:from>
    <xdr:ext cx="4686300" cy="5476875"/>
    <xdr:sp macro="" textlink="">
      <xdr:nvSpPr>
        <xdr:cNvPr id="7" name="Shape 7" descr="https://cdn.cplonline.com.au/media/description/GAM-AER-UC5BK/ThunderX3-UC5-Gaming-Chair-Arm-Rest-600x400.png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SpPr/>
      </xdr:nvSpPr>
      <xdr:spPr>
        <a:xfrm>
          <a:off x="3007613" y="1046325"/>
          <a:ext cx="4676775" cy="5467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419100" cy="981075"/>
    <xdr:sp macro="" textlink="">
      <xdr:nvSpPr>
        <xdr:cNvPr id="8" name="Shape 8" descr="Aerocool logo with R-white backgroung - EnosTech.com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SpPr/>
      </xdr:nvSpPr>
      <xdr:spPr>
        <a:xfrm>
          <a:off x="5141213" y="3294225"/>
          <a:ext cx="409575" cy="971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409575" cy="419100"/>
    <xdr:sp macro="" textlink="">
      <xdr:nvSpPr>
        <xdr:cNvPr id="9" name="Shape 9" descr="https://thunderx3.com/wp-content/uploads/2018/10/ThunderX3-BC1-Camo-Gaming-Chair-TALL-DAY-COMFORT.png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SpPr/>
      </xdr:nvSpPr>
      <xdr:spPr>
        <a:xfrm>
          <a:off x="5145975" y="3575213"/>
          <a:ext cx="400050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</xdr:row>
      <xdr:rowOff>0</xdr:rowOff>
    </xdr:from>
    <xdr:ext cx="4867275" cy="3067050"/>
    <xdr:sp macro="" textlink="">
      <xdr:nvSpPr>
        <xdr:cNvPr id="10" name="Shape 10" descr="https://cdn.cplonline.com.au/media/description/GAM-AER-UC5BK/ThunderX3-UC5-Gaming-Chair-Arm-Rest-600x400.png">
          <a:extLst>
            <a:ext uri="{FF2B5EF4-FFF2-40B4-BE49-F238E27FC236}">
              <a16:creationId xmlns:a16="http://schemas.microsoft.com/office/drawing/2014/main" id="{00000000-0008-0000-1D00-00000A000000}"/>
            </a:ext>
          </a:extLst>
        </xdr:cNvPr>
        <xdr:cNvSpPr/>
      </xdr:nvSpPr>
      <xdr:spPr>
        <a:xfrm>
          <a:off x="2917125" y="2251238"/>
          <a:ext cx="4857750" cy="3057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409575" cy="419100"/>
    <xdr:sp macro="" textlink="">
      <xdr:nvSpPr>
        <xdr:cNvPr id="2" name="Shape 9" descr="https://thunderx3.com/wp-content/uploads/2018/10/ThunderX3-BC1-Camo-Gaming-Chair-TALL-DAY-COMFORT.png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5145975" y="3575213"/>
          <a:ext cx="400050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723900</xdr:colOff>
      <xdr:row>0</xdr:row>
      <xdr:rowOff>0</xdr:rowOff>
    </xdr:from>
    <xdr:ext cx="666750" cy="514350"/>
    <xdr:pic>
      <xdr:nvPicPr>
        <xdr:cNvPr id="2" name="image21.png" title="Image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0</xdr:row>
      <xdr:rowOff>0</xdr:rowOff>
    </xdr:from>
    <xdr:ext cx="1685925" cy="1038225"/>
    <xdr:pic>
      <xdr:nvPicPr>
        <xdr:cNvPr id="2" name="image23.jpg" title="Image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190500</xdr:colOff>
      <xdr:row>0</xdr:row>
      <xdr:rowOff>0</xdr:rowOff>
    </xdr:from>
    <xdr:ext cx="2447925" cy="428625"/>
    <xdr:pic>
      <xdr:nvPicPr>
        <xdr:cNvPr id="2" name="image24.png" title="Image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190500</xdr:colOff>
      <xdr:row>0</xdr:row>
      <xdr:rowOff>0</xdr:rowOff>
    </xdr:from>
    <xdr:ext cx="2162175" cy="514350"/>
    <xdr:pic>
      <xdr:nvPicPr>
        <xdr:cNvPr id="2" name="image22.png" title="Image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1400175</xdr:colOff>
      <xdr:row>0</xdr:row>
      <xdr:rowOff>0</xdr:rowOff>
    </xdr:from>
    <xdr:ext cx="1981200" cy="419100"/>
    <xdr:pic>
      <xdr:nvPicPr>
        <xdr:cNvPr id="2" name="image25.png" title="Image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1438275</xdr:colOff>
      <xdr:row>0</xdr:row>
      <xdr:rowOff>0</xdr:rowOff>
    </xdr:from>
    <xdr:ext cx="2524125" cy="428625"/>
    <xdr:pic>
      <xdr:nvPicPr>
        <xdr:cNvPr id="2" name="image26.png" title="Image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3105150</xdr:colOff>
      <xdr:row>0</xdr:row>
      <xdr:rowOff>0</xdr:rowOff>
    </xdr:from>
    <xdr:ext cx="4019550" cy="514350"/>
    <xdr:pic>
      <xdr:nvPicPr>
        <xdr:cNvPr id="2" name="image27.png" title="Image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https://ru.thermaltake.com/view-71-tempered-glass-rgb-edition.html" TargetMode="External"/><Relationship Id="rId13" Type="http://schemas.openxmlformats.org/officeDocument/2006/relationships/hyperlink" Target="https://www.thermaltake.com/u-fit-black-red-gaming-chair.html" TargetMode="External"/><Relationship Id="rId3" Type="http://schemas.openxmlformats.org/officeDocument/2006/relationships/hyperlink" Target="https://ru.thermaltake.com/s250-tg-argb-snow-mid-tower-chassis.html" TargetMode="External"/><Relationship Id="rId7" Type="http://schemas.openxmlformats.org/officeDocument/2006/relationships/hyperlink" Target="https://www.thermaltake.com/view-71-tempered-glass-edition.html" TargetMode="External"/><Relationship Id="rId12" Type="http://schemas.openxmlformats.org/officeDocument/2006/relationships/hyperlink" Target="https://ru.thermaltake.com/the-tower-600-hydrangea-blue-mid-tower-chassis.html" TargetMode="External"/><Relationship Id="rId2" Type="http://schemas.openxmlformats.org/officeDocument/2006/relationships/hyperlink" Target="https://ru.thermaltake.com/versa-j24-tempered-glass-rgb-edition.html" TargetMode="External"/><Relationship Id="rId16" Type="http://schemas.openxmlformats.org/officeDocument/2006/relationships/drawing" Target="../drawings/drawing17.xml"/><Relationship Id="rId1" Type="http://schemas.openxmlformats.org/officeDocument/2006/relationships/hyperlink" Target="https://www.thermaltake.com/toughpower-sfx-1000w-gold-tt-premium-edition.html" TargetMode="External"/><Relationship Id="rId6" Type="http://schemas.openxmlformats.org/officeDocument/2006/relationships/hyperlink" Target="https://ru.thermaltake.com/view-51-tempered-glass-argb-snow-edition.html" TargetMode="External"/><Relationship Id="rId11" Type="http://schemas.openxmlformats.org/officeDocument/2006/relationships/hyperlink" Target="https://ru.thermaltake.com/divider-550-tg-ultra-mid-tower-chassis.html" TargetMode="External"/><Relationship Id="rId5" Type="http://schemas.openxmlformats.org/officeDocument/2006/relationships/hyperlink" Target="https://ru.thermaltake.com/commander-c34-tg-argb-edition-1.html" TargetMode="External"/><Relationship Id="rId15" Type="http://schemas.openxmlformats.org/officeDocument/2006/relationships/hyperlink" Target="https://ru.thermaltake.com/v-comfort-black-red-gaming-chair.html" TargetMode="External"/><Relationship Id="rId10" Type="http://schemas.openxmlformats.org/officeDocument/2006/relationships/hyperlink" Target="https://www.thermaltake.com/divider-500-tg-air-snow-mid-tower-chassis.html" TargetMode="External"/><Relationship Id="rId4" Type="http://schemas.openxmlformats.org/officeDocument/2006/relationships/hyperlink" Target="https://ru.thermaltake.com/a500-aluminum-tempered-glass-edition-mid-tower-chassis.html" TargetMode="External"/><Relationship Id="rId9" Type="http://schemas.openxmlformats.org/officeDocument/2006/relationships/hyperlink" Target="https://ru.thermaltake.com/view-71-tempered-glass-snow-edition.html" TargetMode="External"/><Relationship Id="rId14" Type="http://schemas.openxmlformats.org/officeDocument/2006/relationships/hyperlink" Target="https://ru.thermaltake.com/u-comfort-black-red-gaming-chair.html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onsbo.com/en/products/UMX6.html" TargetMode="External"/><Relationship Id="rId13" Type="http://schemas.openxmlformats.org/officeDocument/2006/relationships/hyperlink" Target="https://www.jonsbo.com/en/products/TF240ARGB.html" TargetMode="External"/><Relationship Id="rId3" Type="http://schemas.openxmlformats.org/officeDocument/2006/relationships/hyperlink" Target="https://www.jonsbo.com/en/products/u5black.html" TargetMode="External"/><Relationship Id="rId7" Type="http://schemas.openxmlformats.org/officeDocument/2006/relationships/hyperlink" Target="https://www.jonsbo.com/en/products/a4black.html" TargetMode="External"/><Relationship Id="rId12" Type="http://schemas.openxmlformats.org/officeDocument/2006/relationships/hyperlink" Target="https://www.jonsbo.com/en/products/SHADOW240ARGBPLUS.html" TargetMode="External"/><Relationship Id="rId2" Type="http://schemas.openxmlformats.org/officeDocument/2006/relationships/hyperlink" Target="https://www.jonsbo.com/en/products/D40.html" TargetMode="External"/><Relationship Id="rId1" Type="http://schemas.openxmlformats.org/officeDocument/2006/relationships/hyperlink" Target="https://www.jonsbo.com/en/products/D40.html" TargetMode="External"/><Relationship Id="rId6" Type="http://schemas.openxmlformats.org/officeDocument/2006/relationships/hyperlink" Target="https://www.jonsbo.com/en/products/umx4silver.html" TargetMode="External"/><Relationship Id="rId11" Type="http://schemas.openxmlformats.org/officeDocument/2006/relationships/hyperlink" Target="https://www.jonsbo.com/en/product/AIOLiquidRadiator/ShadowSeries.html" TargetMode="External"/><Relationship Id="rId5" Type="http://schemas.openxmlformats.org/officeDocument/2006/relationships/hyperlink" Target="https://www.jonsbo.com/en/products/umx4black.html" TargetMode="External"/><Relationship Id="rId15" Type="http://schemas.openxmlformats.org/officeDocument/2006/relationships/drawing" Target="../drawings/drawing18.xml"/><Relationship Id="rId10" Type="http://schemas.openxmlformats.org/officeDocument/2006/relationships/hyperlink" Target="https://www.jonsbo.com/en/products/CR1200E.html" TargetMode="External"/><Relationship Id="rId4" Type="http://schemas.openxmlformats.org/officeDocument/2006/relationships/hyperlink" Target="https://www.jonsbo.com/en/products/u5silver.html" TargetMode="External"/><Relationship Id="rId9" Type="http://schemas.openxmlformats.org/officeDocument/2006/relationships/hyperlink" Target="https://www.jonsbo.com/en/products/CR1200E.html" TargetMode="External"/><Relationship Id="rId14" Type="http://schemas.openxmlformats.org/officeDocument/2006/relationships/hyperlink" Target="https://www.jonsbo.com/en/products/TF360ARGB.html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1.xml"/><Relationship Id="rId3" Type="http://schemas.openxmlformats.org/officeDocument/2006/relationships/hyperlink" Target="https://en.sharkoon.com/product/32969" TargetMode="External"/><Relationship Id="rId7" Type="http://schemas.openxmlformats.org/officeDocument/2006/relationships/hyperlink" Target="https://www.dxracer.com/products/gaming-chairs/prince?sku=GC/LPF132LTC/NW" TargetMode="External"/><Relationship Id="rId2" Type="http://schemas.openxmlformats.org/officeDocument/2006/relationships/hyperlink" Target="https://en.sharkoon.com/product/32938" TargetMode="External"/><Relationship Id="rId1" Type="http://schemas.openxmlformats.org/officeDocument/2006/relationships/hyperlink" Target="https://en.sharkoon.com/product/ELBRUS1" TargetMode="External"/><Relationship Id="rId6" Type="http://schemas.openxmlformats.org/officeDocument/2006/relationships/hyperlink" Target="https://www.msi.com/Gaming-Gear/MAG-CH120-X" TargetMode="External"/><Relationship Id="rId5" Type="http://schemas.openxmlformats.org/officeDocument/2006/relationships/hyperlink" Target="https://www.msi.com/Gaming-Gear/MAG-CH120-I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www.msi.com/Gaming-Gear/MAG-CH120" TargetMode="External"/><Relationship Id="rId9" Type="http://schemas.openxmlformats.org/officeDocument/2006/relationships/vmlDrawing" Target="../drawings/vmlDrawing1.v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olermaster.com/en-global/products/cosmos-c700m/?tab=tech_spec" TargetMode="External"/><Relationship Id="rId2" Type="http://schemas.openxmlformats.org/officeDocument/2006/relationships/hyperlink" Target="https://www.coolermaster.com/en-global/products/cmp-510/?tab=tech_spec" TargetMode="External"/><Relationship Id="rId1" Type="http://schemas.openxmlformats.org/officeDocument/2006/relationships/hyperlink" Target="https://www.coolermaster.com/en-global/products/mwe-gold-1250-v2-full-modular/" TargetMode="External"/><Relationship Id="rId6" Type="http://schemas.openxmlformats.org/officeDocument/2006/relationships/drawing" Target="../drawings/drawing22.xml"/><Relationship Id="rId5" Type="http://schemas.openxmlformats.org/officeDocument/2006/relationships/hyperlink" Target="https://www.coolermaster.com/en-global/products/masterframe-700/?tab=tech_spec" TargetMode="External"/><Relationship Id="rId4" Type="http://schemas.openxmlformats.org/officeDocument/2006/relationships/hyperlink" Target="https://www.coolermaster.com/en-global/products/cosmos-c700p-black-edition/?tab=tech_spec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https://en.fenda.com/index.php/Home/Article/detail/value/Overview/id/Overview.html?name=F590X" TargetMode="External"/><Relationship Id="rId13" Type="http://schemas.openxmlformats.org/officeDocument/2006/relationships/hyperlink" Target="https://en.fenda.com/index.php/Home/Article/detail/id/492.html" TargetMode="External"/><Relationship Id="rId3" Type="http://schemas.openxmlformats.org/officeDocument/2006/relationships/hyperlink" Target="https://fd-audio.com/ru/akustika-2-1-fenda-a111x" TargetMode="External"/><Relationship Id="rId7" Type="http://schemas.openxmlformats.org/officeDocument/2006/relationships/hyperlink" Target="https://en.fenda.com/index.php/Home/Article/detail/id/538.html" TargetMode="External"/><Relationship Id="rId12" Type="http://schemas.openxmlformats.org/officeDocument/2006/relationships/hyperlink" Target="https://en.fenda.com/index.php/Home/Article/detail/value/Overview/id/Overview.html?name=PA200" TargetMode="External"/><Relationship Id="rId2" Type="http://schemas.openxmlformats.org/officeDocument/2006/relationships/hyperlink" Target="https://en.fenda.com/index.php/Home/Article/detail/value/Overview/id/Overview.html?name=T-60X%20Pro" TargetMode="External"/><Relationship Id="rId1" Type="http://schemas.openxmlformats.org/officeDocument/2006/relationships/hyperlink" Target="https://en.fenda.com/index.php/Home/Article/detail/id/516.html" TargetMode="External"/><Relationship Id="rId6" Type="http://schemas.openxmlformats.org/officeDocument/2006/relationships/hyperlink" Target="https://en.fenda.com/index.php/Home/Article/detail/id/534.html" TargetMode="External"/><Relationship Id="rId11" Type="http://schemas.openxmlformats.org/officeDocument/2006/relationships/hyperlink" Target="https://en.fenda.com/index.php/Home/Article/detail/value/Overview/id/Overview.html?name=HT-500DA" TargetMode="External"/><Relationship Id="rId5" Type="http://schemas.openxmlformats.org/officeDocument/2006/relationships/hyperlink" Target="https://en.fenda.com/index.php/Home/Article/detail/id/499.html" TargetMode="External"/><Relationship Id="rId10" Type="http://schemas.openxmlformats.org/officeDocument/2006/relationships/hyperlink" Target="https://en.fenda.com/index.php/Home/Article/detail/value/Overview/id/Overview.html?name=HT-350" TargetMode="External"/><Relationship Id="rId4" Type="http://schemas.openxmlformats.org/officeDocument/2006/relationships/hyperlink" Target="https://en.fenda.com/index.php/Home/Article/detail/id/502.html" TargetMode="External"/><Relationship Id="rId9" Type="http://schemas.openxmlformats.org/officeDocument/2006/relationships/hyperlink" Target="https://en.fenda.com/index.php/Home/Article/detail/id/512.html" TargetMode="External"/><Relationship Id="rId14" Type="http://schemas.openxmlformats.org/officeDocument/2006/relationships/drawing" Target="../drawings/drawing25.xml"/></Relationships>
</file>

<file path=xl/worksheets/_rels/sheet3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difier.com/global/p/bookshelf-speakers/r1080bt" TargetMode="External"/><Relationship Id="rId18" Type="http://schemas.openxmlformats.org/officeDocument/2006/relationships/hyperlink" Target="https://www.edifier.ru/shop/speakers/r1580mb/" TargetMode="External"/><Relationship Id="rId26" Type="http://schemas.openxmlformats.org/officeDocument/2006/relationships/hyperlink" Target="https://www.edifier.ru/shop/speakers/s3000mkii/" TargetMode="External"/><Relationship Id="rId39" Type="http://schemas.openxmlformats.org/officeDocument/2006/relationships/hyperlink" Target="https://edifier.com.my/product/edifier-a3-8s/?srsltid=AfmBOooPXu7n2lEGXPn9QZ5E6q5mvEUDEccBqtZM9QdjqlrjAatQoMio" TargetMode="External"/><Relationship Id="rId21" Type="http://schemas.openxmlformats.org/officeDocument/2006/relationships/hyperlink" Target="https://www.edifier.ru/shop/speakers/r2750db/" TargetMode="External"/><Relationship Id="rId34" Type="http://schemas.openxmlformats.org/officeDocument/2006/relationships/hyperlink" Target="https://www.edifier.com/global/p/gaming-speakers/g1500-max" TargetMode="External"/><Relationship Id="rId42" Type="http://schemas.openxmlformats.org/officeDocument/2006/relationships/hyperlink" Target="https://www.edifier.com/global/p/wired-headphones/cc100" TargetMode="External"/><Relationship Id="rId47" Type="http://schemas.openxmlformats.org/officeDocument/2006/relationships/hyperlink" Target="https://www.edifier.com/global/p/over-ear-on-ear-headphones/w800bt-se" TargetMode="External"/><Relationship Id="rId50" Type="http://schemas.openxmlformats.org/officeDocument/2006/relationships/hyperlink" Target="https://www.edifier.com/global/p/over-ear-on-ear-headphones/es850nb" TargetMode="External"/><Relationship Id="rId7" Type="http://schemas.openxmlformats.org/officeDocument/2006/relationships/hyperlink" Target="https://www.edifier.ru/shop/speakers/m60/" TargetMode="External"/><Relationship Id="rId2" Type="http://schemas.openxmlformats.org/officeDocument/2006/relationships/hyperlink" Target="https://www.edifier.ru/shop/speakers/qd35/" TargetMode="External"/><Relationship Id="rId16" Type="http://schemas.openxmlformats.org/officeDocument/2006/relationships/hyperlink" Target="https://www.edifier.ru/shop/speakers/r1280dbs/" TargetMode="External"/><Relationship Id="rId29" Type="http://schemas.openxmlformats.org/officeDocument/2006/relationships/hyperlink" Target="https://www.edifier.ru/shop/speakers/cx7/" TargetMode="External"/><Relationship Id="rId11" Type="http://schemas.openxmlformats.org/officeDocument/2006/relationships/hyperlink" Target="https://www.edifier.ru/shop/speakers/r990bt/" TargetMode="External"/><Relationship Id="rId24" Type="http://schemas.openxmlformats.org/officeDocument/2006/relationships/hyperlink" Target="https://www.edifier.ru/shop/speakers/s1000w/" TargetMode="External"/><Relationship Id="rId32" Type="http://schemas.openxmlformats.org/officeDocument/2006/relationships/hyperlink" Target="https://www.edifier.com/global/p/gaming-speakers/g1500-bar" TargetMode="External"/><Relationship Id="rId37" Type="http://schemas.openxmlformats.org/officeDocument/2006/relationships/hyperlink" Target="https://www.edifier.com/global/p/subwoofers/t5s" TargetMode="External"/><Relationship Id="rId40" Type="http://schemas.openxmlformats.org/officeDocument/2006/relationships/hyperlink" Target="https://www.edifier.com/global/p/wired-headphones/k550" TargetMode="External"/><Relationship Id="rId45" Type="http://schemas.openxmlformats.org/officeDocument/2006/relationships/hyperlink" Target="https://www.edifier.com/global/p/true-wireless-earbuds/neobuds-pro-3" TargetMode="External"/><Relationship Id="rId53" Type="http://schemas.openxmlformats.org/officeDocument/2006/relationships/drawing" Target="../drawings/drawing26.xml"/><Relationship Id="rId5" Type="http://schemas.openxmlformats.org/officeDocument/2006/relationships/hyperlink" Target="https://www.edifier.com/global/p/computer-speakers/r19bt" TargetMode="External"/><Relationship Id="rId10" Type="http://schemas.openxmlformats.org/officeDocument/2006/relationships/hyperlink" Target="https://www.edifier.ru/shop/speakers/mr5/" TargetMode="External"/><Relationship Id="rId19" Type="http://schemas.openxmlformats.org/officeDocument/2006/relationships/hyperlink" Target="https://www.edifier.ru/shop/speakers/r1855db/" TargetMode="External"/><Relationship Id="rId31" Type="http://schemas.openxmlformats.org/officeDocument/2006/relationships/hyperlink" Target="https://www.edifier.com/global/p/computer-speakers/mg300" TargetMode="External"/><Relationship Id="rId44" Type="http://schemas.openxmlformats.org/officeDocument/2006/relationships/hyperlink" Target="https://www.edifier.com/global/p/true-wireless-earbuds/neodots" TargetMode="External"/><Relationship Id="rId52" Type="http://schemas.openxmlformats.org/officeDocument/2006/relationships/hyperlink" Target="https://www.edifier.ru/shop/accessories/stoyki-ss03-pod-akusticheskuyu-sistemu-s3000-pro/" TargetMode="External"/><Relationship Id="rId4" Type="http://schemas.openxmlformats.org/officeDocument/2006/relationships/hyperlink" Target="https://www.edifier.com/global/p/computer-speakers/r12u" TargetMode="External"/><Relationship Id="rId9" Type="http://schemas.openxmlformats.org/officeDocument/2006/relationships/hyperlink" Target="https://www.edifier.ru/shop/speakers/mr3/" TargetMode="External"/><Relationship Id="rId14" Type="http://schemas.openxmlformats.org/officeDocument/2006/relationships/hyperlink" Target="https://www.edifier.ru/shop/speakers/r1700bts/" TargetMode="External"/><Relationship Id="rId22" Type="http://schemas.openxmlformats.org/officeDocument/2006/relationships/hyperlink" Target="https://www.edifier.ru/shop/speakers/r2850db/" TargetMode="External"/><Relationship Id="rId27" Type="http://schemas.openxmlformats.org/officeDocument/2006/relationships/hyperlink" Target="https://www.edifier.ru/shop/speakers/m206bt-uchenka/" TargetMode="External"/><Relationship Id="rId30" Type="http://schemas.openxmlformats.org/officeDocument/2006/relationships/hyperlink" Target="https://www.edifier.ru/shop/speakers/g1500/" TargetMode="External"/><Relationship Id="rId35" Type="http://schemas.openxmlformats.org/officeDocument/2006/relationships/hyperlink" Target="https://www.edifier.com/global/p/gaming-speakers/g2000-pro" TargetMode="External"/><Relationship Id="rId43" Type="http://schemas.openxmlformats.org/officeDocument/2006/relationships/hyperlink" Target="https://www.edifier.com/global/p/gaming-headphones/g2-s" TargetMode="External"/><Relationship Id="rId48" Type="http://schemas.openxmlformats.org/officeDocument/2006/relationships/hyperlink" Target="https://www.edifier.com/global/p/over-ear-on-ear-headphones/w800bt-se" TargetMode="External"/><Relationship Id="rId8" Type="http://schemas.openxmlformats.org/officeDocument/2006/relationships/hyperlink" Target="https://www.edifier.ru/shop/speakers/mr3/" TargetMode="External"/><Relationship Id="rId51" Type="http://schemas.openxmlformats.org/officeDocument/2006/relationships/hyperlink" Target="https://www.edifier.com/global/p/over-ear-on-ear-headphones/s3" TargetMode="External"/><Relationship Id="rId3" Type="http://schemas.openxmlformats.org/officeDocument/2006/relationships/hyperlink" Target="https://www.edifier.online/products/edifier-m1250-usb-powered-2-0-speaker-set-black?srsltid=AfmBOoo5Af8xS_mGXtWv7uLzWwm496OepbEIuThjGKjgT7JEvpKQmGyj" TargetMode="External"/><Relationship Id="rId12" Type="http://schemas.openxmlformats.org/officeDocument/2006/relationships/hyperlink" Target="https://www.edifier.ru/shop/speakers/r1010bt/" TargetMode="External"/><Relationship Id="rId17" Type="http://schemas.openxmlformats.org/officeDocument/2006/relationships/hyperlink" Target="https://www.edifier.ru/shop/speakers/r1380db/" TargetMode="External"/><Relationship Id="rId25" Type="http://schemas.openxmlformats.org/officeDocument/2006/relationships/hyperlink" Target="https://www.edifier.ru/shop/speakers/s2000mkiii/" TargetMode="External"/><Relationship Id="rId33" Type="http://schemas.openxmlformats.org/officeDocument/2006/relationships/hyperlink" Target="https://www.edifier.com/global/p/computer-speakers/qs30" TargetMode="External"/><Relationship Id="rId38" Type="http://schemas.openxmlformats.org/officeDocument/2006/relationships/hyperlink" Target="https://www.edifier.ru/shop/speakers/mp85/" TargetMode="External"/><Relationship Id="rId46" Type="http://schemas.openxmlformats.org/officeDocument/2006/relationships/hyperlink" Target="https://www.edifier.com/global/p/over-ear-on-ear-headphones/w800bt-plus" TargetMode="External"/><Relationship Id="rId20" Type="http://schemas.openxmlformats.org/officeDocument/2006/relationships/hyperlink" Target="https://www.edifier.ru/shop/speakers/e25hd-luna-ecliplse/" TargetMode="External"/><Relationship Id="rId41" Type="http://schemas.openxmlformats.org/officeDocument/2006/relationships/hyperlink" Target="https://www.edifier.com/global/p/wired-headphones/usb-k800" TargetMode="External"/><Relationship Id="rId1" Type="http://schemas.openxmlformats.org/officeDocument/2006/relationships/hyperlink" Target="https://www.edifier.ru/shop/speakers/d32/" TargetMode="External"/><Relationship Id="rId6" Type="http://schemas.openxmlformats.org/officeDocument/2006/relationships/hyperlink" Target="https://www.edifier.com/global/p/computer-speakers/qr30" TargetMode="External"/><Relationship Id="rId15" Type="http://schemas.openxmlformats.org/officeDocument/2006/relationships/hyperlink" Target="https://www.edifier.ru/shop/speakers/r1280db/" TargetMode="External"/><Relationship Id="rId23" Type="http://schemas.openxmlformats.org/officeDocument/2006/relationships/hyperlink" Target="https://www.edifier.ru/shop/speakers/s880db-mkii/" TargetMode="External"/><Relationship Id="rId28" Type="http://schemas.openxmlformats.org/officeDocument/2006/relationships/hyperlink" Target="https://www.edifier.ru/shop/speakers/s351db/" TargetMode="External"/><Relationship Id="rId36" Type="http://schemas.openxmlformats.org/officeDocument/2006/relationships/hyperlink" Target="https://www.edifier.ru/shop/speakers/t5/" TargetMode="External"/><Relationship Id="rId49" Type="http://schemas.openxmlformats.org/officeDocument/2006/relationships/hyperlink" Target="https://www.edifier.com/global/p/over-ear-on-ear-headphones/w800bt-pro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udio-technica.com/en-eu/ath-a2000z" TargetMode="External"/><Relationship Id="rId13" Type="http://schemas.openxmlformats.org/officeDocument/2006/relationships/hyperlink" Target="https://audio-technica.ru/archive/ath-ad2000x/" TargetMode="External"/><Relationship Id="rId18" Type="http://schemas.openxmlformats.org/officeDocument/2006/relationships/hyperlink" Target="https://www.audio-technica.com/en-eu/ath-twx7" TargetMode="External"/><Relationship Id="rId3" Type="http://schemas.openxmlformats.org/officeDocument/2006/relationships/hyperlink" Target="https://audio-technica.ru/catalog/headphones/pro/ath-m60x/" TargetMode="External"/><Relationship Id="rId21" Type="http://schemas.openxmlformats.org/officeDocument/2006/relationships/hyperlink" Target="https://audio-technica.ru/catalog/phono/turntable/at-lp140xp/" TargetMode="External"/><Relationship Id="rId7" Type="http://schemas.openxmlformats.org/officeDocument/2006/relationships/hyperlink" Target="https://audio-technica.ru/catalog/headphones/hi-fi/ath-a550z/" TargetMode="External"/><Relationship Id="rId12" Type="http://schemas.openxmlformats.org/officeDocument/2006/relationships/hyperlink" Target="https://audio-technica.ru/catalog/headphones/pro/ath-r70x/" TargetMode="External"/><Relationship Id="rId17" Type="http://schemas.openxmlformats.org/officeDocument/2006/relationships/hyperlink" Target="https://www.audio-technica.com/en-eu/ath-cks50tw" TargetMode="External"/><Relationship Id="rId2" Type="http://schemas.openxmlformats.org/officeDocument/2006/relationships/hyperlink" Target="https://audio-technica.ru/catalog/headphones/overear/ath-avc500/" TargetMode="External"/><Relationship Id="rId16" Type="http://schemas.openxmlformats.org/officeDocument/2006/relationships/hyperlink" Target="https://www.audio-technica.com/en-eu/ath-anc100bt" TargetMode="External"/><Relationship Id="rId20" Type="http://schemas.openxmlformats.org/officeDocument/2006/relationships/hyperlink" Target="https://www.audio-technica.com/en-eu/atgm1-usb" TargetMode="External"/><Relationship Id="rId1" Type="http://schemas.openxmlformats.org/officeDocument/2006/relationships/hyperlink" Target="https://audio-technica.ru/catalog/headphones/overear/ath-avc200/" TargetMode="External"/><Relationship Id="rId6" Type="http://schemas.openxmlformats.org/officeDocument/2006/relationships/hyperlink" Target="https://www.audio-technica.com/en-eu/ath-m50xsts" TargetMode="External"/><Relationship Id="rId11" Type="http://schemas.openxmlformats.org/officeDocument/2006/relationships/hyperlink" Target="https://audio-technica.ru/catalog/headphones/hi-fi/ath-ad900x/" TargetMode="External"/><Relationship Id="rId5" Type="http://schemas.openxmlformats.org/officeDocument/2006/relationships/hyperlink" Target="https://audio-technica.ru/catalog/headphones/headset/ath-msr7b/" TargetMode="External"/><Relationship Id="rId15" Type="http://schemas.openxmlformats.org/officeDocument/2006/relationships/hyperlink" Target="https://audio-technica.ru/catalog/headphones/gaming/ath-pdg1a/" TargetMode="External"/><Relationship Id="rId10" Type="http://schemas.openxmlformats.org/officeDocument/2006/relationships/hyperlink" Target="https://audio-technica.ru/catalog/headphones/hi-fi/ath-ad500x/" TargetMode="External"/><Relationship Id="rId19" Type="http://schemas.openxmlformats.org/officeDocument/2006/relationships/hyperlink" Target="https://www.audio-technica.com/en-us/at2020usb-x" TargetMode="External"/><Relationship Id="rId4" Type="http://schemas.openxmlformats.org/officeDocument/2006/relationships/hyperlink" Target="https://audio-technica.ru/catalog/headphones/overear/ath-m70x/" TargetMode="External"/><Relationship Id="rId9" Type="http://schemas.openxmlformats.org/officeDocument/2006/relationships/hyperlink" Target="https://audio-technica.ru/catalog/headphones/overear/ath-ava400/" TargetMode="External"/><Relationship Id="rId14" Type="http://schemas.openxmlformats.org/officeDocument/2006/relationships/hyperlink" Target="https://audio-technica.ru/catalog/headphones/gaming/ath-g1/" TargetMode="External"/><Relationship Id="rId22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9"/>
  <sheetViews>
    <sheetView topLeftCell="A21" workbookViewId="0">
      <selection activeCell="A28" sqref="A28"/>
    </sheetView>
  </sheetViews>
  <sheetFormatPr defaultColWidth="14.3984375" defaultRowHeight="15" customHeight="1"/>
  <cols>
    <col min="1" max="1" width="71.3984375" customWidth="1"/>
    <col min="2" max="2" width="19" customWidth="1"/>
    <col min="3" max="3" width="7.265625" customWidth="1"/>
    <col min="4" max="4" width="11.73046875" customWidth="1"/>
    <col min="5" max="23" width="8.73046875" customWidth="1"/>
    <col min="24" max="24" width="14.265625" customWidth="1"/>
  </cols>
  <sheetData>
    <row r="1" spans="1:25" ht="18" customHeight="1">
      <c r="A1" s="382" t="s">
        <v>0</v>
      </c>
      <c r="B1" s="383"/>
      <c r="C1" s="38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 customHeight="1">
      <c r="A2" s="384" t="s">
        <v>2</v>
      </c>
      <c r="B2" s="381" t="s">
        <v>3</v>
      </c>
      <c r="C2" s="385">
        <v>40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8" customHeight="1">
      <c r="A3" s="384" t="s">
        <v>4</v>
      </c>
      <c r="B3" s="381" t="s">
        <v>5</v>
      </c>
      <c r="C3" s="38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8" customHeight="1">
      <c r="A4" s="386" t="s">
        <v>6</v>
      </c>
      <c r="B4" s="387" t="s">
        <v>7</v>
      </c>
      <c r="C4" s="388">
        <v>96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8" customHeight="1">
      <c r="A5" s="386" t="s">
        <v>8</v>
      </c>
      <c r="B5" s="387" t="s">
        <v>9</v>
      </c>
      <c r="C5" s="388">
        <v>127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8" customHeight="1">
      <c r="A6" s="386" t="s">
        <v>10</v>
      </c>
      <c r="B6" s="387" t="s">
        <v>11</v>
      </c>
      <c r="C6" s="388">
        <v>129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8" customHeight="1">
      <c r="A7" s="384" t="s">
        <v>12</v>
      </c>
      <c r="B7" s="381" t="s">
        <v>13</v>
      </c>
      <c r="C7" s="38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8" customHeight="1">
      <c r="A8" s="384" t="s">
        <v>14</v>
      </c>
      <c r="B8" s="381" t="s">
        <v>15</v>
      </c>
      <c r="C8" s="385">
        <v>106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8" customHeight="1">
      <c r="A9" s="386" t="s">
        <v>16</v>
      </c>
      <c r="B9" s="387" t="s">
        <v>17</v>
      </c>
      <c r="C9" s="388">
        <v>130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8" customHeight="1">
      <c r="A10" s="384" t="s">
        <v>18</v>
      </c>
      <c r="B10" s="381" t="s">
        <v>19</v>
      </c>
      <c r="C10" s="385">
        <v>137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8" customHeight="1">
      <c r="A11" s="384" t="s">
        <v>20</v>
      </c>
      <c r="B11" s="381" t="s">
        <v>21</v>
      </c>
      <c r="C11" s="385">
        <v>186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8" customHeight="1">
      <c r="A12" s="386" t="s">
        <v>22</v>
      </c>
      <c r="B12" s="387" t="s">
        <v>23</v>
      </c>
      <c r="C12" s="388">
        <v>157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8" customHeight="1">
      <c r="A13" s="384" t="s">
        <v>24</v>
      </c>
      <c r="B13" s="381" t="s">
        <v>25</v>
      </c>
      <c r="C13" s="385">
        <v>214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8" customHeight="1">
      <c r="A14" s="384" t="s">
        <v>26</v>
      </c>
      <c r="B14" s="381" t="s">
        <v>27</v>
      </c>
      <c r="C14" s="385">
        <v>222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8" customHeight="1">
      <c r="A15" s="384" t="s">
        <v>28</v>
      </c>
      <c r="B15" s="381" t="s">
        <v>29</v>
      </c>
      <c r="C15" s="385">
        <v>159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8" customHeight="1">
      <c r="A16" s="384" t="s">
        <v>30</v>
      </c>
      <c r="B16" s="381" t="s">
        <v>31</v>
      </c>
      <c r="C16" s="385">
        <v>219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8" customHeight="1">
      <c r="A17" s="384" t="s">
        <v>32</v>
      </c>
      <c r="B17" s="381" t="s">
        <v>33</v>
      </c>
      <c r="C17" s="385">
        <v>240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8" customHeight="1">
      <c r="A18" s="384" t="s">
        <v>34</v>
      </c>
      <c r="B18" s="381" t="s">
        <v>35</v>
      </c>
      <c r="C18" s="385">
        <v>236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8" customHeight="1">
      <c r="A19" s="384" t="s">
        <v>36</v>
      </c>
      <c r="B19" s="381" t="s">
        <v>37</v>
      </c>
      <c r="C19" s="385">
        <v>335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8" customHeight="1">
      <c r="A20" s="384" t="s">
        <v>38</v>
      </c>
      <c r="B20" s="381" t="s">
        <v>39</v>
      </c>
      <c r="C20" s="385">
        <v>300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8" customHeight="1">
      <c r="A21" s="384" t="s">
        <v>40</v>
      </c>
      <c r="B21" s="381" t="s">
        <v>41</v>
      </c>
      <c r="C21" s="38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8" customHeight="1">
      <c r="A22" s="384" t="s">
        <v>42</v>
      </c>
      <c r="B22" s="381" t="s">
        <v>43</v>
      </c>
      <c r="C22" s="385">
        <v>314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8" customHeight="1">
      <c r="A23" s="386" t="s">
        <v>44</v>
      </c>
      <c r="B23" s="387" t="s">
        <v>45</v>
      </c>
      <c r="C23" s="388">
        <v>300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8" customHeight="1">
      <c r="A24" s="384" t="s">
        <v>46</v>
      </c>
      <c r="B24" s="381" t="s">
        <v>47</v>
      </c>
      <c r="C24" s="385">
        <v>390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8" customHeight="1">
      <c r="A25" s="384" t="s">
        <v>48</v>
      </c>
      <c r="B25" s="381" t="s">
        <v>49</v>
      </c>
      <c r="C25" s="38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8" customHeight="1">
      <c r="A26" s="384" t="s">
        <v>50</v>
      </c>
      <c r="B26" s="381" t="s">
        <v>51</v>
      </c>
      <c r="C26" s="38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8" customHeight="1">
      <c r="A27" s="386" t="s">
        <v>52</v>
      </c>
      <c r="B27" s="387" t="s">
        <v>53</v>
      </c>
      <c r="C27" s="388">
        <v>310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8" customHeight="1">
      <c r="A28" s="384" t="s">
        <v>54</v>
      </c>
      <c r="B28" s="381" t="s">
        <v>55</v>
      </c>
      <c r="C28" s="385">
        <v>370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8" customHeight="1">
      <c r="A29" s="384" t="s">
        <v>56</v>
      </c>
      <c r="B29" s="381" t="s">
        <v>57</v>
      </c>
      <c r="C29" s="385">
        <v>402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8" customHeight="1">
      <c r="A30" s="384" t="s">
        <v>58</v>
      </c>
      <c r="B30" s="381" t="s">
        <v>59</v>
      </c>
      <c r="C30" s="385">
        <v>332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8" customHeight="1">
      <c r="A31" s="386" t="s">
        <v>60</v>
      </c>
      <c r="B31" s="387" t="s">
        <v>61</v>
      </c>
      <c r="C31" s="388">
        <v>490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8" customHeight="1">
      <c r="A32" s="384" t="s">
        <v>62</v>
      </c>
      <c r="B32" s="381" t="s">
        <v>63</v>
      </c>
      <c r="C32" s="385">
        <v>440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8" customHeight="1">
      <c r="A33" s="384" t="s">
        <v>64</v>
      </c>
      <c r="B33" s="381" t="s">
        <v>65</v>
      </c>
      <c r="C33" s="385">
        <v>130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8" customHeight="1">
      <c r="A34" s="384" t="s">
        <v>66</v>
      </c>
      <c r="B34" s="381" t="s">
        <v>67</v>
      </c>
      <c r="C34" s="385">
        <v>157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8" customHeight="1">
      <c r="A35" s="384" t="s">
        <v>68</v>
      </c>
      <c r="B35" s="381" t="s">
        <v>69</v>
      </c>
      <c r="C35" s="385">
        <v>203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8" customHeight="1">
      <c r="A36" s="384" t="s">
        <v>70</v>
      </c>
      <c r="B36" s="381" t="s">
        <v>71</v>
      </c>
      <c r="C36" s="385">
        <v>182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8" customHeight="1">
      <c r="A37" s="384" t="s">
        <v>72</v>
      </c>
      <c r="B37" s="381" t="s">
        <v>73</v>
      </c>
      <c r="C37" s="38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8" customHeight="1">
      <c r="A38" s="384" t="s">
        <v>74</v>
      </c>
      <c r="B38" s="381" t="s">
        <v>75</v>
      </c>
      <c r="C38" s="385">
        <v>293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8" customHeight="1">
      <c r="A39" s="386" t="s">
        <v>76</v>
      </c>
      <c r="B39" s="387" t="s">
        <v>77</v>
      </c>
      <c r="C39" s="388">
        <v>285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8" customHeight="1">
      <c r="A40" s="384" t="s">
        <v>78</v>
      </c>
      <c r="B40" s="381" t="s">
        <v>79</v>
      </c>
      <c r="C40" s="385">
        <v>600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8" customHeight="1">
      <c r="A41" s="384" t="s">
        <v>80</v>
      </c>
      <c r="B41" s="381" t="s">
        <v>81</v>
      </c>
      <c r="C41" s="385">
        <v>90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8" customHeight="1">
      <c r="A42" s="389" t="s">
        <v>82</v>
      </c>
      <c r="B42" s="381" t="s">
        <v>83</v>
      </c>
      <c r="C42" s="385">
        <v>190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8" customHeight="1">
      <c r="A43" s="384" t="s">
        <v>84</v>
      </c>
      <c r="B43" s="381" t="s">
        <v>85</v>
      </c>
      <c r="C43" s="385">
        <v>125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8" customHeight="1">
      <c r="A44" s="384" t="s">
        <v>86</v>
      </c>
      <c r="B44" s="381" t="s">
        <v>87</v>
      </c>
      <c r="C44" s="385">
        <v>135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8" customHeight="1">
      <c r="A45" s="384" t="s">
        <v>88</v>
      </c>
      <c r="B45" s="381" t="s">
        <v>89</v>
      </c>
      <c r="C45" s="38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8" customHeight="1">
      <c r="A46" s="386" t="s">
        <v>90</v>
      </c>
      <c r="B46" s="387" t="s">
        <v>91</v>
      </c>
      <c r="C46" s="388">
        <v>125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8" customHeight="1">
      <c r="A47" s="384" t="s">
        <v>92</v>
      </c>
      <c r="B47" s="381" t="s">
        <v>93</v>
      </c>
      <c r="C47" s="385">
        <v>172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8" customHeight="1">
      <c r="A48" s="384" t="s">
        <v>94</v>
      </c>
      <c r="B48" s="381" t="s">
        <v>95</v>
      </c>
      <c r="C48" s="385">
        <v>233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8" customHeight="1">
      <c r="A49" s="384" t="s">
        <v>96</v>
      </c>
      <c r="B49" s="381" t="s">
        <v>97</v>
      </c>
      <c r="C49" s="385">
        <v>305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8" customHeight="1">
      <c r="A50" s="384" t="s">
        <v>98</v>
      </c>
      <c r="B50" s="381" t="s">
        <v>99</v>
      </c>
      <c r="C50" s="385">
        <v>145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8" customHeight="1">
      <c r="A51" s="384" t="s">
        <v>100</v>
      </c>
      <c r="B51" s="381" t="s">
        <v>101</v>
      </c>
      <c r="C51" s="38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8" customHeight="1">
      <c r="A52" s="389" t="s">
        <v>102</v>
      </c>
      <c r="B52" s="381" t="s">
        <v>103</v>
      </c>
      <c r="C52" s="38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8" customHeight="1">
      <c r="A53" s="389" t="s">
        <v>104</v>
      </c>
      <c r="B53" s="381" t="s">
        <v>105</v>
      </c>
      <c r="C53" s="385">
        <v>425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8" customHeight="1">
      <c r="A54" s="389" t="s">
        <v>106</v>
      </c>
      <c r="B54" s="381" t="s">
        <v>107</v>
      </c>
      <c r="C54" s="385">
        <v>490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8" customHeight="1">
      <c r="A55" s="389" t="s">
        <v>108</v>
      </c>
      <c r="B55" s="381" t="s">
        <v>109</v>
      </c>
      <c r="C55" s="385">
        <v>375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8" customHeight="1">
      <c r="A56" s="389" t="s">
        <v>110</v>
      </c>
      <c r="B56" s="381" t="s">
        <v>111</v>
      </c>
      <c r="C56" s="385">
        <v>570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8" customHeight="1">
      <c r="A57" s="389" t="s">
        <v>112</v>
      </c>
      <c r="B57" s="381" t="s">
        <v>113</v>
      </c>
      <c r="C57" s="38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8" customHeight="1">
      <c r="A58" s="389" t="s">
        <v>114</v>
      </c>
      <c r="B58" s="381" t="s">
        <v>115</v>
      </c>
      <c r="C58" s="385">
        <v>645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8" customHeight="1">
      <c r="A59" s="380"/>
      <c r="B59" s="381"/>
      <c r="C59" s="38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8" customHeight="1">
      <c r="A60" s="382" t="s">
        <v>116</v>
      </c>
      <c r="B60" s="383"/>
      <c r="C60" s="383" t="s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8" customHeight="1">
      <c r="A61" s="384" t="s">
        <v>117</v>
      </c>
      <c r="B61" s="385"/>
      <c r="C61" s="385">
        <v>170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8" customHeight="1">
      <c r="A62" s="384" t="s">
        <v>118</v>
      </c>
      <c r="B62" s="385"/>
      <c r="C62" s="385">
        <v>170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8" customHeight="1">
      <c r="A63" s="384" t="s">
        <v>119</v>
      </c>
      <c r="B63" s="385"/>
      <c r="C63" s="385">
        <v>315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8" customHeight="1">
      <c r="A64" s="384" t="s">
        <v>120</v>
      </c>
      <c r="B64" s="385"/>
      <c r="C64" s="385">
        <v>165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8" customHeight="1">
      <c r="A65" s="384" t="s">
        <v>121</v>
      </c>
      <c r="B65" s="385"/>
      <c r="C65" s="385">
        <v>310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8" customHeight="1">
      <c r="A66" s="384" t="s">
        <v>122</v>
      </c>
      <c r="B66" s="385"/>
      <c r="C66" s="385">
        <v>98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8" customHeight="1">
      <c r="A67" s="384" t="s">
        <v>123</v>
      </c>
      <c r="B67" s="385"/>
      <c r="C67" s="385">
        <v>50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8" customHeight="1">
      <c r="A68" s="384" t="s">
        <v>124</v>
      </c>
      <c r="B68" s="385"/>
      <c r="C68" s="385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8" customHeight="1">
      <c r="A69" s="384" t="s">
        <v>125</v>
      </c>
      <c r="B69" s="385"/>
      <c r="C69" s="38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8" customHeight="1">
      <c r="A70" s="384" t="s">
        <v>126</v>
      </c>
      <c r="B70" s="385"/>
      <c r="C70" s="385">
        <v>98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8" customHeight="1">
      <c r="A71" s="384" t="s">
        <v>127</v>
      </c>
      <c r="B71" s="385"/>
      <c r="C71" s="385">
        <v>51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8" customHeight="1">
      <c r="A72" s="384" t="s">
        <v>128</v>
      </c>
      <c r="B72" s="385"/>
      <c r="C72" s="385">
        <v>98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8" customHeight="1">
      <c r="A73" s="384" t="s">
        <v>129</v>
      </c>
      <c r="B73" s="385"/>
      <c r="C73" s="385">
        <v>98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8" customHeight="1">
      <c r="A74" s="384" t="s">
        <v>130</v>
      </c>
      <c r="B74" s="385"/>
      <c r="C74" s="385">
        <v>170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8" customHeight="1">
      <c r="A75" s="384" t="s">
        <v>131</v>
      </c>
      <c r="B75" s="385"/>
      <c r="C75" s="385">
        <v>175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8" customHeight="1">
      <c r="A76" s="384" t="s">
        <v>132</v>
      </c>
      <c r="B76" s="385"/>
      <c r="C76" s="38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8" customHeight="1">
      <c r="A77" s="384" t="s">
        <v>133</v>
      </c>
      <c r="B77" s="385"/>
      <c r="C77" s="38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8" customHeight="1">
      <c r="A78" s="384" t="s">
        <v>134</v>
      </c>
      <c r="B78" s="385"/>
      <c r="C78" s="385">
        <v>138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8" customHeight="1">
      <c r="A79" s="384" t="s">
        <v>135</v>
      </c>
      <c r="B79" s="385"/>
      <c r="C79" s="385">
        <v>192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8" customHeight="1">
      <c r="A80" s="384" t="s">
        <v>136</v>
      </c>
      <c r="B80" s="381" t="s">
        <v>137</v>
      </c>
      <c r="C80" s="385">
        <v>175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8" customHeight="1">
      <c r="A81" s="384" t="s">
        <v>138</v>
      </c>
      <c r="B81" s="385"/>
      <c r="C81" s="38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8" customHeight="1">
      <c r="A82" s="384" t="s">
        <v>139</v>
      </c>
      <c r="B82" s="385"/>
      <c r="C82" s="38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8" customHeight="1">
      <c r="A83" s="384" t="s">
        <v>140</v>
      </c>
      <c r="B83" s="385"/>
      <c r="C83" s="385">
        <v>400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8" customHeight="1">
      <c r="A84" s="384" t="s">
        <v>141</v>
      </c>
      <c r="B84" s="385"/>
      <c r="C84" s="385">
        <v>420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8" customHeight="1">
      <c r="A85" s="384" t="s">
        <v>142</v>
      </c>
      <c r="B85" s="385"/>
      <c r="C85" s="385">
        <v>840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8" customHeight="1">
      <c r="A86" s="384" t="s">
        <v>143</v>
      </c>
      <c r="B86" s="385"/>
      <c r="C86" s="385">
        <v>165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8" customHeight="1">
      <c r="A87" s="384" t="s">
        <v>144</v>
      </c>
      <c r="B87" s="385"/>
      <c r="C87" s="385">
        <v>53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8" customHeight="1">
      <c r="A88" s="384" t="s">
        <v>145</v>
      </c>
      <c r="B88" s="385"/>
      <c r="C88" s="385">
        <v>110</v>
      </c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8" customHeight="1">
      <c r="A89" s="384" t="s">
        <v>146</v>
      </c>
      <c r="B89" s="385"/>
      <c r="C89" s="385">
        <v>53</v>
      </c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8" customHeight="1">
      <c r="A90" s="384" t="s">
        <v>147</v>
      </c>
      <c r="B90" s="385"/>
      <c r="C90" s="385">
        <v>110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8" customHeight="1">
      <c r="A91" s="384" t="s">
        <v>148</v>
      </c>
      <c r="B91" s="385"/>
      <c r="C91" s="38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8" customHeight="1">
      <c r="A92" s="384" t="s">
        <v>149</v>
      </c>
      <c r="B92" s="385"/>
      <c r="C92" s="38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8" customHeight="1">
      <c r="A93" s="384" t="s">
        <v>150</v>
      </c>
      <c r="B93" s="385"/>
      <c r="C93" s="38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8" customHeight="1">
      <c r="A94" s="384" t="s">
        <v>151</v>
      </c>
      <c r="B94" s="385"/>
      <c r="C94" s="385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8" customHeight="1">
      <c r="A95" s="384" t="s">
        <v>152</v>
      </c>
      <c r="B95" s="385"/>
      <c r="C95" s="385">
        <v>400</v>
      </c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8" customHeight="1">
      <c r="A96" s="384" t="s">
        <v>153</v>
      </c>
      <c r="B96" s="385"/>
      <c r="C96" s="385">
        <v>800</v>
      </c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8" customHeight="1">
      <c r="A97" s="384" t="s">
        <v>154</v>
      </c>
      <c r="B97" s="385"/>
      <c r="C97" s="385">
        <v>92</v>
      </c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8" customHeight="1">
      <c r="A98" s="384" t="s">
        <v>155</v>
      </c>
      <c r="B98" s="385"/>
      <c r="C98" s="385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8" customHeight="1">
      <c r="A99" s="384" t="s">
        <v>156</v>
      </c>
      <c r="B99" s="384"/>
      <c r="C99" s="385">
        <v>53</v>
      </c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8" customHeight="1">
      <c r="A100" s="384" t="s">
        <v>157</v>
      </c>
      <c r="B100" s="384"/>
      <c r="C100" s="385">
        <v>106</v>
      </c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8" customHeight="1">
      <c r="A101" s="384" t="s">
        <v>158</v>
      </c>
      <c r="B101" s="384"/>
      <c r="C101" s="385">
        <v>53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8" customHeight="1">
      <c r="A102" s="384" t="s">
        <v>159</v>
      </c>
      <c r="B102" s="384"/>
      <c r="C102" s="385">
        <v>106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8" customHeight="1">
      <c r="A103" s="384" t="s">
        <v>160</v>
      </c>
      <c r="B103" s="384"/>
      <c r="C103" s="385">
        <v>50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8" customHeight="1">
      <c r="A104" s="384" t="s">
        <v>161</v>
      </c>
      <c r="B104" s="384"/>
      <c r="C104" s="385">
        <v>138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8" customHeight="1">
      <c r="A105" s="384" t="s">
        <v>162</v>
      </c>
      <c r="B105" s="385"/>
      <c r="C105" s="385">
        <v>370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8" customHeight="1">
      <c r="A106" s="384" t="s">
        <v>163</v>
      </c>
      <c r="B106" s="385"/>
      <c r="C106" s="385">
        <v>380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8" customHeight="1">
      <c r="A107" s="380"/>
      <c r="B107" s="381"/>
      <c r="C107" s="380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8" customHeight="1">
      <c r="A108" s="382" t="s">
        <v>164</v>
      </c>
      <c r="B108" s="383"/>
      <c r="C108" s="383" t="s">
        <v>1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8" customHeight="1">
      <c r="A109" s="384" t="s">
        <v>165</v>
      </c>
      <c r="B109" s="385"/>
      <c r="C109" s="385">
        <v>78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8" customHeight="1">
      <c r="A110" s="384" t="s">
        <v>166</v>
      </c>
      <c r="B110" s="385"/>
      <c r="C110" s="385">
        <v>105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8" customHeight="1">
      <c r="A111" s="384" t="s">
        <v>167</v>
      </c>
      <c r="B111" s="385"/>
      <c r="C111" s="385">
        <v>135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8" customHeight="1">
      <c r="A112" s="384" t="s">
        <v>168</v>
      </c>
      <c r="B112" s="385"/>
      <c r="C112" s="385">
        <v>195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8" customHeight="1">
      <c r="A113" s="384" t="s">
        <v>169</v>
      </c>
      <c r="B113" s="385"/>
      <c r="C113" s="385">
        <v>275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8" customHeight="1">
      <c r="A114" s="384" t="s">
        <v>170</v>
      </c>
      <c r="B114" s="385"/>
      <c r="C114" s="385">
        <v>370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8" customHeight="1">
      <c r="A115" s="384" t="s">
        <v>171</v>
      </c>
      <c r="B115" s="385"/>
      <c r="C115" s="385"/>
      <c r="D115" s="1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8" customHeight="1">
      <c r="A116" s="384" t="s">
        <v>172</v>
      </c>
      <c r="B116" s="385" t="s">
        <v>173</v>
      </c>
      <c r="C116" s="385">
        <v>105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8" customHeight="1">
      <c r="A117" s="384" t="s">
        <v>174</v>
      </c>
      <c r="B117" s="385" t="s">
        <v>175</v>
      </c>
      <c r="C117" s="385">
        <v>160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8" customHeight="1">
      <c r="A118" s="390" t="s">
        <v>176</v>
      </c>
      <c r="B118" s="391" t="s">
        <v>177</v>
      </c>
      <c r="C118" s="385">
        <v>55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8" customHeight="1">
      <c r="A119" s="390" t="s">
        <v>178</v>
      </c>
      <c r="B119" s="391" t="s">
        <v>179</v>
      </c>
      <c r="C119" s="385">
        <v>63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8" customHeight="1">
      <c r="A120" s="390" t="s">
        <v>180</v>
      </c>
      <c r="B120" s="391" t="s">
        <v>181</v>
      </c>
      <c r="C120" s="385">
        <v>93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8" customHeight="1">
      <c r="A121" s="390" t="s">
        <v>182</v>
      </c>
      <c r="B121" s="391" t="s">
        <v>183</v>
      </c>
      <c r="C121" s="385">
        <v>95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8" customHeight="1">
      <c r="A122" s="390" t="s">
        <v>184</v>
      </c>
      <c r="B122" s="391" t="s">
        <v>185</v>
      </c>
      <c r="C122" s="385">
        <v>190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8" customHeight="1">
      <c r="A123" s="390" t="s">
        <v>186</v>
      </c>
      <c r="B123" s="391" t="s">
        <v>187</v>
      </c>
      <c r="C123" s="385">
        <v>190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8" customHeight="1">
      <c r="A124" s="390" t="s">
        <v>188</v>
      </c>
      <c r="B124" s="391" t="s">
        <v>189</v>
      </c>
      <c r="C124" s="385">
        <v>200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8" customHeight="1">
      <c r="A125" s="390" t="s">
        <v>190</v>
      </c>
      <c r="B125" s="391" t="s">
        <v>191</v>
      </c>
      <c r="C125" s="385">
        <v>340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8" customHeight="1">
      <c r="A126" s="384" t="s">
        <v>192</v>
      </c>
      <c r="B126" s="391" t="s">
        <v>193</v>
      </c>
      <c r="C126" s="385">
        <v>89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8" customHeight="1">
      <c r="A127" s="384" t="s">
        <v>194</v>
      </c>
      <c r="B127" s="381" t="s">
        <v>195</v>
      </c>
      <c r="C127" s="385">
        <v>105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8" customHeight="1">
      <c r="A128" s="384" t="s">
        <v>196</v>
      </c>
      <c r="B128" s="381" t="s">
        <v>197</v>
      </c>
      <c r="C128" s="385">
        <v>150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8" customHeight="1">
      <c r="A129" s="384" t="s">
        <v>198</v>
      </c>
      <c r="B129" s="385"/>
      <c r="C129" s="385">
        <v>85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8" customHeight="1">
      <c r="A130" s="384" t="s">
        <v>199</v>
      </c>
      <c r="B130" s="385"/>
      <c r="C130" s="385">
        <v>160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8" customHeight="1">
      <c r="A131" s="384" t="s">
        <v>200</v>
      </c>
      <c r="B131" s="385"/>
      <c r="C131" s="385">
        <v>165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8" customHeight="1">
      <c r="A132" s="384" t="s">
        <v>201</v>
      </c>
      <c r="B132" s="385"/>
      <c r="C132" s="385">
        <v>69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8" customHeight="1">
      <c r="A133" s="384" t="s">
        <v>202</v>
      </c>
      <c r="B133" s="385"/>
      <c r="C133" s="385">
        <v>79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8" customHeight="1">
      <c r="A134" s="384" t="s">
        <v>203</v>
      </c>
      <c r="B134" s="385"/>
      <c r="C134" s="385">
        <v>115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8" customHeight="1">
      <c r="A135" s="384" t="s">
        <v>204</v>
      </c>
      <c r="B135" s="385"/>
      <c r="C135" s="385">
        <v>70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8" customHeight="1">
      <c r="A136" s="384" t="s">
        <v>205</v>
      </c>
      <c r="B136" s="385"/>
      <c r="C136" s="385">
        <v>86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8" customHeight="1">
      <c r="A137" s="384" t="s">
        <v>206</v>
      </c>
      <c r="B137" s="385"/>
      <c r="C137" s="385">
        <v>140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8" customHeight="1">
      <c r="A138" s="384" t="s">
        <v>207</v>
      </c>
      <c r="B138" s="385"/>
      <c r="C138" s="385">
        <v>170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8" customHeight="1">
      <c r="A139" s="384" t="s">
        <v>208</v>
      </c>
      <c r="B139" s="385"/>
      <c r="C139" s="385">
        <v>72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8" customHeight="1">
      <c r="A140" s="384" t="s">
        <v>209</v>
      </c>
      <c r="B140" s="385"/>
      <c r="C140" s="385">
        <v>90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8" customHeight="1">
      <c r="A141" s="384" t="s">
        <v>210</v>
      </c>
      <c r="B141" s="385"/>
      <c r="C141" s="385">
        <v>142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8" customHeight="1">
      <c r="A142" s="384" t="s">
        <v>211</v>
      </c>
      <c r="B142" s="385"/>
      <c r="C142" s="385">
        <v>132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8" customHeight="1">
      <c r="A143" s="384" t="s">
        <v>212</v>
      </c>
      <c r="B143" s="385"/>
      <c r="C143" s="385">
        <v>170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8" customHeight="1">
      <c r="A144" s="384" t="s">
        <v>213</v>
      </c>
      <c r="B144" s="385"/>
      <c r="C144" s="385">
        <v>211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8" customHeight="1">
      <c r="A145" s="384" t="s">
        <v>214</v>
      </c>
      <c r="B145" s="381" t="s">
        <v>215</v>
      </c>
      <c r="C145" s="385">
        <v>130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8" customHeight="1">
      <c r="A146" s="384" t="s">
        <v>216</v>
      </c>
      <c r="B146" s="381" t="s">
        <v>217</v>
      </c>
      <c r="C146" s="385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8" customHeight="1">
      <c r="A147" s="384" t="s">
        <v>218</v>
      </c>
      <c r="B147" s="381"/>
      <c r="C147" s="385">
        <v>63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8" customHeight="1">
      <c r="A148" s="384" t="s">
        <v>219</v>
      </c>
      <c r="B148" s="381"/>
      <c r="C148" s="385">
        <v>45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8" customHeight="1">
      <c r="A149" s="384" t="s">
        <v>220</v>
      </c>
      <c r="B149" s="381"/>
      <c r="C149" s="385">
        <v>68</v>
      </c>
      <c r="D149" s="4" t="s">
        <v>221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8" customHeight="1">
      <c r="A150" s="384" t="s">
        <v>222</v>
      </c>
      <c r="B150" s="385"/>
      <c r="C150" s="385">
        <v>45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8" customHeight="1">
      <c r="A151" s="384" t="s">
        <v>223</v>
      </c>
      <c r="B151" s="385"/>
      <c r="C151" s="385">
        <v>68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8" customHeight="1">
      <c r="A152" s="384" t="s">
        <v>224</v>
      </c>
      <c r="B152" s="385"/>
      <c r="C152" s="385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8" customHeight="1">
      <c r="A153" s="384" t="s">
        <v>225</v>
      </c>
      <c r="B153" s="385"/>
      <c r="C153" s="385">
        <v>114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8" customHeight="1">
      <c r="A154" s="384" t="s">
        <v>226</v>
      </c>
      <c r="B154" s="385"/>
      <c r="C154" s="385">
        <v>44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8" customHeight="1">
      <c r="A155" s="384" t="s">
        <v>227</v>
      </c>
      <c r="B155" s="385"/>
      <c r="C155" s="385">
        <v>27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8" customHeight="1">
      <c r="A156" s="384" t="s">
        <v>228</v>
      </c>
      <c r="B156" s="385"/>
      <c r="C156" s="385">
        <v>48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8" customHeight="1">
      <c r="A157" s="384" t="s">
        <v>229</v>
      </c>
      <c r="B157" s="385"/>
      <c r="C157" s="385">
        <v>63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8" customHeight="1">
      <c r="A158" s="384" t="s">
        <v>230</v>
      </c>
      <c r="B158" s="385"/>
      <c r="C158" s="385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8" customHeight="1">
      <c r="A159" s="384" t="s">
        <v>231</v>
      </c>
      <c r="B159" s="385"/>
      <c r="C159" s="385">
        <v>68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8" customHeight="1">
      <c r="A160" s="384" t="s">
        <v>232</v>
      </c>
      <c r="B160" s="385"/>
      <c r="C160" s="385">
        <v>59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8" customHeight="1">
      <c r="A161" s="384" t="s">
        <v>233</v>
      </c>
      <c r="B161" s="385"/>
      <c r="C161" s="385">
        <v>48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8" customHeight="1">
      <c r="A162" s="384" t="s">
        <v>234</v>
      </c>
      <c r="B162" s="385"/>
      <c r="C162" s="385">
        <v>34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8" customHeight="1">
      <c r="A163" s="384" t="s">
        <v>235</v>
      </c>
      <c r="B163" s="385"/>
      <c r="C163" s="385">
        <v>50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8" customHeight="1">
      <c r="A164" s="384" t="s">
        <v>236</v>
      </c>
      <c r="B164" s="385"/>
      <c r="C164" s="385">
        <v>77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8" customHeight="1">
      <c r="A165" s="384" t="s">
        <v>237</v>
      </c>
      <c r="B165" s="385"/>
      <c r="C165" s="385">
        <v>80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8" customHeight="1">
      <c r="A166" s="384" t="s">
        <v>238</v>
      </c>
      <c r="B166" s="385"/>
      <c r="C166" s="385">
        <v>129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8" customHeight="1">
      <c r="A167" s="384" t="s">
        <v>239</v>
      </c>
      <c r="B167" s="385"/>
      <c r="C167" s="385">
        <v>139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8" customHeight="1">
      <c r="A168" s="384" t="s">
        <v>240</v>
      </c>
      <c r="B168" s="385"/>
      <c r="C168" s="385">
        <v>143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8" customHeight="1">
      <c r="A169" s="384" t="s">
        <v>241</v>
      </c>
      <c r="B169" s="385"/>
      <c r="C169" s="385">
        <v>237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8" customHeight="1">
      <c r="A170" s="384" t="s">
        <v>242</v>
      </c>
      <c r="B170" s="385"/>
      <c r="C170" s="385">
        <v>63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8" customHeight="1">
      <c r="A171" s="384" t="s">
        <v>243</v>
      </c>
      <c r="B171" s="385"/>
      <c r="C171" s="385">
        <v>45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8" customHeight="1">
      <c r="A172" s="384" t="s">
        <v>244</v>
      </c>
      <c r="B172" s="385"/>
      <c r="C172" s="385">
        <v>68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8" customHeight="1">
      <c r="A173" s="384" t="s">
        <v>245</v>
      </c>
      <c r="B173" s="385"/>
      <c r="C173" s="385">
        <v>128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8" customHeight="1">
      <c r="A174" s="384" t="s">
        <v>246</v>
      </c>
      <c r="B174" s="385"/>
      <c r="C174" s="385">
        <v>25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8" customHeight="1">
      <c r="A175" s="384" t="s">
        <v>247</v>
      </c>
      <c r="B175" s="385"/>
      <c r="C175" s="385">
        <v>46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8" customHeight="1">
      <c r="A176" s="384" t="s">
        <v>248</v>
      </c>
      <c r="B176" s="385"/>
      <c r="C176" s="385">
        <v>63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8" customHeight="1">
      <c r="A177" s="392" t="s">
        <v>249</v>
      </c>
      <c r="B177" s="393"/>
      <c r="C177" s="393">
        <v>114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8" customHeight="1">
      <c r="A178" s="392" t="s">
        <v>250</v>
      </c>
      <c r="B178" s="393"/>
      <c r="C178" s="39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8" customHeight="1">
      <c r="A179" s="394" t="s">
        <v>251</v>
      </c>
      <c r="B179" s="395" t="s">
        <v>252</v>
      </c>
      <c r="C179" s="393">
        <v>83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8" customHeight="1">
      <c r="A180" s="394" t="s">
        <v>253</v>
      </c>
      <c r="B180" s="395" t="s">
        <v>254</v>
      </c>
      <c r="C180" s="393">
        <v>90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8" customHeight="1">
      <c r="A181" s="394" t="s">
        <v>255</v>
      </c>
      <c r="B181" s="395" t="s">
        <v>256</v>
      </c>
      <c r="C181" s="393">
        <v>90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8" customHeight="1">
      <c r="A182" s="394" t="s">
        <v>257</v>
      </c>
      <c r="B182" s="395" t="s">
        <v>258</v>
      </c>
      <c r="C182" s="39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8" customHeight="1">
      <c r="A183" s="396" t="s">
        <v>259</v>
      </c>
      <c r="B183" s="395" t="s">
        <v>260</v>
      </c>
      <c r="C183" s="393">
        <v>55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8" customHeight="1">
      <c r="A184" s="396" t="s">
        <v>261</v>
      </c>
      <c r="B184" s="395" t="s">
        <v>262</v>
      </c>
      <c r="C184" s="393">
        <v>210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8" customHeight="1">
      <c r="A185" s="396" t="s">
        <v>263</v>
      </c>
      <c r="B185" s="395" t="s">
        <v>264</v>
      </c>
      <c r="C185" s="393">
        <v>310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8" customHeight="1">
      <c r="A186" s="392" t="s">
        <v>265</v>
      </c>
      <c r="B186" s="395" t="s">
        <v>266</v>
      </c>
      <c r="C186" s="393">
        <v>215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8" customHeight="1">
      <c r="A187" s="392" t="s">
        <v>267</v>
      </c>
      <c r="B187" s="395" t="s">
        <v>268</v>
      </c>
      <c r="C187" s="393">
        <v>235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8" customHeight="1">
      <c r="A188" s="392" t="s">
        <v>269</v>
      </c>
      <c r="B188" s="395" t="s">
        <v>270</v>
      </c>
      <c r="C188" s="393">
        <v>275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8" customHeight="1">
      <c r="A189" s="392" t="s">
        <v>271</v>
      </c>
      <c r="B189" s="395" t="s">
        <v>252</v>
      </c>
      <c r="C189" s="393">
        <v>600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8" customHeight="1">
      <c r="A190" s="1"/>
      <c r="B190" s="7" t="str">
        <f ca="1">IFERROR(__xludf.DUMMYFUNCTION("IFERROR(LET(
  angle,     REGEXEXTRACT(A217, ""&lt;([^&gt;]+)&gt;""),
  round,     REGEXEXTRACT(A217, "".*\(([^)]+)\)""),
  extracted, IF(NOT(ISERROR(angle)), angle, round),
  is_valid,  REGEXMATCH(extracted, ""^[A-Z0-9./\s-]{5,}$"") *
             REGEXMATCH(extr"&amp;"acted, ""\d""),
  is_spec,   REGEXMATCH(extracted, ""(?i)W/|BT|\d+W$|DPI|MM|X\d|\d\.\d""),
  IF(AND(is_valid, NOT(is_spec)), extracted, """")
), """")"),"")</f>
        <v/>
      </c>
      <c r="C190" s="7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8" customHeight="1">
      <c r="A191" s="1"/>
      <c r="B191" s="7" t="str">
        <f ca="1">IFERROR(__xludf.DUMMYFUNCTION("IFERROR(LET(
  angle,     REGEXEXTRACT(A218, ""&lt;([^&gt;]+)&gt;""),
  round,     REGEXEXTRACT(A218, "".*\(([^)]+)\)""),
  extracted, IF(NOT(ISERROR(angle)), angle, round),
  is_valid,  REGEXMATCH(extracted, ""^[A-Z0-9./\s-]{5,}$"") *
             REGEXMATCH(extr"&amp;"acted, ""\d""),
  is_spec,   REGEXMATCH(extracted, ""(?i)W/|BT|\d+W$|DPI|MM|X\d|\d\.\d""),
  IF(AND(is_valid, NOT(is_spec)), extracted, """")
), """")"),"")</f>
        <v/>
      </c>
      <c r="C191" s="7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8" customHeight="1">
      <c r="A192" s="1"/>
      <c r="B192" s="7" t="str">
        <f ca="1">IFERROR(__xludf.DUMMYFUNCTION("IFERROR(LET(
  angle,     REGEXEXTRACT(A219, ""&lt;([^&gt;]+)&gt;""),
  round,     REGEXEXTRACT(A219, "".*\(([^)]+)\)""),
  extracted, IF(NOT(ISERROR(angle)), angle, round),
  is_valid,  REGEXMATCH(extracted, ""^[A-Z0-9./\s-]{5,}$"") *
             REGEXMATCH(extr"&amp;"acted, ""\d""),
  is_spec,   REGEXMATCH(extracted, ""(?i)W/|BT|\d+W$|DPI|MM|X\d|\d\.\d""),
  IF(AND(is_valid, NOT(is_spec)), extracted, """")
), """")"),"")</f>
        <v/>
      </c>
      <c r="C192" s="7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8" customHeight="1">
      <c r="A193" s="1"/>
      <c r="B193" s="7" t="str">
        <f ca="1">IFERROR(__xludf.DUMMYFUNCTION("IFERROR(LET(
  angle,     REGEXEXTRACT(A220, ""&lt;([^&gt;]+)&gt;""),
  round,     REGEXEXTRACT(A220, "".*\(([^)]+)\)""),
  extracted, IF(NOT(ISERROR(angle)), angle, round),
  is_valid,  REGEXMATCH(extracted, ""^[A-Z0-9./\s-]{5,}$"") *
             REGEXMATCH(extr"&amp;"acted, ""\d""),
  is_spec,   REGEXMATCH(extracted, ""(?i)W/|BT|\d+W$|DPI|MM|X\d|\d\.\d""),
  IF(AND(is_valid, NOT(is_spec)), extracted, """")
), """")"),"")</f>
        <v/>
      </c>
      <c r="C193" s="7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8" customHeight="1">
      <c r="A194" s="1"/>
      <c r="B194" s="7" t="str">
        <f ca="1">IFERROR(__xludf.DUMMYFUNCTION("IFERROR(LET(
  angle,     REGEXEXTRACT(#REF!, ""&lt;([^&gt;]+)&gt;""),
  round,     REGEXEXTRACT(#REF!, "".*\(([^)]+)\)""),
  extracted, IF(NOT(ISERROR(angle)), angle, round),
  is_valid,  REGEXMATCH(extracted, ""^[A-Z0-9./\s-]{5,}$"") *
             REGEXMATCH(ex"&amp;"tracted, ""\d""),
  is_spec,   REGEXMATCH(extracted, ""(?i)W/|BT|\d+W$|DPI|MM|X\d|\d\.\d""),
  IF(AND(is_valid, NOT(is_spec)), extracted, """")
), """")"),"")</f>
        <v/>
      </c>
      <c r="C194" s="7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8" customHeight="1">
      <c r="A195" s="1"/>
      <c r="B195" s="7" t="str">
        <f ca="1">IFERROR(__xludf.DUMMYFUNCTION("IFERROR(LET(
  angle,     REGEXEXTRACT(#REF!, ""&lt;([^&gt;]+)&gt;""),
  round,     REGEXEXTRACT(#REF!, "".*\(([^)]+)\)""),
  extracted, IF(NOT(ISERROR(angle)), angle, round),
  is_valid,  REGEXMATCH(extracted, ""^[A-Z0-9./\s-]{5,}$"") *
             REGEXMATCH(ex"&amp;"tracted, ""\d""),
  is_spec,   REGEXMATCH(extracted, ""(?i)W/|BT|\d+W$|DPI|MM|X\d|\d\.\d""),
  IF(AND(is_valid, NOT(is_spec)), extracted, """")
), """")"),"")</f>
        <v/>
      </c>
      <c r="C195" s="7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8" customHeight="1">
      <c r="A196" s="1"/>
      <c r="B196" s="7" t="str">
        <f ca="1">IFERROR(__xludf.DUMMYFUNCTION("IFERROR(LET(
  angle,     REGEXEXTRACT(#REF!, ""&lt;([^&gt;]+)&gt;""),
  round,     REGEXEXTRACT(#REF!, "".*\(([^)]+)\)""),
  extracted, IF(NOT(ISERROR(angle)), angle, round),
  is_valid,  REGEXMATCH(extracted, ""^[A-Z0-9./\s-]{5,}$"") *
             REGEXMATCH(ex"&amp;"tracted, ""\d""),
  is_spec,   REGEXMATCH(extracted, ""(?i)W/|BT|\d+W$|DPI|MM|X\d|\d\.\d""),
  IF(AND(is_valid, NOT(is_spec)), extracted, """")
), """")"),"")</f>
        <v/>
      </c>
      <c r="C196" s="7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8" customHeight="1">
      <c r="A197" s="1"/>
      <c r="B197" s="7" t="str">
        <f ca="1">IFERROR(__xludf.DUMMYFUNCTION("IFERROR(LET(
  angle,     REGEXEXTRACT(#REF!, ""&lt;([^&gt;]+)&gt;""),
  round,     REGEXEXTRACT(#REF!, "".*\(([^)]+)\)""),
  extracted, IF(NOT(ISERROR(angle)), angle, round),
  is_valid,  REGEXMATCH(extracted, ""^[A-Z0-9./\s-]{5,}$"") *
             REGEXMATCH(ex"&amp;"tracted, ""\d""),
  is_spec,   REGEXMATCH(extracted, ""(?i)W/|BT|\d+W$|DPI|MM|X\d|\d\.\d""),
  IF(AND(is_valid, NOT(is_spec)), extracted, """")
), """")"),"")</f>
        <v/>
      </c>
      <c r="C197" s="7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8" customHeight="1">
      <c r="A198" s="1"/>
      <c r="B198" s="7" t="str">
        <f ca="1">IFERROR(__xludf.DUMMYFUNCTION("IFERROR(LET(
  angle,     REGEXEXTRACT(#REF!, ""&lt;([^&gt;]+)&gt;""),
  round,     REGEXEXTRACT(#REF!, "".*\(([^)]+)\)""),
  extracted, IF(NOT(ISERROR(angle)), angle, round),
  is_valid,  REGEXMATCH(extracted, ""^[A-Z0-9./\s-]{5,}$"") *
             REGEXMATCH(ex"&amp;"tracted, ""\d""),
  is_spec,   REGEXMATCH(extracted, ""(?i)W/|BT|\d+W$|DPI|MM|X\d|\d\.\d""),
  IF(AND(is_valid, NOT(is_spec)), extracted, """")
), """")"),"")</f>
        <v/>
      </c>
      <c r="C198" s="7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8" customHeight="1">
      <c r="A199" s="1"/>
      <c r="B199" s="7" t="str">
        <f ca="1">IFERROR(__xludf.DUMMYFUNCTION("IFERROR(LET(
  angle,     REGEXEXTRACT(#REF!, ""&lt;([^&gt;]+)&gt;""),
  round,     REGEXEXTRACT(#REF!, "".*\(([^)]+)\)""),
  extracted, IF(NOT(ISERROR(angle)), angle, round),
  is_valid,  REGEXMATCH(extracted, ""^[A-Z0-9./\s-]{5,}$"") *
             REGEXMATCH(ex"&amp;"tracted, ""\d""),
  is_spec,   REGEXMATCH(extracted, ""(?i)W/|BT|\d+W$|DPI|MM|X\d|\d\.\d""),
  IF(AND(is_valid, NOT(is_spec)), extracted, """")
), """")"),"")</f>
        <v/>
      </c>
      <c r="C199" s="7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8" customHeight="1">
      <c r="A200" s="1"/>
      <c r="B200" s="7" t="str">
        <f ca="1">IFERROR(__xludf.DUMMYFUNCTION("IFERROR(LET(
  angle,     REGEXEXTRACT(#REF!, ""&lt;([^&gt;]+)&gt;""),
  round,     REGEXEXTRACT(#REF!, "".*\(([^)]+)\)""),
  extracted, IF(NOT(ISERROR(angle)), angle, round),
  is_valid,  REGEXMATCH(extracted, ""^[A-Z0-9./\s-]{5,}$"") *
             REGEXMATCH(ex"&amp;"tracted, ""\d""),
  is_spec,   REGEXMATCH(extracted, ""(?i)W/|BT|\d+W$|DPI|MM|X\d|\d\.\d""),
  IF(AND(is_valid, NOT(is_spec)), extracted, """")
), """")"),"")</f>
        <v/>
      </c>
      <c r="C200" s="7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8" customHeight="1">
      <c r="A201" s="1"/>
      <c r="B201" s="7" t="str">
        <f ca="1">IFERROR(__xludf.DUMMYFUNCTION("IFERROR(LET(
  angle,     REGEXEXTRACT(#REF!, ""&lt;([^&gt;]+)&gt;""),
  round,     REGEXEXTRACT(#REF!, "".*\(([^)]+)\)""),
  extracted, IF(NOT(ISERROR(angle)), angle, round),
  is_valid,  REGEXMATCH(extracted, ""^[A-Z0-9./\s-]{5,}$"") *
             REGEXMATCH(ex"&amp;"tracted, ""\d""),
  is_spec,   REGEXMATCH(extracted, ""(?i)W/|BT|\d+W$|DPI|MM|X\d|\d\.\d""),
  IF(AND(is_valid, NOT(is_spec)), extracted, """")
), """")"),"")</f>
        <v/>
      </c>
      <c r="C201" s="7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8" customHeight="1">
      <c r="A202" s="1"/>
      <c r="B202" s="7" t="str">
        <f ca="1">IFERROR(__xludf.DUMMYFUNCTION("IFERROR(LET(
  angle,     REGEXEXTRACT(#REF!, ""&lt;([^&gt;]+)&gt;""),
  round,     REGEXEXTRACT(#REF!, "".*\(([^)]+)\)""),
  extracted, IF(NOT(ISERROR(angle)), angle, round),
  is_valid,  REGEXMATCH(extracted, ""^[A-Z0-9./\s-]{5,}$"") *
             REGEXMATCH(ex"&amp;"tracted, ""\d""),
  is_spec,   REGEXMATCH(extracted, ""(?i)W/|BT|\d+W$|DPI|MM|X\d|\d\.\d""),
  IF(AND(is_valid, NOT(is_spec)), extracted, """")
), """")"),"")</f>
        <v/>
      </c>
      <c r="C202" s="7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8" customHeight="1">
      <c r="A203" s="1"/>
      <c r="B203" s="7" t="str">
        <f ca="1">IFERROR(__xludf.DUMMYFUNCTION("IFERROR(LET(
  angle,     REGEXEXTRACT(#REF!, ""&lt;([^&gt;]+)&gt;""),
  round,     REGEXEXTRACT(#REF!, "".*\(([^)]+)\)""),
  extracted, IF(NOT(ISERROR(angle)), angle, round),
  is_valid,  REGEXMATCH(extracted, ""^[A-Z0-9./\s-]{5,}$"") *
             REGEXMATCH(ex"&amp;"tracted, ""\d""),
  is_spec,   REGEXMATCH(extracted, ""(?i)W/|BT|\d+W$|DPI|MM|X\d|\d\.\d""),
  IF(AND(is_valid, NOT(is_spec)), extracted, """")
), """")"),"")</f>
        <v/>
      </c>
      <c r="C203" s="7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8" customHeight="1">
      <c r="A204" s="1"/>
      <c r="B204" s="7" t="str">
        <f ca="1">IFERROR(__xludf.DUMMYFUNCTION("IFERROR(LET(
  angle,     REGEXEXTRACT(#REF!, ""&lt;([^&gt;]+)&gt;""),
  round,     REGEXEXTRACT(#REF!, "".*\(([^)]+)\)""),
  extracted, IF(NOT(ISERROR(angle)), angle, round),
  is_valid,  REGEXMATCH(extracted, ""^[A-Z0-9./\s-]{5,}$"") *
             REGEXMATCH(ex"&amp;"tracted, ""\d""),
  is_spec,   REGEXMATCH(extracted, ""(?i)W/|BT|\d+W$|DPI|MM|X\d|\d\.\d""),
  IF(AND(is_valid, NOT(is_spec)), extracted, """")
), """")"),"")</f>
        <v/>
      </c>
      <c r="C204" s="7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8" customHeight="1">
      <c r="A205" s="1"/>
      <c r="B205" s="7"/>
      <c r="C205" s="7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8" customHeight="1">
      <c r="A206" s="1"/>
      <c r="B206" s="7"/>
      <c r="C206" s="7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8" customHeight="1">
      <c r="A207" s="1"/>
      <c r="B207" s="7"/>
      <c r="C207" s="7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8" customHeight="1">
      <c r="A208" s="1"/>
      <c r="B208" s="7"/>
      <c r="C208" s="7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8" customHeight="1">
      <c r="A209" s="1"/>
      <c r="B209" s="7"/>
      <c r="C209" s="7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8" customHeight="1">
      <c r="A210" s="1"/>
      <c r="B210" s="7"/>
      <c r="C210" s="7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8" customHeight="1">
      <c r="A211" s="1"/>
      <c r="B211" s="7"/>
      <c r="C211" s="7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8" customHeight="1">
      <c r="A212" s="1"/>
      <c r="B212" s="7"/>
      <c r="C212" s="7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8" customHeight="1">
      <c r="A213" s="1"/>
      <c r="B213" s="7"/>
      <c r="C213" s="7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8" customHeight="1">
      <c r="A214" s="1"/>
      <c r="B214" s="7"/>
      <c r="C214" s="7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8" customHeight="1">
      <c r="A215" s="1"/>
      <c r="B215" s="7"/>
      <c r="C215" s="7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8" customHeight="1">
      <c r="A216" s="1"/>
      <c r="B216" s="7"/>
      <c r="C216" s="7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8" customHeight="1">
      <c r="A217" s="1"/>
      <c r="B217" s="7"/>
      <c r="C217" s="7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8" customHeight="1">
      <c r="A218" s="1"/>
      <c r="B218" s="7"/>
      <c r="C218" s="7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8" customHeight="1">
      <c r="A219" s="1"/>
      <c r="B219" s="7"/>
      <c r="C219" s="7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</sheetData>
  <pageMargins left="0.59055118110236227" right="0.23622047244094491" top="0.35433070866141736" bottom="0.3543307086614173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89"/>
  <sheetViews>
    <sheetView topLeftCell="A21" workbookViewId="0">
      <selection activeCell="A314" sqref="A314"/>
    </sheetView>
  </sheetViews>
  <sheetFormatPr defaultColWidth="14.3984375" defaultRowHeight="15" customHeight="1"/>
  <cols>
    <col min="1" max="1" width="82.73046875" customWidth="1"/>
    <col min="2" max="2" width="31.86328125" hidden="1" customWidth="1"/>
    <col min="3" max="6" width="14.265625" customWidth="1"/>
  </cols>
  <sheetData>
    <row r="1" spans="1:4" ht="14.25">
      <c r="A1" s="8" t="s">
        <v>272</v>
      </c>
      <c r="B1" s="9"/>
      <c r="C1" s="10" t="s">
        <v>1</v>
      </c>
    </row>
    <row r="2" spans="1:4" ht="14.25">
      <c r="A2" s="11" t="s">
        <v>273</v>
      </c>
      <c r="B2" s="12" t="s">
        <v>274</v>
      </c>
      <c r="C2" s="13">
        <v>48</v>
      </c>
    </row>
    <row r="3" spans="1:4" ht="14.25">
      <c r="A3" s="11" t="s">
        <v>275</v>
      </c>
      <c r="B3" s="12" t="s">
        <v>276</v>
      </c>
      <c r="C3" s="13"/>
    </row>
    <row r="4" spans="1:4" ht="14.25">
      <c r="A4" s="14" t="s">
        <v>277</v>
      </c>
      <c r="B4" s="12" t="s">
        <v>278</v>
      </c>
      <c r="C4" s="15">
        <v>73</v>
      </c>
    </row>
    <row r="5" spans="1:4" ht="14.25">
      <c r="A5" s="11" t="s">
        <v>279</v>
      </c>
      <c r="B5" s="12" t="s">
        <v>280</v>
      </c>
      <c r="C5" s="13">
        <v>75</v>
      </c>
    </row>
    <row r="6" spans="1:4" ht="14.25">
      <c r="A6" s="14" t="s">
        <v>281</v>
      </c>
      <c r="B6" s="12" t="s">
        <v>282</v>
      </c>
      <c r="C6" s="15">
        <v>88</v>
      </c>
      <c r="D6" s="16"/>
    </row>
    <row r="7" spans="1:4" ht="14.25">
      <c r="A7" s="11" t="s">
        <v>283</v>
      </c>
      <c r="B7" s="12" t="s">
        <v>284</v>
      </c>
      <c r="C7" s="13">
        <v>80</v>
      </c>
    </row>
    <row r="8" spans="1:4" ht="14.25">
      <c r="A8" s="14" t="s">
        <v>285</v>
      </c>
      <c r="B8" s="12" t="s">
        <v>286</v>
      </c>
      <c r="C8" s="15">
        <v>96</v>
      </c>
      <c r="D8" s="17" t="s">
        <v>287</v>
      </c>
    </row>
    <row r="9" spans="1:4" ht="14.25">
      <c r="A9" s="14" t="s">
        <v>288</v>
      </c>
      <c r="B9" s="12" t="s">
        <v>289</v>
      </c>
      <c r="C9" s="15">
        <v>103</v>
      </c>
      <c r="D9" s="17" t="s">
        <v>287</v>
      </c>
    </row>
    <row r="10" spans="1:4" ht="14.25">
      <c r="A10" s="11" t="s">
        <v>290</v>
      </c>
      <c r="B10" s="12" t="s">
        <v>291</v>
      </c>
      <c r="C10" s="13">
        <v>103</v>
      </c>
    </row>
    <row r="11" spans="1:4" ht="14.25">
      <c r="A11" s="11" t="s">
        <v>292</v>
      </c>
      <c r="B11" s="12" t="s">
        <v>293</v>
      </c>
      <c r="C11" s="13"/>
    </row>
    <row r="12" spans="1:4" ht="14.25">
      <c r="A12" s="11" t="s">
        <v>294</v>
      </c>
      <c r="B12" s="12" t="s">
        <v>295</v>
      </c>
      <c r="C12" s="13">
        <v>103</v>
      </c>
    </row>
    <row r="13" spans="1:4" ht="14.25">
      <c r="A13" s="11" t="s">
        <v>296</v>
      </c>
      <c r="B13" s="12" t="s">
        <v>297</v>
      </c>
      <c r="C13" s="13"/>
    </row>
    <row r="14" spans="1:4" ht="14.25">
      <c r="A14" s="11" t="s">
        <v>298</v>
      </c>
      <c r="B14" s="12" t="s">
        <v>299</v>
      </c>
      <c r="C14" s="13">
        <v>98</v>
      </c>
    </row>
    <row r="15" spans="1:4" ht="14.25">
      <c r="A15" s="11" t="s">
        <v>300</v>
      </c>
      <c r="B15" s="12" t="s">
        <v>301</v>
      </c>
      <c r="C15" s="13"/>
    </row>
    <row r="16" spans="1:4" ht="14.25">
      <c r="A16" s="11" t="s">
        <v>302</v>
      </c>
      <c r="B16" s="12" t="s">
        <v>303</v>
      </c>
      <c r="C16" s="13">
        <v>140</v>
      </c>
    </row>
    <row r="17" spans="1:4" ht="14.25">
      <c r="A17" s="14" t="s">
        <v>304</v>
      </c>
      <c r="B17" s="18" t="s">
        <v>305</v>
      </c>
      <c r="C17" s="15">
        <v>55</v>
      </c>
    </row>
    <row r="18" spans="1:4" ht="14.25">
      <c r="A18" s="14" t="s">
        <v>306</v>
      </c>
      <c r="B18" s="18" t="s">
        <v>307</v>
      </c>
      <c r="C18" s="15">
        <v>75</v>
      </c>
      <c r="D18" s="19"/>
    </row>
    <row r="19" spans="1:4" ht="14.25">
      <c r="A19" s="11" t="s">
        <v>308</v>
      </c>
      <c r="B19" s="12" t="s">
        <v>309</v>
      </c>
      <c r="C19" s="13">
        <v>65</v>
      </c>
    </row>
    <row r="20" spans="1:4" ht="14.25">
      <c r="A20" s="14" t="s">
        <v>310</v>
      </c>
      <c r="B20" s="18" t="s">
        <v>311</v>
      </c>
      <c r="C20" s="15">
        <v>73</v>
      </c>
    </row>
    <row r="21" spans="1:4" ht="15.75" customHeight="1">
      <c r="A21" s="11" t="s">
        <v>312</v>
      </c>
      <c r="B21" s="12" t="s">
        <v>313</v>
      </c>
      <c r="C21" s="13">
        <v>87</v>
      </c>
    </row>
    <row r="22" spans="1:4" ht="15.75" customHeight="1">
      <c r="A22" s="14" t="s">
        <v>314</v>
      </c>
      <c r="B22" s="18" t="s">
        <v>315</v>
      </c>
      <c r="C22" s="15">
        <v>85</v>
      </c>
    </row>
    <row r="23" spans="1:4" ht="15.75" customHeight="1">
      <c r="A23" s="11" t="s">
        <v>316</v>
      </c>
      <c r="B23" s="12" t="s">
        <v>317</v>
      </c>
      <c r="C23" s="13">
        <v>98</v>
      </c>
    </row>
    <row r="24" spans="1:4" ht="15.75" customHeight="1">
      <c r="A24" s="11" t="s">
        <v>318</v>
      </c>
      <c r="B24" s="12" t="s">
        <v>319</v>
      </c>
      <c r="C24" s="13">
        <v>135</v>
      </c>
    </row>
    <row r="25" spans="1:4" ht="15.75" customHeight="1">
      <c r="A25" s="14" t="s">
        <v>320</v>
      </c>
      <c r="B25" s="18" t="s">
        <v>321</v>
      </c>
      <c r="C25" s="15">
        <v>140</v>
      </c>
    </row>
    <row r="26" spans="1:4" ht="15.75" customHeight="1">
      <c r="A26" s="14" t="s">
        <v>322</v>
      </c>
      <c r="B26" s="18" t="s">
        <v>323</v>
      </c>
      <c r="C26" s="15">
        <v>145</v>
      </c>
    </row>
    <row r="27" spans="1:4" ht="15.75" customHeight="1">
      <c r="A27" s="14" t="s">
        <v>324</v>
      </c>
      <c r="B27" s="18" t="s">
        <v>325</v>
      </c>
      <c r="C27" s="15">
        <v>230</v>
      </c>
    </row>
    <row r="28" spans="1:4" ht="15.75" customHeight="1">
      <c r="A28" s="20" t="s">
        <v>326</v>
      </c>
      <c r="B28" s="12" t="s">
        <v>327</v>
      </c>
      <c r="C28" s="21"/>
    </row>
    <row r="29" spans="1:4" ht="15.75" customHeight="1">
      <c r="A29" s="20" t="s">
        <v>328</v>
      </c>
      <c r="B29" s="12" t="s">
        <v>329</v>
      </c>
      <c r="C29" s="21"/>
    </row>
    <row r="30" spans="1:4" ht="15.75" customHeight="1">
      <c r="A30" s="20" t="s">
        <v>330</v>
      </c>
      <c r="B30" s="12" t="s">
        <v>331</v>
      </c>
      <c r="C30" s="21">
        <v>179</v>
      </c>
    </row>
    <row r="31" spans="1:4" ht="15.75" customHeight="1">
      <c r="A31" s="20" t="s">
        <v>332</v>
      </c>
      <c r="B31" s="12" t="s">
        <v>333</v>
      </c>
      <c r="C31" s="15"/>
    </row>
    <row r="32" spans="1:4" ht="15.75" customHeight="1">
      <c r="A32" s="20" t="s">
        <v>334</v>
      </c>
      <c r="B32" s="12" t="s">
        <v>333</v>
      </c>
      <c r="C32" s="21">
        <v>215</v>
      </c>
    </row>
    <row r="33" spans="1:4" ht="15.75" customHeight="1">
      <c r="A33" s="20" t="s">
        <v>335</v>
      </c>
      <c r="B33" s="12" t="s">
        <v>336</v>
      </c>
      <c r="C33" s="21">
        <v>235</v>
      </c>
    </row>
    <row r="34" spans="1:4" ht="15.75" customHeight="1">
      <c r="A34" s="14" t="s">
        <v>337</v>
      </c>
      <c r="B34" s="18" t="s">
        <v>338</v>
      </c>
      <c r="C34" s="15">
        <v>250</v>
      </c>
    </row>
    <row r="35" spans="1:4" ht="15.75" customHeight="1">
      <c r="A35" s="20" t="s">
        <v>339</v>
      </c>
      <c r="B35" s="12" t="s">
        <v>340</v>
      </c>
      <c r="C35" s="21"/>
    </row>
    <row r="36" spans="1:4" ht="15.75" customHeight="1">
      <c r="A36" s="20" t="s">
        <v>341</v>
      </c>
      <c r="B36" s="12" t="s">
        <v>342</v>
      </c>
      <c r="C36" s="21"/>
    </row>
    <row r="37" spans="1:4" ht="15.75" customHeight="1">
      <c r="A37" s="20" t="s">
        <v>343</v>
      </c>
      <c r="B37" s="12" t="s">
        <v>344</v>
      </c>
      <c r="C37" s="21"/>
    </row>
    <row r="38" spans="1:4" ht="15.75" customHeight="1">
      <c r="A38" s="20" t="s">
        <v>345</v>
      </c>
      <c r="B38" s="12" t="s">
        <v>346</v>
      </c>
      <c r="C38" s="21">
        <v>360</v>
      </c>
    </row>
    <row r="39" spans="1:4" ht="15.75" customHeight="1">
      <c r="A39" s="20" t="s">
        <v>347</v>
      </c>
      <c r="B39" s="12" t="s">
        <v>348</v>
      </c>
      <c r="C39" s="21">
        <v>470</v>
      </c>
    </row>
    <row r="40" spans="1:4" ht="15.75" customHeight="1">
      <c r="A40" s="20" t="s">
        <v>349</v>
      </c>
      <c r="B40" s="12" t="s">
        <v>350</v>
      </c>
      <c r="C40" s="21"/>
    </row>
    <row r="41" spans="1:4" ht="15.75" customHeight="1">
      <c r="A41" s="14" t="s">
        <v>351</v>
      </c>
      <c r="B41" s="18" t="s">
        <v>352</v>
      </c>
      <c r="C41" s="15">
        <v>110</v>
      </c>
    </row>
    <row r="42" spans="1:4" ht="15.75" customHeight="1">
      <c r="A42" s="11" t="s">
        <v>353</v>
      </c>
      <c r="B42" s="12" t="s">
        <v>354</v>
      </c>
      <c r="C42" s="13">
        <v>145</v>
      </c>
    </row>
    <row r="43" spans="1:4" ht="15.75" customHeight="1">
      <c r="A43" s="11" t="s">
        <v>355</v>
      </c>
      <c r="B43" s="12" t="s">
        <v>356</v>
      </c>
      <c r="C43" s="13"/>
    </row>
    <row r="44" spans="1:4" ht="15.75" customHeight="1">
      <c r="A44" s="11" t="s">
        <v>357</v>
      </c>
      <c r="B44" s="12" t="s">
        <v>358</v>
      </c>
      <c r="C44" s="13">
        <v>210</v>
      </c>
    </row>
    <row r="45" spans="1:4" ht="15.75" customHeight="1">
      <c r="A45" s="11" t="s">
        <v>359</v>
      </c>
      <c r="B45" s="12" t="s">
        <v>360</v>
      </c>
      <c r="C45" s="13"/>
    </row>
    <row r="46" spans="1:4" ht="15.75" customHeight="1">
      <c r="A46" s="14" t="s">
        <v>361</v>
      </c>
      <c r="B46" s="18" t="s">
        <v>362</v>
      </c>
      <c r="C46" s="15">
        <v>95</v>
      </c>
      <c r="D46" s="19"/>
    </row>
    <row r="47" spans="1:4" ht="15.75" customHeight="1">
      <c r="A47" s="11" t="s">
        <v>363</v>
      </c>
      <c r="B47" s="12" t="s">
        <v>364</v>
      </c>
      <c r="C47" s="13"/>
    </row>
    <row r="48" spans="1:4" ht="15.75" customHeight="1">
      <c r="A48" s="11" t="s">
        <v>365</v>
      </c>
      <c r="B48" s="12" t="s">
        <v>364</v>
      </c>
      <c r="C48" s="13">
        <v>200</v>
      </c>
    </row>
    <row r="49" spans="1:3" ht="15.75" customHeight="1">
      <c r="A49" s="11" t="s">
        <v>366</v>
      </c>
      <c r="B49" s="12" t="s">
        <v>367</v>
      </c>
      <c r="C49" s="13">
        <v>220</v>
      </c>
    </row>
    <row r="50" spans="1:3" ht="15.75" customHeight="1">
      <c r="A50" s="11" t="s">
        <v>368</v>
      </c>
      <c r="B50" s="12" t="s">
        <v>364</v>
      </c>
      <c r="C50" s="13"/>
    </row>
    <row r="51" spans="1:3" ht="15.75" customHeight="1">
      <c r="A51" s="11" t="s">
        <v>369</v>
      </c>
      <c r="B51" s="12" t="s">
        <v>370</v>
      </c>
      <c r="C51" s="13">
        <v>260</v>
      </c>
    </row>
    <row r="52" spans="1:3" ht="15.75" customHeight="1">
      <c r="A52" s="14" t="s">
        <v>371</v>
      </c>
      <c r="B52" s="18" t="s">
        <v>372</v>
      </c>
      <c r="C52" s="15">
        <v>250</v>
      </c>
    </row>
    <row r="53" spans="1:3" ht="15.75" customHeight="1">
      <c r="A53" s="14" t="s">
        <v>373</v>
      </c>
      <c r="B53" s="18" t="s">
        <v>374</v>
      </c>
      <c r="C53" s="15">
        <v>265</v>
      </c>
    </row>
    <row r="54" spans="1:3" ht="15.75" customHeight="1">
      <c r="A54" s="14" t="s">
        <v>375</v>
      </c>
      <c r="B54" s="18" t="s">
        <v>376</v>
      </c>
      <c r="C54" s="15">
        <v>320</v>
      </c>
    </row>
    <row r="55" spans="1:3" ht="15.75" customHeight="1">
      <c r="A55" s="11" t="s">
        <v>377</v>
      </c>
      <c r="B55" s="12" t="s">
        <v>378</v>
      </c>
      <c r="C55" s="13">
        <v>300</v>
      </c>
    </row>
    <row r="56" spans="1:3" ht="15.75" customHeight="1">
      <c r="A56" s="11" t="s">
        <v>379</v>
      </c>
      <c r="B56" s="12" t="s">
        <v>380</v>
      </c>
      <c r="C56" s="13">
        <v>350</v>
      </c>
    </row>
    <row r="57" spans="1:3" ht="15.75" customHeight="1">
      <c r="A57" s="14" t="s">
        <v>381</v>
      </c>
      <c r="B57" s="18" t="s">
        <v>382</v>
      </c>
      <c r="C57" s="15">
        <v>290</v>
      </c>
    </row>
    <row r="58" spans="1:3" ht="15.75" customHeight="1">
      <c r="A58" s="11" t="s">
        <v>383</v>
      </c>
      <c r="B58" s="12" t="s">
        <v>384</v>
      </c>
      <c r="C58" s="13">
        <v>380</v>
      </c>
    </row>
    <row r="59" spans="1:3" ht="15.75" customHeight="1">
      <c r="A59" s="11" t="s">
        <v>385</v>
      </c>
      <c r="B59" s="12" t="s">
        <v>386</v>
      </c>
      <c r="C59" s="13">
        <v>420</v>
      </c>
    </row>
    <row r="60" spans="1:3" ht="15.75" customHeight="1">
      <c r="A60" s="11" t="s">
        <v>387</v>
      </c>
      <c r="B60" s="12" t="s">
        <v>350</v>
      </c>
      <c r="C60" s="13">
        <v>510</v>
      </c>
    </row>
    <row r="61" spans="1:3" ht="15.75" customHeight="1">
      <c r="A61" s="22" t="s">
        <v>388</v>
      </c>
      <c r="B61" s="12" t="s">
        <v>389</v>
      </c>
      <c r="C61" s="15">
        <v>150</v>
      </c>
    </row>
    <row r="62" spans="1:3" ht="15.75" customHeight="1">
      <c r="A62" s="11" t="s">
        <v>390</v>
      </c>
      <c r="B62" s="12" t="s">
        <v>391</v>
      </c>
      <c r="C62" s="13">
        <v>56</v>
      </c>
    </row>
    <row r="63" spans="1:3" ht="15.75" customHeight="1">
      <c r="A63" s="14" t="s">
        <v>392</v>
      </c>
      <c r="B63" s="18" t="s">
        <v>393</v>
      </c>
      <c r="C63" s="15">
        <v>62</v>
      </c>
    </row>
    <row r="64" spans="1:3" ht="15.75" customHeight="1">
      <c r="A64" s="22" t="s">
        <v>394</v>
      </c>
      <c r="B64" s="18" t="s">
        <v>395</v>
      </c>
      <c r="C64" s="15">
        <v>78</v>
      </c>
    </row>
    <row r="65" spans="1:3" ht="15.75" customHeight="1">
      <c r="A65" s="22" t="s">
        <v>396</v>
      </c>
      <c r="B65" s="18" t="s">
        <v>397</v>
      </c>
      <c r="C65" s="15">
        <v>88</v>
      </c>
    </row>
    <row r="66" spans="1:3" ht="15.75" customHeight="1">
      <c r="A66" s="22" t="s">
        <v>398</v>
      </c>
      <c r="B66" s="18" t="s">
        <v>399</v>
      </c>
      <c r="C66" s="15">
        <v>98</v>
      </c>
    </row>
    <row r="67" spans="1:3" ht="15.75" customHeight="1">
      <c r="A67" s="22" t="s">
        <v>400</v>
      </c>
      <c r="B67" s="18" t="s">
        <v>401</v>
      </c>
      <c r="C67" s="15">
        <v>93</v>
      </c>
    </row>
    <row r="68" spans="1:3" ht="15.75" customHeight="1">
      <c r="A68" s="22" t="s">
        <v>402</v>
      </c>
      <c r="B68" s="23">
        <v>4719331867058</v>
      </c>
      <c r="C68" s="15">
        <v>98</v>
      </c>
    </row>
    <row r="69" spans="1:3" ht="15.75" customHeight="1">
      <c r="A69" s="24" t="s">
        <v>403</v>
      </c>
      <c r="B69" s="12" t="s">
        <v>404</v>
      </c>
      <c r="C69" s="13">
        <v>123</v>
      </c>
    </row>
    <row r="70" spans="1:3" ht="15.75" customHeight="1">
      <c r="A70" s="22" t="s">
        <v>405</v>
      </c>
      <c r="B70" s="18" t="s">
        <v>406</v>
      </c>
      <c r="C70" s="15">
        <v>108</v>
      </c>
    </row>
    <row r="71" spans="1:3" ht="15.75" customHeight="1">
      <c r="A71" s="22" t="s">
        <v>407</v>
      </c>
      <c r="B71" s="18" t="s">
        <v>408</v>
      </c>
      <c r="C71" s="15">
        <v>130</v>
      </c>
    </row>
    <row r="72" spans="1:3" ht="15.75" customHeight="1">
      <c r="A72" s="24" t="s">
        <v>409</v>
      </c>
      <c r="B72" s="12" t="s">
        <v>410</v>
      </c>
      <c r="C72" s="13">
        <v>170</v>
      </c>
    </row>
    <row r="73" spans="1:3" ht="15.75" customHeight="1">
      <c r="A73" s="22" t="s">
        <v>411</v>
      </c>
      <c r="B73" s="18" t="s">
        <v>412</v>
      </c>
      <c r="C73" s="15">
        <v>163</v>
      </c>
    </row>
    <row r="74" spans="1:3" ht="15.75" customHeight="1">
      <c r="A74" s="22" t="s">
        <v>413</v>
      </c>
      <c r="B74" s="18" t="s">
        <v>414</v>
      </c>
      <c r="C74" s="15">
        <v>168</v>
      </c>
    </row>
    <row r="75" spans="1:3" ht="15.75" customHeight="1">
      <c r="A75" s="22" t="s">
        <v>415</v>
      </c>
      <c r="B75" s="18" t="s">
        <v>416</v>
      </c>
      <c r="C75" s="15">
        <v>170</v>
      </c>
    </row>
    <row r="76" spans="1:3" ht="15.75" customHeight="1">
      <c r="A76" s="24" t="s">
        <v>417</v>
      </c>
      <c r="B76" s="12" t="s">
        <v>418</v>
      </c>
      <c r="C76" s="13">
        <v>180</v>
      </c>
    </row>
    <row r="77" spans="1:3" ht="15.75" customHeight="1">
      <c r="A77" s="24" t="s">
        <v>419</v>
      </c>
      <c r="B77" s="12" t="s">
        <v>420</v>
      </c>
      <c r="C77" s="13">
        <v>190</v>
      </c>
    </row>
    <row r="78" spans="1:3" ht="15.75" customHeight="1">
      <c r="A78" s="24" t="s">
        <v>421</v>
      </c>
      <c r="B78" s="12" t="s">
        <v>422</v>
      </c>
      <c r="C78" s="13">
        <v>200</v>
      </c>
    </row>
    <row r="79" spans="1:3" ht="15.75" customHeight="1">
      <c r="A79" s="24" t="s">
        <v>423</v>
      </c>
      <c r="B79" s="12" t="s">
        <v>424</v>
      </c>
      <c r="C79" s="13"/>
    </row>
    <row r="80" spans="1:3" ht="15.75" customHeight="1">
      <c r="A80" s="24" t="s">
        <v>425</v>
      </c>
      <c r="B80" s="12" t="s">
        <v>426</v>
      </c>
      <c r="C80" s="13">
        <v>175</v>
      </c>
    </row>
    <row r="81" spans="1:3" ht="15.75" customHeight="1">
      <c r="A81" s="24" t="s">
        <v>427</v>
      </c>
      <c r="B81" s="12" t="s">
        <v>428</v>
      </c>
      <c r="C81" s="13">
        <v>195</v>
      </c>
    </row>
    <row r="82" spans="1:3" ht="15.75" customHeight="1">
      <c r="A82" s="24" t="s">
        <v>429</v>
      </c>
      <c r="B82" s="12" t="s">
        <v>430</v>
      </c>
      <c r="C82" s="13">
        <v>210</v>
      </c>
    </row>
    <row r="83" spans="1:3" ht="15.75" customHeight="1">
      <c r="A83" s="24" t="s">
        <v>431</v>
      </c>
      <c r="B83" s="12" t="s">
        <v>432</v>
      </c>
      <c r="C83" s="13">
        <v>230</v>
      </c>
    </row>
    <row r="84" spans="1:3" ht="15.75" customHeight="1">
      <c r="A84" s="24" t="s">
        <v>433</v>
      </c>
      <c r="B84" s="12" t="s">
        <v>434</v>
      </c>
      <c r="C84" s="13">
        <v>230</v>
      </c>
    </row>
    <row r="85" spans="1:3" ht="15.75" customHeight="1">
      <c r="A85" s="24" t="s">
        <v>435</v>
      </c>
      <c r="B85" s="12" t="s">
        <v>436</v>
      </c>
      <c r="C85" s="13">
        <v>210</v>
      </c>
    </row>
    <row r="86" spans="1:3" ht="15.75" customHeight="1">
      <c r="A86" s="24" t="s">
        <v>437</v>
      </c>
      <c r="B86" s="12" t="s">
        <v>438</v>
      </c>
      <c r="C86" s="13"/>
    </row>
    <row r="87" spans="1:3" ht="15.75" customHeight="1">
      <c r="A87" s="24" t="s">
        <v>439</v>
      </c>
      <c r="B87" s="12" t="s">
        <v>440</v>
      </c>
      <c r="C87" s="13"/>
    </row>
    <row r="88" spans="1:3" ht="15.75" customHeight="1">
      <c r="A88" s="24" t="s">
        <v>441</v>
      </c>
      <c r="B88" s="12" t="s">
        <v>442</v>
      </c>
      <c r="C88" s="13"/>
    </row>
    <row r="89" spans="1:3" ht="15.75" customHeight="1">
      <c r="A89" s="24" t="s">
        <v>443</v>
      </c>
      <c r="B89" s="12" t="s">
        <v>444</v>
      </c>
      <c r="C89" s="13"/>
    </row>
    <row r="90" spans="1:3" ht="15.75" customHeight="1">
      <c r="A90" s="24" t="s">
        <v>445</v>
      </c>
      <c r="B90" s="12" t="s">
        <v>446</v>
      </c>
      <c r="C90" s="13"/>
    </row>
    <row r="91" spans="1:3" ht="15.75" customHeight="1">
      <c r="A91" s="24" t="s">
        <v>447</v>
      </c>
      <c r="B91" s="12" t="s">
        <v>448</v>
      </c>
      <c r="C91" s="13">
        <v>440</v>
      </c>
    </row>
    <row r="92" spans="1:3" ht="15.75" customHeight="1">
      <c r="A92" s="24" t="s">
        <v>449</v>
      </c>
      <c r="B92" s="25">
        <v>4719331809546</v>
      </c>
      <c r="C92" s="13"/>
    </row>
    <row r="93" spans="1:3" ht="15.75" customHeight="1">
      <c r="A93" s="24" t="s">
        <v>450</v>
      </c>
      <c r="B93" s="25">
        <v>4719331870096</v>
      </c>
      <c r="C93" s="13">
        <v>125</v>
      </c>
    </row>
    <row r="94" spans="1:3" ht="15.75" customHeight="1">
      <c r="A94" s="24" t="s">
        <v>451</v>
      </c>
      <c r="B94" s="25">
        <v>4719331868406</v>
      </c>
      <c r="C94" s="13">
        <v>135</v>
      </c>
    </row>
    <row r="95" spans="1:3" ht="15.75" customHeight="1">
      <c r="A95" s="24" t="s">
        <v>452</v>
      </c>
      <c r="B95" s="25">
        <v>4719331856298</v>
      </c>
      <c r="C95" s="13">
        <v>115</v>
      </c>
    </row>
    <row r="96" spans="1:3" ht="15.75" customHeight="1">
      <c r="A96" s="11" t="s">
        <v>453</v>
      </c>
      <c r="B96" s="25">
        <v>4719331867942</v>
      </c>
      <c r="C96" s="13"/>
    </row>
    <row r="97" spans="1:3" ht="15.75" customHeight="1">
      <c r="A97" s="11" t="s">
        <v>454</v>
      </c>
      <c r="B97" s="25">
        <v>4719331862213</v>
      </c>
      <c r="C97" s="13"/>
    </row>
    <row r="98" spans="1:3" ht="15.75" customHeight="1">
      <c r="A98" s="11" t="s">
        <v>455</v>
      </c>
      <c r="B98" s="25">
        <v>4719331863081</v>
      </c>
      <c r="C98" s="13"/>
    </row>
    <row r="99" spans="1:3" ht="15.75" customHeight="1">
      <c r="A99" s="11" t="s">
        <v>456</v>
      </c>
      <c r="B99" s="25">
        <v>4719331860158</v>
      </c>
      <c r="C99" s="13"/>
    </row>
    <row r="100" spans="1:3" ht="15.75" customHeight="1">
      <c r="A100" s="11" t="s">
        <v>457</v>
      </c>
      <c r="B100" s="25">
        <v>4719331860073</v>
      </c>
      <c r="C100" s="13"/>
    </row>
    <row r="101" spans="1:3" ht="15.75" customHeight="1">
      <c r="A101" s="11" t="s">
        <v>458</v>
      </c>
      <c r="B101" s="25">
        <v>4719331849818</v>
      </c>
      <c r="C101" s="13"/>
    </row>
    <row r="102" spans="1:3" ht="15.75" customHeight="1">
      <c r="A102" s="11" t="s">
        <v>459</v>
      </c>
      <c r="B102" s="25">
        <v>4719331859336</v>
      </c>
      <c r="C102" s="13">
        <v>205</v>
      </c>
    </row>
    <row r="103" spans="1:3" ht="15.75" customHeight="1">
      <c r="A103" s="11" t="s">
        <v>460</v>
      </c>
      <c r="B103" s="12" t="s">
        <v>461</v>
      </c>
      <c r="C103" s="13"/>
    </row>
    <row r="104" spans="1:3" ht="15.75" customHeight="1">
      <c r="A104" s="24" t="s">
        <v>462</v>
      </c>
      <c r="B104" s="25">
        <v>4719331868970</v>
      </c>
      <c r="C104" s="13">
        <v>145</v>
      </c>
    </row>
    <row r="105" spans="1:3" ht="15.75" customHeight="1">
      <c r="A105" s="24" t="s">
        <v>463</v>
      </c>
      <c r="B105" s="25">
        <v>4719331867331</v>
      </c>
      <c r="C105" s="13">
        <v>185</v>
      </c>
    </row>
    <row r="106" spans="1:3" ht="15.75" customHeight="1">
      <c r="A106" s="24" t="s">
        <v>464</v>
      </c>
      <c r="B106" s="25">
        <v>4719331874322</v>
      </c>
      <c r="C106" s="13">
        <v>165</v>
      </c>
    </row>
    <row r="107" spans="1:3" ht="15.75" customHeight="1">
      <c r="A107" s="24" t="s">
        <v>465</v>
      </c>
      <c r="B107" s="25">
        <v>4719331874308</v>
      </c>
      <c r="C107" s="13">
        <v>180</v>
      </c>
    </row>
    <row r="108" spans="1:3" ht="15.75" customHeight="1">
      <c r="A108" s="24" t="s">
        <v>466</v>
      </c>
      <c r="B108" s="25">
        <v>4719331871789</v>
      </c>
      <c r="C108" s="13">
        <v>210</v>
      </c>
    </row>
    <row r="109" spans="1:3" ht="15.75" customHeight="1">
      <c r="A109" s="24" t="s">
        <v>467</v>
      </c>
      <c r="B109" s="25">
        <v>4719331871680</v>
      </c>
      <c r="C109" s="13">
        <v>210</v>
      </c>
    </row>
    <row r="110" spans="1:3" ht="15.75" customHeight="1">
      <c r="A110" s="24" t="s">
        <v>468</v>
      </c>
      <c r="B110" s="25">
        <v>4719331867263</v>
      </c>
      <c r="C110" s="13">
        <v>290</v>
      </c>
    </row>
    <row r="111" spans="1:3" ht="15.75" customHeight="1">
      <c r="A111" s="24" t="s">
        <v>469</v>
      </c>
      <c r="B111" s="25">
        <v>4719331865399</v>
      </c>
      <c r="C111" s="13">
        <v>230</v>
      </c>
    </row>
    <row r="112" spans="1:3" ht="15.75" customHeight="1">
      <c r="A112" s="24" t="s">
        <v>470</v>
      </c>
      <c r="B112" s="25" t="s">
        <v>471</v>
      </c>
      <c r="C112" s="13">
        <v>260</v>
      </c>
    </row>
    <row r="113" spans="1:3" ht="15.75" customHeight="1">
      <c r="A113" s="24" t="s">
        <v>472</v>
      </c>
      <c r="B113" s="25">
        <v>4719331874346</v>
      </c>
      <c r="C113" s="13"/>
    </row>
    <row r="114" spans="1:3" ht="15.75" customHeight="1">
      <c r="A114" s="24" t="s">
        <v>473</v>
      </c>
      <c r="B114" s="25">
        <v>4719331874704</v>
      </c>
      <c r="C114" s="13"/>
    </row>
    <row r="115" spans="1:3" ht="15.75" customHeight="1">
      <c r="A115" s="24" t="s">
        <v>474</v>
      </c>
      <c r="B115" s="12" t="s">
        <v>475</v>
      </c>
      <c r="C115" s="13">
        <v>360</v>
      </c>
    </row>
    <row r="116" spans="1:3" ht="15.75" customHeight="1">
      <c r="A116" s="24" t="s">
        <v>476</v>
      </c>
      <c r="B116" s="12" t="s">
        <v>477</v>
      </c>
      <c r="C116" s="13">
        <v>400</v>
      </c>
    </row>
    <row r="117" spans="1:3" ht="15.75" customHeight="1">
      <c r="A117" s="24" t="s">
        <v>478</v>
      </c>
      <c r="B117" s="12" t="s">
        <v>479</v>
      </c>
      <c r="C117" s="13"/>
    </row>
    <row r="118" spans="1:3" ht="15.75" customHeight="1">
      <c r="A118" s="24" t="s">
        <v>480</v>
      </c>
      <c r="B118" s="12" t="s">
        <v>481</v>
      </c>
      <c r="C118" s="13">
        <v>450</v>
      </c>
    </row>
    <row r="119" spans="1:3" ht="15.75" customHeight="1">
      <c r="A119" s="24" t="s">
        <v>482</v>
      </c>
      <c r="B119" s="12" t="s">
        <v>483</v>
      </c>
      <c r="C119" s="13">
        <v>570</v>
      </c>
    </row>
    <row r="120" spans="1:3" ht="15.75" customHeight="1">
      <c r="A120" s="22" t="s">
        <v>484</v>
      </c>
      <c r="B120" s="18" t="s">
        <v>485</v>
      </c>
      <c r="C120" s="15">
        <v>57</v>
      </c>
    </row>
    <row r="121" spans="1:3" ht="15.75" customHeight="1">
      <c r="A121" s="22" t="s">
        <v>486</v>
      </c>
      <c r="B121" s="18" t="s">
        <v>487</v>
      </c>
      <c r="C121" s="15">
        <v>90</v>
      </c>
    </row>
    <row r="122" spans="1:3" ht="15.75" customHeight="1">
      <c r="A122" s="22" t="s">
        <v>488</v>
      </c>
      <c r="B122" s="18" t="s">
        <v>489</v>
      </c>
      <c r="C122" s="15">
        <v>103</v>
      </c>
    </row>
    <row r="123" spans="1:3" ht="15.75" customHeight="1">
      <c r="A123" s="24" t="s">
        <v>490</v>
      </c>
      <c r="B123" s="12" t="s">
        <v>491</v>
      </c>
      <c r="C123" s="13">
        <v>190</v>
      </c>
    </row>
    <row r="124" spans="1:3" ht="15.75" customHeight="1">
      <c r="A124" s="24" t="s">
        <v>492</v>
      </c>
      <c r="B124" s="12" t="s">
        <v>493</v>
      </c>
      <c r="C124" s="13">
        <v>240</v>
      </c>
    </row>
    <row r="125" spans="1:3" ht="15.75" customHeight="1">
      <c r="A125" s="22" t="s">
        <v>494</v>
      </c>
      <c r="B125" s="18" t="s">
        <v>495</v>
      </c>
      <c r="C125" s="15">
        <v>225</v>
      </c>
    </row>
    <row r="126" spans="1:3" ht="15.75" customHeight="1">
      <c r="A126" s="22" t="s">
        <v>496</v>
      </c>
      <c r="B126" s="18" t="s">
        <v>497</v>
      </c>
      <c r="C126" s="15">
        <v>210</v>
      </c>
    </row>
    <row r="127" spans="1:3" ht="15.75" customHeight="1">
      <c r="A127" s="22" t="s">
        <v>498</v>
      </c>
      <c r="B127" s="18" t="s">
        <v>499</v>
      </c>
      <c r="C127" s="15">
        <v>220</v>
      </c>
    </row>
    <row r="128" spans="1:3" ht="15.75" customHeight="1">
      <c r="A128" s="24" t="s">
        <v>500</v>
      </c>
      <c r="B128" s="12" t="s">
        <v>501</v>
      </c>
      <c r="C128" s="13">
        <v>280</v>
      </c>
    </row>
    <row r="129" spans="1:3" ht="15.75" customHeight="1">
      <c r="A129" s="24" t="s">
        <v>502</v>
      </c>
      <c r="B129" s="12" t="s">
        <v>503</v>
      </c>
      <c r="C129" s="13">
        <v>270</v>
      </c>
    </row>
    <row r="130" spans="1:3" ht="15.75" customHeight="1">
      <c r="A130" s="24" t="s">
        <v>504</v>
      </c>
      <c r="B130" s="12" t="s">
        <v>505</v>
      </c>
      <c r="C130" s="13">
        <v>280</v>
      </c>
    </row>
    <row r="131" spans="1:3" ht="15.75" customHeight="1">
      <c r="A131" s="24" t="s">
        <v>506</v>
      </c>
      <c r="B131" s="12" t="s">
        <v>507</v>
      </c>
      <c r="C131" s="13">
        <v>300</v>
      </c>
    </row>
    <row r="132" spans="1:3" ht="15.75" customHeight="1">
      <c r="A132" s="24" t="s">
        <v>508</v>
      </c>
      <c r="B132" s="12" t="s">
        <v>509</v>
      </c>
      <c r="C132" s="13"/>
    </row>
    <row r="133" spans="1:3" ht="15.75" customHeight="1">
      <c r="A133" s="24" t="s">
        <v>510</v>
      </c>
      <c r="B133" s="12" t="s">
        <v>511</v>
      </c>
      <c r="C133" s="13">
        <v>340</v>
      </c>
    </row>
    <row r="134" spans="1:3" ht="15.75" customHeight="1">
      <c r="A134" s="24" t="s">
        <v>512</v>
      </c>
      <c r="B134" s="12" t="s">
        <v>513</v>
      </c>
      <c r="C134" s="13">
        <v>350</v>
      </c>
    </row>
    <row r="135" spans="1:3" ht="15.75" customHeight="1">
      <c r="A135" s="24" t="s">
        <v>514</v>
      </c>
      <c r="B135" s="12" t="s">
        <v>515</v>
      </c>
      <c r="C135" s="13">
        <v>380</v>
      </c>
    </row>
    <row r="136" spans="1:3" ht="15.75" customHeight="1">
      <c r="A136" s="24" t="s">
        <v>516</v>
      </c>
      <c r="B136" s="12" t="s">
        <v>517</v>
      </c>
      <c r="C136" s="13">
        <v>420</v>
      </c>
    </row>
    <row r="137" spans="1:3" ht="15.75" customHeight="1">
      <c r="A137" s="24" t="s">
        <v>518</v>
      </c>
      <c r="B137" s="12" t="s">
        <v>519</v>
      </c>
      <c r="C137" s="13">
        <v>460</v>
      </c>
    </row>
    <row r="138" spans="1:3" ht="15.75" customHeight="1">
      <c r="A138" s="24" t="s">
        <v>520</v>
      </c>
      <c r="B138" s="12" t="s">
        <v>521</v>
      </c>
      <c r="C138" s="13">
        <v>530</v>
      </c>
    </row>
    <row r="139" spans="1:3" ht="15.75" customHeight="1">
      <c r="A139" s="24" t="s">
        <v>522</v>
      </c>
      <c r="B139" s="12" t="s">
        <v>523</v>
      </c>
      <c r="C139" s="13">
        <v>550</v>
      </c>
    </row>
    <row r="140" spans="1:3" ht="15.75" customHeight="1">
      <c r="A140" s="24" t="s">
        <v>524</v>
      </c>
      <c r="B140" s="12" t="s">
        <v>525</v>
      </c>
      <c r="C140" s="13">
        <v>710</v>
      </c>
    </row>
    <row r="141" spans="1:3" ht="15.75" customHeight="1">
      <c r="A141" s="24" t="s">
        <v>526</v>
      </c>
      <c r="B141" s="12" t="s">
        <v>527</v>
      </c>
      <c r="C141" s="13">
        <v>730</v>
      </c>
    </row>
    <row r="142" spans="1:3" ht="15.75" customHeight="1">
      <c r="A142" s="24" t="s">
        <v>528</v>
      </c>
      <c r="B142" s="12" t="s">
        <v>529</v>
      </c>
      <c r="C142" s="13">
        <v>1300</v>
      </c>
    </row>
    <row r="143" spans="1:3" ht="15.75" customHeight="1">
      <c r="A143" s="24" t="s">
        <v>530</v>
      </c>
      <c r="B143" s="12" t="s">
        <v>531</v>
      </c>
      <c r="C143" s="13">
        <v>110</v>
      </c>
    </row>
    <row r="144" spans="1:3" ht="15.75" customHeight="1">
      <c r="A144" s="24" t="s">
        <v>532</v>
      </c>
      <c r="B144" s="12" t="s">
        <v>533</v>
      </c>
      <c r="C144" s="13">
        <v>200</v>
      </c>
    </row>
    <row r="145" spans="1:3" ht="15.75" customHeight="1">
      <c r="A145" s="24" t="s">
        <v>534</v>
      </c>
      <c r="B145" s="12" t="s">
        <v>535</v>
      </c>
      <c r="C145" s="13">
        <v>210</v>
      </c>
    </row>
    <row r="146" spans="1:3" ht="15.75" customHeight="1">
      <c r="A146" s="24" t="s">
        <v>536</v>
      </c>
      <c r="B146" s="12" t="s">
        <v>537</v>
      </c>
      <c r="C146" s="13">
        <v>210</v>
      </c>
    </row>
    <row r="147" spans="1:3" ht="15.75" customHeight="1">
      <c r="A147" s="24" t="s">
        <v>538</v>
      </c>
      <c r="B147" s="12" t="s">
        <v>539</v>
      </c>
      <c r="C147" s="13">
        <v>260</v>
      </c>
    </row>
    <row r="148" spans="1:3" ht="15.75" customHeight="1">
      <c r="A148" s="24" t="s">
        <v>540</v>
      </c>
      <c r="B148" s="12" t="s">
        <v>541</v>
      </c>
      <c r="C148" s="13">
        <v>280</v>
      </c>
    </row>
    <row r="149" spans="1:3" ht="15.75" customHeight="1">
      <c r="A149" s="24" t="s">
        <v>542</v>
      </c>
      <c r="B149" s="12" t="s">
        <v>543</v>
      </c>
      <c r="C149" s="13">
        <v>305</v>
      </c>
    </row>
    <row r="150" spans="1:3" ht="15.75" customHeight="1">
      <c r="A150" s="24" t="s">
        <v>544</v>
      </c>
      <c r="B150" s="12" t="s">
        <v>545</v>
      </c>
      <c r="C150" s="13">
        <v>320</v>
      </c>
    </row>
    <row r="151" spans="1:3" ht="15.75" customHeight="1">
      <c r="A151" s="24" t="s">
        <v>546</v>
      </c>
      <c r="B151" s="12" t="s">
        <v>547</v>
      </c>
      <c r="C151" s="13">
        <v>170</v>
      </c>
    </row>
    <row r="152" spans="1:3" ht="15.75" customHeight="1">
      <c r="A152" s="24" t="s">
        <v>548</v>
      </c>
      <c r="B152" s="12" t="s">
        <v>549</v>
      </c>
      <c r="C152" s="13">
        <v>190</v>
      </c>
    </row>
    <row r="153" spans="1:3" ht="15.75" customHeight="1">
      <c r="A153" s="24" t="s">
        <v>550</v>
      </c>
      <c r="B153" s="12" t="s">
        <v>551</v>
      </c>
      <c r="C153" s="13">
        <v>210</v>
      </c>
    </row>
    <row r="154" spans="1:3" ht="15.75" customHeight="1">
      <c r="A154" s="24" t="s">
        <v>552</v>
      </c>
      <c r="B154" s="12" t="s">
        <v>553</v>
      </c>
      <c r="C154" s="13">
        <v>210</v>
      </c>
    </row>
    <row r="155" spans="1:3" ht="15.75" customHeight="1">
      <c r="A155" s="24" t="s">
        <v>554</v>
      </c>
      <c r="B155" s="12" t="s">
        <v>555</v>
      </c>
      <c r="C155" s="13"/>
    </row>
    <row r="156" spans="1:3" ht="15.75" customHeight="1">
      <c r="A156" s="24" t="s">
        <v>556</v>
      </c>
      <c r="B156" s="12" t="s">
        <v>557</v>
      </c>
      <c r="C156" s="13">
        <v>240</v>
      </c>
    </row>
    <row r="157" spans="1:3" ht="15.75" customHeight="1">
      <c r="A157" s="24" t="s">
        <v>558</v>
      </c>
      <c r="B157" s="12" t="s">
        <v>559</v>
      </c>
      <c r="C157" s="13">
        <v>240</v>
      </c>
    </row>
    <row r="158" spans="1:3" ht="15.75" customHeight="1">
      <c r="A158" s="24" t="s">
        <v>560</v>
      </c>
      <c r="B158" s="12" t="s">
        <v>561</v>
      </c>
      <c r="C158" s="13">
        <v>250</v>
      </c>
    </row>
    <row r="159" spans="1:3" ht="15.75" customHeight="1">
      <c r="A159" s="24" t="s">
        <v>562</v>
      </c>
      <c r="B159" s="12" t="s">
        <v>563</v>
      </c>
      <c r="C159" s="13">
        <v>250</v>
      </c>
    </row>
    <row r="160" spans="1:3" ht="15.75" customHeight="1">
      <c r="A160" s="24" t="s">
        <v>564</v>
      </c>
      <c r="B160" s="12" t="s">
        <v>565</v>
      </c>
      <c r="C160" s="13">
        <v>260</v>
      </c>
    </row>
    <row r="161" spans="1:3" ht="15.75" customHeight="1">
      <c r="A161" s="24" t="s">
        <v>566</v>
      </c>
      <c r="B161" s="12" t="s">
        <v>567</v>
      </c>
      <c r="C161" s="13">
        <v>300</v>
      </c>
    </row>
    <row r="162" spans="1:3" ht="15.75" customHeight="1">
      <c r="A162" s="24" t="s">
        <v>568</v>
      </c>
      <c r="B162" s="12" t="s">
        <v>569</v>
      </c>
      <c r="C162" s="13">
        <v>340</v>
      </c>
    </row>
    <row r="163" spans="1:3" ht="15.75" customHeight="1">
      <c r="A163" s="24" t="s">
        <v>570</v>
      </c>
      <c r="B163" s="12" t="s">
        <v>571</v>
      </c>
      <c r="C163" s="13">
        <v>390</v>
      </c>
    </row>
    <row r="164" spans="1:3" ht="15.75" customHeight="1">
      <c r="A164" s="22" t="s">
        <v>572</v>
      </c>
      <c r="B164" s="18" t="s">
        <v>573</v>
      </c>
      <c r="C164" s="15">
        <v>230</v>
      </c>
    </row>
    <row r="165" spans="1:3" ht="15.75" customHeight="1">
      <c r="A165" s="24" t="s">
        <v>574</v>
      </c>
      <c r="B165" s="12" t="s">
        <v>575</v>
      </c>
      <c r="C165" s="13">
        <v>350</v>
      </c>
    </row>
    <row r="166" spans="1:3" ht="15.75" customHeight="1">
      <c r="A166" s="24" t="s">
        <v>576</v>
      </c>
      <c r="B166" s="12" t="s">
        <v>577</v>
      </c>
      <c r="C166" s="13">
        <v>350</v>
      </c>
    </row>
    <row r="167" spans="1:3" ht="15.75" customHeight="1">
      <c r="A167" s="24" t="s">
        <v>578</v>
      </c>
      <c r="B167" s="12" t="s">
        <v>579</v>
      </c>
      <c r="C167" s="13">
        <v>360</v>
      </c>
    </row>
    <row r="168" spans="1:3" ht="15.75" customHeight="1">
      <c r="A168" s="24" t="s">
        <v>580</v>
      </c>
      <c r="B168" s="12" t="s">
        <v>581</v>
      </c>
      <c r="C168" s="13">
        <v>390</v>
      </c>
    </row>
    <row r="169" spans="1:3" ht="15.75" customHeight="1">
      <c r="A169" s="24" t="s">
        <v>582</v>
      </c>
      <c r="B169" s="12" t="s">
        <v>583</v>
      </c>
      <c r="C169" s="13">
        <v>460</v>
      </c>
    </row>
    <row r="170" spans="1:3" ht="15.75" customHeight="1">
      <c r="A170" s="24" t="s">
        <v>584</v>
      </c>
      <c r="B170" s="12" t="s">
        <v>585</v>
      </c>
      <c r="C170" s="13">
        <v>500</v>
      </c>
    </row>
    <row r="171" spans="1:3" ht="15.75" customHeight="1">
      <c r="A171" s="24" t="s">
        <v>586</v>
      </c>
      <c r="B171" s="12" t="s">
        <v>587</v>
      </c>
      <c r="C171" s="13">
        <v>530</v>
      </c>
    </row>
    <row r="172" spans="1:3" ht="15.75" customHeight="1">
      <c r="A172" s="24" t="s">
        <v>588</v>
      </c>
      <c r="B172" s="12" t="s">
        <v>589</v>
      </c>
      <c r="C172" s="13">
        <v>550</v>
      </c>
    </row>
    <row r="173" spans="1:3" ht="15.75" customHeight="1">
      <c r="A173" s="24" t="s">
        <v>590</v>
      </c>
      <c r="B173" s="12" t="s">
        <v>591</v>
      </c>
      <c r="C173" s="13"/>
    </row>
    <row r="174" spans="1:3" ht="15.75" customHeight="1">
      <c r="A174" s="24" t="s">
        <v>592</v>
      </c>
      <c r="B174" s="12" t="s">
        <v>593</v>
      </c>
      <c r="C174" s="13">
        <v>750</v>
      </c>
    </row>
    <row r="175" spans="1:3" ht="15.75" customHeight="1">
      <c r="A175" s="24" t="s">
        <v>594</v>
      </c>
      <c r="B175" s="12" t="s">
        <v>595</v>
      </c>
      <c r="C175" s="15"/>
    </row>
    <row r="176" spans="1:3" ht="15.75" customHeight="1">
      <c r="A176" s="24" t="s">
        <v>596</v>
      </c>
      <c r="B176" s="12" t="s">
        <v>597</v>
      </c>
      <c r="C176" s="13">
        <v>105</v>
      </c>
    </row>
    <row r="177" spans="1:3" ht="15.75" customHeight="1">
      <c r="A177" s="24" t="s">
        <v>598</v>
      </c>
      <c r="B177" s="12" t="s">
        <v>599</v>
      </c>
      <c r="C177" s="13"/>
    </row>
    <row r="178" spans="1:3" ht="15.75" customHeight="1">
      <c r="A178" s="24" t="s">
        <v>600</v>
      </c>
      <c r="B178" s="12" t="s">
        <v>601</v>
      </c>
      <c r="C178" s="15"/>
    </row>
    <row r="179" spans="1:3" ht="15.75" customHeight="1">
      <c r="A179" s="22" t="s">
        <v>602</v>
      </c>
      <c r="B179" s="12" t="s">
        <v>603</v>
      </c>
      <c r="C179" s="15">
        <v>170</v>
      </c>
    </row>
    <row r="180" spans="1:3" ht="15.75" customHeight="1">
      <c r="A180" s="24" t="s">
        <v>604</v>
      </c>
      <c r="B180" s="12" t="s">
        <v>605</v>
      </c>
      <c r="C180" s="15"/>
    </row>
    <row r="181" spans="1:3" ht="15.75" customHeight="1">
      <c r="A181" s="22" t="s">
        <v>606</v>
      </c>
      <c r="B181" s="12" t="s">
        <v>607</v>
      </c>
      <c r="C181" s="15">
        <v>210</v>
      </c>
    </row>
    <row r="182" spans="1:3" ht="15.75" customHeight="1">
      <c r="A182" s="16"/>
      <c r="B182" s="26"/>
      <c r="C182" s="26"/>
    </row>
    <row r="183" spans="1:3" ht="15.75" customHeight="1">
      <c r="A183" s="27" t="s">
        <v>608</v>
      </c>
      <c r="B183" s="28"/>
      <c r="C183" s="29" t="s">
        <v>1</v>
      </c>
    </row>
    <row r="184" spans="1:3" ht="15.75" customHeight="1">
      <c r="A184" s="11" t="s">
        <v>609</v>
      </c>
      <c r="B184" s="30" t="s">
        <v>610</v>
      </c>
      <c r="C184" s="13">
        <v>300</v>
      </c>
    </row>
    <row r="185" spans="1:3" ht="15.75" customHeight="1">
      <c r="A185" s="14" t="s">
        <v>611</v>
      </c>
      <c r="B185" s="31" t="s">
        <v>612</v>
      </c>
      <c r="C185" s="15">
        <v>380</v>
      </c>
    </row>
    <row r="186" spans="1:3" ht="15.75" customHeight="1">
      <c r="A186" s="14" t="s">
        <v>613</v>
      </c>
      <c r="B186" s="31"/>
      <c r="C186" s="15">
        <v>390</v>
      </c>
    </row>
    <row r="187" spans="1:3" ht="15.75" customHeight="1">
      <c r="A187" s="14" t="s">
        <v>614</v>
      </c>
      <c r="B187" s="30" t="s">
        <v>615</v>
      </c>
      <c r="C187" s="15">
        <v>450</v>
      </c>
    </row>
    <row r="188" spans="1:3" ht="15.75" customHeight="1">
      <c r="A188" s="14" t="s">
        <v>616</v>
      </c>
      <c r="B188" s="32" t="s">
        <v>617</v>
      </c>
      <c r="C188" s="15">
        <v>590</v>
      </c>
    </row>
    <row r="189" spans="1:3" ht="15.75" customHeight="1">
      <c r="A189" s="14" t="s">
        <v>618</v>
      </c>
      <c r="B189" s="32" t="s">
        <v>619</v>
      </c>
      <c r="C189" s="15">
        <v>695</v>
      </c>
    </row>
    <row r="190" spans="1:3" ht="15.75" customHeight="1">
      <c r="A190" s="14" t="s">
        <v>620</v>
      </c>
      <c r="B190" s="32"/>
      <c r="C190" s="15">
        <v>710</v>
      </c>
    </row>
    <row r="191" spans="1:3" ht="15.75" customHeight="1">
      <c r="A191" s="11" t="s">
        <v>621</v>
      </c>
      <c r="B191" s="30" t="s">
        <v>622</v>
      </c>
      <c r="C191" s="13"/>
    </row>
    <row r="192" spans="1:3" ht="15.75" customHeight="1">
      <c r="A192" s="11" t="s">
        <v>623</v>
      </c>
      <c r="B192" s="30" t="s">
        <v>624</v>
      </c>
      <c r="C192" s="13"/>
    </row>
    <row r="193" spans="1:4" ht="15.75" customHeight="1">
      <c r="A193" s="11" t="s">
        <v>625</v>
      </c>
      <c r="B193" s="30" t="s">
        <v>626</v>
      </c>
      <c r="C193" s="13"/>
    </row>
    <row r="194" spans="1:4" ht="15.75" customHeight="1">
      <c r="A194" s="14" t="s">
        <v>627</v>
      </c>
      <c r="B194" s="31" t="s">
        <v>628</v>
      </c>
      <c r="C194" s="15">
        <v>390</v>
      </c>
    </row>
    <row r="195" spans="1:4" ht="15.75" customHeight="1">
      <c r="A195" s="11" t="s">
        <v>629</v>
      </c>
      <c r="B195" s="30" t="s">
        <v>630</v>
      </c>
      <c r="C195" s="13">
        <v>395</v>
      </c>
    </row>
    <row r="196" spans="1:4" ht="15.75" customHeight="1">
      <c r="A196" s="11" t="s">
        <v>631</v>
      </c>
      <c r="B196" s="30" t="s">
        <v>632</v>
      </c>
      <c r="C196" s="13">
        <v>410</v>
      </c>
    </row>
    <row r="197" spans="1:4" ht="15.75" customHeight="1">
      <c r="A197" s="14" t="s">
        <v>633</v>
      </c>
      <c r="B197" s="31" t="s">
        <v>634</v>
      </c>
      <c r="C197" s="15">
        <v>420</v>
      </c>
      <c r="D197" s="19"/>
    </row>
    <row r="198" spans="1:4" ht="15.75" customHeight="1">
      <c r="A198" s="14" t="s">
        <v>635</v>
      </c>
      <c r="B198" s="31" t="s">
        <v>636</v>
      </c>
      <c r="C198" s="15">
        <v>560</v>
      </c>
    </row>
    <row r="199" spans="1:4" ht="15.75" customHeight="1">
      <c r="A199" s="11" t="s">
        <v>637</v>
      </c>
      <c r="B199" s="30" t="s">
        <v>638</v>
      </c>
      <c r="C199" s="13">
        <v>595</v>
      </c>
    </row>
    <row r="200" spans="1:4" ht="15.75" customHeight="1">
      <c r="A200" s="11" t="s">
        <v>639</v>
      </c>
      <c r="B200" s="30" t="s">
        <v>640</v>
      </c>
      <c r="C200" s="13">
        <v>600</v>
      </c>
    </row>
    <row r="201" spans="1:4" ht="15.75" customHeight="1">
      <c r="A201" s="11" t="s">
        <v>641</v>
      </c>
      <c r="B201" s="30" t="s">
        <v>642</v>
      </c>
      <c r="C201" s="13"/>
    </row>
    <row r="202" spans="1:4" ht="15.75" customHeight="1">
      <c r="A202" s="14" t="s">
        <v>643</v>
      </c>
      <c r="B202" s="31" t="s">
        <v>644</v>
      </c>
      <c r="C202" s="15">
        <v>650</v>
      </c>
    </row>
    <row r="203" spans="1:4" ht="15.75" customHeight="1">
      <c r="A203" s="11" t="s">
        <v>645</v>
      </c>
      <c r="B203" s="30" t="s">
        <v>646</v>
      </c>
      <c r="C203" s="13"/>
    </row>
    <row r="204" spans="1:4" ht="15.75" customHeight="1">
      <c r="A204" s="11" t="s">
        <v>647</v>
      </c>
      <c r="B204" s="30" t="s">
        <v>648</v>
      </c>
      <c r="C204" s="13"/>
    </row>
    <row r="205" spans="1:4" ht="15.75" customHeight="1">
      <c r="A205" s="14" t="s">
        <v>649</v>
      </c>
      <c r="B205" s="31" t="s">
        <v>650</v>
      </c>
      <c r="C205" s="15">
        <v>990</v>
      </c>
    </row>
    <row r="206" spans="1:4" ht="15.75" customHeight="1">
      <c r="A206" s="11" t="s">
        <v>651</v>
      </c>
      <c r="B206" s="32" t="s">
        <v>652</v>
      </c>
      <c r="C206" s="13"/>
    </row>
    <row r="207" spans="1:4" ht="15.75" customHeight="1">
      <c r="A207" s="14" t="s">
        <v>653</v>
      </c>
      <c r="B207" s="32" t="s">
        <v>654</v>
      </c>
      <c r="C207" s="15">
        <v>395</v>
      </c>
    </row>
    <row r="208" spans="1:4" ht="15.75" customHeight="1">
      <c r="A208" s="14" t="s">
        <v>655</v>
      </c>
      <c r="B208" s="32" t="s">
        <v>656</v>
      </c>
      <c r="C208" s="15">
        <v>590</v>
      </c>
    </row>
    <row r="209" spans="1:3" ht="15.75" customHeight="1">
      <c r="A209" s="14" t="s">
        <v>657</v>
      </c>
      <c r="B209" s="32" t="s">
        <v>658</v>
      </c>
      <c r="C209" s="15">
        <v>680</v>
      </c>
    </row>
    <row r="210" spans="1:3" ht="15.75" customHeight="1">
      <c r="A210" s="14" t="s">
        <v>659</v>
      </c>
      <c r="B210" s="32"/>
      <c r="C210" s="15">
        <v>700</v>
      </c>
    </row>
    <row r="211" spans="1:3" ht="15.75" customHeight="1">
      <c r="A211" s="14" t="s">
        <v>660</v>
      </c>
      <c r="B211" s="32"/>
      <c r="C211" s="15">
        <v>980</v>
      </c>
    </row>
    <row r="212" spans="1:3" ht="15.75" customHeight="1">
      <c r="A212" s="14" t="s">
        <v>661</v>
      </c>
      <c r="B212" s="32"/>
      <c r="C212" s="15">
        <v>980</v>
      </c>
    </row>
    <row r="213" spans="1:3" ht="15.75" customHeight="1">
      <c r="A213" s="11" t="s">
        <v>662</v>
      </c>
      <c r="B213" s="30" t="s">
        <v>663</v>
      </c>
      <c r="C213" s="13">
        <v>340</v>
      </c>
    </row>
    <row r="214" spans="1:3" ht="15.75" customHeight="1">
      <c r="A214" s="11" t="s">
        <v>664</v>
      </c>
      <c r="B214" s="30" t="s">
        <v>665</v>
      </c>
      <c r="C214" s="13">
        <v>345</v>
      </c>
    </row>
    <row r="215" spans="1:3" ht="15.75" customHeight="1">
      <c r="A215" s="11" t="s">
        <v>666</v>
      </c>
      <c r="B215" s="30" t="s">
        <v>667</v>
      </c>
      <c r="C215" s="13">
        <v>355</v>
      </c>
    </row>
    <row r="216" spans="1:3" ht="15.75" customHeight="1">
      <c r="A216" s="11" t="s">
        <v>668</v>
      </c>
      <c r="B216" s="30" t="s">
        <v>669</v>
      </c>
      <c r="C216" s="13">
        <v>455</v>
      </c>
    </row>
    <row r="217" spans="1:3" ht="15.75" customHeight="1">
      <c r="A217" s="11" t="s">
        <v>670</v>
      </c>
      <c r="B217" s="30" t="s">
        <v>671</v>
      </c>
      <c r="C217" s="13">
        <v>385</v>
      </c>
    </row>
    <row r="218" spans="1:3" ht="15.75" customHeight="1">
      <c r="A218" s="11" t="s">
        <v>672</v>
      </c>
      <c r="B218" s="30" t="s">
        <v>673</v>
      </c>
      <c r="C218" s="13">
        <v>385</v>
      </c>
    </row>
    <row r="219" spans="1:3" ht="15.75" customHeight="1">
      <c r="A219" s="14" t="s">
        <v>674</v>
      </c>
      <c r="B219" s="31" t="s">
        <v>675</v>
      </c>
      <c r="C219" s="15">
        <v>410</v>
      </c>
    </row>
    <row r="220" spans="1:3" ht="15.75" customHeight="1">
      <c r="A220" s="14" t="s">
        <v>676</v>
      </c>
      <c r="B220" s="31" t="s">
        <v>677</v>
      </c>
      <c r="C220" s="15">
        <v>415</v>
      </c>
    </row>
    <row r="221" spans="1:3" ht="15.75" customHeight="1">
      <c r="A221" s="11" t="s">
        <v>678</v>
      </c>
      <c r="B221" s="30" t="s">
        <v>679</v>
      </c>
      <c r="C221" s="13">
        <v>580</v>
      </c>
    </row>
    <row r="222" spans="1:3" ht="15.75" customHeight="1">
      <c r="A222" s="11" t="s">
        <v>680</v>
      </c>
      <c r="B222" s="30" t="s">
        <v>681</v>
      </c>
      <c r="C222" s="13">
        <v>580</v>
      </c>
    </row>
    <row r="223" spans="1:3" ht="15.75" customHeight="1">
      <c r="A223" s="11" t="s">
        <v>682</v>
      </c>
      <c r="B223" s="30" t="s">
        <v>683</v>
      </c>
      <c r="C223" s="13">
        <v>590</v>
      </c>
    </row>
    <row r="224" spans="1:3" ht="15.75" customHeight="1">
      <c r="A224" s="14" t="s">
        <v>684</v>
      </c>
      <c r="B224" s="31" t="s">
        <v>685</v>
      </c>
      <c r="C224" s="15">
        <v>660</v>
      </c>
    </row>
    <row r="225" spans="1:3" ht="15.75" customHeight="1">
      <c r="A225" s="11" t="s">
        <v>686</v>
      </c>
      <c r="B225" s="30" t="s">
        <v>687</v>
      </c>
      <c r="C225" s="13">
        <v>665</v>
      </c>
    </row>
    <row r="226" spans="1:3" ht="15.75" customHeight="1">
      <c r="A226" s="11" t="s">
        <v>688</v>
      </c>
      <c r="B226" s="30" t="s">
        <v>689</v>
      </c>
      <c r="C226" s="13">
        <v>670</v>
      </c>
    </row>
    <row r="227" spans="1:3" ht="15.75" customHeight="1">
      <c r="A227" s="14" t="s">
        <v>690</v>
      </c>
      <c r="B227" s="31" t="s">
        <v>691</v>
      </c>
      <c r="C227" s="15">
        <v>980</v>
      </c>
    </row>
    <row r="228" spans="1:3" ht="15.75" customHeight="1">
      <c r="A228" s="14" t="s">
        <v>692</v>
      </c>
      <c r="B228" s="31" t="s">
        <v>693</v>
      </c>
      <c r="C228" s="15">
        <v>1350</v>
      </c>
    </row>
    <row r="229" spans="1:3" ht="15.75" customHeight="1">
      <c r="A229" s="14" t="s">
        <v>694</v>
      </c>
      <c r="B229" s="31" t="s">
        <v>695</v>
      </c>
      <c r="C229" s="15">
        <v>1400</v>
      </c>
    </row>
    <row r="230" spans="1:3" ht="15.75" customHeight="1">
      <c r="A230" s="11" t="s">
        <v>696</v>
      </c>
      <c r="B230" s="12" t="s">
        <v>697</v>
      </c>
      <c r="C230" s="13">
        <v>112</v>
      </c>
    </row>
    <row r="231" spans="1:3" ht="15.75" customHeight="1">
      <c r="A231" s="11" t="s">
        <v>698</v>
      </c>
      <c r="B231" s="12" t="s">
        <v>699</v>
      </c>
      <c r="C231" s="13">
        <v>140</v>
      </c>
    </row>
    <row r="232" spans="1:3" ht="15.75" customHeight="1">
      <c r="A232" s="14" t="s">
        <v>700</v>
      </c>
      <c r="B232" s="18" t="s">
        <v>701</v>
      </c>
      <c r="C232" s="15">
        <v>185</v>
      </c>
    </row>
    <row r="233" spans="1:3" ht="15.75" customHeight="1">
      <c r="A233" s="14" t="s">
        <v>702</v>
      </c>
      <c r="B233" s="18" t="s">
        <v>703</v>
      </c>
      <c r="C233" s="15">
        <v>165</v>
      </c>
    </row>
    <row r="234" spans="1:3" ht="15.75" customHeight="1">
      <c r="A234" s="14" t="s">
        <v>704</v>
      </c>
      <c r="B234" s="18" t="s">
        <v>705</v>
      </c>
      <c r="C234" s="15">
        <v>217</v>
      </c>
    </row>
    <row r="235" spans="1:3" ht="15.75" customHeight="1">
      <c r="A235" s="14" t="s">
        <v>706</v>
      </c>
      <c r="B235" s="18" t="s">
        <v>707</v>
      </c>
      <c r="C235" s="15">
        <v>290</v>
      </c>
    </row>
    <row r="236" spans="1:3" ht="15.75" customHeight="1">
      <c r="A236" s="14" t="s">
        <v>708</v>
      </c>
      <c r="B236" s="18" t="s">
        <v>709</v>
      </c>
      <c r="C236" s="15">
        <v>305</v>
      </c>
    </row>
    <row r="237" spans="1:3" ht="15.75" customHeight="1">
      <c r="A237" s="14" t="s">
        <v>710</v>
      </c>
      <c r="B237" s="18" t="s">
        <v>711</v>
      </c>
      <c r="C237" s="15">
        <v>350</v>
      </c>
    </row>
    <row r="238" spans="1:3" ht="15.75" customHeight="1">
      <c r="A238" s="11" t="s">
        <v>712</v>
      </c>
      <c r="B238" s="12" t="s">
        <v>713</v>
      </c>
      <c r="C238" s="13"/>
    </row>
    <row r="239" spans="1:3" ht="15.75" customHeight="1">
      <c r="A239" s="11" t="s">
        <v>714</v>
      </c>
      <c r="B239" s="12" t="s">
        <v>715</v>
      </c>
      <c r="C239" s="13"/>
    </row>
    <row r="240" spans="1:3" ht="15.75" customHeight="1">
      <c r="A240" s="11" t="s">
        <v>716</v>
      </c>
      <c r="B240" s="12" t="s">
        <v>717</v>
      </c>
      <c r="C240" s="13">
        <v>143</v>
      </c>
    </row>
    <row r="241" spans="1:3" ht="15.75" customHeight="1">
      <c r="A241" s="11" t="s">
        <v>718</v>
      </c>
      <c r="B241" s="12" t="s">
        <v>719</v>
      </c>
      <c r="C241" s="13">
        <v>170</v>
      </c>
    </row>
    <row r="242" spans="1:3" ht="15.75" customHeight="1">
      <c r="A242" s="11" t="s">
        <v>720</v>
      </c>
      <c r="B242" s="12" t="s">
        <v>721</v>
      </c>
      <c r="C242" s="13">
        <v>200</v>
      </c>
    </row>
    <row r="243" spans="1:3" ht="15.75" customHeight="1">
      <c r="A243" s="11" t="s">
        <v>722</v>
      </c>
      <c r="B243" s="12" t="s">
        <v>723</v>
      </c>
      <c r="C243" s="13">
        <v>220</v>
      </c>
    </row>
    <row r="244" spans="1:3" ht="15.75" customHeight="1">
      <c r="A244" s="11" t="s">
        <v>724</v>
      </c>
      <c r="B244" s="12" t="s">
        <v>725</v>
      </c>
      <c r="C244" s="13">
        <v>316</v>
      </c>
    </row>
    <row r="245" spans="1:3" ht="15.75" customHeight="1">
      <c r="A245" s="14" t="s">
        <v>726</v>
      </c>
      <c r="B245" s="18" t="s">
        <v>727</v>
      </c>
      <c r="C245" s="15">
        <v>45</v>
      </c>
    </row>
    <row r="246" spans="1:3" ht="15.75" customHeight="1">
      <c r="A246" s="14" t="s">
        <v>728</v>
      </c>
      <c r="B246" s="18" t="s">
        <v>729</v>
      </c>
      <c r="C246" s="15">
        <v>74</v>
      </c>
    </row>
    <row r="247" spans="1:3" ht="15.75" customHeight="1">
      <c r="A247" s="11" t="s">
        <v>730</v>
      </c>
      <c r="B247" s="12" t="s">
        <v>731</v>
      </c>
      <c r="C247" s="13">
        <v>115</v>
      </c>
    </row>
    <row r="248" spans="1:3" ht="15.75" customHeight="1">
      <c r="A248" s="11" t="s">
        <v>732</v>
      </c>
      <c r="B248" s="12" t="s">
        <v>733</v>
      </c>
      <c r="C248" s="13"/>
    </row>
    <row r="249" spans="1:3" ht="15.75" customHeight="1">
      <c r="A249" s="14" t="s">
        <v>734</v>
      </c>
      <c r="B249" s="18" t="s">
        <v>735</v>
      </c>
      <c r="C249" s="15">
        <v>170</v>
      </c>
    </row>
    <row r="250" spans="1:3" ht="15.75" customHeight="1">
      <c r="A250" s="14" t="s">
        <v>736</v>
      </c>
      <c r="B250" s="18" t="s">
        <v>737</v>
      </c>
      <c r="C250" s="15">
        <v>220</v>
      </c>
    </row>
    <row r="251" spans="1:3" ht="15.75" customHeight="1">
      <c r="A251" s="14" t="s">
        <v>738</v>
      </c>
      <c r="B251" s="18" t="s">
        <v>739</v>
      </c>
      <c r="C251" s="15">
        <v>200</v>
      </c>
    </row>
    <row r="252" spans="1:3" ht="15.75" customHeight="1">
      <c r="A252" s="14" t="s">
        <v>740</v>
      </c>
      <c r="B252" s="18" t="s">
        <v>741</v>
      </c>
      <c r="C252" s="15">
        <v>300</v>
      </c>
    </row>
    <row r="253" spans="1:3" ht="15.75" customHeight="1">
      <c r="A253" s="11" t="s">
        <v>742</v>
      </c>
      <c r="B253" s="30" t="s">
        <v>743</v>
      </c>
      <c r="C253" s="13">
        <v>220</v>
      </c>
    </row>
    <row r="254" spans="1:3" ht="15.75" customHeight="1">
      <c r="A254" s="14" t="s">
        <v>744</v>
      </c>
      <c r="B254" s="30"/>
      <c r="C254" s="15">
        <v>375</v>
      </c>
    </row>
    <row r="255" spans="1:3" ht="15.75" customHeight="1">
      <c r="A255" s="14" t="s">
        <v>745</v>
      </c>
      <c r="B255" s="30"/>
      <c r="C255" s="15">
        <v>380</v>
      </c>
    </row>
    <row r="256" spans="1:3" ht="15.75" customHeight="1">
      <c r="A256" s="11" t="s">
        <v>746</v>
      </c>
      <c r="B256" s="30" t="s">
        <v>747</v>
      </c>
      <c r="C256" s="13">
        <v>380</v>
      </c>
    </row>
    <row r="257" spans="1:3" ht="15.75" customHeight="1">
      <c r="A257" s="11" t="s">
        <v>748</v>
      </c>
      <c r="B257" s="30" t="s">
        <v>749</v>
      </c>
      <c r="C257" s="13">
        <v>380</v>
      </c>
    </row>
    <row r="258" spans="1:3" ht="15.75" customHeight="1">
      <c r="A258" s="14" t="s">
        <v>750</v>
      </c>
      <c r="B258" s="31" t="s">
        <v>751</v>
      </c>
      <c r="C258" s="15">
        <v>390</v>
      </c>
    </row>
    <row r="259" spans="1:3" ht="15.75" customHeight="1">
      <c r="A259" s="14" t="s">
        <v>752</v>
      </c>
      <c r="B259" s="31" t="s">
        <v>753</v>
      </c>
      <c r="C259" s="15">
        <v>450</v>
      </c>
    </row>
    <row r="260" spans="1:3" ht="15.75" customHeight="1">
      <c r="A260" s="14" t="s">
        <v>754</v>
      </c>
      <c r="B260" s="31" t="s">
        <v>755</v>
      </c>
      <c r="C260" s="15">
        <v>565</v>
      </c>
    </row>
    <row r="261" spans="1:3" ht="15.75" customHeight="1">
      <c r="A261" s="14" t="s">
        <v>756</v>
      </c>
      <c r="B261" s="31" t="s">
        <v>757</v>
      </c>
      <c r="C261" s="15">
        <v>570</v>
      </c>
    </row>
    <row r="262" spans="1:3" ht="15.75" customHeight="1">
      <c r="A262" s="14" t="s">
        <v>758</v>
      </c>
      <c r="B262" s="31"/>
      <c r="C262" s="15">
        <v>590</v>
      </c>
    </row>
    <row r="263" spans="1:3" ht="15.75" customHeight="1">
      <c r="A263" s="14" t="s">
        <v>759</v>
      </c>
      <c r="B263" s="31" t="s">
        <v>760</v>
      </c>
      <c r="C263" s="15">
        <v>590</v>
      </c>
    </row>
    <row r="264" spans="1:3" ht="15.75" customHeight="1">
      <c r="A264" s="14" t="s">
        <v>761</v>
      </c>
      <c r="B264" s="31" t="s">
        <v>762</v>
      </c>
      <c r="C264" s="15">
        <v>590</v>
      </c>
    </row>
    <row r="265" spans="1:3" ht="15.75" customHeight="1">
      <c r="A265" s="14" t="s">
        <v>763</v>
      </c>
      <c r="B265" s="31"/>
      <c r="C265" s="15">
        <v>620</v>
      </c>
    </row>
    <row r="266" spans="1:3" ht="15.75" customHeight="1">
      <c r="A266" s="14" t="s">
        <v>764</v>
      </c>
      <c r="B266" s="31" t="s">
        <v>765</v>
      </c>
      <c r="C266" s="15">
        <v>700</v>
      </c>
    </row>
    <row r="267" spans="1:3" ht="15.75" customHeight="1">
      <c r="A267" s="14" t="s">
        <v>766</v>
      </c>
      <c r="B267" s="31" t="s">
        <v>767</v>
      </c>
      <c r="C267" s="15">
        <v>630</v>
      </c>
    </row>
    <row r="268" spans="1:3" ht="15.75" customHeight="1">
      <c r="A268" s="14" t="s">
        <v>768</v>
      </c>
      <c r="B268" s="31" t="s">
        <v>769</v>
      </c>
      <c r="C268" s="15">
        <v>680</v>
      </c>
    </row>
    <row r="269" spans="1:3" ht="15.75" customHeight="1">
      <c r="A269" s="14" t="s">
        <v>770</v>
      </c>
      <c r="B269" s="31" t="s">
        <v>771</v>
      </c>
      <c r="C269" s="15">
        <v>690</v>
      </c>
    </row>
    <row r="270" spans="1:3" ht="15.75" customHeight="1">
      <c r="A270" s="14" t="s">
        <v>772</v>
      </c>
      <c r="B270" s="31" t="s">
        <v>773</v>
      </c>
      <c r="C270" s="15">
        <v>770</v>
      </c>
    </row>
    <row r="271" spans="1:3" ht="15.75" customHeight="1">
      <c r="A271" s="14" t="s">
        <v>774</v>
      </c>
      <c r="B271" s="31" t="s">
        <v>775</v>
      </c>
      <c r="C271" s="15">
        <v>760</v>
      </c>
    </row>
    <row r="272" spans="1:3" ht="15.75" customHeight="1">
      <c r="A272" s="14" t="s">
        <v>776</v>
      </c>
      <c r="B272" s="31" t="s">
        <v>777</v>
      </c>
      <c r="C272" s="15">
        <v>1000</v>
      </c>
    </row>
    <row r="273" spans="1:4" ht="15.75" customHeight="1">
      <c r="A273" s="11" t="s">
        <v>778</v>
      </c>
      <c r="B273" s="30" t="s">
        <v>779</v>
      </c>
      <c r="C273" s="13">
        <v>1100</v>
      </c>
    </row>
    <row r="274" spans="1:4" ht="15.75" customHeight="1">
      <c r="A274" s="11" t="s">
        <v>780</v>
      </c>
      <c r="B274" s="30" t="s">
        <v>781</v>
      </c>
      <c r="C274" s="13">
        <v>1050</v>
      </c>
    </row>
    <row r="275" spans="1:4" ht="15.75" customHeight="1">
      <c r="A275" s="11" t="s">
        <v>782</v>
      </c>
      <c r="B275" s="31" t="s">
        <v>783</v>
      </c>
      <c r="C275" s="15"/>
    </row>
    <row r="276" spans="1:4" ht="15.75" customHeight="1">
      <c r="A276" s="11" t="s">
        <v>784</v>
      </c>
      <c r="B276" s="31" t="s">
        <v>785</v>
      </c>
      <c r="C276" s="15"/>
    </row>
    <row r="277" spans="1:4" ht="15.75" customHeight="1">
      <c r="A277" s="11" t="s">
        <v>786</v>
      </c>
      <c r="B277" s="30" t="s">
        <v>787</v>
      </c>
      <c r="C277" s="13">
        <v>1550</v>
      </c>
    </row>
    <row r="278" spans="1:4" ht="15.75" customHeight="1">
      <c r="A278" s="14" t="s">
        <v>788</v>
      </c>
      <c r="B278" s="31" t="s">
        <v>789</v>
      </c>
      <c r="C278" s="15">
        <v>1530</v>
      </c>
    </row>
    <row r="279" spans="1:4" ht="15.75" customHeight="1">
      <c r="A279" s="14" t="s">
        <v>790</v>
      </c>
      <c r="B279" s="31" t="s">
        <v>791</v>
      </c>
      <c r="C279" s="15">
        <v>1550</v>
      </c>
    </row>
    <row r="280" spans="1:4" ht="15.75" customHeight="1">
      <c r="A280" s="11" t="s">
        <v>792</v>
      </c>
      <c r="B280" s="30" t="s">
        <v>793</v>
      </c>
      <c r="C280" s="13">
        <v>245</v>
      </c>
    </row>
    <row r="281" spans="1:4" ht="15.75" customHeight="1">
      <c r="A281" s="11" t="s">
        <v>794</v>
      </c>
      <c r="B281" s="30" t="s">
        <v>795</v>
      </c>
      <c r="C281" s="13">
        <v>245</v>
      </c>
    </row>
    <row r="282" spans="1:4" ht="15.75" customHeight="1">
      <c r="A282" s="14" t="s">
        <v>796</v>
      </c>
      <c r="B282" s="31"/>
      <c r="C282" s="15">
        <v>315</v>
      </c>
    </row>
    <row r="283" spans="1:4" ht="15.75" customHeight="1">
      <c r="A283" s="14" t="s">
        <v>797</v>
      </c>
      <c r="B283" s="31" t="s">
        <v>798</v>
      </c>
      <c r="C283" s="15">
        <v>380</v>
      </c>
    </row>
    <row r="284" spans="1:4" ht="15.75" customHeight="1">
      <c r="A284" s="14" t="s">
        <v>799</v>
      </c>
      <c r="B284" s="31"/>
      <c r="C284" s="15">
        <v>380</v>
      </c>
    </row>
    <row r="285" spans="1:4" ht="15.75" customHeight="1">
      <c r="A285" s="14" t="s">
        <v>800</v>
      </c>
      <c r="B285" s="31"/>
      <c r="C285" s="15">
        <v>390</v>
      </c>
    </row>
    <row r="286" spans="1:4" ht="15.75" customHeight="1">
      <c r="A286" s="14" t="s">
        <v>801</v>
      </c>
      <c r="B286" s="31" t="s">
        <v>802</v>
      </c>
      <c r="C286" s="15">
        <v>410</v>
      </c>
    </row>
    <row r="287" spans="1:4" ht="15.75" customHeight="1">
      <c r="A287" s="11" t="s">
        <v>803</v>
      </c>
      <c r="B287" s="30" t="s">
        <v>804</v>
      </c>
      <c r="C287" s="13">
        <v>430</v>
      </c>
    </row>
    <row r="288" spans="1:4" ht="15.75" customHeight="1">
      <c r="A288" s="11" t="s">
        <v>805</v>
      </c>
      <c r="B288" s="30" t="s">
        <v>806</v>
      </c>
      <c r="C288" s="13">
        <v>430</v>
      </c>
      <c r="D288" s="19"/>
    </row>
    <row r="289" spans="1:4" ht="15.75" customHeight="1">
      <c r="A289" s="14" t="s">
        <v>807</v>
      </c>
      <c r="B289" s="31" t="s">
        <v>808</v>
      </c>
      <c r="C289" s="15">
        <v>430</v>
      </c>
    </row>
    <row r="290" spans="1:4" ht="15.75" customHeight="1">
      <c r="A290" s="11" t="s">
        <v>809</v>
      </c>
      <c r="B290" s="30" t="s">
        <v>810</v>
      </c>
      <c r="C290" s="13">
        <v>600</v>
      </c>
    </row>
    <row r="291" spans="1:4" ht="15.75" customHeight="1">
      <c r="A291" s="14" t="s">
        <v>811</v>
      </c>
      <c r="B291" s="30"/>
      <c r="C291" s="15">
        <v>680</v>
      </c>
    </row>
    <row r="292" spans="1:4" ht="15.75" customHeight="1">
      <c r="A292" s="14" t="s">
        <v>812</v>
      </c>
      <c r="B292" s="31" t="s">
        <v>813</v>
      </c>
      <c r="C292" s="15">
        <v>710</v>
      </c>
    </row>
    <row r="293" spans="1:4" ht="15.75" customHeight="1">
      <c r="A293" s="14" t="s">
        <v>814</v>
      </c>
      <c r="B293" s="31" t="s">
        <v>815</v>
      </c>
      <c r="C293" s="15">
        <v>710</v>
      </c>
    </row>
    <row r="294" spans="1:4" ht="15.75" customHeight="1">
      <c r="A294" s="14" t="s">
        <v>816</v>
      </c>
      <c r="B294" s="31" t="s">
        <v>817</v>
      </c>
      <c r="C294" s="15">
        <v>730</v>
      </c>
    </row>
    <row r="295" spans="1:4" ht="15.75" customHeight="1">
      <c r="A295" s="14" t="s">
        <v>818</v>
      </c>
      <c r="B295" s="31" t="s">
        <v>819</v>
      </c>
      <c r="C295" s="15">
        <v>750</v>
      </c>
    </row>
    <row r="296" spans="1:4" ht="15.75" customHeight="1">
      <c r="A296" s="14" t="s">
        <v>820</v>
      </c>
      <c r="B296" s="31"/>
      <c r="C296" s="15">
        <v>860</v>
      </c>
    </row>
    <row r="297" spans="1:4" ht="15.75" customHeight="1">
      <c r="A297" s="14" t="s">
        <v>821</v>
      </c>
      <c r="B297" s="31" t="s">
        <v>822</v>
      </c>
      <c r="C297" s="15">
        <v>1050</v>
      </c>
    </row>
    <row r="298" spans="1:4" ht="15.75" customHeight="1">
      <c r="A298" s="14" t="s">
        <v>823</v>
      </c>
      <c r="B298" s="31" t="s">
        <v>824</v>
      </c>
      <c r="C298" s="15">
        <v>1070</v>
      </c>
    </row>
    <row r="299" spans="1:4" ht="15.75" customHeight="1">
      <c r="A299" s="14" t="s">
        <v>825</v>
      </c>
      <c r="B299" s="31" t="s">
        <v>826</v>
      </c>
      <c r="C299" s="15">
        <v>1070</v>
      </c>
    </row>
    <row r="300" spans="1:4" ht="15.75" customHeight="1">
      <c r="A300" s="14" t="s">
        <v>827</v>
      </c>
      <c r="B300" s="31" t="s">
        <v>828</v>
      </c>
      <c r="C300" s="15">
        <v>1100</v>
      </c>
    </row>
    <row r="301" spans="1:4" ht="15.75" customHeight="1">
      <c r="A301" s="14" t="s">
        <v>829</v>
      </c>
      <c r="B301" s="31" t="s">
        <v>830</v>
      </c>
      <c r="C301" s="15">
        <v>1100</v>
      </c>
    </row>
    <row r="302" spans="1:4" ht="15.75" customHeight="1">
      <c r="A302" s="11" t="s">
        <v>831</v>
      </c>
      <c r="B302" s="30" t="s">
        <v>832</v>
      </c>
      <c r="C302" s="13">
        <v>1250</v>
      </c>
      <c r="D302" s="19"/>
    </row>
    <row r="303" spans="1:4" ht="15.75" customHeight="1">
      <c r="A303" s="11" t="s">
        <v>833</v>
      </c>
      <c r="B303" s="30" t="s">
        <v>834</v>
      </c>
      <c r="C303" s="13">
        <v>1450</v>
      </c>
    </row>
    <row r="304" spans="1:4" ht="15.75" customHeight="1">
      <c r="A304" s="11" t="s">
        <v>835</v>
      </c>
      <c r="B304" s="30" t="s">
        <v>836</v>
      </c>
      <c r="C304" s="13">
        <v>1480</v>
      </c>
    </row>
    <row r="305" spans="1:3" ht="15.75" customHeight="1">
      <c r="A305" s="14" t="s">
        <v>837</v>
      </c>
      <c r="B305" s="31" t="s">
        <v>838</v>
      </c>
      <c r="C305" s="15">
        <v>1500</v>
      </c>
    </row>
    <row r="306" spans="1:3" ht="15.75" customHeight="1">
      <c r="A306" s="14" t="s">
        <v>839</v>
      </c>
      <c r="B306" s="31"/>
      <c r="C306" s="15">
        <v>1550</v>
      </c>
    </row>
    <row r="307" spans="1:3" ht="15.75" customHeight="1">
      <c r="A307" s="14" t="s">
        <v>840</v>
      </c>
      <c r="B307" s="31"/>
      <c r="C307" s="15">
        <v>1700</v>
      </c>
    </row>
    <row r="308" spans="1:3" ht="15.75" customHeight="1">
      <c r="A308" s="14" t="s">
        <v>841</v>
      </c>
      <c r="B308" s="31" t="s">
        <v>842</v>
      </c>
      <c r="C308" s="15">
        <v>1750</v>
      </c>
    </row>
    <row r="309" spans="1:3" ht="15.75" customHeight="1">
      <c r="A309" s="11" t="s">
        <v>843</v>
      </c>
      <c r="B309" s="30" t="s">
        <v>844</v>
      </c>
      <c r="C309" s="13"/>
    </row>
    <row r="310" spans="1:3" ht="15.75" customHeight="1">
      <c r="A310" s="11" t="s">
        <v>845</v>
      </c>
      <c r="B310" s="30" t="s">
        <v>846</v>
      </c>
      <c r="C310" s="13"/>
    </row>
    <row r="311" spans="1:3" ht="15.75" customHeight="1">
      <c r="A311" s="11" t="s">
        <v>847</v>
      </c>
      <c r="B311" s="30" t="s">
        <v>848</v>
      </c>
      <c r="C311" s="13"/>
    </row>
    <row r="312" spans="1:3" ht="15.75" customHeight="1">
      <c r="A312" s="11" t="s">
        <v>849</v>
      </c>
      <c r="B312" s="30" t="s">
        <v>850</v>
      </c>
      <c r="C312" s="13"/>
    </row>
    <row r="313" spans="1:3" ht="15.75" customHeight="1">
      <c r="A313" s="11" t="s">
        <v>851</v>
      </c>
      <c r="B313" s="30" t="s">
        <v>852</v>
      </c>
      <c r="C313" s="13"/>
    </row>
    <row r="314" spans="1:3" ht="15.75" customHeight="1">
      <c r="A314" s="14" t="s">
        <v>853</v>
      </c>
      <c r="B314" s="31" t="s">
        <v>854</v>
      </c>
      <c r="C314" s="15">
        <v>5000</v>
      </c>
    </row>
    <row r="315" spans="1:3" ht="15.75" customHeight="1">
      <c r="A315" s="11" t="s">
        <v>855</v>
      </c>
      <c r="B315" s="30" t="s">
        <v>856</v>
      </c>
      <c r="C315" s="13">
        <v>380</v>
      </c>
    </row>
    <row r="316" spans="1:3" ht="15.75" customHeight="1">
      <c r="A316" s="11" t="s">
        <v>857</v>
      </c>
      <c r="B316" s="30" t="s">
        <v>858</v>
      </c>
      <c r="C316" s="13">
        <v>490</v>
      </c>
    </row>
    <row r="317" spans="1:3" ht="15.75" customHeight="1">
      <c r="A317" s="11" t="s">
        <v>859</v>
      </c>
      <c r="B317" s="30" t="s">
        <v>860</v>
      </c>
      <c r="C317" s="13">
        <v>500</v>
      </c>
    </row>
    <row r="318" spans="1:3" ht="15.75" customHeight="1">
      <c r="A318" s="11" t="s">
        <v>861</v>
      </c>
      <c r="B318" s="30" t="s">
        <v>862</v>
      </c>
      <c r="C318" s="13">
        <v>830</v>
      </c>
    </row>
    <row r="319" spans="1:3" ht="15.75" customHeight="1">
      <c r="A319" s="11" t="s">
        <v>863</v>
      </c>
      <c r="B319" s="30" t="s">
        <v>864</v>
      </c>
      <c r="C319" s="13"/>
    </row>
    <row r="320" spans="1:3" ht="15.75" customHeight="1">
      <c r="A320" s="11" t="s">
        <v>865</v>
      </c>
      <c r="B320" s="30" t="s">
        <v>866</v>
      </c>
      <c r="C320" s="13">
        <v>850</v>
      </c>
    </row>
    <row r="321" spans="1:3" ht="15.75" customHeight="1">
      <c r="A321" s="14" t="s">
        <v>867</v>
      </c>
      <c r="B321" s="32" t="s">
        <v>868</v>
      </c>
      <c r="C321" s="15">
        <v>265</v>
      </c>
    </row>
    <row r="322" spans="1:3" ht="15.75" customHeight="1">
      <c r="A322" s="20" t="s">
        <v>869</v>
      </c>
      <c r="B322" s="32" t="s">
        <v>870</v>
      </c>
      <c r="C322" s="21"/>
    </row>
    <row r="323" spans="1:3" ht="15.75" customHeight="1">
      <c r="A323" s="11" t="s">
        <v>871</v>
      </c>
      <c r="B323" s="32" t="s">
        <v>872</v>
      </c>
      <c r="C323" s="13">
        <v>480</v>
      </c>
    </row>
    <row r="324" spans="1:3" ht="15.75" customHeight="1">
      <c r="A324" s="11" t="s">
        <v>873</v>
      </c>
      <c r="B324" s="32" t="s">
        <v>874</v>
      </c>
      <c r="C324" s="13"/>
    </row>
    <row r="325" spans="1:3" ht="15.75" customHeight="1">
      <c r="A325" s="14" t="s">
        <v>875</v>
      </c>
      <c r="B325" s="32" t="s">
        <v>876</v>
      </c>
      <c r="C325" s="15">
        <v>510</v>
      </c>
    </row>
    <row r="326" spans="1:3" ht="15.75" customHeight="1">
      <c r="A326" s="14" t="s">
        <v>877</v>
      </c>
      <c r="B326" s="32" t="s">
        <v>878</v>
      </c>
      <c r="C326" s="15">
        <v>530</v>
      </c>
    </row>
    <row r="327" spans="1:3" ht="15.75" customHeight="1">
      <c r="A327" s="11" t="s">
        <v>879</v>
      </c>
      <c r="B327" s="32" t="s">
        <v>880</v>
      </c>
      <c r="C327" s="13">
        <v>730</v>
      </c>
    </row>
    <row r="328" spans="1:3" ht="15.75" customHeight="1">
      <c r="A328" s="14" t="s">
        <v>881</v>
      </c>
      <c r="B328" s="32" t="s">
        <v>882</v>
      </c>
      <c r="C328" s="15">
        <v>750</v>
      </c>
    </row>
    <row r="329" spans="1:3" ht="15.75" customHeight="1">
      <c r="A329" s="14" t="s">
        <v>883</v>
      </c>
      <c r="B329" s="32" t="s">
        <v>884</v>
      </c>
      <c r="C329" s="15">
        <v>780</v>
      </c>
    </row>
    <row r="330" spans="1:3" ht="15.75" customHeight="1">
      <c r="A330" s="11" t="s">
        <v>885</v>
      </c>
      <c r="B330" s="32" t="s">
        <v>886</v>
      </c>
      <c r="C330" s="13"/>
    </row>
    <row r="331" spans="1:3" ht="15.75" customHeight="1">
      <c r="A331" s="14" t="s">
        <v>887</v>
      </c>
      <c r="B331" s="32" t="s">
        <v>888</v>
      </c>
      <c r="C331" s="15">
        <v>880</v>
      </c>
    </row>
    <row r="332" spans="1:3" ht="15.75" customHeight="1">
      <c r="A332" s="14" t="s">
        <v>889</v>
      </c>
      <c r="B332" s="32" t="s">
        <v>890</v>
      </c>
      <c r="C332" s="15">
        <v>890</v>
      </c>
    </row>
    <row r="333" spans="1:3" ht="15.75" customHeight="1">
      <c r="A333" s="11" t="s">
        <v>891</v>
      </c>
      <c r="B333" s="30" t="s">
        <v>892</v>
      </c>
      <c r="C333" s="13">
        <v>180</v>
      </c>
    </row>
    <row r="334" spans="1:3" ht="15.75" customHeight="1">
      <c r="A334" s="11" t="s">
        <v>893</v>
      </c>
      <c r="B334" s="30" t="s">
        <v>894</v>
      </c>
      <c r="C334" s="13">
        <v>390</v>
      </c>
    </row>
    <row r="335" spans="1:3" ht="15.75" customHeight="1">
      <c r="A335" s="11" t="s">
        <v>895</v>
      </c>
      <c r="B335" s="30" t="s">
        <v>896</v>
      </c>
      <c r="C335" s="13">
        <v>400</v>
      </c>
    </row>
    <row r="336" spans="1:3" ht="15.75" customHeight="1">
      <c r="A336" s="14" t="s">
        <v>897</v>
      </c>
      <c r="B336" s="31" t="s">
        <v>898</v>
      </c>
      <c r="C336" s="15">
        <v>600</v>
      </c>
    </row>
    <row r="337" spans="1:3" ht="15.75" customHeight="1">
      <c r="A337" s="14" t="s">
        <v>899</v>
      </c>
      <c r="B337" s="31" t="s">
        <v>900</v>
      </c>
      <c r="C337" s="15">
        <v>620</v>
      </c>
    </row>
    <row r="338" spans="1:3" ht="15.75" customHeight="1">
      <c r="A338" s="11" t="s">
        <v>901</v>
      </c>
      <c r="B338" s="30" t="s">
        <v>902</v>
      </c>
      <c r="C338" s="13">
        <v>700</v>
      </c>
    </row>
    <row r="339" spans="1:3" ht="15.75" customHeight="1">
      <c r="A339" s="14" t="s">
        <v>903</v>
      </c>
      <c r="B339" s="31"/>
      <c r="C339" s="15">
        <v>710</v>
      </c>
    </row>
    <row r="340" spans="1:3" ht="15.75" customHeight="1">
      <c r="A340" s="14" t="s">
        <v>904</v>
      </c>
      <c r="B340" s="31"/>
      <c r="C340" s="15">
        <v>720</v>
      </c>
    </row>
    <row r="341" spans="1:3" ht="15.75" customHeight="1">
      <c r="A341" s="14" t="s">
        <v>905</v>
      </c>
      <c r="B341" s="31" t="s">
        <v>906</v>
      </c>
      <c r="C341" s="15">
        <v>720</v>
      </c>
    </row>
    <row r="342" spans="1:3" ht="15.75" customHeight="1">
      <c r="A342" s="14" t="s">
        <v>907</v>
      </c>
      <c r="B342" s="31"/>
      <c r="C342" s="15">
        <v>730</v>
      </c>
    </row>
    <row r="343" spans="1:3" ht="15.75" customHeight="1">
      <c r="A343" s="14" t="s">
        <v>908</v>
      </c>
      <c r="B343" s="31" t="s">
        <v>909</v>
      </c>
      <c r="C343" s="15">
        <v>830</v>
      </c>
    </row>
    <row r="344" spans="1:3" ht="15.75" customHeight="1">
      <c r="A344" s="14" t="s">
        <v>910</v>
      </c>
      <c r="B344" s="31"/>
      <c r="C344" s="15">
        <v>850</v>
      </c>
    </row>
    <row r="345" spans="1:3" ht="15.75" customHeight="1">
      <c r="A345" s="14" t="s">
        <v>911</v>
      </c>
      <c r="B345" s="31" t="s">
        <v>912</v>
      </c>
      <c r="C345" s="15">
        <v>1180</v>
      </c>
    </row>
    <row r="346" spans="1:3" ht="15.75" customHeight="1">
      <c r="A346" s="14" t="s">
        <v>913</v>
      </c>
      <c r="B346" s="31" t="s">
        <v>914</v>
      </c>
      <c r="C346" s="15">
        <v>1550</v>
      </c>
    </row>
    <row r="347" spans="1:3" ht="15.75" customHeight="1">
      <c r="A347" s="14" t="s">
        <v>915</v>
      </c>
      <c r="B347" s="31" t="s">
        <v>916</v>
      </c>
      <c r="C347" s="15">
        <v>1650</v>
      </c>
    </row>
    <row r="348" spans="1:3" ht="15.75" customHeight="1">
      <c r="A348" s="14" t="s">
        <v>917</v>
      </c>
      <c r="B348" s="31"/>
      <c r="C348" s="15">
        <v>1900</v>
      </c>
    </row>
    <row r="349" spans="1:3" ht="15.75" customHeight="1">
      <c r="A349" s="14" t="s">
        <v>918</v>
      </c>
      <c r="B349" s="31"/>
      <c r="C349" s="15">
        <v>4600</v>
      </c>
    </row>
    <row r="350" spans="1:3" ht="15.75" customHeight="1">
      <c r="A350" s="14" t="s">
        <v>919</v>
      </c>
      <c r="B350" s="31"/>
      <c r="C350" s="15">
        <v>4800</v>
      </c>
    </row>
    <row r="351" spans="1:3" ht="15.75" customHeight="1">
      <c r="A351" s="14" t="s">
        <v>920</v>
      </c>
      <c r="B351" s="30" t="s">
        <v>921</v>
      </c>
      <c r="C351" s="15">
        <v>530</v>
      </c>
    </row>
    <row r="352" spans="1:3" ht="15.75" customHeight="1">
      <c r="A352" s="14" t="s">
        <v>922</v>
      </c>
      <c r="B352" s="30" t="s">
        <v>923</v>
      </c>
      <c r="C352" s="15">
        <v>550</v>
      </c>
    </row>
    <row r="353" spans="1:3" ht="15.75" customHeight="1">
      <c r="A353" s="14" t="s">
        <v>924</v>
      </c>
      <c r="B353" s="30" t="s">
        <v>925</v>
      </c>
      <c r="C353" s="15">
        <v>730</v>
      </c>
    </row>
    <row r="354" spans="1:3" ht="15.75" customHeight="1">
      <c r="A354" s="14" t="s">
        <v>926</v>
      </c>
      <c r="B354" s="30" t="s">
        <v>927</v>
      </c>
      <c r="C354" s="15">
        <v>740</v>
      </c>
    </row>
    <row r="355" spans="1:3" ht="15.75" customHeight="1">
      <c r="A355" s="14" t="s">
        <v>928</v>
      </c>
      <c r="B355" s="30" t="s">
        <v>929</v>
      </c>
      <c r="C355" s="15">
        <v>850</v>
      </c>
    </row>
    <row r="356" spans="1:3" ht="15.75" customHeight="1">
      <c r="A356" s="33"/>
      <c r="B356" s="34"/>
      <c r="C356" s="34"/>
    </row>
    <row r="357" spans="1:3" ht="15.75" customHeight="1">
      <c r="A357" s="35" t="s">
        <v>930</v>
      </c>
      <c r="B357" s="36"/>
      <c r="C357" s="34"/>
    </row>
    <row r="358" spans="1:3" ht="15.75" customHeight="1">
      <c r="A358" s="16"/>
      <c r="B358" s="26"/>
      <c r="C358" s="34"/>
    </row>
    <row r="359" spans="1:3" ht="15.75" customHeight="1">
      <c r="A359" s="37" t="s">
        <v>931</v>
      </c>
      <c r="B359" s="38"/>
      <c r="C359" s="34"/>
    </row>
    <row r="360" spans="1:3" ht="15.75" customHeight="1">
      <c r="A360" s="33"/>
      <c r="B360" s="34"/>
      <c r="C360" s="34"/>
    </row>
    <row r="361" spans="1:3" ht="15.75" customHeight="1">
      <c r="A361" s="16"/>
      <c r="B361" s="16"/>
      <c r="C361" s="16"/>
    </row>
    <row r="362" spans="1:3" ht="15.75" customHeight="1">
      <c r="A362" s="16"/>
      <c r="B362" s="16"/>
      <c r="C362" s="16"/>
    </row>
    <row r="363" spans="1:3" ht="15.75" customHeight="1">
      <c r="A363" s="16"/>
      <c r="B363" s="16"/>
      <c r="C363" s="16"/>
    </row>
    <row r="364" spans="1:3" ht="15.75" customHeight="1">
      <c r="A364" s="16"/>
      <c r="B364" s="16"/>
      <c r="C364" s="16"/>
    </row>
    <row r="365" spans="1:3" ht="15.75" customHeight="1">
      <c r="A365" s="16"/>
      <c r="B365" s="16"/>
      <c r="C365" s="16"/>
    </row>
    <row r="366" spans="1:3" ht="15.75" customHeight="1">
      <c r="A366" s="16"/>
      <c r="B366" s="16"/>
      <c r="C366" s="16"/>
    </row>
    <row r="367" spans="1:3" ht="15.75" customHeight="1">
      <c r="A367" s="16"/>
      <c r="B367" s="16"/>
      <c r="C367" s="16"/>
    </row>
    <row r="368" spans="1:3" ht="15.75" customHeight="1">
      <c r="A368" s="16"/>
      <c r="B368" s="16"/>
      <c r="C368" s="16"/>
    </row>
    <row r="369" spans="1:3" ht="15.75" customHeight="1">
      <c r="A369" s="16"/>
      <c r="B369" s="16"/>
      <c r="C369" s="16"/>
    </row>
    <row r="370" spans="1:3" ht="15.75" customHeight="1">
      <c r="A370" s="16"/>
      <c r="B370" s="16"/>
      <c r="C370" s="16"/>
    </row>
    <row r="371" spans="1:3" ht="15.75" customHeight="1">
      <c r="A371" s="16"/>
      <c r="B371" s="16"/>
      <c r="C371" s="16"/>
    </row>
    <row r="372" spans="1:3" ht="15.75" customHeight="1">
      <c r="A372" s="16"/>
      <c r="B372" s="16"/>
      <c r="C372" s="16"/>
    </row>
    <row r="373" spans="1:3" ht="15.75" customHeight="1">
      <c r="A373" s="16"/>
      <c r="B373" s="16"/>
      <c r="C373" s="16"/>
    </row>
    <row r="374" spans="1:3" ht="15.75" customHeight="1">
      <c r="A374" s="16"/>
      <c r="B374" s="16"/>
      <c r="C374" s="16"/>
    </row>
    <row r="375" spans="1:3" ht="15.75" customHeight="1">
      <c r="A375" s="16"/>
      <c r="B375" s="16"/>
      <c r="C375" s="16"/>
    </row>
    <row r="376" spans="1:3" ht="15.75" customHeight="1">
      <c r="A376" s="16"/>
      <c r="B376" s="16"/>
      <c r="C376" s="16"/>
    </row>
    <row r="377" spans="1:3" ht="15.75" customHeight="1">
      <c r="A377" s="16"/>
      <c r="B377" s="16"/>
      <c r="C377" s="16"/>
    </row>
    <row r="378" spans="1:3" ht="15.75" customHeight="1">
      <c r="A378" s="16"/>
      <c r="B378" s="16"/>
      <c r="C378" s="16"/>
    </row>
    <row r="379" spans="1:3" ht="15.75" customHeight="1">
      <c r="A379" s="16"/>
      <c r="B379" s="16"/>
      <c r="C379" s="16"/>
    </row>
    <row r="380" spans="1:3" ht="15.75" customHeight="1">
      <c r="A380" s="16"/>
      <c r="B380" s="16"/>
      <c r="C380" s="16"/>
    </row>
    <row r="381" spans="1:3" ht="15.75" customHeight="1">
      <c r="A381" s="16"/>
      <c r="B381" s="16"/>
      <c r="C381" s="16"/>
    </row>
    <row r="382" spans="1:3" ht="15.75" customHeight="1">
      <c r="A382" s="16"/>
      <c r="B382" s="16"/>
      <c r="C382" s="16"/>
    </row>
    <row r="383" spans="1:3" ht="15.75" customHeight="1">
      <c r="A383" s="16"/>
      <c r="B383" s="16"/>
      <c r="C383" s="16"/>
    </row>
    <row r="384" spans="1:3" ht="15" customHeight="1">
      <c r="A384" s="16"/>
      <c r="B384" s="16"/>
      <c r="C384" s="16"/>
    </row>
    <row r="385" spans="1:3" ht="15" customHeight="1">
      <c r="A385" s="16"/>
      <c r="B385" s="16"/>
      <c r="C385" s="16"/>
    </row>
    <row r="386" spans="1:3" ht="15" customHeight="1">
      <c r="A386" s="16"/>
      <c r="B386" s="16"/>
      <c r="C386" s="16"/>
    </row>
    <row r="387" spans="1:3" ht="15" customHeight="1">
      <c r="A387" s="16"/>
      <c r="B387" s="16"/>
      <c r="C387" s="16"/>
    </row>
    <row r="388" spans="1:3" ht="15" customHeight="1">
      <c r="A388" s="16"/>
      <c r="B388" s="16"/>
      <c r="C388" s="16"/>
    </row>
    <row r="389" spans="1:3" ht="15" customHeight="1">
      <c r="A389" s="16"/>
      <c r="B389" s="16"/>
      <c r="C389" s="16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36"/>
  <sheetViews>
    <sheetView topLeftCell="A124" workbookViewId="0">
      <selection activeCell="A140" sqref="A140"/>
    </sheetView>
  </sheetViews>
  <sheetFormatPr defaultColWidth="14.3984375" defaultRowHeight="15" customHeight="1"/>
  <cols>
    <col min="1" max="1" width="119.3984375" customWidth="1"/>
    <col min="2" max="2" width="17" customWidth="1"/>
    <col min="3" max="3" width="6.265625" customWidth="1"/>
    <col min="4" max="23" width="8.86328125" customWidth="1"/>
  </cols>
  <sheetData>
    <row r="1" spans="1:26" ht="18" customHeight="1">
      <c r="A1" s="28" t="s">
        <v>932</v>
      </c>
      <c r="B1" s="29"/>
      <c r="C1" s="29" t="s">
        <v>933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39" t="s">
        <v>934</v>
      </c>
      <c r="B2" s="40" t="s">
        <v>935</v>
      </c>
      <c r="C2" s="4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39" t="s">
        <v>936</v>
      </c>
      <c r="B3" s="40" t="s">
        <v>937</v>
      </c>
      <c r="C3" s="4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39" t="s">
        <v>938</v>
      </c>
      <c r="B4" s="42" t="s">
        <v>939</v>
      </c>
      <c r="C4" s="41">
        <v>230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43" t="s">
        <v>940</v>
      </c>
      <c r="B5" s="44" t="s">
        <v>941</v>
      </c>
      <c r="C5" s="45">
        <v>210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39" t="s">
        <v>942</v>
      </c>
      <c r="B6" s="42" t="s">
        <v>943</v>
      </c>
      <c r="C6" s="41">
        <v>180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39" t="s">
        <v>944</v>
      </c>
      <c r="B7" s="42" t="s">
        <v>945</v>
      </c>
      <c r="C7" s="41">
        <v>190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43" t="s">
        <v>946</v>
      </c>
      <c r="B8" s="44" t="s">
        <v>947</v>
      </c>
      <c r="C8" s="45">
        <v>190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39" t="s">
        <v>948</v>
      </c>
      <c r="B9" s="40" t="s">
        <v>949</v>
      </c>
      <c r="C9" s="41">
        <v>240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43" t="s">
        <v>950</v>
      </c>
      <c r="B10" s="44" t="s">
        <v>951</v>
      </c>
      <c r="C10" s="45">
        <v>320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43" t="s">
        <v>952</v>
      </c>
      <c r="B11" s="44" t="s">
        <v>953</v>
      </c>
      <c r="C11" s="45">
        <v>340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39" t="s">
        <v>954</v>
      </c>
      <c r="B12" s="42" t="s">
        <v>955</v>
      </c>
      <c r="C12" s="41">
        <v>480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39" t="s">
        <v>956</v>
      </c>
      <c r="B13" s="42" t="s">
        <v>957</v>
      </c>
      <c r="C13" s="41">
        <v>365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39" t="s">
        <v>958</v>
      </c>
      <c r="B14" s="42" t="s">
        <v>959</v>
      </c>
      <c r="C14" s="41">
        <v>390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39" t="s">
        <v>960</v>
      </c>
      <c r="B15" s="42" t="s">
        <v>961</v>
      </c>
      <c r="C15" s="41">
        <v>400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39" t="s">
        <v>962</v>
      </c>
      <c r="B16" s="42" t="s">
        <v>963</v>
      </c>
      <c r="C16" s="41">
        <v>430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43" t="s">
        <v>964</v>
      </c>
      <c r="B17" s="44" t="s">
        <v>965</v>
      </c>
      <c r="C17" s="45">
        <v>430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43" t="s">
        <v>966</v>
      </c>
      <c r="B18" s="44" t="s">
        <v>967</v>
      </c>
      <c r="C18" s="45">
        <v>450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43" t="s">
        <v>968</v>
      </c>
      <c r="B19" s="44" t="s">
        <v>969</v>
      </c>
      <c r="C19" s="45">
        <v>480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39" t="s">
        <v>970</v>
      </c>
      <c r="B20" s="42" t="s">
        <v>971</v>
      </c>
      <c r="C20" s="41">
        <v>500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43" t="s">
        <v>972</v>
      </c>
      <c r="B21" s="44" t="s">
        <v>973</v>
      </c>
      <c r="C21" s="45">
        <v>500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39" t="s">
        <v>974</v>
      </c>
      <c r="B22" s="42" t="s">
        <v>975</v>
      </c>
      <c r="C22" s="4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43" t="s">
        <v>976</v>
      </c>
      <c r="B23" s="44" t="s">
        <v>977</v>
      </c>
      <c r="C23" s="45">
        <v>1100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43" t="s">
        <v>978</v>
      </c>
      <c r="B24" s="44" t="s">
        <v>979</v>
      </c>
      <c r="C24" s="45">
        <v>1100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39" t="s">
        <v>980</v>
      </c>
      <c r="B25" s="40" t="s">
        <v>981</v>
      </c>
      <c r="C25" s="4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43" t="s">
        <v>982</v>
      </c>
      <c r="B26" s="44" t="s">
        <v>983</v>
      </c>
      <c r="C26" s="45">
        <v>1200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39" t="s">
        <v>984</v>
      </c>
      <c r="B27" s="42" t="s">
        <v>985</v>
      </c>
      <c r="C27" s="4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39" t="s">
        <v>986</v>
      </c>
      <c r="B28" s="42" t="s">
        <v>987</v>
      </c>
      <c r="C28" s="41">
        <v>480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39" t="s">
        <v>988</v>
      </c>
      <c r="B29" s="42" t="s">
        <v>989</v>
      </c>
      <c r="C29" s="41">
        <v>540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39" t="s">
        <v>990</v>
      </c>
      <c r="B30" s="42" t="s">
        <v>991</v>
      </c>
      <c r="C30" s="41">
        <v>570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39" t="s">
        <v>992</v>
      </c>
      <c r="B31" s="42" t="s">
        <v>993</v>
      </c>
      <c r="C31" s="41">
        <v>770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39" t="s">
        <v>994</v>
      </c>
      <c r="B32" s="42" t="s">
        <v>995</v>
      </c>
      <c r="C32" s="41">
        <v>800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39" t="s">
        <v>996</v>
      </c>
      <c r="B33" s="42" t="s">
        <v>997</v>
      </c>
      <c r="C33" s="41">
        <v>900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39" t="s">
        <v>998</v>
      </c>
      <c r="B34" s="42" t="s">
        <v>999</v>
      </c>
      <c r="C34" s="41">
        <v>1600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39" t="s">
        <v>1000</v>
      </c>
      <c r="B35" s="42" t="s">
        <v>1001</v>
      </c>
      <c r="C35" s="41">
        <v>1600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39" t="s">
        <v>1002</v>
      </c>
      <c r="B36" s="42" t="s">
        <v>1003</v>
      </c>
      <c r="C36" s="4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39" t="s">
        <v>1004</v>
      </c>
      <c r="B37" s="42" t="s">
        <v>1005</v>
      </c>
      <c r="C37" s="41">
        <v>1450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43" t="s">
        <v>1006</v>
      </c>
      <c r="B38" s="42" t="s">
        <v>1007</v>
      </c>
      <c r="C38" s="45">
        <v>510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43" t="s">
        <v>1008</v>
      </c>
      <c r="B39" s="42" t="s">
        <v>1009</v>
      </c>
      <c r="C39" s="45">
        <v>510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43" t="s">
        <v>1010</v>
      </c>
      <c r="B40" s="42" t="s">
        <v>1011</v>
      </c>
      <c r="C40" s="45">
        <v>580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43" t="s">
        <v>1012</v>
      </c>
      <c r="B41" s="42" t="s">
        <v>1013</v>
      </c>
      <c r="C41" s="45">
        <v>620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43" t="s">
        <v>1014</v>
      </c>
      <c r="B42" s="42" t="s">
        <v>1015</v>
      </c>
      <c r="C42" s="45">
        <v>630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43" t="s">
        <v>1016</v>
      </c>
      <c r="B43" s="42" t="s">
        <v>1017</v>
      </c>
      <c r="C43" s="45">
        <v>670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43" t="s">
        <v>1018</v>
      </c>
      <c r="B44" s="42" t="s">
        <v>1019</v>
      </c>
      <c r="C44" s="45">
        <v>600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43" t="s">
        <v>1020</v>
      </c>
      <c r="B45" s="42" t="s">
        <v>1021</v>
      </c>
      <c r="C45" s="45">
        <v>700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39" t="s">
        <v>1022</v>
      </c>
      <c r="B46" s="42" t="s">
        <v>1023</v>
      </c>
      <c r="C46" s="4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>
      <c r="A47" s="39" t="s">
        <v>1024</v>
      </c>
      <c r="B47" s="42" t="s">
        <v>1025</v>
      </c>
      <c r="C47" s="4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>
      <c r="A48" s="43" t="s">
        <v>1026</v>
      </c>
      <c r="B48" s="44" t="s">
        <v>1027</v>
      </c>
      <c r="C48" s="45">
        <v>95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>
      <c r="A49" s="43" t="s">
        <v>1028</v>
      </c>
      <c r="B49" s="44" t="s">
        <v>1029</v>
      </c>
      <c r="C49" s="45">
        <v>115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>
      <c r="A50" s="39" t="s">
        <v>1030</v>
      </c>
      <c r="B50" s="42" t="s">
        <v>1031</v>
      </c>
      <c r="C50" s="4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>
      <c r="A51" s="43" t="s">
        <v>1032</v>
      </c>
      <c r="B51" s="42" t="s">
        <v>1033</v>
      </c>
      <c r="C51" s="45">
        <v>125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>
      <c r="A52" s="43" t="s">
        <v>1034</v>
      </c>
      <c r="B52" s="42" t="s">
        <v>1035</v>
      </c>
      <c r="C52" s="45">
        <v>140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>
      <c r="A53" s="39" t="s">
        <v>1036</v>
      </c>
      <c r="B53" s="42" t="s">
        <v>1037</v>
      </c>
      <c r="C53" s="4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>
      <c r="A54" s="39" t="s">
        <v>1038</v>
      </c>
      <c r="B54" s="42" t="s">
        <v>1039</v>
      </c>
      <c r="C54" s="4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>
      <c r="A55" s="43" t="s">
        <v>1040</v>
      </c>
      <c r="B55" s="42" t="s">
        <v>1041</v>
      </c>
      <c r="C55" s="45">
        <v>199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>
      <c r="A56" s="39" t="s">
        <v>1042</v>
      </c>
      <c r="B56" s="42" t="s">
        <v>1043</v>
      </c>
      <c r="C56" s="41">
        <v>245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>
      <c r="A57" s="43" t="s">
        <v>1044</v>
      </c>
      <c r="B57" s="42" t="s">
        <v>1045</v>
      </c>
      <c r="C57" s="4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>
      <c r="A58" s="39" t="s">
        <v>1046</v>
      </c>
      <c r="B58" s="42" t="s">
        <v>1047</v>
      </c>
      <c r="C58" s="4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>
      <c r="A59" s="39" t="s">
        <v>1048</v>
      </c>
      <c r="B59" s="42" t="s">
        <v>1049</v>
      </c>
      <c r="C59" s="41">
        <v>290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>
      <c r="A60" s="39" t="s">
        <v>1050</v>
      </c>
      <c r="B60" s="42" t="s">
        <v>1051</v>
      </c>
      <c r="C60" s="4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>
      <c r="A61" s="43" t="s">
        <v>1052</v>
      </c>
      <c r="B61" s="44" t="s">
        <v>1053</v>
      </c>
      <c r="C61" s="45">
        <v>90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>
      <c r="A62" s="39" t="s">
        <v>1054</v>
      </c>
      <c r="B62" s="40" t="s">
        <v>1055</v>
      </c>
      <c r="C62" s="41">
        <v>125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>
      <c r="A63" s="39" t="s">
        <v>1056</v>
      </c>
      <c r="B63" s="40" t="s">
        <v>1057</v>
      </c>
      <c r="C63" s="41">
        <v>135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>
      <c r="A64" s="39" t="s">
        <v>1058</v>
      </c>
      <c r="B64" s="40" t="s">
        <v>1059</v>
      </c>
      <c r="C64" s="41">
        <v>145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>
      <c r="A65" s="39" t="s">
        <v>1060</v>
      </c>
      <c r="B65" s="40" t="s">
        <v>1061</v>
      </c>
      <c r="C65" s="41">
        <v>280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>
      <c r="A66" s="39" t="s">
        <v>1062</v>
      </c>
      <c r="B66" s="40" t="s">
        <v>1063</v>
      </c>
      <c r="C66" s="41">
        <v>220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>
      <c r="A67" s="43" t="s">
        <v>1064</v>
      </c>
      <c r="B67" s="44" t="s">
        <v>1065</v>
      </c>
      <c r="C67" s="45">
        <v>230</v>
      </c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>
      <c r="A68" s="39" t="s">
        <v>1066</v>
      </c>
      <c r="B68" s="40" t="s">
        <v>1067</v>
      </c>
      <c r="C68" s="41">
        <v>270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>
      <c r="A69" s="39" t="s">
        <v>1068</v>
      </c>
      <c r="B69" s="40" t="s">
        <v>1069</v>
      </c>
      <c r="C69" s="41">
        <v>330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>
      <c r="A70" s="39" t="s">
        <v>1070</v>
      </c>
      <c r="B70" s="40" t="s">
        <v>1071</v>
      </c>
      <c r="C70" s="41">
        <v>320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>
      <c r="A71" s="43" t="s">
        <v>1072</v>
      </c>
      <c r="B71" s="44" t="s">
        <v>1073</v>
      </c>
      <c r="C71" s="45">
        <v>410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>
      <c r="A72" s="43" t="s">
        <v>1074</v>
      </c>
      <c r="B72" s="44" t="s">
        <v>1075</v>
      </c>
      <c r="C72" s="45">
        <v>400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>
      <c r="A73" s="43" t="s">
        <v>1076</v>
      </c>
      <c r="B73" s="44" t="s">
        <v>1077</v>
      </c>
      <c r="C73" s="45">
        <v>530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>
      <c r="A74" s="43" t="s">
        <v>1078</v>
      </c>
      <c r="B74" s="44" t="s">
        <v>1079</v>
      </c>
      <c r="C74" s="45">
        <v>700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>
      <c r="A75" s="43" t="s">
        <v>1080</v>
      </c>
      <c r="B75" s="44" t="s">
        <v>1081</v>
      </c>
      <c r="C75" s="45">
        <v>750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>
      <c r="A76" s="43" t="s">
        <v>1082</v>
      </c>
      <c r="B76" s="44" t="s">
        <v>1083</v>
      </c>
      <c r="C76" s="45">
        <v>850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>
      <c r="A77" s="39" t="s">
        <v>1084</v>
      </c>
      <c r="B77" s="40" t="s">
        <v>1085</v>
      </c>
      <c r="C77" s="41">
        <v>900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>
      <c r="A78" s="43" t="s">
        <v>1086</v>
      </c>
      <c r="B78" s="40" t="s">
        <v>1087</v>
      </c>
      <c r="C78" s="45">
        <v>900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>
      <c r="A79" s="39" t="s">
        <v>1088</v>
      </c>
      <c r="B79" s="42" t="s">
        <v>1089</v>
      </c>
      <c r="C79" s="41">
        <v>1400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>
      <c r="A80" s="39" t="s">
        <v>1090</v>
      </c>
      <c r="B80" s="40" t="s">
        <v>1091</v>
      </c>
      <c r="C80" s="41">
        <v>106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>
      <c r="A81" s="43" t="s">
        <v>1092</v>
      </c>
      <c r="B81" s="42" t="s">
        <v>1093</v>
      </c>
      <c r="C81" s="45">
        <v>150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>
      <c r="A82" s="43" t="s">
        <v>1094</v>
      </c>
      <c r="B82" s="42" t="s">
        <v>1095</v>
      </c>
      <c r="C82" s="45">
        <v>190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>
      <c r="A83" s="43" t="s">
        <v>1096</v>
      </c>
      <c r="B83" s="42" t="s">
        <v>1097</v>
      </c>
      <c r="C83" s="45">
        <v>220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>
      <c r="A84" s="39" t="s">
        <v>1098</v>
      </c>
      <c r="B84" s="42" t="s">
        <v>1099</v>
      </c>
      <c r="C84" s="41">
        <v>135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>
      <c r="A85" s="43" t="s">
        <v>1100</v>
      </c>
      <c r="B85" s="42" t="s">
        <v>1101</v>
      </c>
      <c r="C85" s="45">
        <v>189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>
      <c r="A86" s="43" t="s">
        <v>1102</v>
      </c>
      <c r="B86" s="44" t="s">
        <v>1103</v>
      </c>
      <c r="C86" s="45">
        <v>175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>
      <c r="A87" s="43" t="s">
        <v>1104</v>
      </c>
      <c r="B87" s="44" t="s">
        <v>1105</v>
      </c>
      <c r="C87" s="45">
        <v>185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>
      <c r="A88" s="43" t="s">
        <v>1106</v>
      </c>
      <c r="B88" s="42" t="s">
        <v>1107</v>
      </c>
      <c r="C88" s="45">
        <v>199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>
      <c r="A89" s="39" t="s">
        <v>1108</v>
      </c>
      <c r="B89" s="42" t="s">
        <v>1109</v>
      </c>
      <c r="C89" s="41">
        <v>230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>
      <c r="A90" s="39" t="s">
        <v>1110</v>
      </c>
      <c r="B90" s="40" t="s">
        <v>1111</v>
      </c>
      <c r="C90" s="4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customHeight="1">
      <c r="A91" s="39" t="s">
        <v>1112</v>
      </c>
      <c r="B91" s="42" t="s">
        <v>1113</v>
      </c>
      <c r="C91" s="4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customHeight="1">
      <c r="A92" s="43" t="s">
        <v>1114</v>
      </c>
      <c r="B92" s="42" t="s">
        <v>1115</v>
      </c>
      <c r="C92" s="45">
        <v>63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customHeight="1">
      <c r="A93" s="39" t="s">
        <v>1116</v>
      </c>
      <c r="B93" s="42" t="s">
        <v>1117</v>
      </c>
      <c r="C93" s="45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customHeight="1">
      <c r="A94" s="39" t="s">
        <v>1118</v>
      </c>
      <c r="B94" s="40" t="s">
        <v>1119</v>
      </c>
      <c r="C94" s="41">
        <v>120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customHeight="1">
      <c r="A95" s="39" t="s">
        <v>1120</v>
      </c>
      <c r="B95" s="40" t="s">
        <v>1121</v>
      </c>
      <c r="C95" s="41">
        <v>130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customHeight="1">
      <c r="A96" s="39" t="s">
        <v>1122</v>
      </c>
      <c r="B96" s="42" t="s">
        <v>1123</v>
      </c>
      <c r="C96" s="4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customHeight="1">
      <c r="A97" s="43" t="s">
        <v>1124</v>
      </c>
      <c r="B97" s="42" t="s">
        <v>1125</v>
      </c>
      <c r="C97" s="45">
        <v>98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customHeight="1">
      <c r="A98" s="43" t="s">
        <v>1126</v>
      </c>
      <c r="B98" s="42" t="s">
        <v>1127</v>
      </c>
      <c r="C98" s="45">
        <v>145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customHeight="1">
      <c r="A99" s="39" t="s">
        <v>1128</v>
      </c>
      <c r="B99" s="40" t="s">
        <v>1129</v>
      </c>
      <c r="C99" s="41">
        <v>135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customHeight="1">
      <c r="A100" s="39" t="s">
        <v>1130</v>
      </c>
      <c r="B100" s="40" t="s">
        <v>1131</v>
      </c>
      <c r="C100" s="41">
        <v>155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" customHeight="1">
      <c r="A101" s="43" t="s">
        <v>1132</v>
      </c>
      <c r="B101" s="44" t="s">
        <v>1133</v>
      </c>
      <c r="C101" s="45">
        <v>240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" customHeight="1">
      <c r="A102" s="43" t="s">
        <v>1134</v>
      </c>
      <c r="B102" s="44" t="s">
        <v>1135</v>
      </c>
      <c r="C102" s="45">
        <v>350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customHeight="1">
      <c r="A103" s="43" t="s">
        <v>1136</v>
      </c>
      <c r="B103" s="42" t="s">
        <v>1137</v>
      </c>
      <c r="C103" s="45">
        <v>150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" customHeight="1">
      <c r="A104" s="43" t="s">
        <v>1138</v>
      </c>
      <c r="B104" s="42" t="s">
        <v>1139</v>
      </c>
      <c r="C104" s="45">
        <v>199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" customHeight="1">
      <c r="A105" s="43" t="s">
        <v>1140</v>
      </c>
      <c r="B105" s="42" t="s">
        <v>1141</v>
      </c>
      <c r="C105" s="45">
        <v>95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" customHeight="1">
      <c r="A106" s="39" t="s">
        <v>1142</v>
      </c>
      <c r="B106" s="42" t="s">
        <v>1143</v>
      </c>
      <c r="C106" s="41">
        <v>400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" customHeight="1">
      <c r="A107" s="43" t="s">
        <v>1144</v>
      </c>
      <c r="B107" s="42" t="s">
        <v>1145</v>
      </c>
      <c r="C107" s="45">
        <v>199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 customHeight="1">
      <c r="A108" s="43" t="s">
        <v>1146</v>
      </c>
      <c r="B108" s="42" t="s">
        <v>1147</v>
      </c>
      <c r="C108" s="45">
        <v>199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" customHeight="1">
      <c r="A109" s="43" t="s">
        <v>1148</v>
      </c>
      <c r="B109" s="42" t="s">
        <v>1149</v>
      </c>
      <c r="C109" s="45">
        <v>150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" customHeight="1">
      <c r="A110" s="43" t="s">
        <v>1150</v>
      </c>
      <c r="B110" s="42" t="s">
        <v>1151</v>
      </c>
      <c r="C110" s="45">
        <v>205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" customHeight="1">
      <c r="A111" s="43" t="s">
        <v>1152</v>
      </c>
      <c r="B111" s="40" t="s">
        <v>1153</v>
      </c>
      <c r="C111" s="45">
        <v>108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" customHeight="1">
      <c r="A112" s="43" t="s">
        <v>1154</v>
      </c>
      <c r="B112" s="42" t="s">
        <v>1155</v>
      </c>
      <c r="C112" s="45">
        <v>338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" customHeight="1">
      <c r="A113" s="43" t="s">
        <v>1156</v>
      </c>
      <c r="B113" s="42" t="s">
        <v>1157</v>
      </c>
      <c r="C113" s="45">
        <v>378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" customHeight="1">
      <c r="A114" s="43" t="s">
        <v>1158</v>
      </c>
      <c r="B114" s="42" t="s">
        <v>1159</v>
      </c>
      <c r="C114" s="45">
        <v>339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" customHeight="1">
      <c r="A115" s="43" t="s">
        <v>1160</v>
      </c>
      <c r="B115" s="42" t="s">
        <v>1161</v>
      </c>
      <c r="C115" s="45">
        <v>449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" customHeight="1">
      <c r="A116" s="43" t="s">
        <v>1162</v>
      </c>
      <c r="B116" s="42" t="s">
        <v>1163</v>
      </c>
      <c r="C116" s="45">
        <v>780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" customHeight="1">
      <c r="A117" s="43" t="s">
        <v>4066</v>
      </c>
      <c r="B117" s="397" t="s">
        <v>4067</v>
      </c>
      <c r="C117" s="398">
        <v>95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" customHeight="1">
      <c r="A118" s="43" t="s">
        <v>4068</v>
      </c>
      <c r="B118" s="397" t="s">
        <v>4069</v>
      </c>
      <c r="C118" s="398">
        <v>115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" customHeight="1">
      <c r="A119" s="43" t="s">
        <v>1164</v>
      </c>
      <c r="B119" s="44" t="s">
        <v>1165</v>
      </c>
      <c r="C119" s="45">
        <v>270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" customHeight="1">
      <c r="A120" s="43" t="s">
        <v>4070</v>
      </c>
      <c r="B120" s="399" t="s">
        <v>4071</v>
      </c>
      <c r="C120" s="398">
        <v>310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" customHeight="1">
      <c r="A121" s="43" t="s">
        <v>4079</v>
      </c>
      <c r="B121" s="44" t="s">
        <v>1166</v>
      </c>
      <c r="C121" s="45">
        <v>230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" customHeight="1">
      <c r="A122" s="43" t="s">
        <v>4072</v>
      </c>
      <c r="B122" s="399" t="s">
        <v>4073</v>
      </c>
      <c r="C122" s="398">
        <v>280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" customHeight="1">
      <c r="A123" s="43" t="s">
        <v>4074</v>
      </c>
      <c r="B123" s="399" t="s">
        <v>4075</v>
      </c>
      <c r="C123" s="398">
        <v>360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" customHeight="1">
      <c r="A124" s="43" t="s">
        <v>4076</v>
      </c>
      <c r="B124" s="399" t="s">
        <v>4077</v>
      </c>
      <c r="C124" s="398">
        <v>330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" customHeight="1">
      <c r="A125" s="43" t="s">
        <v>4080</v>
      </c>
      <c r="B125" s="44" t="s">
        <v>1167</v>
      </c>
      <c r="C125" s="45">
        <v>650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" customHeight="1">
      <c r="A126" s="43" t="s">
        <v>4078</v>
      </c>
      <c r="B126" s="399" t="s">
        <v>4077</v>
      </c>
      <c r="C126" s="398">
        <v>1600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" customHeight="1">
      <c r="A127" s="43" t="s">
        <v>1168</v>
      </c>
      <c r="B127" s="44" t="s">
        <v>1169</v>
      </c>
      <c r="C127" s="45">
        <v>115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" customHeight="1">
      <c r="A128" s="46" t="s">
        <v>1170</v>
      </c>
      <c r="B128" s="42" t="s">
        <v>1171</v>
      </c>
      <c r="C128" s="47">
        <v>170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" customHeight="1">
      <c r="A129" s="46" t="s">
        <v>1172</v>
      </c>
      <c r="B129" s="42" t="s">
        <v>1173</v>
      </c>
      <c r="C129" s="47">
        <v>170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" customHeight="1">
      <c r="A130" s="39" t="s">
        <v>1174</v>
      </c>
      <c r="B130" s="42" t="s">
        <v>1175</v>
      </c>
      <c r="C130" s="45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" customHeight="1">
      <c r="A131" s="39" t="s">
        <v>1176</v>
      </c>
      <c r="B131" s="42" t="s">
        <v>1177</v>
      </c>
      <c r="C131" s="4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" customHeight="1">
      <c r="A132" s="43" t="s">
        <v>1178</v>
      </c>
      <c r="B132" s="42" t="s">
        <v>1179</v>
      </c>
      <c r="C132" s="45">
        <v>420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" customHeight="1">
      <c r="A133" s="39" t="s">
        <v>1180</v>
      </c>
      <c r="B133" s="42" t="s">
        <v>1181</v>
      </c>
      <c r="C133" s="45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" customHeight="1">
      <c r="A134" s="46" t="s">
        <v>1182</v>
      </c>
      <c r="B134" s="42" t="s">
        <v>1183</v>
      </c>
      <c r="C134" s="47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" customHeight="1">
      <c r="A135" s="46" t="s">
        <v>1184</v>
      </c>
      <c r="B135" s="42" t="s">
        <v>1185</v>
      </c>
      <c r="C135" s="47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" customHeight="1">
      <c r="A136" s="39" t="s">
        <v>1186</v>
      </c>
      <c r="B136" s="42" t="s">
        <v>1187</v>
      </c>
      <c r="C136" s="45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" customHeight="1">
      <c r="A137" s="39" t="s">
        <v>1188</v>
      </c>
      <c r="B137" s="42" t="s">
        <v>1189</v>
      </c>
      <c r="C137" s="45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" customHeight="1">
      <c r="A138" s="46" t="s">
        <v>1190</v>
      </c>
      <c r="B138" s="42" t="s">
        <v>1191</v>
      </c>
      <c r="C138" s="47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" customHeight="1">
      <c r="A139" s="46" t="s">
        <v>1192</v>
      </c>
      <c r="B139" s="42" t="s">
        <v>1193</v>
      </c>
      <c r="C139" s="47">
        <v>345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" customHeight="1">
      <c r="A140" s="43" t="s">
        <v>1194</v>
      </c>
      <c r="B140" s="44" t="s">
        <v>1195</v>
      </c>
      <c r="C140" s="45">
        <v>255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" customHeight="1">
      <c r="A141" s="43" t="s">
        <v>1196</v>
      </c>
      <c r="B141" s="42" t="s">
        <v>1197</v>
      </c>
      <c r="C141" s="45">
        <v>480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" customHeight="1">
      <c r="A142" s="43" t="s">
        <v>1198</v>
      </c>
      <c r="B142" s="42" t="s">
        <v>1199</v>
      </c>
      <c r="C142" s="45">
        <v>830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" customHeight="1">
      <c r="A143" s="43" t="s">
        <v>1200</v>
      </c>
      <c r="B143" s="42" t="s">
        <v>1201</v>
      </c>
      <c r="C143" s="45">
        <v>1100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" customHeight="1">
      <c r="A144" s="43" t="s">
        <v>1202</v>
      </c>
      <c r="B144" s="42" t="s">
        <v>1203</v>
      </c>
      <c r="C144" s="45">
        <v>1250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" customHeight="1">
      <c r="A145" s="46" t="s">
        <v>1204</v>
      </c>
      <c r="B145" s="42" t="s">
        <v>1205</v>
      </c>
      <c r="C145" s="47">
        <v>105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" customHeight="1">
      <c r="A146" s="46" t="s">
        <v>1206</v>
      </c>
      <c r="B146" s="42" t="s">
        <v>1207</v>
      </c>
      <c r="C146" s="47">
        <v>125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" customHeight="1">
      <c r="A147" s="43" t="s">
        <v>1208</v>
      </c>
      <c r="B147" s="42" t="s">
        <v>1209</v>
      </c>
      <c r="C147" s="45">
        <v>105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customHeight="1">
      <c r="A148" s="43" t="s">
        <v>1210</v>
      </c>
      <c r="B148" s="44" t="s">
        <v>1211</v>
      </c>
      <c r="C148" s="45">
        <v>130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" customHeight="1">
      <c r="A149" s="43" t="s">
        <v>1212</v>
      </c>
      <c r="B149" s="42" t="s">
        <v>1213</v>
      </c>
      <c r="C149" s="45">
        <v>145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 customHeight="1">
      <c r="A150" s="43" t="s">
        <v>1214</v>
      </c>
      <c r="B150" s="44" t="s">
        <v>1215</v>
      </c>
      <c r="C150" s="45">
        <v>160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" customHeight="1">
      <c r="A151" s="43" t="s">
        <v>1216</v>
      </c>
      <c r="B151" s="44" t="s">
        <v>1217</v>
      </c>
      <c r="C151" s="45">
        <v>110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" customHeight="1">
      <c r="A152" s="43" t="s">
        <v>1218</v>
      </c>
      <c r="B152" s="44" t="s">
        <v>1219</v>
      </c>
      <c r="C152" s="45">
        <v>145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" customHeight="1">
      <c r="A153" s="43" t="s">
        <v>1220</v>
      </c>
      <c r="B153" s="44" t="s">
        <v>1221</v>
      </c>
      <c r="C153" s="45">
        <v>190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" customHeight="1">
      <c r="A154" s="43" t="s">
        <v>1222</v>
      </c>
      <c r="B154" s="44" t="s">
        <v>1223</v>
      </c>
      <c r="C154" s="45">
        <v>200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 customHeight="1">
      <c r="A155" s="46" t="s">
        <v>1224</v>
      </c>
      <c r="B155" s="42" t="s">
        <v>1225</v>
      </c>
      <c r="C155" s="47">
        <v>248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" customHeight="1">
      <c r="A156" s="43" t="s">
        <v>1226</v>
      </c>
      <c r="B156" s="42" t="s">
        <v>1227</v>
      </c>
      <c r="C156" s="45">
        <v>410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" customHeight="1">
      <c r="A157" s="43" t="s">
        <v>1228</v>
      </c>
      <c r="B157" s="42" t="s">
        <v>1229</v>
      </c>
      <c r="C157" s="45">
        <v>400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" customHeight="1">
      <c r="A158" s="43" t="s">
        <v>1230</v>
      </c>
      <c r="B158" s="42" t="s">
        <v>1231</v>
      </c>
      <c r="C158" s="45">
        <v>1100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" customHeight="1">
      <c r="A159" s="43" t="s">
        <v>1232</v>
      </c>
      <c r="B159" s="42" t="s">
        <v>1233</v>
      </c>
      <c r="C159" s="45">
        <v>135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 customHeight="1">
      <c r="A160" s="43" t="s">
        <v>1234</v>
      </c>
      <c r="B160" s="42" t="s">
        <v>1235</v>
      </c>
      <c r="C160" s="45">
        <v>135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" customHeight="1">
      <c r="A161" s="43" t="s">
        <v>1236</v>
      </c>
      <c r="B161" s="42" t="s">
        <v>1237</v>
      </c>
      <c r="C161" s="45">
        <v>138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" customHeight="1">
      <c r="A162" s="43" t="s">
        <v>1238</v>
      </c>
      <c r="B162" s="42" t="s">
        <v>1239</v>
      </c>
      <c r="C162" s="45">
        <v>140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" customHeight="1">
      <c r="A163" s="43" t="s">
        <v>1240</v>
      </c>
      <c r="B163" s="42" t="s">
        <v>1241</v>
      </c>
      <c r="C163" s="45">
        <v>155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" customHeight="1">
      <c r="A164" s="43" t="s">
        <v>1242</v>
      </c>
      <c r="B164" s="42" t="s">
        <v>1243</v>
      </c>
      <c r="C164" s="45">
        <v>160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" customHeight="1">
      <c r="A165" s="43" t="s">
        <v>1244</v>
      </c>
      <c r="B165" s="44" t="s">
        <v>1245</v>
      </c>
      <c r="C165" s="45">
        <v>170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" customHeight="1">
      <c r="A166" s="46" t="s">
        <v>1246</v>
      </c>
      <c r="B166" s="42" t="s">
        <v>1247</v>
      </c>
      <c r="C166" s="47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" customHeight="1">
      <c r="A167" s="46" t="s">
        <v>1248</v>
      </c>
      <c r="B167" s="42" t="s">
        <v>1249</v>
      </c>
      <c r="C167" s="47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" customHeight="1">
      <c r="A168" s="46" t="s">
        <v>1250</v>
      </c>
      <c r="B168" s="42" t="s">
        <v>1251</v>
      </c>
      <c r="C168" s="4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" customHeight="1">
      <c r="A169" s="43" t="s">
        <v>1252</v>
      </c>
      <c r="B169" s="44" t="s">
        <v>1253</v>
      </c>
      <c r="C169" s="45">
        <v>175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" customHeight="1">
      <c r="A170" s="43" t="s">
        <v>1254</v>
      </c>
      <c r="B170" s="44" t="s">
        <v>1255</v>
      </c>
      <c r="C170" s="45">
        <v>185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" customHeight="1">
      <c r="A171" s="43" t="s">
        <v>1256</v>
      </c>
      <c r="B171" s="44" t="s">
        <v>1257</v>
      </c>
      <c r="C171" s="45">
        <v>183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" customHeight="1">
      <c r="A172" s="43" t="s">
        <v>1258</v>
      </c>
      <c r="B172" s="42" t="s">
        <v>1259</v>
      </c>
      <c r="C172" s="45">
        <v>180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" customHeight="1">
      <c r="A173" s="43" t="s">
        <v>1260</v>
      </c>
      <c r="B173" s="42" t="s">
        <v>1261</v>
      </c>
      <c r="C173" s="45">
        <v>240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" customHeight="1">
      <c r="A174" s="43" t="s">
        <v>1262</v>
      </c>
      <c r="B174" s="40" t="s">
        <v>1263</v>
      </c>
      <c r="C174" s="44">
        <v>260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customHeight="1">
      <c r="A175" s="43" t="s">
        <v>1264</v>
      </c>
      <c r="B175" s="44" t="s">
        <v>1265</v>
      </c>
      <c r="C175" s="45">
        <v>305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" customHeight="1">
      <c r="A176" s="43" t="s">
        <v>1266</v>
      </c>
      <c r="B176" s="44" t="s">
        <v>1267</v>
      </c>
      <c r="C176" s="44">
        <v>340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" customHeight="1">
      <c r="A177" s="46" t="s">
        <v>1268</v>
      </c>
      <c r="B177" s="42" t="s">
        <v>1269</v>
      </c>
      <c r="C177" s="47">
        <v>350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" customHeight="1">
      <c r="A178" s="46" t="s">
        <v>1270</v>
      </c>
      <c r="B178" s="42" t="s">
        <v>1271</v>
      </c>
      <c r="C178" s="47">
        <v>399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" customHeight="1">
      <c r="A179" s="43" t="s">
        <v>1272</v>
      </c>
      <c r="B179" s="44" t="s">
        <v>1273</v>
      </c>
      <c r="C179" s="45">
        <v>470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" customHeight="1">
      <c r="A180" s="43" t="s">
        <v>1274</v>
      </c>
      <c r="B180" s="42" t="s">
        <v>1275</v>
      </c>
      <c r="C180" s="45">
        <v>450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" customHeight="1">
      <c r="A181" s="43" t="s">
        <v>1276</v>
      </c>
      <c r="B181" s="42" t="s">
        <v>1277</v>
      </c>
      <c r="C181" s="45">
        <v>120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" customHeight="1">
      <c r="A182" s="46" t="s">
        <v>1278</v>
      </c>
      <c r="B182" s="42" t="s">
        <v>1279</v>
      </c>
      <c r="C182" s="47">
        <v>225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" customHeight="1">
      <c r="A183" s="43" t="s">
        <v>1280</v>
      </c>
      <c r="B183" s="42" t="s">
        <v>1281</v>
      </c>
      <c r="C183" s="45">
        <v>430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" customHeight="1">
      <c r="A184" s="46" t="s">
        <v>1282</v>
      </c>
      <c r="B184" s="42" t="s">
        <v>1283</v>
      </c>
      <c r="C184" s="47">
        <v>250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" customHeight="1">
      <c r="A185" s="46" t="s">
        <v>1284</v>
      </c>
      <c r="B185" s="42" t="s">
        <v>1285</v>
      </c>
      <c r="C185" s="47">
        <v>780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" customHeight="1">
      <c r="A186" s="46" t="s">
        <v>1286</v>
      </c>
      <c r="B186" s="42" t="s">
        <v>1287</v>
      </c>
      <c r="C186" s="47">
        <v>800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" customHeight="1">
      <c r="A187" s="46" t="s">
        <v>1288</v>
      </c>
      <c r="B187" s="42" t="s">
        <v>1289</v>
      </c>
      <c r="C187" s="47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 customHeight="1">
      <c r="A188" s="46" t="s">
        <v>1290</v>
      </c>
      <c r="B188" s="42" t="s">
        <v>1291</v>
      </c>
      <c r="C188" s="47">
        <v>680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" customHeight="1">
      <c r="A189" s="46" t="s">
        <v>1292</v>
      </c>
      <c r="B189" s="42" t="s">
        <v>1293</v>
      </c>
      <c r="C189" s="47">
        <v>570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" customHeight="1">
      <c r="A190" s="46" t="s">
        <v>1294</v>
      </c>
      <c r="B190" s="42" t="s">
        <v>1295</v>
      </c>
      <c r="C190" s="47">
        <v>880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" customHeight="1">
      <c r="A191" s="43" t="s">
        <v>1296</v>
      </c>
      <c r="B191" s="44" t="s">
        <v>1297</v>
      </c>
      <c r="C191" s="45">
        <v>1100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" customHeight="1">
      <c r="A192" s="43" t="s">
        <v>1298</v>
      </c>
      <c r="B192" s="44" t="s">
        <v>1299</v>
      </c>
      <c r="C192" s="45">
        <v>1250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" customHeight="1">
      <c r="A193" s="43" t="s">
        <v>1300</v>
      </c>
      <c r="B193" s="44" t="s">
        <v>1301</v>
      </c>
      <c r="C193" s="45">
        <v>1600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" customHeight="1">
      <c r="A194" s="46" t="s">
        <v>1302</v>
      </c>
      <c r="B194" s="42" t="s">
        <v>1303</v>
      </c>
      <c r="C194" s="47">
        <v>490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" customHeight="1">
      <c r="A195" s="46" t="s">
        <v>1304</v>
      </c>
      <c r="B195" s="42" t="s">
        <v>1305</v>
      </c>
      <c r="C195" s="47">
        <v>1100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" customHeight="1">
      <c r="A196" s="1"/>
      <c r="B196" s="7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" customHeight="1">
      <c r="A197" s="35" t="s">
        <v>930</v>
      </c>
      <c r="B197" s="7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" customHeight="1">
      <c r="A198" s="16"/>
      <c r="B198" s="7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" customHeight="1">
      <c r="A199" s="37" t="s">
        <v>931</v>
      </c>
      <c r="B199" s="7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" customHeight="1">
      <c r="A200" s="1"/>
      <c r="B200" s="7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" customHeight="1">
      <c r="A201" s="1"/>
      <c r="B201" s="7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 customHeight="1">
      <c r="A202" s="1"/>
      <c r="B202" s="7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" customHeight="1">
      <c r="A203" s="1"/>
      <c r="B203" s="7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" customHeight="1">
      <c r="A204" s="1"/>
      <c r="B204" s="7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" customHeight="1">
      <c r="A205" s="1"/>
      <c r="B205" s="7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" customHeight="1">
      <c r="A206" s="1"/>
      <c r="B206" s="7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" customHeight="1">
      <c r="A207" s="1"/>
      <c r="B207" s="7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7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7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7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7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7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7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7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7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7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7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7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7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7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7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7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7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7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7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7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7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7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7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7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7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7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7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customHeight="1">
      <c r="A234" s="1"/>
      <c r="B234" s="7"/>
      <c r="C234" s="1"/>
      <c r="D234" s="1"/>
    </row>
    <row r="235" spans="1:26" ht="15" customHeight="1">
      <c r="D235" s="1"/>
    </row>
    <row r="236" spans="1:26" ht="15" customHeight="1">
      <c r="D236" s="1"/>
    </row>
  </sheetData>
  <pageMargins left="0.31496062992125984" right="0.31496062992125984" top="0.74803149606299213" bottom="0.74803149606299213" header="0" footer="0"/>
  <pageSetup paperSize="9" scale="8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50"/>
  <sheetViews>
    <sheetView workbookViewId="0"/>
  </sheetViews>
  <sheetFormatPr defaultColWidth="14.3984375" defaultRowHeight="15" customHeight="1"/>
  <cols>
    <col min="1" max="1" width="116.53125" customWidth="1"/>
    <col min="2" max="2" width="11.53125" customWidth="1"/>
    <col min="3" max="6" width="14.265625" customWidth="1"/>
  </cols>
  <sheetData>
    <row r="1" spans="1:4" ht="15.75">
      <c r="A1" s="49" t="s">
        <v>1306</v>
      </c>
      <c r="B1" s="50"/>
      <c r="C1" s="51" t="s">
        <v>1307</v>
      </c>
      <c r="D1" s="1"/>
    </row>
    <row r="2" spans="1:4" ht="14.25">
      <c r="A2" s="52" t="s">
        <v>1308</v>
      </c>
      <c r="B2" s="53" t="s">
        <v>1309</v>
      </c>
      <c r="C2" s="54"/>
      <c r="D2" s="1"/>
    </row>
    <row r="3" spans="1:4" ht="14.25">
      <c r="A3" s="52" t="s">
        <v>1310</v>
      </c>
      <c r="B3" s="53" t="s">
        <v>1311</v>
      </c>
      <c r="C3" s="54">
        <v>99</v>
      </c>
      <c r="D3" s="1"/>
    </row>
    <row r="4" spans="1:4" ht="14.25">
      <c r="A4" s="52" t="s">
        <v>1312</v>
      </c>
      <c r="B4" s="53" t="s">
        <v>1313</v>
      </c>
      <c r="C4" s="54"/>
      <c r="D4" s="1"/>
    </row>
    <row r="5" spans="1:4" ht="14.25">
      <c r="A5" s="52" t="s">
        <v>1314</v>
      </c>
      <c r="B5" s="53" t="s">
        <v>1315</v>
      </c>
      <c r="C5" s="54"/>
      <c r="D5" s="1"/>
    </row>
    <row r="6" spans="1:4" ht="14.25">
      <c r="A6" s="52" t="s">
        <v>1316</v>
      </c>
      <c r="B6" s="53" t="s">
        <v>1317</v>
      </c>
      <c r="C6" s="54"/>
      <c r="D6" s="1"/>
    </row>
    <row r="7" spans="1:4" ht="14.25">
      <c r="A7" s="52" t="s">
        <v>1318</v>
      </c>
      <c r="B7" s="53" t="s">
        <v>1319</v>
      </c>
      <c r="C7" s="54">
        <v>200</v>
      </c>
      <c r="D7" s="1"/>
    </row>
    <row r="8" spans="1:4" ht="14.25">
      <c r="A8" s="52" t="s">
        <v>1320</v>
      </c>
      <c r="B8" s="53" t="s">
        <v>1321</v>
      </c>
      <c r="C8" s="54"/>
      <c r="D8" s="1"/>
    </row>
    <row r="9" spans="1:4" ht="14.25">
      <c r="A9" s="52" t="s">
        <v>1322</v>
      </c>
      <c r="B9" s="53" t="s">
        <v>1323</v>
      </c>
      <c r="C9" s="54">
        <v>140</v>
      </c>
      <c r="D9" s="1"/>
    </row>
    <row r="10" spans="1:4" ht="14.25">
      <c r="A10" s="52" t="s">
        <v>1324</v>
      </c>
      <c r="B10" s="53" t="s">
        <v>1325</v>
      </c>
      <c r="C10" s="54"/>
      <c r="D10" s="1"/>
    </row>
    <row r="11" spans="1:4" ht="14.25">
      <c r="A11" s="52" t="s">
        <v>1326</v>
      </c>
      <c r="B11" s="53" t="s">
        <v>1327</v>
      </c>
      <c r="C11" s="54"/>
      <c r="D11" s="1"/>
    </row>
    <row r="12" spans="1:4" ht="14.25">
      <c r="A12" s="52" t="s">
        <v>1328</v>
      </c>
      <c r="B12" s="53" t="s">
        <v>1329</v>
      </c>
      <c r="C12" s="54">
        <v>145</v>
      </c>
      <c r="D12" s="1"/>
    </row>
    <row r="13" spans="1:4" ht="14.25">
      <c r="A13" s="52" t="s">
        <v>1330</v>
      </c>
      <c r="B13" s="53" t="s">
        <v>1331</v>
      </c>
      <c r="C13" s="54">
        <v>160</v>
      </c>
      <c r="D13" s="1"/>
    </row>
    <row r="14" spans="1:4" ht="14.25">
      <c r="A14" s="52" t="s">
        <v>1332</v>
      </c>
      <c r="B14" s="53" t="s">
        <v>1333</v>
      </c>
      <c r="C14" s="54"/>
      <c r="D14" s="1"/>
    </row>
    <row r="15" spans="1:4" ht="14.25">
      <c r="A15" s="52" t="s">
        <v>1334</v>
      </c>
      <c r="B15" s="53" t="s">
        <v>1335</v>
      </c>
      <c r="C15" s="54">
        <v>210</v>
      </c>
      <c r="D15" s="1"/>
    </row>
    <row r="16" spans="1:4" ht="14.25">
      <c r="A16" s="52" t="s">
        <v>1336</v>
      </c>
      <c r="B16" s="53" t="s">
        <v>1337</v>
      </c>
      <c r="C16" s="54"/>
      <c r="D16" s="1"/>
    </row>
    <row r="17" spans="1:4" ht="14.25">
      <c r="A17" s="52" t="s">
        <v>1338</v>
      </c>
      <c r="B17" s="53" t="s">
        <v>1339</v>
      </c>
      <c r="C17" s="54">
        <v>330</v>
      </c>
      <c r="D17" s="1"/>
    </row>
    <row r="18" spans="1:4" ht="14.25">
      <c r="A18" s="52" t="s">
        <v>1340</v>
      </c>
      <c r="B18" s="53" t="s">
        <v>1341</v>
      </c>
      <c r="C18" s="54">
        <v>350</v>
      </c>
      <c r="D18" s="1"/>
    </row>
    <row r="19" spans="1:4" ht="14.25">
      <c r="A19" s="52" t="s">
        <v>1342</v>
      </c>
      <c r="B19" s="53" t="s">
        <v>1343</v>
      </c>
      <c r="C19" s="54">
        <v>220</v>
      </c>
      <c r="D19" s="1"/>
    </row>
    <row r="20" spans="1:4" ht="14.25">
      <c r="A20" s="52" t="s">
        <v>1344</v>
      </c>
      <c r="B20" s="53" t="s">
        <v>1345</v>
      </c>
      <c r="C20" s="54">
        <v>110</v>
      </c>
      <c r="D20" s="1"/>
    </row>
    <row r="21" spans="1:4" ht="15.75" customHeight="1">
      <c r="A21" s="52" t="s">
        <v>1346</v>
      </c>
      <c r="B21" s="53" t="s">
        <v>1347</v>
      </c>
      <c r="C21" s="54">
        <v>120</v>
      </c>
      <c r="D21" s="1"/>
    </row>
    <row r="22" spans="1:4" ht="15.75" customHeight="1">
      <c r="A22" s="52" t="s">
        <v>1348</v>
      </c>
      <c r="B22" s="53" t="s">
        <v>1349</v>
      </c>
      <c r="C22" s="54">
        <v>120</v>
      </c>
      <c r="D22" s="1"/>
    </row>
    <row r="23" spans="1:4" ht="15.75" customHeight="1">
      <c r="A23" s="55" t="s">
        <v>1350</v>
      </c>
      <c r="B23" s="53" t="s">
        <v>1351</v>
      </c>
      <c r="C23" s="56">
        <v>155</v>
      </c>
      <c r="D23" s="1"/>
    </row>
    <row r="24" spans="1:4" ht="15.75" customHeight="1">
      <c r="A24" s="52" t="s">
        <v>1352</v>
      </c>
      <c r="B24" s="53" t="s">
        <v>1353</v>
      </c>
      <c r="C24" s="54">
        <v>100</v>
      </c>
      <c r="D24" s="1"/>
    </row>
    <row r="25" spans="1:4" ht="15.75" customHeight="1">
      <c r="A25" s="52" t="s">
        <v>1354</v>
      </c>
      <c r="B25" s="53" t="s">
        <v>1355</v>
      </c>
      <c r="C25" s="54">
        <v>110</v>
      </c>
      <c r="D25" s="1"/>
    </row>
    <row r="26" spans="1:4" ht="15.75" customHeight="1">
      <c r="A26" s="52" t="s">
        <v>1356</v>
      </c>
      <c r="B26" s="53" t="s">
        <v>1357</v>
      </c>
      <c r="C26" s="54"/>
      <c r="D26" s="1"/>
    </row>
    <row r="27" spans="1:4" ht="15.75" customHeight="1">
      <c r="A27" s="52" t="s">
        <v>1358</v>
      </c>
      <c r="B27" s="53" t="s">
        <v>1359</v>
      </c>
      <c r="C27" s="54"/>
      <c r="D27" s="1"/>
    </row>
    <row r="28" spans="1:4" ht="15.75" customHeight="1">
      <c r="A28" s="52" t="s">
        <v>1360</v>
      </c>
      <c r="B28" s="53" t="s">
        <v>1361</v>
      </c>
      <c r="C28" s="54">
        <v>150</v>
      </c>
      <c r="D28" s="1"/>
    </row>
    <row r="29" spans="1:4" ht="15.75" customHeight="1">
      <c r="A29" s="52" t="s">
        <v>1362</v>
      </c>
      <c r="B29" s="53" t="s">
        <v>1363</v>
      </c>
      <c r="C29" s="54">
        <v>160</v>
      </c>
      <c r="D29" s="1"/>
    </row>
    <row r="30" spans="1:4" ht="15.75" customHeight="1">
      <c r="A30" s="52" t="s">
        <v>1364</v>
      </c>
      <c r="B30" s="53" t="s">
        <v>1365</v>
      </c>
      <c r="C30" s="54"/>
      <c r="D30" s="1"/>
    </row>
    <row r="31" spans="1:4" ht="15.75" customHeight="1">
      <c r="A31" s="52" t="s">
        <v>1366</v>
      </c>
      <c r="B31" s="53" t="s">
        <v>1367</v>
      </c>
      <c r="C31" s="54">
        <v>145</v>
      </c>
      <c r="D31" s="1"/>
    </row>
    <row r="32" spans="1:4" ht="15.75" customHeight="1">
      <c r="A32" s="52" t="s">
        <v>1368</v>
      </c>
      <c r="B32" s="53" t="s">
        <v>1369</v>
      </c>
      <c r="C32" s="54">
        <v>155</v>
      </c>
      <c r="D32" s="1"/>
    </row>
    <row r="33" spans="1:4" ht="15.75" customHeight="1">
      <c r="A33" s="52" t="s">
        <v>1370</v>
      </c>
      <c r="B33" s="53" t="s">
        <v>1371</v>
      </c>
      <c r="C33" s="54">
        <v>200</v>
      </c>
      <c r="D33" s="1"/>
    </row>
    <row r="34" spans="1:4" ht="15.75" customHeight="1">
      <c r="A34" s="52" t="s">
        <v>1372</v>
      </c>
      <c r="B34" s="53" t="s">
        <v>1373</v>
      </c>
      <c r="C34" s="54">
        <v>145</v>
      </c>
      <c r="D34" s="57">
        <v>475</v>
      </c>
    </row>
    <row r="35" spans="1:4" ht="15.75" customHeight="1">
      <c r="A35" s="52" t="s">
        <v>1374</v>
      </c>
      <c r="B35" s="53" t="s">
        <v>1375</v>
      </c>
      <c r="C35" s="54">
        <v>160</v>
      </c>
      <c r="D35" s="57">
        <v>680</v>
      </c>
    </row>
    <row r="36" spans="1:4" ht="15.75" customHeight="1">
      <c r="A36" s="52" t="s">
        <v>1376</v>
      </c>
      <c r="B36" s="53" t="s">
        <v>1377</v>
      </c>
      <c r="C36" s="54"/>
      <c r="D36" s="57">
        <v>855</v>
      </c>
    </row>
    <row r="37" spans="1:4" ht="15.75" customHeight="1">
      <c r="A37" s="55" t="s">
        <v>1378</v>
      </c>
      <c r="B37" s="58" t="s">
        <v>1379</v>
      </c>
      <c r="C37" s="56">
        <v>333</v>
      </c>
      <c r="D37" s="1"/>
    </row>
    <row r="38" spans="1:4" ht="15.75" customHeight="1">
      <c r="A38" s="52" t="s">
        <v>1380</v>
      </c>
      <c r="B38" s="53" t="s">
        <v>1381</v>
      </c>
      <c r="C38" s="54"/>
      <c r="D38" s="1"/>
    </row>
    <row r="39" spans="1:4" ht="15.75" customHeight="1">
      <c r="A39" s="55" t="s">
        <v>1382</v>
      </c>
      <c r="B39" s="53" t="s">
        <v>1383</v>
      </c>
      <c r="C39" s="56">
        <v>260</v>
      </c>
      <c r="D39" s="1"/>
    </row>
    <row r="40" spans="1:4" ht="15.75" customHeight="1">
      <c r="A40" s="55" t="s">
        <v>1384</v>
      </c>
      <c r="B40" s="58" t="s">
        <v>1385</v>
      </c>
      <c r="C40" s="56">
        <v>270</v>
      </c>
      <c r="D40" s="1"/>
    </row>
    <row r="41" spans="1:4" ht="15.75" customHeight="1">
      <c r="A41" s="55" t="s">
        <v>1386</v>
      </c>
      <c r="B41" s="58" t="s">
        <v>1387</v>
      </c>
      <c r="C41" s="56">
        <v>385</v>
      </c>
      <c r="D41" s="1"/>
    </row>
    <row r="42" spans="1:4" ht="15.75" customHeight="1">
      <c r="A42" s="55" t="s">
        <v>1388</v>
      </c>
      <c r="B42" s="58" t="s">
        <v>1389</v>
      </c>
      <c r="C42" s="56">
        <v>500</v>
      </c>
      <c r="D42" s="1"/>
    </row>
    <row r="43" spans="1:4" ht="15.75" customHeight="1">
      <c r="A43" s="55" t="s">
        <v>1390</v>
      </c>
      <c r="B43" s="58" t="s">
        <v>1391</v>
      </c>
      <c r="C43" s="56">
        <v>540</v>
      </c>
      <c r="D43" s="1"/>
    </row>
    <row r="44" spans="1:4" ht="15.75" customHeight="1">
      <c r="A44" s="55" t="s">
        <v>1392</v>
      </c>
      <c r="B44" s="58"/>
      <c r="C44" s="56">
        <v>640</v>
      </c>
      <c r="D44" s="1"/>
    </row>
    <row r="45" spans="1:4" ht="15.75" customHeight="1">
      <c r="A45" s="52" t="s">
        <v>1393</v>
      </c>
      <c r="B45" s="53" t="s">
        <v>1394</v>
      </c>
      <c r="C45" s="54">
        <v>400</v>
      </c>
      <c r="D45" s="1"/>
    </row>
    <row r="46" spans="1:4" ht="15.75" customHeight="1">
      <c r="A46" s="52" t="s">
        <v>1395</v>
      </c>
      <c r="B46" s="53" t="s">
        <v>1396</v>
      </c>
      <c r="C46" s="54">
        <v>700</v>
      </c>
      <c r="D46" s="1"/>
    </row>
    <row r="47" spans="1:4" ht="15.75" customHeight="1">
      <c r="A47" s="52" t="s">
        <v>1397</v>
      </c>
      <c r="B47" s="53" t="s">
        <v>1398</v>
      </c>
      <c r="C47" s="54"/>
      <c r="D47" s="1"/>
    </row>
    <row r="48" spans="1:4" ht="15.75" customHeight="1">
      <c r="A48" s="52" t="s">
        <v>1399</v>
      </c>
      <c r="B48" s="53" t="s">
        <v>1400</v>
      </c>
      <c r="C48" s="54"/>
      <c r="D48" s="1"/>
    </row>
    <row r="49" spans="1:4" ht="15.75" customHeight="1">
      <c r="A49" s="55" t="s">
        <v>1401</v>
      </c>
      <c r="B49" s="53" t="s">
        <v>1402</v>
      </c>
      <c r="C49" s="56">
        <v>140</v>
      </c>
      <c r="D49" s="1"/>
    </row>
    <row r="50" spans="1:4" ht="15.75" customHeight="1">
      <c r="A50" s="55" t="s">
        <v>1403</v>
      </c>
      <c r="B50" s="53" t="s">
        <v>1404</v>
      </c>
      <c r="C50" s="56">
        <v>135</v>
      </c>
      <c r="D50" s="1"/>
    </row>
    <row r="51" spans="1:4" ht="15.75" customHeight="1">
      <c r="A51" s="52" t="s">
        <v>1405</v>
      </c>
      <c r="B51" s="53" t="s">
        <v>1406</v>
      </c>
      <c r="C51" s="56"/>
      <c r="D51" s="1"/>
    </row>
    <row r="52" spans="1:4" ht="15.75" customHeight="1">
      <c r="A52" s="52" t="s">
        <v>1407</v>
      </c>
      <c r="B52" s="53" t="s">
        <v>1406</v>
      </c>
      <c r="C52" s="56"/>
      <c r="D52" s="1"/>
    </row>
    <row r="53" spans="1:4" ht="15.75" customHeight="1">
      <c r="A53" s="52" t="s">
        <v>1408</v>
      </c>
      <c r="B53" s="53" t="s">
        <v>1406</v>
      </c>
      <c r="C53" s="54"/>
      <c r="D53" s="1"/>
    </row>
    <row r="54" spans="1:4" ht="15.75" customHeight="1">
      <c r="A54" s="52" t="s">
        <v>1409</v>
      </c>
      <c r="B54" s="53" t="s">
        <v>1410</v>
      </c>
      <c r="C54" s="56"/>
      <c r="D54" s="1"/>
    </row>
    <row r="55" spans="1:4" ht="15.75" customHeight="1">
      <c r="A55" s="52" t="s">
        <v>1411</v>
      </c>
      <c r="B55" s="53" t="s">
        <v>1412</v>
      </c>
      <c r="C55" s="54"/>
      <c r="D55" s="1"/>
    </row>
    <row r="56" spans="1:4" ht="15.75" customHeight="1">
      <c r="A56" s="55" t="s">
        <v>1413</v>
      </c>
      <c r="B56" s="58" t="s">
        <v>1414</v>
      </c>
      <c r="C56" s="56">
        <v>340</v>
      </c>
      <c r="D56" s="1"/>
    </row>
    <row r="57" spans="1:4" ht="15.75" customHeight="1">
      <c r="A57" s="52" t="s">
        <v>1415</v>
      </c>
      <c r="B57" s="53" t="s">
        <v>1416</v>
      </c>
      <c r="C57" s="54"/>
      <c r="D57" s="1"/>
    </row>
    <row r="58" spans="1:4" ht="15.75" customHeight="1">
      <c r="A58" s="52" t="s">
        <v>1417</v>
      </c>
      <c r="B58" s="53" t="s">
        <v>1418</v>
      </c>
      <c r="C58" s="54"/>
      <c r="D58" s="1"/>
    </row>
    <row r="59" spans="1:4" ht="15.75" customHeight="1">
      <c r="A59" s="52" t="s">
        <v>1419</v>
      </c>
      <c r="B59" s="53" t="s">
        <v>1420</v>
      </c>
      <c r="C59" s="54"/>
      <c r="D59" s="1"/>
    </row>
    <row r="60" spans="1:4" ht="15.75" customHeight="1">
      <c r="A60" s="55" t="s">
        <v>1421</v>
      </c>
      <c r="B60" s="58" t="s">
        <v>1422</v>
      </c>
      <c r="C60" s="56">
        <v>240</v>
      </c>
      <c r="D60" s="1"/>
    </row>
    <row r="61" spans="1:4" ht="15.75" customHeight="1">
      <c r="A61" s="52" t="s">
        <v>1423</v>
      </c>
      <c r="B61" s="53" t="s">
        <v>1424</v>
      </c>
      <c r="C61" s="54">
        <v>330</v>
      </c>
      <c r="D61" s="1"/>
    </row>
    <row r="62" spans="1:4" ht="15.75" customHeight="1">
      <c r="A62" s="52" t="s">
        <v>1425</v>
      </c>
      <c r="B62" s="53" t="s">
        <v>1426</v>
      </c>
      <c r="C62" s="54">
        <v>370</v>
      </c>
      <c r="D62" s="1"/>
    </row>
    <row r="63" spans="1:4" ht="15.75" customHeight="1">
      <c r="A63" s="52" t="s">
        <v>1427</v>
      </c>
      <c r="B63" s="53" t="s">
        <v>1428</v>
      </c>
      <c r="C63" s="56"/>
      <c r="D63" s="1"/>
    </row>
    <row r="64" spans="1:4" ht="15.75" customHeight="1">
      <c r="A64" s="52" t="s">
        <v>1429</v>
      </c>
      <c r="B64" s="53" t="s">
        <v>1430</v>
      </c>
      <c r="C64" s="56"/>
      <c r="D64" s="1"/>
    </row>
    <row r="65" spans="1:4" ht="15.75" customHeight="1">
      <c r="A65" s="52" t="s">
        <v>1431</v>
      </c>
      <c r="B65" s="53" t="s">
        <v>1432</v>
      </c>
      <c r="C65" s="54">
        <v>125</v>
      </c>
      <c r="D65" s="1"/>
    </row>
    <row r="66" spans="1:4" ht="15.75" customHeight="1">
      <c r="A66" s="52" t="s">
        <v>1433</v>
      </c>
      <c r="B66" s="53" t="s">
        <v>1434</v>
      </c>
      <c r="C66" s="54"/>
      <c r="D66" s="1"/>
    </row>
    <row r="67" spans="1:4" ht="15.75" customHeight="1">
      <c r="A67" s="52" t="s">
        <v>1435</v>
      </c>
      <c r="B67" s="53" t="s">
        <v>1436</v>
      </c>
      <c r="C67" s="54">
        <v>170</v>
      </c>
      <c r="D67" s="1"/>
    </row>
    <row r="68" spans="1:4" ht="15.75" customHeight="1">
      <c r="A68" s="52" t="s">
        <v>1437</v>
      </c>
      <c r="B68" s="53" t="s">
        <v>1438</v>
      </c>
      <c r="C68" s="54">
        <v>175</v>
      </c>
      <c r="D68" s="1"/>
    </row>
    <row r="69" spans="1:4" ht="15.75" customHeight="1">
      <c r="A69" s="52" t="s">
        <v>1439</v>
      </c>
      <c r="B69" s="53" t="s">
        <v>1440</v>
      </c>
      <c r="C69" s="54"/>
      <c r="D69" s="1"/>
    </row>
    <row r="70" spans="1:4" ht="15.75" customHeight="1">
      <c r="A70" s="52" t="s">
        <v>1441</v>
      </c>
      <c r="B70" s="53" t="s">
        <v>1442</v>
      </c>
      <c r="C70" s="54">
        <v>210</v>
      </c>
      <c r="D70" s="1"/>
    </row>
    <row r="71" spans="1:4" ht="15.75" customHeight="1">
      <c r="A71" s="52" t="s">
        <v>1443</v>
      </c>
      <c r="B71" s="53" t="s">
        <v>1444</v>
      </c>
      <c r="C71" s="54"/>
      <c r="D71" s="1"/>
    </row>
    <row r="72" spans="1:4" ht="15.75" customHeight="1">
      <c r="A72" s="52" t="s">
        <v>1445</v>
      </c>
      <c r="B72" s="53" t="s">
        <v>1446</v>
      </c>
      <c r="C72" s="54"/>
      <c r="D72" s="1"/>
    </row>
    <row r="73" spans="1:4" ht="15.75" customHeight="1">
      <c r="A73" s="52" t="s">
        <v>1447</v>
      </c>
      <c r="B73" s="53" t="s">
        <v>1448</v>
      </c>
      <c r="C73" s="54">
        <v>240</v>
      </c>
      <c r="D73" s="1"/>
    </row>
    <row r="74" spans="1:4" ht="15.75" customHeight="1">
      <c r="A74" s="52" t="s">
        <v>1449</v>
      </c>
      <c r="B74" s="53" t="s">
        <v>1450</v>
      </c>
      <c r="C74" s="54">
        <v>270</v>
      </c>
      <c r="D74" s="1"/>
    </row>
    <row r="75" spans="1:4" ht="15.75" customHeight="1">
      <c r="A75" s="52" t="s">
        <v>1451</v>
      </c>
      <c r="B75" s="53" t="s">
        <v>1452</v>
      </c>
      <c r="C75" s="54">
        <v>290</v>
      </c>
      <c r="D75" s="1"/>
    </row>
    <row r="76" spans="1:4" ht="15.75" customHeight="1">
      <c r="A76" s="52" t="s">
        <v>1453</v>
      </c>
      <c r="B76" s="53" t="s">
        <v>1454</v>
      </c>
      <c r="C76" s="54">
        <v>320</v>
      </c>
      <c r="D76" s="1"/>
    </row>
    <row r="77" spans="1:4" ht="15.75" customHeight="1">
      <c r="A77" s="55" t="s">
        <v>1455</v>
      </c>
      <c r="B77" s="53" t="s">
        <v>1456</v>
      </c>
      <c r="C77" s="56">
        <v>170</v>
      </c>
      <c r="D77" s="1"/>
    </row>
    <row r="78" spans="1:4" ht="15.75" customHeight="1">
      <c r="A78" s="55" t="s">
        <v>1457</v>
      </c>
      <c r="B78" s="58" t="s">
        <v>1458</v>
      </c>
      <c r="C78" s="56">
        <v>170</v>
      </c>
      <c r="D78" s="1"/>
    </row>
    <row r="79" spans="1:4" ht="15.75" customHeight="1">
      <c r="A79" s="55" t="s">
        <v>1459</v>
      </c>
      <c r="B79" s="53" t="s">
        <v>1460</v>
      </c>
      <c r="C79" s="56">
        <v>180</v>
      </c>
      <c r="D79" s="1"/>
    </row>
    <row r="80" spans="1:4" ht="15.75" customHeight="1">
      <c r="A80" s="52" t="s">
        <v>1461</v>
      </c>
      <c r="B80" s="53" t="s">
        <v>1460</v>
      </c>
      <c r="C80" s="56"/>
      <c r="D80" s="1"/>
    </row>
    <row r="81" spans="1:4" ht="15.75" customHeight="1">
      <c r="A81" s="52" t="s">
        <v>1462</v>
      </c>
      <c r="B81" s="58" t="s">
        <v>1463</v>
      </c>
      <c r="C81" s="56"/>
      <c r="D81" s="1"/>
    </row>
    <row r="82" spans="1:4" ht="15.75" customHeight="1">
      <c r="A82" s="55" t="s">
        <v>1464</v>
      </c>
      <c r="B82" s="53" t="s">
        <v>1465</v>
      </c>
      <c r="C82" s="56">
        <v>230</v>
      </c>
      <c r="D82" s="1"/>
    </row>
    <row r="83" spans="1:4" ht="15.75" customHeight="1">
      <c r="A83" s="52" t="s">
        <v>1466</v>
      </c>
      <c r="B83" s="53" t="s">
        <v>1467</v>
      </c>
      <c r="C83" s="56"/>
      <c r="D83" s="1"/>
    </row>
    <row r="84" spans="1:4" ht="15.75" customHeight="1">
      <c r="A84" s="55" t="s">
        <v>1468</v>
      </c>
      <c r="B84" s="53" t="s">
        <v>1469</v>
      </c>
      <c r="C84" s="56">
        <v>315</v>
      </c>
      <c r="D84" s="1"/>
    </row>
    <row r="85" spans="1:4" ht="15.75" customHeight="1">
      <c r="A85" s="52" t="s">
        <v>1470</v>
      </c>
      <c r="B85" s="53" t="s">
        <v>1471</v>
      </c>
      <c r="C85" s="54"/>
      <c r="D85" s="1"/>
    </row>
    <row r="86" spans="1:4" ht="15.75" customHeight="1">
      <c r="A86" s="55" t="s">
        <v>1472</v>
      </c>
      <c r="B86" s="53" t="s">
        <v>1473</v>
      </c>
      <c r="C86" s="56">
        <v>475</v>
      </c>
      <c r="D86" s="1"/>
    </row>
    <row r="87" spans="1:4" ht="15.75" customHeight="1">
      <c r="A87" s="52" t="s">
        <v>1474</v>
      </c>
      <c r="B87" s="53" t="s">
        <v>1475</v>
      </c>
      <c r="C87" s="56">
        <v>540</v>
      </c>
      <c r="D87" s="1"/>
    </row>
    <row r="88" spans="1:4" ht="15.75" customHeight="1">
      <c r="A88" s="55" t="s">
        <v>1476</v>
      </c>
      <c r="B88" s="58" t="s">
        <v>1477</v>
      </c>
      <c r="C88" s="56">
        <v>600</v>
      </c>
      <c r="D88" s="1"/>
    </row>
    <row r="89" spans="1:4" ht="15.75" customHeight="1">
      <c r="A89" s="55" t="s">
        <v>1478</v>
      </c>
      <c r="B89" s="53" t="s">
        <v>1479</v>
      </c>
      <c r="C89" s="56">
        <v>680</v>
      </c>
      <c r="D89" s="1"/>
    </row>
    <row r="90" spans="1:4" ht="15.75" customHeight="1">
      <c r="A90" s="52" t="s">
        <v>1480</v>
      </c>
      <c r="B90" s="53" t="s">
        <v>1481</v>
      </c>
      <c r="C90" s="54"/>
      <c r="D90" s="1"/>
    </row>
    <row r="91" spans="1:4" ht="15.75" customHeight="1">
      <c r="A91" s="52" t="s">
        <v>1482</v>
      </c>
      <c r="B91" s="53" t="s">
        <v>1483</v>
      </c>
      <c r="C91" s="54">
        <v>345</v>
      </c>
      <c r="D91" s="1"/>
    </row>
    <row r="92" spans="1:4" ht="15.75" customHeight="1">
      <c r="A92" s="52" t="s">
        <v>1484</v>
      </c>
      <c r="B92" s="53" t="s">
        <v>1485</v>
      </c>
      <c r="C92" s="54">
        <v>481</v>
      </c>
      <c r="D92" s="1"/>
    </row>
    <row r="93" spans="1:4" ht="15.75" customHeight="1">
      <c r="A93" s="52" t="s">
        <v>1486</v>
      </c>
      <c r="B93" s="53" t="s">
        <v>1487</v>
      </c>
      <c r="C93" s="54">
        <v>3020</v>
      </c>
      <c r="D93" s="1"/>
    </row>
    <row r="94" spans="1:4" ht="15.75" customHeight="1">
      <c r="A94" s="52" t="s">
        <v>1488</v>
      </c>
      <c r="B94" s="53" t="s">
        <v>1489</v>
      </c>
      <c r="C94" s="54">
        <v>6700</v>
      </c>
      <c r="D94" s="1"/>
    </row>
    <row r="95" spans="1:4" ht="15" customHeight="1">
      <c r="A95" s="52" t="s">
        <v>1490</v>
      </c>
      <c r="B95" s="53" t="s">
        <v>1491</v>
      </c>
      <c r="C95" s="54">
        <v>46</v>
      </c>
      <c r="D95" s="1"/>
    </row>
    <row r="96" spans="1:4" ht="15" customHeight="1">
      <c r="A96" s="52" t="s">
        <v>1492</v>
      </c>
      <c r="B96" s="53" t="s">
        <v>1493</v>
      </c>
      <c r="C96" s="54">
        <v>240</v>
      </c>
      <c r="D96" s="1"/>
    </row>
    <row r="97" spans="1:4" ht="15.75" customHeight="1">
      <c r="A97" s="52" t="s">
        <v>1494</v>
      </c>
      <c r="B97" s="53" t="s">
        <v>1495</v>
      </c>
      <c r="C97" s="54">
        <v>105</v>
      </c>
      <c r="D97" s="1"/>
    </row>
    <row r="98" spans="1:4" ht="15.75" customHeight="1">
      <c r="A98" s="52" t="s">
        <v>1496</v>
      </c>
      <c r="B98" s="53" t="s">
        <v>1497</v>
      </c>
      <c r="C98" s="54">
        <v>15430</v>
      </c>
    </row>
    <row r="99" spans="1:4" ht="15.75" customHeight="1">
      <c r="A99" s="49" t="s">
        <v>1498</v>
      </c>
      <c r="B99" s="50"/>
      <c r="C99" s="50"/>
    </row>
    <row r="100" spans="1:4" ht="15" customHeight="1">
      <c r="A100" s="55" t="s">
        <v>1499</v>
      </c>
      <c r="B100" s="56"/>
      <c r="C100" s="6"/>
    </row>
    <row r="101" spans="1:4" ht="15.75" customHeight="1">
      <c r="A101" s="59" t="s">
        <v>1500</v>
      </c>
      <c r="B101" s="53"/>
      <c r="C101" s="30">
        <v>250</v>
      </c>
    </row>
    <row r="102" spans="1:4" ht="15.75" customHeight="1">
      <c r="A102" s="59" t="s">
        <v>1501</v>
      </c>
      <c r="B102" s="53" t="s">
        <v>1502</v>
      </c>
      <c r="C102" s="30">
        <v>380</v>
      </c>
    </row>
    <row r="103" spans="1:4" ht="15.75" customHeight="1">
      <c r="A103" s="49" t="s">
        <v>1503</v>
      </c>
      <c r="B103" s="50"/>
      <c r="C103" s="50"/>
    </row>
    <row r="104" spans="1:4" ht="15.75" customHeight="1">
      <c r="A104" s="52" t="s">
        <v>1504</v>
      </c>
      <c r="B104" s="54"/>
      <c r="C104" s="6">
        <f>175</f>
        <v>175</v>
      </c>
    </row>
    <row r="105" spans="1:4" ht="15.75" customHeight="1">
      <c r="A105" s="52" t="s">
        <v>1505</v>
      </c>
      <c r="B105" s="54"/>
      <c r="C105" s="6">
        <f>410</f>
        <v>410</v>
      </c>
    </row>
    <row r="106" spans="1:4" ht="15.75" customHeight="1">
      <c r="A106" s="52" t="s">
        <v>1506</v>
      </c>
      <c r="B106" s="54"/>
      <c r="C106" s="6">
        <f>520</f>
        <v>520</v>
      </c>
    </row>
    <row r="107" spans="1:4" ht="15.75" customHeight="1">
      <c r="A107" s="52" t="s">
        <v>1507</v>
      </c>
      <c r="B107" s="54"/>
      <c r="C107" s="6">
        <f>2740</f>
        <v>2740</v>
      </c>
    </row>
    <row r="108" spans="1:4" ht="15.75" customHeight="1">
      <c r="A108" s="49" t="s">
        <v>1508</v>
      </c>
      <c r="B108" s="50"/>
      <c r="C108" s="50"/>
    </row>
    <row r="109" spans="1:4" ht="15.75" customHeight="1">
      <c r="A109" s="52" t="s">
        <v>1509</v>
      </c>
      <c r="B109" s="54"/>
      <c r="C109" s="60">
        <v>488</v>
      </c>
    </row>
    <row r="110" spans="1:4" ht="15.75" customHeight="1">
      <c r="A110" s="52" t="s">
        <v>1510</v>
      </c>
      <c r="B110" s="54"/>
      <c r="C110" s="60">
        <v>548</v>
      </c>
    </row>
    <row r="111" spans="1:4" ht="15.75" customHeight="1">
      <c r="A111" s="52" t="s">
        <v>1511</v>
      </c>
      <c r="B111" s="54"/>
      <c r="C111" s="60">
        <v>675</v>
      </c>
    </row>
    <row r="112" spans="1:4" ht="15.75" customHeight="1">
      <c r="A112" s="52" t="s">
        <v>1512</v>
      </c>
      <c r="B112" s="54"/>
      <c r="C112" s="60">
        <v>3343</v>
      </c>
    </row>
    <row r="113" spans="1:3" ht="15.75" customHeight="1">
      <c r="A113" s="49" t="s">
        <v>1513</v>
      </c>
      <c r="B113" s="50"/>
      <c r="C113" s="50"/>
    </row>
    <row r="114" spans="1:3" ht="15.75" customHeight="1">
      <c r="A114" s="52" t="s">
        <v>1514</v>
      </c>
      <c r="B114" s="54"/>
      <c r="C114" s="60">
        <v>667</v>
      </c>
    </row>
    <row r="115" spans="1:3" ht="15.75" customHeight="1">
      <c r="A115" s="52" t="s">
        <v>1515</v>
      </c>
      <c r="B115" s="54"/>
      <c r="C115" s="60">
        <v>908</v>
      </c>
    </row>
    <row r="116" spans="1:3" ht="15.75" customHeight="1">
      <c r="B116" s="26"/>
      <c r="C116" s="26"/>
    </row>
    <row r="117" spans="1:3" ht="15.75" customHeight="1">
      <c r="A117" s="35" t="s">
        <v>930</v>
      </c>
      <c r="B117" s="26"/>
      <c r="C117" s="26"/>
    </row>
    <row r="118" spans="1:3" ht="15.75" customHeight="1">
      <c r="A118" s="16"/>
      <c r="B118" s="26"/>
      <c r="C118" s="26"/>
    </row>
    <row r="119" spans="1:3" ht="15.75" customHeight="1">
      <c r="A119" s="37" t="s">
        <v>931</v>
      </c>
      <c r="B119" s="26"/>
      <c r="C119" s="26"/>
    </row>
    <row r="120" spans="1:3" ht="15.75" customHeight="1">
      <c r="B120" s="26"/>
      <c r="C120" s="26"/>
    </row>
    <row r="121" spans="1:3" ht="15.75" customHeight="1">
      <c r="B121" s="26"/>
      <c r="C121" s="26"/>
    </row>
    <row r="122" spans="1:3" ht="15.75" customHeight="1">
      <c r="B122" s="26"/>
      <c r="C122" s="26"/>
    </row>
    <row r="123" spans="1:3" ht="15.75" customHeight="1">
      <c r="B123" s="26"/>
      <c r="C123" s="26"/>
    </row>
    <row r="124" spans="1:3" ht="15.75" customHeight="1">
      <c r="B124" s="26"/>
      <c r="C124" s="26"/>
    </row>
    <row r="125" spans="1:3" ht="15.75" customHeight="1">
      <c r="B125" s="26"/>
      <c r="C125" s="26"/>
    </row>
    <row r="126" spans="1:3" ht="15.75" customHeight="1">
      <c r="B126" s="26"/>
      <c r="C126" s="26"/>
    </row>
    <row r="127" spans="1:3" ht="15.75" customHeight="1">
      <c r="B127" s="26"/>
      <c r="C127" s="26"/>
    </row>
    <row r="128" spans="1:3" ht="15.75" customHeight="1">
      <c r="B128" s="26"/>
      <c r="C128" s="26"/>
    </row>
    <row r="129" spans="2:3" ht="15.75" customHeight="1">
      <c r="B129" s="26"/>
      <c r="C129" s="26"/>
    </row>
    <row r="130" spans="2:3" ht="15.75" customHeight="1">
      <c r="B130" s="26"/>
      <c r="C130" s="26"/>
    </row>
    <row r="131" spans="2:3" ht="15.75" customHeight="1">
      <c r="B131" s="26"/>
      <c r="C131" s="26"/>
    </row>
    <row r="132" spans="2:3" ht="15.75" customHeight="1">
      <c r="B132" s="26"/>
      <c r="C132" s="26"/>
    </row>
    <row r="133" spans="2:3" ht="15.75" customHeight="1">
      <c r="B133" s="26"/>
      <c r="C133" s="26"/>
    </row>
    <row r="134" spans="2:3" ht="15.75" customHeight="1">
      <c r="B134" s="26"/>
      <c r="C134" s="26"/>
    </row>
    <row r="135" spans="2:3" ht="15.75" customHeight="1">
      <c r="B135" s="26"/>
      <c r="C135" s="26"/>
    </row>
    <row r="136" spans="2:3" ht="15.75" customHeight="1">
      <c r="B136" s="26"/>
      <c r="C136" s="26"/>
    </row>
    <row r="137" spans="2:3" ht="15.75" customHeight="1">
      <c r="B137" s="26"/>
      <c r="C137" s="26"/>
    </row>
    <row r="138" spans="2:3" ht="15.75" customHeight="1">
      <c r="B138" s="26"/>
      <c r="C138" s="26"/>
    </row>
    <row r="139" spans="2:3" ht="15.75" customHeight="1">
      <c r="B139" s="26"/>
      <c r="C139" s="26"/>
    </row>
    <row r="140" spans="2:3" ht="15.75" customHeight="1">
      <c r="B140" s="26"/>
      <c r="C140" s="26"/>
    </row>
    <row r="141" spans="2:3" ht="15.75" customHeight="1">
      <c r="B141" s="26"/>
      <c r="C141" s="26"/>
    </row>
    <row r="142" spans="2:3" ht="15.75" customHeight="1">
      <c r="B142" s="26"/>
      <c r="C142" s="26"/>
    </row>
    <row r="143" spans="2:3" ht="15.75" customHeight="1">
      <c r="B143" s="26"/>
      <c r="C143" s="26"/>
    </row>
    <row r="144" spans="2:3" ht="15.75" customHeight="1">
      <c r="B144" s="26"/>
      <c r="C144" s="26"/>
    </row>
    <row r="145" spans="2:3" ht="15.75" customHeight="1">
      <c r="B145" s="26"/>
      <c r="C145" s="26"/>
    </row>
    <row r="146" spans="2:3" ht="15.75" customHeight="1">
      <c r="B146" s="26"/>
      <c r="C146" s="26"/>
    </row>
    <row r="147" spans="2:3" ht="15.75" customHeight="1">
      <c r="B147" s="26"/>
      <c r="C147" s="26"/>
    </row>
    <row r="148" spans="2:3" ht="15.75" customHeight="1">
      <c r="B148" s="26"/>
      <c r="C148" s="26"/>
    </row>
    <row r="149" spans="2:3" ht="15.75" customHeight="1">
      <c r="B149" s="26"/>
      <c r="C149" s="26"/>
    </row>
    <row r="150" spans="2:3" ht="15.75" customHeight="1">
      <c r="B150" s="26"/>
      <c r="C150" s="26"/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236"/>
  <sheetViews>
    <sheetView tabSelected="1" topLeftCell="A58" zoomScale="85" zoomScaleNormal="85" workbookViewId="0">
      <selection activeCell="A73" sqref="A73:A74"/>
    </sheetView>
  </sheetViews>
  <sheetFormatPr defaultColWidth="14.3984375" defaultRowHeight="15" customHeight="1"/>
  <cols>
    <col min="1" max="1" width="154.3984375" customWidth="1"/>
    <col min="2" max="2" width="24.73046875" hidden="1" customWidth="1"/>
    <col min="3" max="3" width="5.86328125" customWidth="1"/>
    <col min="4" max="23" width="8.86328125" customWidth="1"/>
  </cols>
  <sheetData>
    <row r="1" spans="1:26" ht="14.25" customHeight="1">
      <c r="A1" s="61" t="s">
        <v>1516</v>
      </c>
      <c r="B1" s="61"/>
      <c r="C1" s="61" t="s">
        <v>1</v>
      </c>
      <c r="D1" s="3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62" t="s">
        <v>1517</v>
      </c>
      <c r="B2" s="30" t="s">
        <v>1518</v>
      </c>
      <c r="C2" s="60">
        <v>910</v>
      </c>
      <c r="D2" s="3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62" t="s">
        <v>1519</v>
      </c>
      <c r="B3" s="30" t="s">
        <v>1520</v>
      </c>
      <c r="C3" s="60">
        <v>1100</v>
      </c>
      <c r="D3" s="3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5" t="s">
        <v>1521</v>
      </c>
      <c r="B4" s="31" t="s">
        <v>1522</v>
      </c>
      <c r="C4" s="6">
        <v>1500</v>
      </c>
      <c r="D4" s="3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5" t="s">
        <v>1523</v>
      </c>
      <c r="B5" s="31" t="s">
        <v>1524</v>
      </c>
      <c r="C5" s="6">
        <v>1600</v>
      </c>
      <c r="D5" s="3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5" t="s">
        <v>1525</v>
      </c>
      <c r="B6" s="31" t="s">
        <v>1526</v>
      </c>
      <c r="C6" s="6">
        <v>1750</v>
      </c>
      <c r="D6" s="3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5" t="s">
        <v>1527</v>
      </c>
      <c r="B7" s="31" t="s">
        <v>1528</v>
      </c>
      <c r="C7" s="6">
        <v>1900</v>
      </c>
      <c r="D7" s="3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5" t="s">
        <v>1529</v>
      </c>
      <c r="B8" s="31" t="s">
        <v>1530</v>
      </c>
      <c r="C8" s="6">
        <v>2050</v>
      </c>
      <c r="D8" s="3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5" t="s">
        <v>1531</v>
      </c>
      <c r="B9" s="31" t="s">
        <v>1532</v>
      </c>
      <c r="C9" s="6">
        <v>710</v>
      </c>
      <c r="D9" s="3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5" t="s">
        <v>1533</v>
      </c>
      <c r="B10" s="6" t="s">
        <v>1534</v>
      </c>
      <c r="C10" s="6">
        <v>760</v>
      </c>
      <c r="D10" s="3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5" t="s">
        <v>1535</v>
      </c>
      <c r="B11" s="6" t="s">
        <v>1536</v>
      </c>
      <c r="C11" s="6">
        <v>990</v>
      </c>
      <c r="D11" s="3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5" t="s">
        <v>1537</v>
      </c>
      <c r="B12" s="6" t="s">
        <v>1538</v>
      </c>
      <c r="C12" s="6">
        <v>390</v>
      </c>
      <c r="D12" s="3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62" t="s">
        <v>1539</v>
      </c>
      <c r="B13" s="30" t="s">
        <v>1540</v>
      </c>
      <c r="C13" s="60">
        <v>460</v>
      </c>
      <c r="D13" s="3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62" t="s">
        <v>1541</v>
      </c>
      <c r="B14" s="30" t="s">
        <v>1542</v>
      </c>
      <c r="C14" s="60">
        <v>680</v>
      </c>
      <c r="D14" s="3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62" t="s">
        <v>1543</v>
      </c>
      <c r="B15" s="30">
        <v>1028219981</v>
      </c>
      <c r="C15" s="60">
        <v>600</v>
      </c>
      <c r="D15" s="3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62" t="s">
        <v>1544</v>
      </c>
      <c r="B16" s="30">
        <v>1028219994</v>
      </c>
      <c r="C16" s="60">
        <v>730</v>
      </c>
      <c r="D16" s="3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62" t="s">
        <v>1545</v>
      </c>
      <c r="B17" s="30">
        <v>1028220010</v>
      </c>
      <c r="C17" s="60">
        <v>750</v>
      </c>
      <c r="D17" s="3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62" t="s">
        <v>1546</v>
      </c>
      <c r="B18" s="32" t="s">
        <v>1547</v>
      </c>
      <c r="C18" s="60">
        <v>1599</v>
      </c>
      <c r="D18" s="3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5" t="s">
        <v>1548</v>
      </c>
      <c r="B19" s="31" t="s">
        <v>1549</v>
      </c>
      <c r="C19" s="6">
        <v>350</v>
      </c>
      <c r="D19" s="3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62" t="s">
        <v>1550</v>
      </c>
      <c r="B20" s="32" t="s">
        <v>1551</v>
      </c>
      <c r="C20" s="60">
        <v>395</v>
      </c>
      <c r="D20" s="3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5" t="s">
        <v>1552</v>
      </c>
      <c r="B21" s="31" t="s">
        <v>1553</v>
      </c>
      <c r="C21" s="6">
        <v>400</v>
      </c>
      <c r="D21" s="3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62" t="s">
        <v>1554</v>
      </c>
      <c r="B22" s="30" t="s">
        <v>1555</v>
      </c>
      <c r="C22" s="60">
        <v>480</v>
      </c>
      <c r="D22" s="3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62" t="s">
        <v>1556</v>
      </c>
      <c r="B23" s="30" t="s">
        <v>1557</v>
      </c>
      <c r="C23" s="60">
        <v>480</v>
      </c>
      <c r="D23" s="3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62" t="s">
        <v>1558</v>
      </c>
      <c r="B24" s="30" t="s">
        <v>1559</v>
      </c>
      <c r="C24" s="60">
        <v>480</v>
      </c>
      <c r="D24" s="3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5" t="s">
        <v>1560</v>
      </c>
      <c r="B25" s="30" t="s">
        <v>1561</v>
      </c>
      <c r="C25" s="6">
        <v>590</v>
      </c>
      <c r="D25" s="19" t="s">
        <v>1562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62" t="s">
        <v>1563</v>
      </c>
      <c r="B26" s="30" t="s">
        <v>1564</v>
      </c>
      <c r="C26" s="60">
        <v>400</v>
      </c>
      <c r="D26" s="3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62" t="s">
        <v>1565</v>
      </c>
      <c r="B27" s="30" t="s">
        <v>1566</v>
      </c>
      <c r="C27" s="60">
        <v>640</v>
      </c>
      <c r="D27" s="3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5" t="s">
        <v>1567</v>
      </c>
      <c r="B28" s="31" t="s">
        <v>1568</v>
      </c>
      <c r="C28" s="6">
        <v>950</v>
      </c>
      <c r="D28" s="19" t="s">
        <v>1562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63" t="s">
        <v>1569</v>
      </c>
      <c r="B29" s="30" t="s">
        <v>1570</v>
      </c>
      <c r="C29" s="60">
        <v>1030</v>
      </c>
      <c r="D29" s="3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64" t="s">
        <v>1571</v>
      </c>
      <c r="B30" s="31" t="s">
        <v>1572</v>
      </c>
      <c r="C30" s="6">
        <v>1080</v>
      </c>
      <c r="D30" s="3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63" t="s">
        <v>1573</v>
      </c>
      <c r="B31" s="30" t="s">
        <v>1574</v>
      </c>
      <c r="C31" s="60"/>
      <c r="D31" s="3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63" t="s">
        <v>1575</v>
      </c>
      <c r="B32" s="30" t="s">
        <v>1576</v>
      </c>
      <c r="C32" s="60">
        <v>1550</v>
      </c>
      <c r="D32" s="3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63" t="s">
        <v>1577</v>
      </c>
      <c r="B33" s="30" t="s">
        <v>1578</v>
      </c>
      <c r="C33" s="60">
        <v>2000</v>
      </c>
      <c r="D33" s="3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63" t="s">
        <v>1579</v>
      </c>
      <c r="B34" s="30" t="s">
        <v>1580</v>
      </c>
      <c r="C34" s="60">
        <v>2400</v>
      </c>
      <c r="D34" s="3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63" t="s">
        <v>1581</v>
      </c>
      <c r="B35" s="30" t="s">
        <v>1582</v>
      </c>
      <c r="C35" s="60">
        <v>2800</v>
      </c>
      <c r="D35" s="3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63" t="s">
        <v>1583</v>
      </c>
      <c r="B36" s="30" t="s">
        <v>1584</v>
      </c>
      <c r="C36" s="60">
        <v>3100</v>
      </c>
      <c r="D36" s="3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63" t="s">
        <v>1585</v>
      </c>
      <c r="B37" s="32" t="s">
        <v>1586</v>
      </c>
      <c r="C37" s="6"/>
      <c r="D37" s="1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64" t="s">
        <v>1587</v>
      </c>
      <c r="B38" s="31" t="s">
        <v>1588</v>
      </c>
      <c r="C38" s="6">
        <v>295</v>
      </c>
      <c r="D38" s="1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5" t="s">
        <v>4065</v>
      </c>
      <c r="B39" s="31" t="s">
        <v>1589</v>
      </c>
      <c r="C39" s="6">
        <v>365</v>
      </c>
      <c r="D39" s="3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5" t="s">
        <v>1590</v>
      </c>
      <c r="B40" s="31" t="s">
        <v>1591</v>
      </c>
      <c r="C40" s="6">
        <v>400</v>
      </c>
      <c r="D40" s="3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5" t="s">
        <v>1592</v>
      </c>
      <c r="B41" s="31" t="s">
        <v>1593</v>
      </c>
      <c r="C41" s="6">
        <v>400</v>
      </c>
      <c r="D41" s="3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5" t="s">
        <v>1594</v>
      </c>
      <c r="B42" s="31" t="s">
        <v>1595</v>
      </c>
      <c r="C42" s="6">
        <v>360</v>
      </c>
      <c r="D42" s="3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5" t="s">
        <v>1596</v>
      </c>
      <c r="B43" s="31" t="s">
        <v>1597</v>
      </c>
      <c r="C43" s="6">
        <v>365</v>
      </c>
      <c r="D43" s="3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62" t="s">
        <v>1598</v>
      </c>
      <c r="B44" s="30" t="s">
        <v>1599</v>
      </c>
      <c r="C44" s="60">
        <v>445</v>
      </c>
      <c r="D44" s="3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66" t="s">
        <v>1600</v>
      </c>
      <c r="B45" s="31" t="s">
        <v>1601</v>
      </c>
      <c r="C45" s="6">
        <v>475</v>
      </c>
      <c r="D45" s="3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66" t="s">
        <v>1602</v>
      </c>
      <c r="B46" s="31" t="s">
        <v>1603</v>
      </c>
      <c r="C46" s="6">
        <v>475</v>
      </c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65" t="s">
        <v>1604</v>
      </c>
      <c r="B47" s="30" t="s">
        <v>1605</v>
      </c>
      <c r="C47" s="60">
        <v>485</v>
      </c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65" t="s">
        <v>1606</v>
      </c>
      <c r="B48" s="30" t="s">
        <v>1607</v>
      </c>
      <c r="C48" s="60">
        <v>485</v>
      </c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66" t="s">
        <v>1608</v>
      </c>
      <c r="B49" s="31" t="s">
        <v>1609</v>
      </c>
      <c r="C49" s="6">
        <v>540</v>
      </c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65" t="s">
        <v>1610</v>
      </c>
      <c r="B50" s="30" t="s">
        <v>1611</v>
      </c>
      <c r="C50" s="60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66" t="s">
        <v>1612</v>
      </c>
      <c r="B51" s="30" t="s">
        <v>1613</v>
      </c>
      <c r="C51" s="6">
        <v>570</v>
      </c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66" t="s">
        <v>1614</v>
      </c>
      <c r="B52" s="30" t="s">
        <v>1615</v>
      </c>
      <c r="C52" s="6">
        <v>575</v>
      </c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66" t="s">
        <v>1616</v>
      </c>
      <c r="B53" s="31" t="s">
        <v>1617</v>
      </c>
      <c r="C53" s="6">
        <v>610</v>
      </c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67" t="s">
        <v>1618</v>
      </c>
      <c r="B54" s="30" t="s">
        <v>1619</v>
      </c>
      <c r="C54" s="60">
        <v>670</v>
      </c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68" t="s">
        <v>1620</v>
      </c>
      <c r="B55" s="31" t="s">
        <v>1621</v>
      </c>
      <c r="C55" s="6">
        <v>950</v>
      </c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68" t="s">
        <v>1622</v>
      </c>
      <c r="B56" s="31" t="s">
        <v>1623</v>
      </c>
      <c r="C56" s="6">
        <v>1050</v>
      </c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67" t="s">
        <v>1624</v>
      </c>
      <c r="B57" s="30" t="s">
        <v>1625</v>
      </c>
      <c r="C57" s="60">
        <v>1100</v>
      </c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68" t="s">
        <v>1626</v>
      </c>
      <c r="B58" s="32" t="s">
        <v>1627</v>
      </c>
      <c r="C58" s="6">
        <v>1150</v>
      </c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67" t="s">
        <v>1628</v>
      </c>
      <c r="B59" s="32" t="s">
        <v>1629</v>
      </c>
      <c r="C59" s="60">
        <v>720</v>
      </c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67" t="s">
        <v>1630</v>
      </c>
      <c r="B60" s="30" t="s">
        <v>1631</v>
      </c>
      <c r="C60" s="60">
        <v>1300</v>
      </c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62" t="s">
        <v>1632</v>
      </c>
      <c r="B61" s="30" t="s">
        <v>1633</v>
      </c>
      <c r="C61" s="60">
        <v>1800</v>
      </c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62" t="s">
        <v>1634</v>
      </c>
      <c r="B62" s="32" t="s">
        <v>1635</v>
      </c>
      <c r="C62" s="60">
        <v>2900</v>
      </c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62" t="s">
        <v>1636</v>
      </c>
      <c r="B63" s="32" t="s">
        <v>1637</v>
      </c>
      <c r="C63" s="60">
        <v>3400</v>
      </c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5" t="s">
        <v>1638</v>
      </c>
      <c r="B64" s="32" t="s">
        <v>1639</v>
      </c>
      <c r="C64" s="6">
        <v>550</v>
      </c>
      <c r="D64" s="16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62" t="s">
        <v>1640</v>
      </c>
      <c r="B65" s="32" t="s">
        <v>1641</v>
      </c>
      <c r="C65" s="60">
        <v>960</v>
      </c>
      <c r="D65" s="69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5" t="s">
        <v>1642</v>
      </c>
      <c r="B66" s="30" t="s">
        <v>1643</v>
      </c>
      <c r="C66" s="6">
        <v>1200</v>
      </c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65" t="s">
        <v>1644</v>
      </c>
      <c r="B67" s="32" t="s">
        <v>1645</v>
      </c>
      <c r="C67" s="60">
        <v>2050</v>
      </c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65" t="s">
        <v>1646</v>
      </c>
      <c r="B68" s="70" t="s">
        <v>1647</v>
      </c>
      <c r="C68" s="60">
        <v>2200</v>
      </c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65" t="s">
        <v>1648</v>
      </c>
      <c r="B69" s="32" t="s">
        <v>1649</v>
      </c>
      <c r="C69" s="60">
        <v>2100</v>
      </c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65" t="s">
        <v>1650</v>
      </c>
      <c r="B70" s="30" t="s">
        <v>1651</v>
      </c>
      <c r="C70" s="60">
        <v>280</v>
      </c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63" t="s">
        <v>1652</v>
      </c>
      <c r="B71" s="30" t="s">
        <v>1653</v>
      </c>
      <c r="C71" s="60">
        <v>320</v>
      </c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63" t="s">
        <v>1654</v>
      </c>
      <c r="B72" s="30" t="s">
        <v>1655</v>
      </c>
      <c r="C72" s="60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64" t="s">
        <v>1656</v>
      </c>
      <c r="B73" s="31" t="s">
        <v>1657</v>
      </c>
      <c r="C73" s="6">
        <v>390</v>
      </c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64" t="s">
        <v>1658</v>
      </c>
      <c r="B74" s="31" t="s">
        <v>1659</v>
      </c>
      <c r="C74" s="6">
        <v>405</v>
      </c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64" t="s">
        <v>1660</v>
      </c>
      <c r="B75" s="32" t="s">
        <v>1661</v>
      </c>
      <c r="C75" s="6">
        <v>460</v>
      </c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64" t="s">
        <v>4081</v>
      </c>
      <c r="B76" s="32" t="s">
        <v>1662</v>
      </c>
      <c r="C76" s="6">
        <v>480</v>
      </c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63" t="s">
        <v>1663</v>
      </c>
      <c r="B77" s="30" t="s">
        <v>1664</v>
      </c>
      <c r="C77" s="60">
        <v>485</v>
      </c>
      <c r="D77" s="1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64" t="s">
        <v>1665</v>
      </c>
      <c r="B78" s="32" t="s">
        <v>1666</v>
      </c>
      <c r="C78" s="6">
        <v>500</v>
      </c>
      <c r="D78" s="16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64" t="s">
        <v>1667</v>
      </c>
      <c r="B79" s="32" t="s">
        <v>1668</v>
      </c>
      <c r="C79" s="6">
        <v>540</v>
      </c>
      <c r="D79" s="1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64" t="s">
        <v>1669</v>
      </c>
      <c r="B80" s="32" t="s">
        <v>1670</v>
      </c>
      <c r="C80" s="6">
        <v>540</v>
      </c>
      <c r="D80" s="16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64" t="s">
        <v>1671</v>
      </c>
      <c r="B81" s="31" t="s">
        <v>1672</v>
      </c>
      <c r="C81" s="6">
        <v>540</v>
      </c>
      <c r="D81" s="1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64" t="s">
        <v>1673</v>
      </c>
      <c r="B82" s="31" t="s">
        <v>1674</v>
      </c>
      <c r="C82" s="6">
        <v>540</v>
      </c>
      <c r="D82" s="16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64" t="s">
        <v>1675</v>
      </c>
      <c r="B83" s="31" t="s">
        <v>1676</v>
      </c>
      <c r="C83" s="6">
        <v>550</v>
      </c>
      <c r="D83" s="1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64" t="s">
        <v>1677</v>
      </c>
      <c r="B84" s="31" t="s">
        <v>1678</v>
      </c>
      <c r="C84" s="6">
        <v>660</v>
      </c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63" t="s">
        <v>1679</v>
      </c>
      <c r="B85" s="30" t="s">
        <v>1680</v>
      </c>
      <c r="C85" s="60">
        <v>720</v>
      </c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63" t="s">
        <v>1681</v>
      </c>
      <c r="B86" s="30" t="s">
        <v>1682</v>
      </c>
      <c r="C86" s="60">
        <v>790</v>
      </c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64" t="s">
        <v>1683</v>
      </c>
      <c r="B87" s="31" t="s">
        <v>1684</v>
      </c>
      <c r="C87" s="6">
        <v>840</v>
      </c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63" t="s">
        <v>1685</v>
      </c>
      <c r="B88" s="30" t="s">
        <v>1686</v>
      </c>
      <c r="C88" s="60">
        <v>850</v>
      </c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63" t="s">
        <v>1687</v>
      </c>
      <c r="B89" s="30" t="s">
        <v>1688</v>
      </c>
      <c r="C89" s="60">
        <v>950</v>
      </c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66" t="s">
        <v>1689</v>
      </c>
      <c r="B90" s="31" t="s">
        <v>1690</v>
      </c>
      <c r="C90" s="6">
        <v>305</v>
      </c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66" t="s">
        <v>1691</v>
      </c>
      <c r="B91" s="31" t="s">
        <v>1692</v>
      </c>
      <c r="C91" s="6">
        <v>370</v>
      </c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5" t="s">
        <v>1693</v>
      </c>
      <c r="B92" s="31" t="s">
        <v>1694</v>
      </c>
      <c r="C92" s="6">
        <v>375</v>
      </c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65" t="s">
        <v>1695</v>
      </c>
      <c r="B93" s="30" t="s">
        <v>1696</v>
      </c>
      <c r="C93" s="60">
        <v>390</v>
      </c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66" t="s">
        <v>1697</v>
      </c>
      <c r="B94" s="31" t="s">
        <v>1698</v>
      </c>
      <c r="C94" s="6">
        <v>380</v>
      </c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5" t="s">
        <v>1699</v>
      </c>
      <c r="B95" s="31" t="s">
        <v>1700</v>
      </c>
      <c r="C95" s="6">
        <v>410</v>
      </c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5" t="s">
        <v>1701</v>
      </c>
      <c r="B96" s="31" t="s">
        <v>1702</v>
      </c>
      <c r="C96" s="6">
        <v>470</v>
      </c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62" t="s">
        <v>1703</v>
      </c>
      <c r="B97" s="30" t="s">
        <v>1704</v>
      </c>
      <c r="C97" s="6">
        <v>465</v>
      </c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63" t="s">
        <v>1705</v>
      </c>
      <c r="B98" s="30" t="s">
        <v>1706</v>
      </c>
      <c r="C98" s="60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64" t="s">
        <v>1707</v>
      </c>
      <c r="B99" s="31" t="s">
        <v>1708</v>
      </c>
      <c r="C99" s="6">
        <v>475</v>
      </c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64" t="s">
        <v>1709</v>
      </c>
      <c r="B100" s="31" t="s">
        <v>1710</v>
      </c>
      <c r="C100" s="6">
        <v>485</v>
      </c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63" t="s">
        <v>1711</v>
      </c>
      <c r="B101" s="30" t="s">
        <v>1712</v>
      </c>
      <c r="C101" s="6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64" t="s">
        <v>1713</v>
      </c>
      <c r="B102" s="30" t="s">
        <v>1714</v>
      </c>
      <c r="C102" s="6">
        <v>505</v>
      </c>
      <c r="D102" s="16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63" t="s">
        <v>1715</v>
      </c>
      <c r="B103" s="30" t="s">
        <v>1716</v>
      </c>
      <c r="C103" s="60">
        <v>540</v>
      </c>
      <c r="D103" s="1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64" t="s">
        <v>1717</v>
      </c>
      <c r="B104" s="30" t="s">
        <v>1718</v>
      </c>
      <c r="C104" s="6">
        <v>630</v>
      </c>
      <c r="D104" s="16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63" t="s">
        <v>1719</v>
      </c>
      <c r="B105" s="30" t="s">
        <v>1720</v>
      </c>
      <c r="C105" s="6"/>
      <c r="D105" s="1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64" t="s">
        <v>1721</v>
      </c>
      <c r="B106" s="30" t="s">
        <v>1722</v>
      </c>
      <c r="C106" s="6">
        <v>690</v>
      </c>
      <c r="D106" s="16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64" t="s">
        <v>1723</v>
      </c>
      <c r="B107" s="30" t="s">
        <v>1724</v>
      </c>
      <c r="C107" s="6">
        <v>790</v>
      </c>
      <c r="D107" s="1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64" t="s">
        <v>1725</v>
      </c>
      <c r="B108" s="30" t="s">
        <v>1726</v>
      </c>
      <c r="C108" s="6">
        <v>715</v>
      </c>
      <c r="D108" s="16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64" t="s">
        <v>1727</v>
      </c>
      <c r="B109" s="30" t="s">
        <v>1728</v>
      </c>
      <c r="C109" s="6">
        <v>795</v>
      </c>
      <c r="D109" s="1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5" t="s">
        <v>1729</v>
      </c>
      <c r="B110" s="30" t="s">
        <v>1730</v>
      </c>
      <c r="C110" s="6">
        <v>660</v>
      </c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5" t="s">
        <v>1731</v>
      </c>
      <c r="B111" s="30" t="s">
        <v>1732</v>
      </c>
      <c r="C111" s="6">
        <v>750</v>
      </c>
      <c r="D111" s="37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71" t="s">
        <v>1733</v>
      </c>
      <c r="B112" s="32" t="s">
        <v>1734</v>
      </c>
      <c r="C112" s="72"/>
      <c r="D112" s="37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62" t="s">
        <v>1735</v>
      </c>
      <c r="B113" s="30" t="s">
        <v>1736</v>
      </c>
      <c r="C113" s="60">
        <v>910</v>
      </c>
      <c r="D113" s="37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62" t="s">
        <v>1737</v>
      </c>
      <c r="B114" s="30" t="s">
        <v>1738</v>
      </c>
      <c r="C114" s="60"/>
      <c r="D114" s="37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5" t="s">
        <v>1739</v>
      </c>
      <c r="B115" s="31" t="s">
        <v>1740</v>
      </c>
      <c r="C115" s="6">
        <v>1080</v>
      </c>
      <c r="D115" s="37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5" t="s">
        <v>1741</v>
      </c>
      <c r="B116" s="30" t="s">
        <v>1742</v>
      </c>
      <c r="C116" s="6">
        <v>630</v>
      </c>
      <c r="D116" s="37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5" t="s">
        <v>1743</v>
      </c>
      <c r="B117" s="31" t="s">
        <v>1744</v>
      </c>
      <c r="C117" s="6">
        <v>730</v>
      </c>
      <c r="D117" s="37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5" t="s">
        <v>1745</v>
      </c>
      <c r="B118" s="31" t="s">
        <v>1746</v>
      </c>
      <c r="C118" s="6">
        <v>999</v>
      </c>
      <c r="D118" s="37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5" t="s">
        <v>1747</v>
      </c>
      <c r="B119" s="31" t="s">
        <v>1748</v>
      </c>
      <c r="C119" s="6">
        <v>1400</v>
      </c>
      <c r="D119" s="37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62" t="s">
        <v>1749</v>
      </c>
      <c r="B120" s="30" t="s">
        <v>1750</v>
      </c>
      <c r="C120" s="60">
        <v>1450</v>
      </c>
      <c r="D120" s="37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62" t="s">
        <v>1751</v>
      </c>
      <c r="B121" s="30" t="s">
        <v>1752</v>
      </c>
      <c r="C121" s="60">
        <v>1450</v>
      </c>
      <c r="D121" s="7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71" t="s">
        <v>1753</v>
      </c>
      <c r="B122" s="32" t="s">
        <v>1754</v>
      </c>
      <c r="C122" s="72">
        <v>1500</v>
      </c>
      <c r="D122" s="7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71" t="s">
        <v>1755</v>
      </c>
      <c r="B123" s="32" t="s">
        <v>1756</v>
      </c>
      <c r="C123" s="72">
        <v>1830</v>
      </c>
      <c r="D123" s="7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71" t="s">
        <v>1757</v>
      </c>
      <c r="B124" s="32" t="s">
        <v>1758</v>
      </c>
      <c r="C124" s="72">
        <v>1850</v>
      </c>
      <c r="D124" s="7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71" t="s">
        <v>1759</v>
      </c>
      <c r="B125" s="32" t="s">
        <v>1760</v>
      </c>
      <c r="C125" s="72">
        <v>3800</v>
      </c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37"/>
      <c r="C126" s="16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74" t="s">
        <v>1761</v>
      </c>
      <c r="B127" s="74"/>
      <c r="C127" s="74" t="s">
        <v>1</v>
      </c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62" t="s">
        <v>1762</v>
      </c>
      <c r="B128" s="32" t="s">
        <v>1763</v>
      </c>
      <c r="C128" s="60">
        <v>600</v>
      </c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5" t="s">
        <v>1764</v>
      </c>
      <c r="B129" s="31" t="s">
        <v>1765</v>
      </c>
      <c r="C129" s="6">
        <v>400</v>
      </c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5" t="s">
        <v>1766</v>
      </c>
      <c r="B130" s="31" t="s">
        <v>1767</v>
      </c>
      <c r="C130" s="6">
        <v>490</v>
      </c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62" t="s">
        <v>1768</v>
      </c>
      <c r="B131" s="30" t="s">
        <v>1769</v>
      </c>
      <c r="C131" s="60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62" t="s">
        <v>1770</v>
      </c>
      <c r="B132" s="30" t="s">
        <v>1771</v>
      </c>
      <c r="C132" s="60">
        <v>660</v>
      </c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62" t="s">
        <v>1772</v>
      </c>
      <c r="B133" s="30" t="s">
        <v>1773</v>
      </c>
      <c r="C133" s="60">
        <v>660</v>
      </c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62" t="s">
        <v>1774</v>
      </c>
      <c r="B134" s="30" t="s">
        <v>1775</v>
      </c>
      <c r="C134" s="60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62" t="s">
        <v>1776</v>
      </c>
      <c r="B135" s="30" t="s">
        <v>1777</v>
      </c>
      <c r="C135" s="60">
        <v>660</v>
      </c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62" t="s">
        <v>1778</v>
      </c>
      <c r="B136" s="30" t="s">
        <v>1779</v>
      </c>
      <c r="C136" s="60">
        <v>680</v>
      </c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62" t="s">
        <v>1780</v>
      </c>
      <c r="B137" s="30" t="s">
        <v>1781</v>
      </c>
      <c r="C137" s="60">
        <v>750</v>
      </c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62" t="s">
        <v>1782</v>
      </c>
      <c r="B138" s="30" t="s">
        <v>1783</v>
      </c>
      <c r="C138" s="60">
        <v>780</v>
      </c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62" t="s">
        <v>1784</v>
      </c>
      <c r="B139" s="30" t="s">
        <v>1785</v>
      </c>
      <c r="C139" s="60">
        <v>780</v>
      </c>
      <c r="D139" s="19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5" t="s">
        <v>1786</v>
      </c>
      <c r="B140" s="31" t="s">
        <v>1787</v>
      </c>
      <c r="C140" s="6">
        <v>950</v>
      </c>
      <c r="D140" s="19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5" t="s">
        <v>1788</v>
      </c>
      <c r="B141" s="31" t="s">
        <v>1789</v>
      </c>
      <c r="C141" s="6">
        <v>880</v>
      </c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62" t="s">
        <v>1790</v>
      </c>
      <c r="B142" s="30" t="s">
        <v>1791</v>
      </c>
      <c r="C142" s="6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5" t="s">
        <v>1792</v>
      </c>
      <c r="B143" s="30" t="s">
        <v>1793</v>
      </c>
      <c r="C143" s="6">
        <v>880</v>
      </c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5" t="s">
        <v>1794</v>
      </c>
      <c r="B144" s="30" t="s">
        <v>1795</v>
      </c>
      <c r="C144" s="6">
        <v>900</v>
      </c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5" t="s">
        <v>1796</v>
      </c>
      <c r="B145" s="30" t="s">
        <v>1797</v>
      </c>
      <c r="C145" s="6">
        <v>1480</v>
      </c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5" t="s">
        <v>1798</v>
      </c>
      <c r="B146" s="30" t="s">
        <v>1799</v>
      </c>
      <c r="C146" s="6">
        <v>1500</v>
      </c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5" t="s">
        <v>1800</v>
      </c>
      <c r="B147" s="30" t="s">
        <v>1801</v>
      </c>
      <c r="C147" s="6">
        <v>1550</v>
      </c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5" t="s">
        <v>1802</v>
      </c>
      <c r="B148" s="31" t="s">
        <v>1803</v>
      </c>
      <c r="C148" s="6">
        <v>1700</v>
      </c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62" t="s">
        <v>1804</v>
      </c>
      <c r="B149" s="30" t="s">
        <v>1805</v>
      </c>
      <c r="C149" s="60">
        <v>1700</v>
      </c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5" t="s">
        <v>1806</v>
      </c>
      <c r="B150" s="31" t="s">
        <v>1807</v>
      </c>
      <c r="C150" s="6">
        <v>1800</v>
      </c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62" t="s">
        <v>1808</v>
      </c>
      <c r="B151" s="30" t="s">
        <v>1809</v>
      </c>
      <c r="C151" s="60">
        <v>2100</v>
      </c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5" t="s">
        <v>1810</v>
      </c>
      <c r="B152" s="31" t="s">
        <v>1811</v>
      </c>
      <c r="C152" s="6">
        <v>2200</v>
      </c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5" t="s">
        <v>1812</v>
      </c>
      <c r="B153" s="31" t="s">
        <v>1813</v>
      </c>
      <c r="C153" s="6">
        <v>2300</v>
      </c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5" t="s">
        <v>1814</v>
      </c>
      <c r="B154" s="31" t="s">
        <v>1815</v>
      </c>
      <c r="C154" s="6">
        <v>2500</v>
      </c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5" t="s">
        <v>1816</v>
      </c>
      <c r="B155" s="31" t="s">
        <v>1817</v>
      </c>
      <c r="C155" s="6">
        <v>2650</v>
      </c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5" t="s">
        <v>1818</v>
      </c>
      <c r="B156" s="31" t="s">
        <v>1819</v>
      </c>
      <c r="C156" s="6">
        <v>2800</v>
      </c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5" t="s">
        <v>1820</v>
      </c>
      <c r="B157" s="30" t="s">
        <v>1821</v>
      </c>
      <c r="C157" s="6">
        <v>450</v>
      </c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62" t="s">
        <v>1822</v>
      </c>
      <c r="B158" s="30" t="s">
        <v>1823</v>
      </c>
      <c r="C158" s="60">
        <v>610</v>
      </c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62" t="s">
        <v>1824</v>
      </c>
      <c r="B159" s="30" t="s">
        <v>1825</v>
      </c>
      <c r="C159" s="60">
        <v>730</v>
      </c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5" t="s">
        <v>1826</v>
      </c>
      <c r="B160" s="30" t="s">
        <v>1827</v>
      </c>
      <c r="C160" s="6">
        <v>740</v>
      </c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62" t="s">
        <v>1828</v>
      </c>
      <c r="B161" s="30" t="s">
        <v>1829</v>
      </c>
      <c r="C161" s="60">
        <v>880</v>
      </c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62" t="s">
        <v>1830</v>
      </c>
      <c r="B162" s="30" t="s">
        <v>1831</v>
      </c>
      <c r="C162" s="60">
        <v>820</v>
      </c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62" t="s">
        <v>1832</v>
      </c>
      <c r="B163" s="30" t="s">
        <v>1833</v>
      </c>
      <c r="C163" s="60">
        <v>820</v>
      </c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62" t="s">
        <v>1834</v>
      </c>
      <c r="B164" s="30" t="s">
        <v>1835</v>
      </c>
      <c r="C164" s="60">
        <v>990</v>
      </c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62" t="s">
        <v>1836</v>
      </c>
      <c r="B165" s="30" t="s">
        <v>1837</v>
      </c>
      <c r="C165" s="60">
        <v>650</v>
      </c>
      <c r="D165" s="16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62" t="s">
        <v>1838</v>
      </c>
      <c r="B166" s="30" t="s">
        <v>1839</v>
      </c>
      <c r="C166" s="30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62" t="s">
        <v>1840</v>
      </c>
      <c r="B167" s="30" t="s">
        <v>1841</v>
      </c>
      <c r="C167" s="60">
        <v>870</v>
      </c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62" t="s">
        <v>1842</v>
      </c>
      <c r="B168" s="30" t="s">
        <v>1843</v>
      </c>
      <c r="C168" s="60">
        <v>915</v>
      </c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5" t="s">
        <v>1844</v>
      </c>
      <c r="B169" s="30" t="s">
        <v>1845</v>
      </c>
      <c r="C169" s="6">
        <v>2150</v>
      </c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62" t="s">
        <v>1846</v>
      </c>
      <c r="B170" s="32">
        <v>1022177832</v>
      </c>
      <c r="C170" s="6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62" t="s">
        <v>1847</v>
      </c>
      <c r="B171" s="32">
        <v>1022177833</v>
      </c>
      <c r="C171" s="60">
        <v>980</v>
      </c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6"/>
      <c r="B172" s="16"/>
      <c r="C172" s="26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74" t="s">
        <v>1848</v>
      </c>
      <c r="B173" s="74"/>
      <c r="C173" s="74" t="s">
        <v>1</v>
      </c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4" t="s">
        <v>1849</v>
      </c>
      <c r="B174" s="32" t="s">
        <v>1850</v>
      </c>
      <c r="C174" s="15">
        <v>340</v>
      </c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75" t="s">
        <v>1851</v>
      </c>
      <c r="B175" s="76" t="s">
        <v>1852</v>
      </c>
      <c r="C175" s="45">
        <v>340</v>
      </c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75" t="s">
        <v>1853</v>
      </c>
      <c r="B176" s="76" t="s">
        <v>1854</v>
      </c>
      <c r="C176" s="45">
        <v>400</v>
      </c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75" t="s">
        <v>1855</v>
      </c>
      <c r="B177" s="76" t="s">
        <v>1856</v>
      </c>
      <c r="C177" s="45">
        <v>410</v>
      </c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75" t="s">
        <v>1857</v>
      </c>
      <c r="B178" s="76" t="s">
        <v>1858</v>
      </c>
      <c r="C178" s="45">
        <v>220</v>
      </c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75" t="s">
        <v>1859</v>
      </c>
      <c r="B179" s="76">
        <v>3030</v>
      </c>
      <c r="C179" s="45">
        <v>400</v>
      </c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77" t="s">
        <v>1860</v>
      </c>
      <c r="B180" s="76" t="s">
        <v>1861</v>
      </c>
      <c r="C180" s="41">
        <v>240</v>
      </c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77" t="s">
        <v>1862</v>
      </c>
      <c r="B181" s="76" t="s">
        <v>1863</v>
      </c>
      <c r="C181" s="41">
        <v>250</v>
      </c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77" t="s">
        <v>1864</v>
      </c>
      <c r="B182" s="76" t="s">
        <v>1865</v>
      </c>
      <c r="C182" s="41">
        <v>250</v>
      </c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77" t="s">
        <v>1866</v>
      </c>
      <c r="B183" s="76" t="s">
        <v>1867</v>
      </c>
      <c r="C183" s="41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78" t="s">
        <v>1868</v>
      </c>
      <c r="B184" s="76" t="s">
        <v>1869</v>
      </c>
      <c r="C184" s="41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79" t="s">
        <v>1870</v>
      </c>
      <c r="B185" s="80" t="s">
        <v>1871</v>
      </c>
      <c r="C185" s="45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79" t="s">
        <v>1872</v>
      </c>
      <c r="B186" s="80" t="s">
        <v>1873</v>
      </c>
      <c r="C186" s="45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78" t="s">
        <v>1874</v>
      </c>
      <c r="B187" s="80" t="s">
        <v>1875</v>
      </c>
      <c r="C187" s="45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81"/>
      <c r="B188" s="82"/>
      <c r="C188" s="8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35" t="s">
        <v>930</v>
      </c>
      <c r="B189" s="3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6"/>
      <c r="B190" s="1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37" t="s">
        <v>931</v>
      </c>
      <c r="B191" s="37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</sheetData>
  <pageMargins left="0.31496062992125984" right="0.31496062992125984" top="0.35433070866141736" bottom="0.15748031496062992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ColWidth="14.3984375" defaultRowHeight="15" customHeight="1"/>
  <cols>
    <col min="1" max="1" width="92.265625" customWidth="1"/>
    <col min="2" max="2" width="18.86328125" customWidth="1"/>
    <col min="3" max="3" width="7" customWidth="1"/>
    <col min="4" max="4" width="3.265625" customWidth="1"/>
    <col min="5" max="23" width="9.1328125" customWidth="1"/>
  </cols>
  <sheetData>
    <row r="1" spans="1:26" ht="18" customHeight="1">
      <c r="A1" s="84" t="s">
        <v>1876</v>
      </c>
      <c r="B1" s="51" t="str">
        <f ca="1">IFERROR(__xludf.DUMMYFUNCTION("IFERROR(LET(
  angle,     REGEXEXTRACT(A1, ""&lt;([^&gt;]+)&gt;""),
  round,     REGEXEXTRACT(A1,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1" s="51" t="s">
        <v>1307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52" t="s">
        <v>1877</v>
      </c>
      <c r="B2" s="53" t="str">
        <f ca="1">IFERROR(__xludf.DUMMYFUNCTION("IFERROR(LET(
  angle,     REGEXEXTRACT(A2, ""&lt;([^&gt;]+)&gt;""),
  round,     REGEXEXTRACT(A2,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"""")"),"TS8XDVDS-K")</f>
        <v>TS8XDVDS-K</v>
      </c>
      <c r="C2" s="54">
        <v>30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52" t="s">
        <v>1878</v>
      </c>
      <c r="B3" s="53" t="s">
        <v>1879</v>
      </c>
      <c r="C3" s="54">
        <v>11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1"/>
      <c r="B4" s="85" t="str">
        <f ca="1">IFERROR(__xludf.DUMMYFUNCTION("IFERROR(LET(
  angle,     REGEXEXTRACT(A4, ""&lt;([^&gt;]+)&gt;""),
  round,     REGEXEXTRACT(A4,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4" s="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84" t="s">
        <v>1880</v>
      </c>
      <c r="B5" s="51" t="str">
        <f ca="1">IFERROR(__xludf.DUMMYFUNCTION("IFERROR(LET(
  angle,     REGEXEXTRACT(A5, ""&lt;([^&gt;]+)&gt;""),
  round,     REGEXEXTRACT(A5,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5" s="51" t="s">
        <v>1307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86" t="s">
        <v>1881</v>
      </c>
      <c r="B6" s="53" t="s">
        <v>1882</v>
      </c>
      <c r="C6" s="87">
        <v>48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86" t="s">
        <v>1883</v>
      </c>
      <c r="B7" s="53" t="s">
        <v>1884</v>
      </c>
      <c r="C7" s="87">
        <v>83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86" t="s">
        <v>1885</v>
      </c>
      <c r="B8" s="53" t="s">
        <v>1886</v>
      </c>
      <c r="C8" s="87">
        <v>115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86" t="s">
        <v>1887</v>
      </c>
      <c r="B9" s="53" t="s">
        <v>1888</v>
      </c>
      <c r="C9" s="87">
        <v>200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86" t="s">
        <v>1889</v>
      </c>
      <c r="B10" s="53" t="s">
        <v>1890</v>
      </c>
      <c r="C10" s="56">
        <v>310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86" t="s">
        <v>1891</v>
      </c>
      <c r="B11" s="53" t="s">
        <v>1892</v>
      </c>
      <c r="C11" s="56">
        <v>39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86" t="s">
        <v>1893</v>
      </c>
      <c r="B12" s="53" t="s">
        <v>1894</v>
      </c>
      <c r="C12" s="56">
        <v>67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86" t="s">
        <v>1895</v>
      </c>
      <c r="B13" s="53" t="s">
        <v>1896</v>
      </c>
      <c r="C13" s="56">
        <v>88</v>
      </c>
      <c r="D13" s="1"/>
      <c r="E13" s="88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86" t="s">
        <v>1897</v>
      </c>
      <c r="B14" s="53" t="s">
        <v>1898</v>
      </c>
      <c r="C14" s="56">
        <v>115</v>
      </c>
      <c r="D14" s="1"/>
      <c r="E14" s="8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86" t="s">
        <v>1899</v>
      </c>
      <c r="B15" s="53" t="s">
        <v>1900</v>
      </c>
      <c r="C15" s="56">
        <v>190</v>
      </c>
      <c r="D15" s="1"/>
      <c r="E15" s="8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89" t="s">
        <v>1901</v>
      </c>
      <c r="B16" s="54" t="s">
        <v>1902</v>
      </c>
      <c r="C16" s="90">
        <v>32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89" t="s">
        <v>1903</v>
      </c>
      <c r="B17" s="54" t="s">
        <v>1904</v>
      </c>
      <c r="C17" s="90">
        <v>34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89" t="s">
        <v>1905</v>
      </c>
      <c r="B18" s="54" t="s">
        <v>1906</v>
      </c>
      <c r="C18" s="90">
        <v>46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" customHeight="1">
      <c r="A19" s="91" t="s">
        <v>1907</v>
      </c>
      <c r="B19" s="54" t="s">
        <v>1908</v>
      </c>
      <c r="C19" s="90">
        <v>63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" customHeight="1">
      <c r="A20" s="91" t="s">
        <v>1909</v>
      </c>
      <c r="B20" s="54" t="s">
        <v>1910</v>
      </c>
      <c r="C20" s="90">
        <v>83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91" t="s">
        <v>1911</v>
      </c>
      <c r="B21" s="54" t="s">
        <v>1912</v>
      </c>
      <c r="C21" s="90">
        <v>105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91" t="s">
        <v>1913</v>
      </c>
      <c r="B22" s="54" t="s">
        <v>1914</v>
      </c>
      <c r="C22" s="90">
        <v>140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" customHeight="1">
      <c r="A23" s="91" t="s">
        <v>1915</v>
      </c>
      <c r="B23" s="54" t="s">
        <v>1916</v>
      </c>
      <c r="C23" s="90">
        <v>320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92" t="s">
        <v>1917</v>
      </c>
      <c r="B24" s="54" t="s">
        <v>1918</v>
      </c>
      <c r="C24" s="54">
        <v>33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93"/>
      <c r="B25" s="85" t="str">
        <f ca="1">IFERROR(__xludf.DUMMYFUNCTION("IFERROR(LET(
  angle,     REGEXEXTRACT(A25, ""&lt;([^&gt;]+)&gt;""),
  round,     REGEXEXTRACT(A25,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5" s="9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84" t="s">
        <v>1919</v>
      </c>
      <c r="B26" s="51" t="str">
        <f ca="1">IFERROR(__xludf.DUMMYFUNCTION("IFERROR(LET(
  angle,     REGEXEXTRACT(A26, ""&lt;([^&gt;]+)&gt;""),
  round,     REGEXEXTRACT(A26,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6" s="51" t="s">
        <v>1307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52" t="s">
        <v>1920</v>
      </c>
      <c r="B27" s="54" t="str">
        <f ca="1">IFERROR(__xludf.DUMMYFUNCTION("IFERROR(LET(
  angle,     REGEXEXTRACT(A27, ""&lt;([^&gt;]+)&gt;""),
  round,     REGEXEXTRACT(A27,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7" s="54">
        <v>17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1"/>
      <c r="B28" s="85" t="str">
        <f ca="1">IFERROR(__xludf.DUMMYFUNCTION("IFERROR(LET(
  angle,     REGEXEXTRACT(A28, ""&lt;([^&gt;]+)&gt;""),
  round,     REGEXEXTRACT(A28,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8" s="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84" t="s">
        <v>1921</v>
      </c>
      <c r="B29" s="51" t="str">
        <f ca="1">IFERROR(__xludf.DUMMYFUNCTION("IFERROR(LET(
  angle,     REGEXEXTRACT(A29, ""&lt;([^&gt;]+)&gt;""),
  round,     REGEXEXTRACT(A29,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9" s="51" t="s">
        <v>1307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52" t="s">
        <v>1922</v>
      </c>
      <c r="B30" s="54" t="str">
        <f ca="1">IFERROR(__xludf.DUMMYFUNCTION("IFERROR(LET(
  angle,     REGEXEXTRACT(A30, ""&lt;([^&gt;]+)&gt;""),
  round,     REGEXEXTRACT(A30,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0" s="54">
        <v>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95" t="s">
        <v>1923</v>
      </c>
      <c r="B31" s="54" t="str">
        <f ca="1">IFERROR(__xludf.DUMMYFUNCTION("IFERROR(LET(
  angle,     REGEXEXTRACT(A31, ""&lt;([^&gt;]+)&gt;""),
  round,     REGEXEXTRACT(A31,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1" s="54">
        <v>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95" t="s">
        <v>1924</v>
      </c>
      <c r="B32" s="54" t="str">
        <f ca="1">IFERROR(__xludf.DUMMYFUNCTION("IFERROR(LET(
  angle,     REGEXEXTRACT(A32, ""&lt;([^&gt;]+)&gt;""),
  round,     REGEXEXTRACT(A32,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2" s="54">
        <v>7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95" t="s">
        <v>1925</v>
      </c>
      <c r="B33" s="54" t="str">
        <f ca="1">IFERROR(__xludf.DUMMYFUNCTION("IFERROR(LET(
  angle,     REGEXEXTRACT(A33, ""&lt;([^&gt;]+)&gt;""),
  round,     REGEXEXTRACT(A33,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3" s="54">
        <v>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95" t="s">
        <v>1926</v>
      </c>
      <c r="B34" s="54" t="str">
        <f ca="1">IFERROR(__xludf.DUMMYFUNCTION("IFERROR(LET(
  angle,     REGEXEXTRACT(A34, ""&lt;([^&gt;]+)&gt;""),
  round,     REGEXEXTRACT(A34,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4" s="54">
        <v>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95" t="s">
        <v>1927</v>
      </c>
      <c r="B35" s="54" t="str">
        <f ca="1">IFERROR(__xludf.DUMMYFUNCTION("IFERROR(LET(
  angle,     REGEXEXTRACT(A35, ""&lt;([^&gt;]+)&gt;""),
  round,     REGEXEXTRACT(A35,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5" s="54">
        <v>11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95" t="s">
        <v>1928</v>
      </c>
      <c r="B36" s="54" t="str">
        <f ca="1">IFERROR(__xludf.DUMMYFUNCTION("IFERROR(LET(
  angle,     REGEXEXTRACT(A36, ""&lt;([^&gt;]+)&gt;""),
  round,     REGEXEXTRACT(A36,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6" s="54">
        <v>16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95" t="s">
        <v>1929</v>
      </c>
      <c r="B37" s="54" t="str">
        <f ca="1">IFERROR(__xludf.DUMMYFUNCTION("IFERROR(LET(
  angle,     REGEXEXTRACT(A37, ""&lt;([^&gt;]+)&gt;""),
  round,     REGEXEXTRACT(A37,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7" s="54">
        <v>16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95" t="s">
        <v>1930</v>
      </c>
      <c r="B38" s="54" t="str">
        <f ca="1">IFERROR(__xludf.DUMMYFUNCTION("IFERROR(LET(
  angle,     REGEXEXTRACT(A38, ""&lt;([^&gt;]+)&gt;""),
  round,     REGEXEXTRACT(A38,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8" s="54">
        <v>17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95" t="s">
        <v>1931</v>
      </c>
      <c r="B39" s="54" t="str">
        <f ca="1">IFERROR(__xludf.DUMMYFUNCTION("IFERROR(LET(
  angle,     REGEXEXTRACT(A39, ""&lt;([^&gt;]+)&gt;""),
  round,     REGEXEXTRACT(A39,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9" s="54">
        <v>18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95" t="s">
        <v>1932</v>
      </c>
      <c r="B40" s="54" t="str">
        <f ca="1">IFERROR(__xludf.DUMMYFUNCTION("IFERROR(LET(
  angle,     REGEXEXTRACT(A40, ""&lt;([^&gt;]+)&gt;""),
  round,     REGEXEXTRACT(A40,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0" s="54">
        <v>22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95" t="s">
        <v>1933</v>
      </c>
      <c r="B41" s="54" t="str">
        <f ca="1">IFERROR(__xludf.DUMMYFUNCTION("IFERROR(LET(
  angle,     REGEXEXTRACT(A41, ""&lt;([^&gt;]+)&gt;""),
  round,     REGEXEXTRACT(A41,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1" s="54">
        <v>20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95" t="s">
        <v>1934</v>
      </c>
      <c r="B42" s="54" t="str">
        <f ca="1">IFERROR(__xludf.DUMMYFUNCTION("IFERROR(LET(
  angle,     REGEXEXTRACT(A42, ""&lt;([^&gt;]+)&gt;""),
  round,     REGEXEXTRACT(A42,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2" s="54">
        <v>17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95" t="s">
        <v>1935</v>
      </c>
      <c r="B43" s="54" t="str">
        <f ca="1">IFERROR(__xludf.DUMMYFUNCTION("IFERROR(LET(
  angle,     REGEXEXTRACT(A43, ""&lt;([^&gt;]+)&gt;""),
  round,     REGEXEXTRACT(A43,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3" s="54">
        <v>24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95" t="s">
        <v>1936</v>
      </c>
      <c r="B44" s="54" t="str">
        <f ca="1">IFERROR(__xludf.DUMMYFUNCTION("IFERROR(LET(
  angle,     REGEXEXTRACT(A44, ""&lt;([^&gt;]+)&gt;""),
  round,     REGEXEXTRACT(A44,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4" s="54">
        <v>24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95" t="s">
        <v>1937</v>
      </c>
      <c r="B45" s="54" t="str">
        <f ca="1">IFERROR(__xludf.DUMMYFUNCTION("IFERROR(LET(
  angle,     REGEXEXTRACT(A45, ""&lt;([^&gt;]+)&gt;""),
  round,     REGEXEXTRACT(A45,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5" s="54">
        <v>24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95" t="s">
        <v>1938</v>
      </c>
      <c r="B46" s="54" t="str">
        <f ca="1">IFERROR(__xludf.DUMMYFUNCTION("IFERROR(LET(
  angle,     REGEXEXTRACT(A46, ""&lt;([^&gt;]+)&gt;""),
  round,     REGEXEXTRACT(A46,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6" s="54">
        <v>27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>
      <c r="A47" s="95" t="s">
        <v>1939</v>
      </c>
      <c r="B47" s="54" t="str">
        <f ca="1">IFERROR(__xludf.DUMMYFUNCTION("IFERROR(LET(
  angle,     REGEXEXTRACT(A47, ""&lt;([^&gt;]+)&gt;""),
  round,     REGEXEXTRACT(A47,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7" s="54">
        <v>30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>
      <c r="A48" s="95" t="s">
        <v>1940</v>
      </c>
      <c r="B48" s="54" t="str">
        <f ca="1">IFERROR(__xludf.DUMMYFUNCTION("IFERROR(LET(
  angle,     REGEXEXTRACT(A48, ""&lt;([^&gt;]+)&gt;""),
  round,     REGEXEXTRACT(A48,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8" s="54">
        <v>34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>
      <c r="A49" s="95" t="s">
        <v>1941</v>
      </c>
      <c r="B49" s="54" t="str">
        <f ca="1">IFERROR(__xludf.DUMMYFUNCTION("IFERROR(LET(
  angle,     REGEXEXTRACT(A49, ""&lt;([^&gt;]+)&gt;""),
  round,     REGEXEXTRACT(A49,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9" s="54">
        <v>35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>
      <c r="A50" s="95" t="s">
        <v>1942</v>
      </c>
      <c r="B50" s="54" t="str">
        <f ca="1">IFERROR(__xludf.DUMMYFUNCTION("IFERROR(LET(
  angle,     REGEXEXTRACT(A50, ""&lt;([^&gt;]+)&gt;""),
  round,     REGEXEXTRACT(A50,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50" s="54">
        <v>32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>
      <c r="A51" s="95" t="s">
        <v>1943</v>
      </c>
      <c r="B51" s="54" t="str">
        <f ca="1">IFERROR(__xludf.DUMMYFUNCTION("IFERROR(LET(
  angle,     REGEXEXTRACT(A51, ""&lt;([^&gt;]+)&gt;""),
  round,     REGEXEXTRACT(A51,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51" s="54">
        <v>36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>
      <c r="A52" s="95" t="s">
        <v>1944</v>
      </c>
      <c r="B52" s="54" t="str">
        <f ca="1">IFERROR(__xludf.DUMMYFUNCTION("IFERROR(LET(
  angle,     REGEXEXTRACT(A52, ""&lt;([^&gt;]+)&gt;""),
  round,     REGEXEXTRACT(A52,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52" s="54">
        <v>51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>
      <c r="A53" s="95" t="s">
        <v>1945</v>
      </c>
      <c r="B53" s="54" t="str">
        <f ca="1">IFERROR(__xludf.DUMMYFUNCTION("IFERROR(LET(
  angle,     REGEXEXTRACT(A53, ""&lt;([^&gt;]+)&gt;""),
  round,     REGEXEXTRACT(A53,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53" s="54">
        <v>53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>
      <c r="A54" s="95" t="s">
        <v>1946</v>
      </c>
      <c r="B54" s="54" t="str">
        <f ca="1">IFERROR(__xludf.DUMMYFUNCTION("IFERROR(LET(
  angle,     REGEXEXTRACT(A54, ""&lt;([^&gt;]+)&gt;""),
  round,     REGEXEXTRACT(A54,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54" s="54">
        <v>63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>
      <c r="A55" s="95" t="s">
        <v>1947</v>
      </c>
      <c r="B55" s="54" t="str">
        <f ca="1">IFERROR(__xludf.DUMMYFUNCTION("IFERROR(LET(
  angle,     REGEXEXTRACT(A55, ""&lt;([^&gt;]+)&gt;""),
  round,     REGEXEXTRACT(A55,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55" s="54">
        <v>66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>
      <c r="A56" s="95" t="s">
        <v>1948</v>
      </c>
      <c r="B56" s="54" t="str">
        <f ca="1">IFERROR(__xludf.DUMMYFUNCTION("IFERROR(LET(
  angle,     REGEXEXTRACT(A56, ""&lt;([^&gt;]+)&gt;""),
  round,     REGEXEXTRACT(A56,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56" s="54">
        <v>68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>
      <c r="A57" s="95" t="s">
        <v>1949</v>
      </c>
      <c r="B57" s="54" t="str">
        <f ca="1">IFERROR(__xludf.DUMMYFUNCTION("IFERROR(LET(
  angle,     REGEXEXTRACT(A57, ""&lt;([^&gt;]+)&gt;""),
  round,     REGEXEXTRACT(A57,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57" s="54">
        <v>60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>
      <c r="A58" s="95" t="s">
        <v>1950</v>
      </c>
      <c r="B58" s="54" t="str">
        <f ca="1">IFERROR(__xludf.DUMMYFUNCTION("IFERROR(LET(
  angle,     REGEXEXTRACT(A58, ""&lt;([^&gt;]+)&gt;""),
  round,     REGEXEXTRACT(A58,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58" s="54">
        <v>60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>
      <c r="A59" s="95" t="s">
        <v>1951</v>
      </c>
      <c r="B59" s="54" t="str">
        <f ca="1">IFERROR(__xludf.DUMMYFUNCTION("IFERROR(LET(
  angle,     REGEXEXTRACT(A59, ""&lt;([^&gt;]+)&gt;""),
  round,     REGEXEXTRACT(A59,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59" s="54">
        <v>60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>
      <c r="A60" s="95" t="s">
        <v>1952</v>
      </c>
      <c r="B60" s="54" t="str">
        <f ca="1">IFERROR(__xludf.DUMMYFUNCTION("IFERROR(LET(
  angle,     REGEXEXTRACT(A60, ""&lt;([^&gt;]+)&gt;""),
  round,     REGEXEXTRACT(A60,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60" s="54">
        <v>65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>
      <c r="A61" s="95" t="s">
        <v>1953</v>
      </c>
      <c r="B61" s="54" t="str">
        <f ca="1">IFERROR(__xludf.DUMMYFUNCTION("IFERROR(LET(
  angle,     REGEXEXTRACT(A61, ""&lt;([^&gt;]+)&gt;""),
  round,     REGEXEXTRACT(A61,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61" s="54">
        <v>85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>
      <c r="A62" s="95" t="s">
        <v>1954</v>
      </c>
      <c r="B62" s="54" t="str">
        <f ca="1">IFERROR(__xludf.DUMMYFUNCTION("IFERROR(LET(
  angle,     REGEXEXTRACT(A62, ""&lt;([^&gt;]+)&gt;""),
  round,     REGEXEXTRACT(A62,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62" s="54">
        <v>100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>
      <c r="A63" s="95" t="s">
        <v>1955</v>
      </c>
      <c r="B63" s="54" t="str">
        <f ca="1">IFERROR(__xludf.DUMMYFUNCTION("IFERROR(LET(
  angle,     REGEXEXTRACT(A63, ""&lt;([^&gt;]+)&gt;""),
  round,     REGEXEXTRACT(A63,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63" s="54">
        <v>105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>
      <c r="A64" s="95" t="s">
        <v>1956</v>
      </c>
      <c r="B64" s="54" t="str">
        <f ca="1">IFERROR(__xludf.DUMMYFUNCTION("IFERROR(LET(
  angle,     REGEXEXTRACT(A64, ""&lt;([^&gt;]+)&gt;""),
  round,     REGEXEXTRACT(A64,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64" s="54">
        <v>107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>
      <c r="A65" s="95" t="s">
        <v>1957</v>
      </c>
      <c r="B65" s="54" t="str">
        <f ca="1">IFERROR(__xludf.DUMMYFUNCTION("IFERROR(LET(
  angle,     REGEXEXTRACT(A65, ""&lt;([^&gt;]+)&gt;""),
  round,     REGEXEXTRACT(A65,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65" s="54">
        <v>125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>
      <c r="A66" s="95" t="s">
        <v>1958</v>
      </c>
      <c r="B66" s="54" t="str">
        <f ca="1">IFERROR(__xludf.DUMMYFUNCTION("IFERROR(LET(
  angle,     REGEXEXTRACT(A66, ""&lt;([^&gt;]+)&gt;""),
  round,     REGEXEXTRACT(A66,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66" s="54">
        <v>127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>
      <c r="A67" s="1"/>
      <c r="B67" s="7"/>
      <c r="C67" s="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>
      <c r="A68" s="35" t="s">
        <v>930</v>
      </c>
      <c r="B68" s="7"/>
      <c r="C68" s="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>
      <c r="A69" s="16"/>
      <c r="B69" s="7"/>
      <c r="C69" s="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>
      <c r="A70" s="37" t="s">
        <v>931</v>
      </c>
      <c r="B70" s="7"/>
      <c r="C70" s="7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>
      <c r="A71" s="1"/>
      <c r="B71" s="7"/>
      <c r="C71" s="7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>
      <c r="A72" s="1"/>
      <c r="B72" s="7"/>
      <c r="C72" s="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>
      <c r="A73" s="1"/>
      <c r="B73" s="7"/>
      <c r="C73" s="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>
      <c r="A74" s="1"/>
      <c r="B74" s="7"/>
      <c r="C74" s="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>
      <c r="A75" s="1"/>
      <c r="B75" s="7"/>
      <c r="C75" s="7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>
      <c r="A76" s="1"/>
      <c r="B76" s="7"/>
      <c r="C76" s="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>
      <c r="A77" s="1"/>
      <c r="B77" s="7"/>
      <c r="C77" s="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>
      <c r="A78" s="1"/>
      <c r="B78" s="7"/>
      <c r="C78" s="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>
      <c r="A79" s="1"/>
      <c r="B79" s="7"/>
      <c r="C79" s="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>
      <c r="A80" s="1"/>
      <c r="B80" s="7"/>
      <c r="C80" s="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>
      <c r="A81" s="1"/>
      <c r="B81" s="7"/>
      <c r="C81" s="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>
      <c r="A82" s="1"/>
      <c r="B82" s="7"/>
      <c r="C82" s="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>
      <c r="A83" s="1"/>
      <c r="B83" s="7"/>
      <c r="C83" s="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>
      <c r="A84" s="1"/>
      <c r="B84" s="7"/>
      <c r="C84" s="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>
      <c r="A85" s="1"/>
      <c r="B85" s="7"/>
      <c r="C85" s="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>
      <c r="A86" s="1"/>
      <c r="B86" s="7"/>
      <c r="C86" s="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>
      <c r="A87" s="1"/>
      <c r="B87" s="7"/>
      <c r="C87" s="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>
      <c r="A88" s="1"/>
      <c r="B88" s="7"/>
      <c r="C88" s="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>
      <c r="A89" s="1"/>
      <c r="B89" s="7"/>
      <c r="C89" s="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>
      <c r="A90" s="1"/>
      <c r="B90" s="7"/>
      <c r="C90" s="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customHeight="1">
      <c r="A91" s="1"/>
      <c r="B91" s="7"/>
      <c r="C91" s="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customHeight="1">
      <c r="A92" s="1"/>
      <c r="B92" s="7"/>
      <c r="C92" s="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customHeight="1">
      <c r="A93" s="1"/>
      <c r="B93" s="7"/>
      <c r="C93" s="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customHeight="1">
      <c r="A94" s="1"/>
      <c r="B94" s="7"/>
      <c r="C94" s="7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customHeight="1">
      <c r="A95" s="1"/>
      <c r="B95" s="7"/>
      <c r="C95" s="7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customHeight="1">
      <c r="A96" s="1"/>
      <c r="B96" s="7"/>
      <c r="C96" s="7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customHeight="1">
      <c r="A97" s="1"/>
      <c r="B97" s="7"/>
      <c r="C97" s="7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customHeight="1">
      <c r="A98" s="1"/>
      <c r="B98" s="7"/>
      <c r="C98" s="7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customHeight="1">
      <c r="A99" s="1"/>
      <c r="B99" s="7"/>
      <c r="C99" s="7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customHeight="1">
      <c r="A100" s="1"/>
      <c r="B100" s="7"/>
      <c r="C100" s="7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conditionalFormatting sqref="A31:A66">
    <cfRule type="cellIs" dxfId="4" priority="1" stopIfTrue="1" operator="equal">
      <formula>0</formula>
    </cfRule>
  </conditionalFormatting>
  <pageMargins left="0.70866141732283472" right="0.70866141732283472" top="0.15748031496062992" bottom="0.15748031496062992" header="0" footer="0"/>
  <pageSetup paperSize="9" scale="7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0"/>
  <sheetViews>
    <sheetView workbookViewId="0"/>
  </sheetViews>
  <sheetFormatPr defaultColWidth="14.3984375" defaultRowHeight="15" customHeight="1"/>
  <cols>
    <col min="1" max="1" width="89.73046875" customWidth="1"/>
    <col min="2" max="5" width="14.265625" customWidth="1"/>
    <col min="6" max="22" width="8.86328125" customWidth="1"/>
    <col min="23" max="23" width="14.265625" customWidth="1"/>
  </cols>
  <sheetData>
    <row r="1" spans="1:25" ht="14.25" customHeight="1">
      <c r="A1" s="405" t="s">
        <v>1959</v>
      </c>
      <c r="B1" s="403"/>
      <c r="C1" s="40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 customHeight="1">
      <c r="A2" s="406" t="s">
        <v>1960</v>
      </c>
      <c r="B2" s="407"/>
      <c r="C2" s="96" t="s">
        <v>1961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36" customHeight="1">
      <c r="A3" s="97" t="s">
        <v>1962</v>
      </c>
      <c r="B3" s="98">
        <v>640</v>
      </c>
      <c r="C3" s="9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6" customHeight="1">
      <c r="A4" s="97" t="s">
        <v>1963</v>
      </c>
      <c r="B4" s="98">
        <v>995</v>
      </c>
      <c r="C4" s="10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6" customHeight="1">
      <c r="A5" s="400"/>
      <c r="B5" s="401"/>
      <c r="C5" s="40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customHeight="1">
      <c r="A6" s="405" t="s">
        <v>1964</v>
      </c>
      <c r="B6" s="403"/>
      <c r="C6" s="40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6" customHeight="1">
      <c r="A7" s="101" t="s">
        <v>1965</v>
      </c>
      <c r="B7" s="98">
        <v>1050</v>
      </c>
      <c r="C7" s="10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25" customHeight="1">
      <c r="A8" s="101" t="s">
        <v>1966</v>
      </c>
      <c r="B8" s="103">
        <v>700</v>
      </c>
      <c r="C8" s="102">
        <v>620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25" customHeight="1">
      <c r="A9" s="101" t="s">
        <v>1967</v>
      </c>
      <c r="B9" s="53">
        <v>815</v>
      </c>
      <c r="C9" s="10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6" customHeight="1">
      <c r="A10" s="101" t="s">
        <v>1968</v>
      </c>
      <c r="B10" s="53">
        <v>815</v>
      </c>
      <c r="C10" s="10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36" customHeight="1">
      <c r="A11" s="101" t="s">
        <v>1969</v>
      </c>
      <c r="B11" s="53">
        <v>1000</v>
      </c>
      <c r="C11" s="10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36" customHeight="1">
      <c r="A12" s="101" t="s">
        <v>1970</v>
      </c>
      <c r="B12" s="53">
        <v>1760</v>
      </c>
      <c r="C12" s="10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36" customHeight="1">
      <c r="A13" s="101" t="s">
        <v>1971</v>
      </c>
      <c r="B13" s="53">
        <v>1815</v>
      </c>
      <c r="C13" s="10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36" customHeight="1">
      <c r="A14" s="104" t="s">
        <v>1972</v>
      </c>
      <c r="B14" s="105">
        <v>1880</v>
      </c>
      <c r="C14" s="10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36" customHeight="1">
      <c r="A15" s="400"/>
      <c r="B15" s="401"/>
      <c r="C15" s="40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36" customHeight="1">
      <c r="A16" s="405" t="s">
        <v>1973</v>
      </c>
      <c r="B16" s="403"/>
      <c r="C16" s="40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25" customHeight="1">
      <c r="A17" s="101" t="s">
        <v>1974</v>
      </c>
      <c r="B17" s="53">
        <v>7</v>
      </c>
      <c r="C17" s="10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25" customHeight="1">
      <c r="A18" s="101" t="s">
        <v>1975</v>
      </c>
      <c r="B18" s="53">
        <v>10</v>
      </c>
      <c r="C18" s="10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25" customHeight="1">
      <c r="A19" s="101" t="s">
        <v>1976</v>
      </c>
      <c r="B19" s="53">
        <v>15</v>
      </c>
      <c r="C19" s="10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25" customHeight="1">
      <c r="A20" s="101" t="s">
        <v>1977</v>
      </c>
      <c r="B20" s="98">
        <v>55</v>
      </c>
      <c r="C20" s="10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25" customHeight="1">
      <c r="A21" s="101" t="s">
        <v>1978</v>
      </c>
      <c r="B21" s="98">
        <v>80</v>
      </c>
      <c r="C21" s="10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25" customHeight="1">
      <c r="A22" s="406" t="s">
        <v>1960</v>
      </c>
      <c r="B22" s="408"/>
      <c r="C22" s="409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4.25" customHeight="1">
      <c r="A23" s="101" t="s">
        <v>1979</v>
      </c>
      <c r="B23" s="103">
        <v>625</v>
      </c>
      <c r="C23" s="108">
        <v>590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 customHeight="1">
      <c r="A24" s="101" t="s">
        <v>1980</v>
      </c>
      <c r="B24" s="103"/>
      <c r="C24" s="108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36" customHeight="1">
      <c r="A25" s="101" t="s">
        <v>1981</v>
      </c>
      <c r="B25" s="103">
        <v>1090</v>
      </c>
      <c r="C25" s="108">
        <v>1030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36" customHeight="1">
      <c r="A26" s="101" t="s">
        <v>1982</v>
      </c>
      <c r="B26" s="103">
        <v>2100</v>
      </c>
      <c r="C26" s="108">
        <v>1770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36" customHeight="1">
      <c r="A27" s="406" t="s">
        <v>1983</v>
      </c>
      <c r="B27" s="408"/>
      <c r="C27" s="40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42" customHeight="1">
      <c r="A28" s="101" t="s">
        <v>1984</v>
      </c>
      <c r="B28" s="53">
        <v>2340</v>
      </c>
      <c r="C28" s="10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 customHeight="1">
      <c r="A29" s="406" t="s">
        <v>1985</v>
      </c>
      <c r="B29" s="408"/>
      <c r="C29" s="40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36" customHeight="1">
      <c r="A30" s="104" t="s">
        <v>1986</v>
      </c>
      <c r="B30" s="105">
        <v>2300</v>
      </c>
      <c r="C30" s="10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 customHeight="1">
      <c r="A31" s="110"/>
      <c r="B31" s="111"/>
      <c r="C31" s="11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42" customHeight="1">
      <c r="A32" s="405" t="s">
        <v>1987</v>
      </c>
      <c r="B32" s="403"/>
      <c r="C32" s="40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customHeight="1">
      <c r="A33" s="101" t="s">
        <v>1988</v>
      </c>
      <c r="B33" s="53"/>
      <c r="C33" s="10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42" customHeight="1">
      <c r="A34" s="101" t="s">
        <v>1989</v>
      </c>
      <c r="B34" s="53">
        <v>290</v>
      </c>
      <c r="C34" s="10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25" customHeight="1">
      <c r="A35" s="101" t="s">
        <v>1990</v>
      </c>
      <c r="B35" s="53"/>
      <c r="C35" s="10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25" customHeight="1">
      <c r="A36" s="101" t="s">
        <v>1991</v>
      </c>
      <c r="B36" s="53"/>
      <c r="C36" s="10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25" customHeight="1">
      <c r="A37" s="101" t="s">
        <v>1992</v>
      </c>
      <c r="B37" s="53"/>
      <c r="C37" s="10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25" customHeight="1">
      <c r="A38" s="104" t="s">
        <v>1993</v>
      </c>
      <c r="B38" s="113"/>
      <c r="C38" s="10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25" customHeight="1">
      <c r="A39" s="400"/>
      <c r="B39" s="401"/>
      <c r="C39" s="40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25" customHeight="1">
      <c r="A40" s="402" t="s">
        <v>1994</v>
      </c>
      <c r="B40" s="403"/>
      <c r="C40" s="40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25" customHeight="1">
      <c r="A41" s="101" t="s">
        <v>1995</v>
      </c>
      <c r="B41" s="53">
        <v>50</v>
      </c>
      <c r="C41" s="10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25" customHeight="1">
      <c r="A42" s="101" t="s">
        <v>1996</v>
      </c>
      <c r="B42" s="56">
        <v>75</v>
      </c>
      <c r="C42" s="10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25" customHeight="1">
      <c r="A43" s="114" t="s">
        <v>1997</v>
      </c>
      <c r="B43" s="53">
        <v>106</v>
      </c>
      <c r="C43" s="10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25" customHeight="1">
      <c r="A44" s="115" t="s">
        <v>1998</v>
      </c>
      <c r="B44" s="116">
        <v>135</v>
      </c>
      <c r="C44" s="10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36" customHeight="1">
      <c r="A45" s="400"/>
      <c r="B45" s="401"/>
      <c r="C45" s="40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36" customHeight="1">
      <c r="A46" s="402" t="s">
        <v>1999</v>
      </c>
      <c r="B46" s="403"/>
      <c r="C46" s="40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.25" customHeight="1">
      <c r="A47" s="114" t="s">
        <v>2000</v>
      </c>
      <c r="B47" s="117">
        <v>16</v>
      </c>
      <c r="C47" s="10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25" customHeight="1">
      <c r="A48" s="114" t="s">
        <v>2001</v>
      </c>
      <c r="B48" s="117">
        <v>40</v>
      </c>
      <c r="C48" s="10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42" customHeight="1">
      <c r="A49" s="115" t="s">
        <v>2002</v>
      </c>
      <c r="B49" s="118">
        <v>31</v>
      </c>
      <c r="C49" s="11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36" customHeight="1">
      <c r="A50" s="120" t="s">
        <v>2001</v>
      </c>
      <c r="B50" s="53" t="str">
        <f ca="1">IFERROR(__xludf.DUMMYFUNCTION("IFERROR(LET(
  angle,     REGEXEXTRACT(A48, ""&lt;([^&gt;]+)&gt;""),
  round,     REGEXEXTRACT(A48,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50" s="53">
        <v>40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25" customHeight="1">
      <c r="A51" s="1"/>
      <c r="B51" s="7"/>
      <c r="C51" s="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25" customHeight="1">
      <c r="A52" s="1"/>
      <c r="B52" s="7"/>
      <c r="C52" s="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25" customHeight="1">
      <c r="A53" s="1"/>
      <c r="B53" s="7"/>
      <c r="C53" s="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25" customHeight="1">
      <c r="A54" s="1"/>
      <c r="B54" s="7"/>
      <c r="C54" s="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25" customHeight="1">
      <c r="A55" s="1"/>
      <c r="B55" s="7"/>
      <c r="C55" s="7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25" customHeight="1">
      <c r="A56" s="1"/>
      <c r="B56" s="7"/>
      <c r="C56" s="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25" customHeight="1">
      <c r="A57" s="1"/>
      <c r="B57" s="7"/>
      <c r="C57" s="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25" customHeight="1">
      <c r="A58" s="1"/>
      <c r="B58" s="7"/>
      <c r="C58" s="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25" customHeight="1">
      <c r="A59" s="1"/>
      <c r="B59" s="7"/>
      <c r="C59" s="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25" customHeight="1">
      <c r="A60" s="1"/>
      <c r="B60" s="7"/>
      <c r="C60" s="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25" customHeight="1">
      <c r="A61" s="1"/>
      <c r="B61" s="7"/>
      <c r="C61" s="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25" customHeight="1">
      <c r="A62" s="1"/>
      <c r="B62" s="7"/>
      <c r="C62" s="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25" customHeight="1">
      <c r="A63" s="1"/>
      <c r="B63" s="7"/>
      <c r="C63" s="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25" customHeight="1">
      <c r="A64" s="1"/>
      <c r="B64" s="7"/>
      <c r="C64" s="7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25" customHeight="1">
      <c r="A65" s="1"/>
      <c r="B65" s="7"/>
      <c r="C65" s="7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25" customHeight="1">
      <c r="A66" s="1"/>
      <c r="B66" s="7"/>
      <c r="C66" s="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25" customHeight="1">
      <c r="A67" s="1"/>
      <c r="B67" s="7"/>
      <c r="C67" s="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25" customHeight="1">
      <c r="A68" s="1"/>
      <c r="B68" s="7"/>
      <c r="C68" s="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25" customHeight="1">
      <c r="A69" s="1"/>
      <c r="B69" s="7"/>
      <c r="C69" s="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25" customHeight="1">
      <c r="A70" s="1"/>
      <c r="B70" s="7"/>
      <c r="C70" s="7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25" customHeight="1">
      <c r="A71" s="1"/>
      <c r="B71" s="7"/>
      <c r="C71" s="7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25" customHeight="1">
      <c r="A72" s="1"/>
      <c r="B72" s="7"/>
      <c r="C72" s="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25" customHeight="1">
      <c r="A73" s="1"/>
      <c r="B73" s="7"/>
      <c r="C73" s="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25" customHeight="1">
      <c r="A74" s="1"/>
      <c r="B74" s="7"/>
      <c r="C74" s="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25" customHeight="1">
      <c r="A75" s="1"/>
      <c r="B75" s="7"/>
      <c r="C75" s="7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25" customHeight="1">
      <c r="A76" s="1"/>
      <c r="B76" s="7"/>
      <c r="C76" s="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25" customHeight="1">
      <c r="A77" s="1"/>
      <c r="B77" s="7"/>
      <c r="C77" s="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25" customHeight="1">
      <c r="A78" s="1"/>
      <c r="B78" s="7"/>
      <c r="C78" s="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25" customHeight="1">
      <c r="A79" s="1"/>
      <c r="B79" s="7"/>
      <c r="C79" s="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25" customHeight="1">
      <c r="A80" s="1"/>
      <c r="B80" s="7"/>
      <c r="C80" s="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25" customHeight="1">
      <c r="A81" s="1"/>
      <c r="B81" s="7"/>
      <c r="C81" s="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25" customHeight="1">
      <c r="A82" s="1"/>
      <c r="B82" s="7"/>
      <c r="C82" s="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25" customHeight="1">
      <c r="A83" s="1"/>
      <c r="B83" s="7"/>
      <c r="C83" s="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25" customHeight="1">
      <c r="A84" s="1"/>
      <c r="B84" s="7"/>
      <c r="C84" s="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25" customHeight="1">
      <c r="A85" s="1"/>
      <c r="B85" s="7"/>
      <c r="C85" s="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25" customHeight="1">
      <c r="A86" s="1"/>
      <c r="B86" s="7"/>
      <c r="C86" s="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25" customHeight="1">
      <c r="A87" s="1"/>
      <c r="B87" s="7"/>
      <c r="C87" s="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25" customHeight="1">
      <c r="A88" s="1"/>
      <c r="B88" s="7"/>
      <c r="C88" s="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25" customHeight="1">
      <c r="A89" s="1"/>
      <c r="B89" s="7"/>
      <c r="C89" s="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25" customHeight="1">
      <c r="A90" s="1"/>
      <c r="B90" s="7"/>
      <c r="C90" s="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25" customHeight="1">
      <c r="A91" s="1"/>
      <c r="B91" s="7"/>
      <c r="C91" s="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25" customHeight="1">
      <c r="A92" s="1"/>
      <c r="B92" s="7"/>
      <c r="C92" s="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25" customHeight="1">
      <c r="A93" s="1"/>
      <c r="B93" s="7"/>
      <c r="C93" s="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25" customHeight="1">
      <c r="A94" s="1"/>
      <c r="B94" s="7"/>
      <c r="C94" s="7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25" customHeight="1">
      <c r="A95" s="1"/>
      <c r="B95" s="7"/>
      <c r="C95" s="7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25" customHeight="1">
      <c r="A96" s="1"/>
      <c r="B96" s="7"/>
      <c r="C96" s="7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25" customHeight="1">
      <c r="A97" s="1"/>
      <c r="B97" s="7"/>
      <c r="C97" s="7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25" customHeight="1">
      <c r="A98" s="1"/>
      <c r="B98" s="7"/>
      <c r="C98" s="7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25" customHeight="1">
      <c r="A99" s="1"/>
      <c r="B99" s="7"/>
      <c r="C99" s="7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/>
  </sheetData>
  <mergeCells count="14">
    <mergeCell ref="A45:C45"/>
    <mergeCell ref="A46:C46"/>
    <mergeCell ref="A1:C1"/>
    <mergeCell ref="A2:B2"/>
    <mergeCell ref="A5:C5"/>
    <mergeCell ref="A6:C6"/>
    <mergeCell ref="A15:C15"/>
    <mergeCell ref="A16:C16"/>
    <mergeCell ref="A22:C22"/>
    <mergeCell ref="A27:C27"/>
    <mergeCell ref="A29:C29"/>
    <mergeCell ref="A32:C32"/>
    <mergeCell ref="A39:C39"/>
    <mergeCell ref="A40:C40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50"/>
  <sheetViews>
    <sheetView workbookViewId="0"/>
  </sheetViews>
  <sheetFormatPr defaultColWidth="14.3984375" defaultRowHeight="15" customHeight="1"/>
  <cols>
    <col min="1" max="1" width="171.265625" customWidth="1"/>
    <col min="2" max="2" width="17" hidden="1" customWidth="1"/>
    <col min="3" max="23" width="8.86328125" customWidth="1"/>
  </cols>
  <sheetData>
    <row r="1" spans="1:26" ht="19.5">
      <c r="A1" s="410" t="s">
        <v>2003</v>
      </c>
      <c r="B1" s="408"/>
      <c r="C1" s="40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121" t="s">
        <v>2004</v>
      </c>
      <c r="B2" s="121" t="str">
        <f ca="1">IFERROR(__xludf.DUMMYFUNCTION("IFERROR(LET(
  angle,     REGEXEXTRACT(A1, ""&lt;([^&gt;]+)&gt;""),
  round,     REGEXEXTRACT(A1,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2" s="53">
        <v>860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121" t="s">
        <v>2005</v>
      </c>
      <c r="B3" s="121" t="str">
        <f ca="1">IFERROR(__xludf.DUMMYFUNCTION("IFERROR(LET(
  angle,     REGEXEXTRACT(A2, ""&lt;([^&gt;]+)&gt;""),
  round,     REGEXEXTRACT(A2,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3" s="53">
        <v>675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121" t="s">
        <v>2006</v>
      </c>
      <c r="B4" s="121" t="str">
        <f ca="1">IFERROR(__xludf.DUMMYFUNCTION("IFERROR(LET(
  angle,     REGEXEXTRACT(A3, ""&lt;([^&gt;]+)&gt;""),
  round,     REGEXEXTRACT(A3,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4" s="53">
        <v>135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121" t="s">
        <v>2007</v>
      </c>
      <c r="B5" s="121" t="str">
        <f ca="1">IFERROR(__xludf.DUMMYFUNCTION("IFERROR(LET(
  angle,     REGEXEXTRACT(A4, ""&lt;([^&gt;]+)&gt;""),
  round,     REGEXEXTRACT(A4,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5" s="53">
        <v>135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59" t="s">
        <v>2008</v>
      </c>
      <c r="B6" s="121" t="str">
        <f ca="1">IFERROR(__xludf.DUMMYFUNCTION("IFERROR(LET(
  angle,     REGEXEXTRACT(A5, ""&lt;([^&gt;]+)&gt;""),
  round,     REGEXEXTRACT(A5,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6" s="53">
        <v>39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121" t="s">
        <v>2009</v>
      </c>
      <c r="B7" s="121" t="str">
        <f ca="1">IFERROR(__xludf.DUMMYFUNCTION("IFERROR(LET(
  angle,     REGEXEXTRACT(A6, ""&lt;([^&gt;]+)&gt;""),
  round,     REGEXEXTRACT(A6,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7" s="53">
        <v>340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122" t="str">
        <f ca="1">IFERROR(__xludf.DUMMYFUNCTION("IFERROR(LET(
  angle,     REGEXEXTRACT(A7, ""&lt;([^&gt;]+)&gt;""),
  round,     REGEXEXTRACT(A7,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8" s="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>
      <c r="A9" s="411" t="s">
        <v>2010</v>
      </c>
      <c r="B9" s="403"/>
      <c r="C9" s="40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0" customHeight="1">
      <c r="A10" s="121" t="s">
        <v>2011</v>
      </c>
      <c r="B10" s="121" t="str">
        <f ca="1">IFERROR(__xludf.DUMMYFUNCTION("IFERROR(LET(
  angle,     REGEXEXTRACT(A9, ""&lt;([^&gt;]+)&gt;""),
  round,     REGEXEXTRACT(A9,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10" s="53">
        <v>31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8" customHeight="1">
      <c r="A11" s="121" t="s">
        <v>2012</v>
      </c>
      <c r="B11" s="121" t="str">
        <f ca="1">IFERROR(__xludf.DUMMYFUNCTION("IFERROR(LET(
  angle,     REGEXEXTRACT(A10, ""&lt;([^&gt;]+)&gt;""),
  round,     REGEXEXTRACT(A10,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1" s="53">
        <v>700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8" customHeight="1">
      <c r="A12" s="121" t="s">
        <v>2013</v>
      </c>
      <c r="B12" s="121" t="str">
        <f ca="1">IFERROR(__xludf.DUMMYFUNCTION("IFERROR(LET(
  angle,     REGEXEXTRACT(A11, ""&lt;([^&gt;]+)&gt;""),
  round,     REGEXEXTRACT(A11,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2" s="53">
        <v>210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8" customHeight="1">
      <c r="A13" s="121" t="s">
        <v>2014</v>
      </c>
      <c r="B13" s="121" t="str">
        <f ca="1">IFERROR(__xludf.DUMMYFUNCTION("IFERROR(LET(
  angle,     REGEXEXTRACT(A12, ""&lt;([^&gt;]+)&gt;""),
  round,     REGEXEXTRACT(A12,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3" s="53">
        <v>600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8" customHeight="1">
      <c r="A14" s="121" t="s">
        <v>2015</v>
      </c>
      <c r="B14" s="121" t="str">
        <f ca="1">IFERROR(__xludf.DUMMYFUNCTION("IFERROR(LET(
  angle,     REGEXEXTRACT(A13, ""&lt;([^&gt;]+)&gt;""),
  round,     REGEXEXTRACT(A13,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4" s="53">
        <v>1160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" customHeight="1">
      <c r="A15" s="121" t="s">
        <v>2016</v>
      </c>
      <c r="B15" s="121" t="str">
        <f ca="1">IFERROR(__xludf.DUMMYFUNCTION("IFERROR(LET(
  angle,     REGEXEXTRACT(A14, ""&lt;([^&gt;]+)&gt;""),
  round,     REGEXEXTRACT(A14,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5" s="53">
        <v>470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8" customHeight="1">
      <c r="A16" s="121" t="s">
        <v>2017</v>
      </c>
      <c r="B16" s="121" t="str">
        <f ca="1">IFERROR(__xludf.DUMMYFUNCTION("IFERROR(LET(
  angle,     REGEXEXTRACT(A15, ""&lt;([^&gt;]+)&gt;""),
  round,     REGEXEXTRACT(A15,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6" s="53">
        <v>1940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7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7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7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7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7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7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7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7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7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7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7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mergeCells count="2">
    <mergeCell ref="A1:C1"/>
    <mergeCell ref="A9:C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ColWidth="14.3984375" defaultRowHeight="15" customHeight="1"/>
  <cols>
    <col min="1" max="1" width="106" customWidth="1"/>
    <col min="2" max="2" width="6" hidden="1" customWidth="1"/>
    <col min="3" max="3" width="6.3984375" customWidth="1"/>
    <col min="4" max="4" width="5.3984375" customWidth="1"/>
    <col min="5" max="5" width="132.265625" customWidth="1"/>
    <col min="6" max="6" width="132.265625" hidden="1" customWidth="1"/>
    <col min="7" max="7" width="7" customWidth="1"/>
    <col min="8" max="26" width="8.53125" customWidth="1"/>
  </cols>
  <sheetData>
    <row r="1" spans="1:26" ht="19.5">
      <c r="A1" s="418" t="s">
        <v>2018</v>
      </c>
      <c r="B1" s="419"/>
      <c r="C1" s="420"/>
      <c r="D1" s="123"/>
      <c r="E1" s="421" t="s">
        <v>2019</v>
      </c>
      <c r="F1" s="422"/>
      <c r="G1" s="4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spans="1:26" ht="27.75">
      <c r="A2" s="124" t="s">
        <v>2020</v>
      </c>
      <c r="B2" s="125"/>
      <c r="C2" s="126">
        <v>42</v>
      </c>
      <c r="D2" s="127"/>
      <c r="E2" s="128" t="s">
        <v>2021</v>
      </c>
      <c r="F2" s="129"/>
      <c r="G2" s="108">
        <v>277</v>
      </c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spans="1:26" ht="27.75">
      <c r="A3" s="130" t="s">
        <v>2022</v>
      </c>
      <c r="B3" s="131"/>
      <c r="C3" s="107"/>
      <c r="D3" s="127"/>
      <c r="E3" s="132" t="s">
        <v>2023</v>
      </c>
      <c r="F3" s="133"/>
      <c r="G3" s="134">
        <v>290</v>
      </c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spans="1:26" ht="29.65">
      <c r="A4" s="130" t="s">
        <v>2024</v>
      </c>
      <c r="B4" s="131"/>
      <c r="C4" s="107">
        <v>67</v>
      </c>
      <c r="D4" s="127"/>
      <c r="E4" s="135" t="s">
        <v>2025</v>
      </c>
      <c r="F4" s="136"/>
      <c r="G4" s="108">
        <v>660</v>
      </c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spans="1:26" ht="29.65">
      <c r="A5" s="137" t="s">
        <v>2026</v>
      </c>
      <c r="B5" s="138"/>
      <c r="C5" s="119">
        <v>87</v>
      </c>
      <c r="D5" s="127"/>
      <c r="E5" s="139" t="s">
        <v>2027</v>
      </c>
      <c r="F5" s="140"/>
      <c r="G5" s="109">
        <v>710</v>
      </c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spans="1:26" ht="27.75">
      <c r="A6" s="124" t="s">
        <v>2028</v>
      </c>
      <c r="B6" s="125"/>
      <c r="C6" s="126">
        <v>41</v>
      </c>
      <c r="D6" s="127"/>
      <c r="E6" s="141" t="s">
        <v>2029</v>
      </c>
      <c r="F6" s="142"/>
      <c r="G6" s="14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spans="1:26" ht="27.75">
      <c r="A7" s="130" t="s">
        <v>2030</v>
      </c>
      <c r="B7" s="131"/>
      <c r="C7" s="107"/>
      <c r="D7" s="127"/>
      <c r="E7" s="144" t="s">
        <v>2031</v>
      </c>
      <c r="F7" s="145"/>
      <c r="G7" s="107">
        <v>740</v>
      </c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spans="1:26" ht="27.75">
      <c r="A8" s="146" t="s">
        <v>2032</v>
      </c>
      <c r="B8" s="147"/>
      <c r="C8" s="107"/>
      <c r="D8" s="127"/>
      <c r="E8" s="144" t="s">
        <v>2033</v>
      </c>
      <c r="F8" s="145"/>
      <c r="G8" s="107">
        <v>1085</v>
      </c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spans="1:26" ht="27.75">
      <c r="A9" s="137" t="s">
        <v>2034</v>
      </c>
      <c r="B9" s="138"/>
      <c r="C9" s="119">
        <v>137</v>
      </c>
      <c r="D9" s="127"/>
      <c r="E9" s="148" t="s">
        <v>2035</v>
      </c>
      <c r="F9" s="142"/>
      <c r="G9" s="14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spans="1:26" ht="27.75">
      <c r="A10" s="124" t="s">
        <v>2036</v>
      </c>
      <c r="B10" s="125"/>
      <c r="C10" s="126">
        <v>86</v>
      </c>
      <c r="D10" s="127"/>
      <c r="E10" s="149" t="s">
        <v>2037</v>
      </c>
      <c r="F10" s="150"/>
      <c r="G10" s="151">
        <v>320</v>
      </c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spans="1:26" ht="27.75">
      <c r="A11" s="130" t="s">
        <v>2038</v>
      </c>
      <c r="B11" s="131"/>
      <c r="C11" s="107">
        <v>118</v>
      </c>
      <c r="D11" s="127"/>
      <c r="E11" s="152" t="s">
        <v>2039</v>
      </c>
      <c r="F11" s="153"/>
      <c r="G11" s="154">
        <v>10750</v>
      </c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spans="1:26" ht="27.75">
      <c r="A12" s="130" t="s">
        <v>2040</v>
      </c>
      <c r="B12" s="131"/>
      <c r="C12" s="107">
        <v>204</v>
      </c>
      <c r="D12" s="127"/>
      <c r="E12" s="155" t="s">
        <v>2041</v>
      </c>
      <c r="F12" s="156"/>
      <c r="G12" s="134">
        <f>3790</f>
        <v>3790</v>
      </c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spans="1:26" ht="27.75">
      <c r="A13" s="130" t="s">
        <v>2042</v>
      </c>
      <c r="B13" s="131"/>
      <c r="C13" s="107">
        <v>101</v>
      </c>
      <c r="D13" s="127"/>
      <c r="E13" s="157" t="s">
        <v>2043</v>
      </c>
      <c r="F13" s="131"/>
      <c r="G13" s="158">
        <v>7300</v>
      </c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spans="1:26" ht="27.75">
      <c r="A14" s="159" t="s">
        <v>2044</v>
      </c>
      <c r="B14" s="160"/>
      <c r="C14" s="119">
        <v>113</v>
      </c>
      <c r="D14" s="127"/>
      <c r="E14" s="157" t="s">
        <v>2045</v>
      </c>
      <c r="F14" s="131"/>
      <c r="G14" s="158">
        <v>17200</v>
      </c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spans="1:26" ht="19.5">
      <c r="A15" s="412" t="s">
        <v>2046</v>
      </c>
      <c r="B15" s="413"/>
      <c r="C15" s="414"/>
      <c r="D15" s="123"/>
      <c r="E15" s="161" t="s">
        <v>2047</v>
      </c>
      <c r="F15" s="160"/>
      <c r="G15" s="162">
        <v>13250</v>
      </c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spans="1:26" ht="27.75">
      <c r="A16" s="124" t="s">
        <v>2048</v>
      </c>
      <c r="B16" s="125"/>
      <c r="C16" s="126">
        <v>50</v>
      </c>
      <c r="D16" s="127"/>
      <c r="E16" s="163" t="s">
        <v>2049</v>
      </c>
      <c r="F16" s="164"/>
      <c r="G16" s="165">
        <v>10</v>
      </c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spans="1:26" ht="27.75">
      <c r="A17" s="130" t="s">
        <v>2050</v>
      </c>
      <c r="B17" s="131"/>
      <c r="C17" s="107">
        <v>78</v>
      </c>
      <c r="D17" s="127"/>
      <c r="E17" s="130" t="s">
        <v>2051</v>
      </c>
      <c r="F17" s="131"/>
      <c r="G17" s="107">
        <v>45</v>
      </c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spans="1:26" ht="27.75">
      <c r="A18" s="130" t="s">
        <v>2052</v>
      </c>
      <c r="B18" s="131"/>
      <c r="C18" s="107">
        <v>86</v>
      </c>
      <c r="D18" s="127"/>
      <c r="E18" s="159" t="s">
        <v>2053</v>
      </c>
      <c r="F18" s="160"/>
      <c r="G18" s="119">
        <v>52</v>
      </c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spans="1:26" ht="27.75">
      <c r="A19" s="159" t="s">
        <v>2054</v>
      </c>
      <c r="B19" s="160"/>
      <c r="C19" s="119">
        <v>108</v>
      </c>
      <c r="D19" s="127"/>
      <c r="E19" s="123"/>
      <c r="F19" s="123"/>
      <c r="G19" s="7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spans="1:26" ht="27.75">
      <c r="A20" s="124" t="s">
        <v>2055</v>
      </c>
      <c r="B20" s="125"/>
      <c r="C20" s="126">
        <v>53</v>
      </c>
      <c r="D20" s="127"/>
      <c r="E20" s="123"/>
      <c r="F20" s="123"/>
      <c r="G20" s="7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spans="1:26" ht="15.75" customHeight="1">
      <c r="A21" s="159" t="s">
        <v>2056</v>
      </c>
      <c r="B21" s="160"/>
      <c r="C21" s="119">
        <v>90</v>
      </c>
      <c r="D21" s="127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spans="1:26" ht="15.75" customHeight="1">
      <c r="A22" s="412" t="s">
        <v>2057</v>
      </c>
      <c r="B22" s="413"/>
      <c r="C22" s="414"/>
      <c r="D22" s="127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spans="1:26" ht="15.75" customHeight="1">
      <c r="A23" s="124" t="s">
        <v>2058</v>
      </c>
      <c r="B23" s="125"/>
      <c r="C23" s="126">
        <v>633</v>
      </c>
      <c r="D23" s="127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spans="1:26" ht="15.75" customHeight="1">
      <c r="A24" s="130" t="s">
        <v>2059</v>
      </c>
      <c r="B24" s="131"/>
      <c r="C24" s="107">
        <v>698</v>
      </c>
      <c r="D24" s="127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spans="1:26" ht="15.75" customHeight="1">
      <c r="A25" s="159" t="s">
        <v>2060</v>
      </c>
      <c r="B25" s="160"/>
      <c r="C25" s="119">
        <v>728</v>
      </c>
      <c r="D25" s="127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spans="1:26" ht="15.75" customHeight="1">
      <c r="A26" s="412" t="s">
        <v>2061</v>
      </c>
      <c r="B26" s="413"/>
      <c r="C26" s="414"/>
      <c r="D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spans="1:26" ht="15.75" customHeight="1">
      <c r="A27" s="166" t="s">
        <v>2062</v>
      </c>
      <c r="B27" s="167"/>
      <c r="C27" s="168">
        <v>426</v>
      </c>
      <c r="D27" s="127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spans="1:26" ht="15.75" customHeight="1">
      <c r="A28" s="412" t="s">
        <v>2063</v>
      </c>
      <c r="B28" s="413"/>
      <c r="C28" s="414"/>
      <c r="D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spans="1:26" ht="15.75" customHeight="1">
      <c r="A29" s="124" t="s">
        <v>2064</v>
      </c>
      <c r="B29" s="125"/>
      <c r="C29" s="126">
        <v>88</v>
      </c>
      <c r="D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spans="1:26" ht="15.75" customHeight="1">
      <c r="A30" s="130" t="s">
        <v>2065</v>
      </c>
      <c r="B30" s="131"/>
      <c r="C30" s="107">
        <v>89</v>
      </c>
      <c r="D30" s="127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spans="1:26" ht="15.75" customHeight="1">
      <c r="A31" s="146" t="s">
        <v>2066</v>
      </c>
      <c r="B31" s="147"/>
      <c r="C31" s="107">
        <v>108</v>
      </c>
      <c r="D31" s="127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spans="1:26" ht="15.75" customHeight="1">
      <c r="A32" s="130" t="s">
        <v>2067</v>
      </c>
      <c r="B32" s="131"/>
      <c r="C32" s="107">
        <v>144</v>
      </c>
      <c r="D32" s="127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spans="1:26" ht="15.75" customHeight="1">
      <c r="A33" s="146" t="s">
        <v>2068</v>
      </c>
      <c r="B33" s="147"/>
      <c r="C33" s="107">
        <v>174</v>
      </c>
      <c r="D33" s="127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spans="1:26" ht="15.75" customHeight="1">
      <c r="A34" s="130" t="s">
        <v>2069</v>
      </c>
      <c r="B34" s="131"/>
      <c r="C34" s="107">
        <v>386</v>
      </c>
      <c r="D34" s="127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spans="1:26" ht="15.75" customHeight="1">
      <c r="A35" s="130" t="s">
        <v>2070</v>
      </c>
      <c r="B35" s="131"/>
      <c r="C35" s="107">
        <v>599</v>
      </c>
      <c r="D35" s="127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spans="1:26" ht="15.75" customHeight="1">
      <c r="A36" s="137" t="s">
        <v>2071</v>
      </c>
      <c r="B36" s="138"/>
      <c r="C36" s="119">
        <v>647</v>
      </c>
      <c r="D36" s="127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spans="1:26" ht="15.75" customHeight="1">
      <c r="A37" s="124" t="s">
        <v>2072</v>
      </c>
      <c r="B37" s="125"/>
      <c r="C37" s="126">
        <v>1374</v>
      </c>
      <c r="D37" s="127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spans="1:26" ht="15.75" customHeight="1">
      <c r="A38" s="146" t="s">
        <v>2073</v>
      </c>
      <c r="B38" s="147"/>
      <c r="C38" s="107">
        <v>1543</v>
      </c>
      <c r="D38" s="127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spans="1:26" ht="15.75" customHeight="1">
      <c r="A39" s="130" t="s">
        <v>2074</v>
      </c>
      <c r="B39" s="131"/>
      <c r="C39" s="107">
        <v>1903</v>
      </c>
      <c r="D39" s="127"/>
      <c r="E39" s="123"/>
      <c r="F39" s="123"/>
      <c r="G39" s="7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spans="1:26" ht="15.75" customHeight="1">
      <c r="A40" s="159" t="s">
        <v>2075</v>
      </c>
      <c r="B40" s="160"/>
      <c r="C40" s="119">
        <v>2374</v>
      </c>
      <c r="D40" s="127"/>
      <c r="E40" s="123"/>
      <c r="F40" s="123"/>
      <c r="G40" s="7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spans="1:26" ht="15.75" customHeight="1">
      <c r="A41" s="169" t="s">
        <v>2076</v>
      </c>
      <c r="B41" s="170"/>
      <c r="C41" s="126">
        <v>126</v>
      </c>
      <c r="D41" s="127"/>
      <c r="E41" s="123"/>
      <c r="F41" s="123"/>
      <c r="G41" s="7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spans="1:26" ht="15.75" customHeight="1">
      <c r="A42" s="130" t="s">
        <v>2077</v>
      </c>
      <c r="B42" s="131"/>
      <c r="C42" s="107">
        <v>131</v>
      </c>
      <c r="D42" s="127"/>
      <c r="E42" s="171"/>
      <c r="F42" s="171"/>
      <c r="G42" s="37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spans="1:26" ht="15.75" customHeight="1">
      <c r="A43" s="130" t="s">
        <v>2078</v>
      </c>
      <c r="B43" s="131"/>
      <c r="C43" s="107">
        <v>152</v>
      </c>
      <c r="D43" s="127"/>
      <c r="E43" s="123"/>
      <c r="F43" s="123"/>
      <c r="G43" s="7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spans="1:26" ht="15.75" customHeight="1">
      <c r="A44" s="146" t="s">
        <v>2079</v>
      </c>
      <c r="B44" s="147"/>
      <c r="C44" s="107">
        <v>168</v>
      </c>
      <c r="D44" s="127"/>
      <c r="E44" s="123"/>
      <c r="F44" s="123"/>
      <c r="G44" s="7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spans="1:26" ht="15.75" customHeight="1">
      <c r="A45" s="137" t="s">
        <v>2080</v>
      </c>
      <c r="B45" s="138"/>
      <c r="C45" s="119">
        <v>238</v>
      </c>
      <c r="D45" s="127"/>
      <c r="E45" s="123"/>
      <c r="F45" s="123"/>
      <c r="G45" s="7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spans="1:26" ht="15.75" customHeight="1">
      <c r="A46" s="412" t="s">
        <v>2081</v>
      </c>
      <c r="B46" s="413"/>
      <c r="C46" s="414"/>
      <c r="D46" s="123"/>
      <c r="E46" s="123"/>
      <c r="F46" s="123"/>
      <c r="G46" s="7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spans="1:26" ht="15.75" customHeight="1">
      <c r="A47" s="124" t="s">
        <v>2082</v>
      </c>
      <c r="B47" s="125"/>
      <c r="C47" s="126">
        <v>458</v>
      </c>
      <c r="D47" s="127"/>
      <c r="E47" s="123"/>
      <c r="F47" s="123"/>
      <c r="G47" s="7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spans="1:26" ht="15.75" customHeight="1">
      <c r="A48" s="124" t="s">
        <v>2083</v>
      </c>
      <c r="B48" s="125"/>
      <c r="C48" s="126">
        <v>355</v>
      </c>
      <c r="D48" s="127"/>
      <c r="E48" s="123"/>
      <c r="F48" s="123"/>
      <c r="G48" s="7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spans="1:26" ht="15.75" customHeight="1">
      <c r="A49" s="146" t="s">
        <v>2084</v>
      </c>
      <c r="B49" s="147"/>
      <c r="C49" s="107">
        <v>437</v>
      </c>
      <c r="D49" s="127"/>
      <c r="E49" s="123"/>
      <c r="F49" s="123"/>
      <c r="G49" s="7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spans="1:26" ht="15.75" customHeight="1">
      <c r="A50" s="137" t="s">
        <v>2085</v>
      </c>
      <c r="B50" s="138"/>
      <c r="C50" s="119">
        <v>500</v>
      </c>
      <c r="D50" s="127"/>
      <c r="E50" s="123"/>
      <c r="F50" s="123"/>
      <c r="G50" s="7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spans="1:26" ht="15.75" customHeight="1">
      <c r="A51" s="169" t="s">
        <v>2086</v>
      </c>
      <c r="B51" s="170"/>
      <c r="C51" s="126">
        <v>437</v>
      </c>
      <c r="D51" s="127"/>
      <c r="E51" s="123"/>
      <c r="F51" s="123"/>
      <c r="G51" s="7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spans="1:26" ht="15.75" customHeight="1">
      <c r="A52" s="146" t="s">
        <v>2087</v>
      </c>
      <c r="B52" s="147"/>
      <c r="C52" s="107">
        <v>476</v>
      </c>
      <c r="D52" s="127"/>
      <c r="E52" s="123"/>
      <c r="F52" s="123"/>
      <c r="G52" s="7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spans="1:26" ht="15.75" customHeight="1">
      <c r="A53" s="137" t="s">
        <v>2088</v>
      </c>
      <c r="B53" s="138"/>
      <c r="C53" s="119">
        <v>546</v>
      </c>
      <c r="D53" s="127"/>
      <c r="E53" s="123"/>
      <c r="F53" s="123"/>
      <c r="G53" s="7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spans="1:26" ht="15.75" customHeight="1">
      <c r="A54" s="412" t="s">
        <v>2089</v>
      </c>
      <c r="B54" s="413"/>
      <c r="C54" s="414"/>
      <c r="D54" s="123"/>
      <c r="E54" s="123"/>
      <c r="F54" s="123"/>
      <c r="G54" s="7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spans="1:26" ht="15.75" customHeight="1">
      <c r="A55" s="172" t="s">
        <v>2090</v>
      </c>
      <c r="B55" s="170"/>
      <c r="C55" s="126">
        <v>89</v>
      </c>
      <c r="D55" s="127"/>
      <c r="E55" s="123"/>
      <c r="F55" s="123"/>
      <c r="G55" s="7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spans="1:26" ht="15.75" customHeight="1">
      <c r="A56" s="173" t="s">
        <v>2091</v>
      </c>
      <c r="B56" s="138"/>
      <c r="C56" s="119">
        <v>71</v>
      </c>
      <c r="D56" s="127"/>
      <c r="E56" s="123"/>
      <c r="F56" s="123"/>
      <c r="G56" s="7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spans="1:26" ht="15.75" customHeight="1">
      <c r="A57" s="174" t="s">
        <v>2092</v>
      </c>
      <c r="B57" s="125"/>
      <c r="C57" s="126">
        <v>89</v>
      </c>
      <c r="D57" s="127"/>
      <c r="E57" s="123"/>
      <c r="F57" s="123"/>
      <c r="G57" s="7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spans="1:26" ht="15.75" customHeight="1">
      <c r="A58" s="161" t="s">
        <v>2093</v>
      </c>
      <c r="B58" s="160"/>
      <c r="C58" s="119">
        <v>71</v>
      </c>
      <c r="D58" s="127"/>
      <c r="E58" s="123"/>
      <c r="F58" s="123"/>
      <c r="G58" s="7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spans="1:26" ht="15.75" customHeight="1">
      <c r="A59" s="174" t="s">
        <v>2094</v>
      </c>
      <c r="B59" s="125"/>
      <c r="C59" s="126">
        <v>92</v>
      </c>
      <c r="D59" s="127"/>
      <c r="E59" s="123"/>
      <c r="F59" s="123"/>
      <c r="G59" s="7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spans="1:26" ht="15.75" customHeight="1">
      <c r="A60" s="161" t="s">
        <v>2095</v>
      </c>
      <c r="B60" s="160"/>
      <c r="C60" s="119">
        <v>71</v>
      </c>
      <c r="D60" s="127"/>
      <c r="E60" s="123"/>
      <c r="F60" s="123"/>
      <c r="G60" s="7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spans="1:26" ht="15.75" customHeight="1">
      <c r="A61" s="415" t="s">
        <v>2096</v>
      </c>
      <c r="B61" s="416"/>
      <c r="C61" s="417"/>
      <c r="D61" s="123"/>
      <c r="E61" s="123"/>
      <c r="F61" s="123"/>
      <c r="G61" s="7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5.75" customHeight="1">
      <c r="A62" s="175" t="s">
        <v>2097</v>
      </c>
      <c r="B62" s="175"/>
      <c r="C62" s="53">
        <v>133</v>
      </c>
      <c r="D62" s="127"/>
      <c r="E62" s="123"/>
      <c r="F62" s="123"/>
      <c r="G62" s="7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spans="1:26" ht="15.75" customHeight="1">
      <c r="A63" s="175" t="s">
        <v>2098</v>
      </c>
      <c r="B63" s="175"/>
      <c r="C63" s="53">
        <v>154</v>
      </c>
      <c r="D63" s="127"/>
      <c r="E63" s="123"/>
      <c r="F63" s="123"/>
      <c r="G63" s="7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spans="1:26" ht="15.75" customHeight="1">
      <c r="A64" s="123"/>
      <c r="B64" s="123"/>
      <c r="C64" s="7"/>
      <c r="D64" s="123"/>
      <c r="E64" s="123"/>
      <c r="F64" s="123"/>
      <c r="G64" s="7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spans="1:26" ht="15.75" customHeight="1">
      <c r="A65" s="123"/>
      <c r="B65" s="123"/>
      <c r="C65" s="7"/>
      <c r="D65" s="123"/>
      <c r="E65" s="123"/>
      <c r="F65" s="123"/>
      <c r="G65" s="7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spans="1:26" ht="15.75" customHeight="1">
      <c r="A66" s="123"/>
      <c r="B66" s="123"/>
      <c r="C66" s="7"/>
      <c r="D66" s="123"/>
      <c r="E66" s="123"/>
      <c r="F66" s="123"/>
      <c r="G66" s="7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spans="1:26" ht="15.75" customHeight="1">
      <c r="A67" s="123"/>
      <c r="B67" s="123"/>
      <c r="C67" s="7"/>
      <c r="D67" s="123"/>
      <c r="E67" s="123"/>
      <c r="F67" s="123"/>
      <c r="G67" s="7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spans="1:26" ht="15.75" customHeight="1">
      <c r="A68" s="123"/>
      <c r="B68" s="123"/>
      <c r="C68" s="7"/>
      <c r="D68" s="123"/>
      <c r="E68" s="123"/>
      <c r="F68" s="123"/>
      <c r="G68" s="7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spans="1:26" ht="15.75" customHeight="1">
      <c r="A69" s="123"/>
      <c r="B69" s="123"/>
      <c r="C69" s="7"/>
      <c r="D69" s="123"/>
      <c r="E69" s="123"/>
      <c r="F69" s="123"/>
      <c r="G69" s="7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spans="1:26" ht="15.75" customHeight="1">
      <c r="A70" s="123"/>
      <c r="B70" s="123"/>
      <c r="C70" s="7"/>
      <c r="D70" s="123"/>
      <c r="E70" s="123"/>
      <c r="F70" s="123"/>
      <c r="G70" s="7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spans="1:26" ht="15.75" customHeight="1">
      <c r="A71" s="123"/>
      <c r="B71" s="123"/>
      <c r="C71" s="7"/>
      <c r="D71" s="123"/>
      <c r="E71" s="123"/>
      <c r="F71" s="123"/>
      <c r="G71" s="7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spans="1:26" ht="15.75" customHeight="1">
      <c r="A72" s="123"/>
      <c r="B72" s="123"/>
      <c r="C72" s="7"/>
      <c r="D72" s="123"/>
      <c r="E72" s="123"/>
      <c r="F72" s="123"/>
      <c r="G72" s="7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spans="1:26" ht="15.75" customHeight="1">
      <c r="A73" s="123"/>
      <c r="B73" s="123"/>
      <c r="C73" s="7"/>
      <c r="D73" s="123"/>
      <c r="E73" s="123"/>
      <c r="F73" s="123"/>
      <c r="G73" s="7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spans="1:26" ht="15.75" customHeight="1">
      <c r="A74" s="123"/>
      <c r="B74" s="123"/>
      <c r="C74" s="7"/>
      <c r="D74" s="123"/>
      <c r="E74" s="123"/>
      <c r="F74" s="123"/>
      <c r="G74" s="7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spans="1:26" ht="15.75" customHeight="1">
      <c r="A75" s="123"/>
      <c r="B75" s="123"/>
      <c r="C75" s="7"/>
      <c r="D75" s="123"/>
      <c r="E75" s="123"/>
      <c r="F75" s="123"/>
      <c r="G75" s="7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spans="1:26" ht="15.75" customHeight="1">
      <c r="A76" s="123"/>
      <c r="B76" s="123"/>
      <c r="C76" s="7"/>
      <c r="D76" s="123"/>
      <c r="E76" s="123"/>
      <c r="F76" s="123"/>
      <c r="G76" s="7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spans="1:26" ht="15.75" customHeight="1">
      <c r="A77" s="123"/>
      <c r="B77" s="123"/>
      <c r="C77" s="7"/>
      <c r="D77" s="123"/>
      <c r="E77" s="123"/>
      <c r="F77" s="123"/>
      <c r="G77" s="7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spans="1:26" ht="15.75" customHeight="1">
      <c r="A78" s="123"/>
      <c r="B78" s="123"/>
      <c r="C78" s="7"/>
      <c r="D78" s="123"/>
      <c r="E78" s="123"/>
      <c r="F78" s="123"/>
      <c r="G78" s="7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spans="1:26" ht="15.75" customHeight="1">
      <c r="A79" s="123"/>
      <c r="B79" s="123"/>
      <c r="C79" s="7"/>
      <c r="D79" s="123"/>
      <c r="E79" s="123"/>
      <c r="F79" s="123"/>
      <c r="G79" s="7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spans="1:26" ht="15.75" customHeight="1">
      <c r="A80" s="123"/>
      <c r="B80" s="123"/>
      <c r="C80" s="7"/>
      <c r="D80" s="123"/>
      <c r="E80" s="123"/>
      <c r="F80" s="123"/>
      <c r="G80" s="7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spans="1:26" ht="15.75" customHeight="1">
      <c r="A81" s="123"/>
      <c r="B81" s="123"/>
      <c r="C81" s="7"/>
      <c r="D81" s="123"/>
      <c r="E81" s="123"/>
      <c r="F81" s="123"/>
      <c r="G81" s="7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spans="1:26" ht="15.75" customHeight="1">
      <c r="A82" s="123"/>
      <c r="B82" s="123"/>
      <c r="C82" s="7"/>
      <c r="D82" s="123"/>
      <c r="E82" s="123"/>
      <c r="F82" s="123"/>
      <c r="G82" s="7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spans="1:26" ht="15.75" customHeight="1">
      <c r="A83" s="123"/>
      <c r="B83" s="123"/>
      <c r="C83" s="7"/>
      <c r="D83" s="123"/>
      <c r="E83" s="123"/>
      <c r="F83" s="123"/>
      <c r="G83" s="7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spans="1:26" ht="15.75" customHeight="1">
      <c r="A84" s="123"/>
      <c r="B84" s="123"/>
      <c r="C84" s="7"/>
      <c r="D84" s="123"/>
      <c r="E84" s="123"/>
      <c r="F84" s="123"/>
      <c r="G84" s="7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spans="1:26" ht="15.75" customHeight="1">
      <c r="A85" s="123"/>
      <c r="B85" s="123"/>
      <c r="C85" s="7"/>
      <c r="D85" s="123"/>
      <c r="E85" s="123"/>
      <c r="F85" s="123"/>
      <c r="G85" s="7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spans="1:26" ht="15.75" customHeight="1">
      <c r="A86" s="123"/>
      <c r="B86" s="123"/>
      <c r="C86" s="7"/>
      <c r="D86" s="123"/>
      <c r="E86" s="123"/>
      <c r="F86" s="123"/>
      <c r="G86" s="7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spans="1:26" ht="15.75" customHeight="1">
      <c r="A87" s="123"/>
      <c r="B87" s="123"/>
      <c r="C87" s="7"/>
      <c r="D87" s="123"/>
      <c r="E87" s="123"/>
      <c r="F87" s="123"/>
      <c r="G87" s="7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spans="1:26" ht="15.75" customHeight="1">
      <c r="A88" s="123"/>
      <c r="B88" s="123"/>
      <c r="C88" s="7"/>
      <c r="D88" s="123"/>
      <c r="E88" s="123"/>
      <c r="F88" s="123"/>
      <c r="G88" s="7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spans="1:26" ht="15.75" customHeight="1">
      <c r="A89" s="123"/>
      <c r="B89" s="123"/>
      <c r="C89" s="7"/>
      <c r="D89" s="123"/>
      <c r="E89" s="123"/>
      <c r="F89" s="123"/>
      <c r="G89" s="7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spans="1:26" ht="15.75" customHeight="1">
      <c r="A90" s="123"/>
      <c r="B90" s="123"/>
      <c r="C90" s="7"/>
      <c r="D90" s="123"/>
      <c r="E90" s="123"/>
      <c r="F90" s="123"/>
      <c r="G90" s="7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spans="1:26" ht="15.75" customHeight="1">
      <c r="A91" s="123"/>
      <c r="B91" s="123"/>
      <c r="C91" s="7"/>
      <c r="D91" s="123"/>
      <c r="E91" s="123"/>
      <c r="F91" s="123"/>
      <c r="G91" s="7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spans="1:26" ht="15.75" customHeight="1">
      <c r="A92" s="123"/>
      <c r="B92" s="123"/>
      <c r="C92" s="7"/>
      <c r="D92" s="123"/>
      <c r="E92" s="123"/>
      <c r="F92" s="123"/>
      <c r="G92" s="7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spans="1:26" ht="15.75" customHeight="1">
      <c r="A93" s="123"/>
      <c r="B93" s="123"/>
      <c r="C93" s="7"/>
      <c r="D93" s="123"/>
      <c r="E93" s="123"/>
      <c r="F93" s="123"/>
      <c r="G93" s="7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spans="1:26" ht="15.75" customHeight="1">
      <c r="A94" s="123"/>
      <c r="B94" s="123"/>
      <c r="C94" s="7"/>
      <c r="D94" s="123"/>
      <c r="E94" s="123"/>
      <c r="F94" s="123"/>
      <c r="G94" s="7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spans="1:26" ht="15.75" customHeight="1">
      <c r="A95" s="123"/>
      <c r="B95" s="123"/>
      <c r="C95" s="7"/>
      <c r="D95" s="123"/>
      <c r="E95" s="123"/>
      <c r="F95" s="123"/>
      <c r="G95" s="7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spans="1:26" ht="15.75" customHeight="1">
      <c r="A96" s="123"/>
      <c r="B96" s="123"/>
      <c r="C96" s="7"/>
      <c r="D96" s="123"/>
      <c r="E96" s="123"/>
      <c r="F96" s="123"/>
      <c r="G96" s="7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spans="1:26" ht="15.75" customHeight="1">
      <c r="A97" s="123"/>
      <c r="B97" s="123"/>
      <c r="C97" s="7"/>
      <c r="D97" s="123"/>
      <c r="E97" s="123"/>
      <c r="F97" s="123"/>
      <c r="G97" s="7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spans="1:26" ht="15.75" customHeight="1">
      <c r="A98" s="123"/>
      <c r="B98" s="123"/>
      <c r="C98" s="7"/>
      <c r="D98" s="123"/>
      <c r="E98" s="123"/>
      <c r="F98" s="123"/>
      <c r="G98" s="7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spans="1:26" ht="15.75" customHeight="1">
      <c r="A99" s="123"/>
      <c r="B99" s="123"/>
      <c r="C99" s="7"/>
      <c r="D99" s="123"/>
      <c r="E99" s="123"/>
      <c r="F99" s="123"/>
      <c r="G99" s="7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spans="1:26" ht="15.75" customHeight="1">
      <c r="A100" s="123"/>
      <c r="B100" s="123"/>
      <c r="C100" s="7"/>
      <c r="D100" s="123"/>
      <c r="E100" s="123"/>
      <c r="F100" s="123"/>
      <c r="G100" s="7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</sheetData>
  <mergeCells count="9">
    <mergeCell ref="A54:C54"/>
    <mergeCell ref="A61:C61"/>
    <mergeCell ref="A1:C1"/>
    <mergeCell ref="E1:G1"/>
    <mergeCell ref="A15:C15"/>
    <mergeCell ref="A22:C22"/>
    <mergeCell ref="A26:C26"/>
    <mergeCell ref="A28:C28"/>
    <mergeCell ref="A46:C46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"/>
  <sheetViews>
    <sheetView workbookViewId="0"/>
  </sheetViews>
  <sheetFormatPr defaultColWidth="14.3984375" defaultRowHeight="15" customHeight="1"/>
  <cols>
    <col min="1" max="1" width="29.265625" customWidth="1"/>
    <col min="2" max="2" width="21.1328125" customWidth="1"/>
    <col min="3" max="3" width="78.1328125" customWidth="1"/>
    <col min="4" max="4" width="13.265625" customWidth="1"/>
    <col min="5" max="5" width="17.73046875" customWidth="1"/>
    <col min="6" max="6" width="10.265625" customWidth="1"/>
    <col min="7" max="26" width="8.73046875" customWidth="1"/>
  </cols>
  <sheetData>
    <row r="1" spans="1:26" ht="36" customHeight="1">
      <c r="A1" s="424" t="s">
        <v>2099</v>
      </c>
      <c r="B1" s="408"/>
      <c r="C1" s="408"/>
      <c r="D1" s="408"/>
      <c r="E1" s="408"/>
      <c r="F1" s="407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"/>
      <c r="Z1" s="1"/>
    </row>
    <row r="2" spans="1:26" ht="18" customHeight="1">
      <c r="A2" s="177" t="s">
        <v>2100</v>
      </c>
      <c r="B2" s="177" t="s">
        <v>2101</v>
      </c>
      <c r="C2" s="178" t="s">
        <v>2102</v>
      </c>
      <c r="D2" s="177" t="s">
        <v>2103</v>
      </c>
      <c r="E2" s="177" t="s">
        <v>2104</v>
      </c>
      <c r="F2" s="179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"/>
      <c r="Z2" s="1"/>
    </row>
    <row r="3" spans="1:26" ht="18" customHeight="1">
      <c r="A3" s="180" t="s">
        <v>2105</v>
      </c>
      <c r="B3" s="180" t="s">
        <v>2106</v>
      </c>
      <c r="C3" s="181" t="s">
        <v>2107</v>
      </c>
      <c r="D3" s="180">
        <v>30</v>
      </c>
      <c r="E3" s="182">
        <v>400000</v>
      </c>
      <c r="F3" s="183" t="s">
        <v>2108</v>
      </c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"/>
      <c r="Z3" s="1"/>
    </row>
    <row r="4" spans="1:26" ht="18" customHeight="1">
      <c r="A4" s="180" t="s">
        <v>2105</v>
      </c>
      <c r="B4" s="180" t="s">
        <v>2109</v>
      </c>
      <c r="C4" s="181" t="s">
        <v>2110</v>
      </c>
      <c r="D4" s="180">
        <v>45</v>
      </c>
      <c r="E4" s="182">
        <v>600000</v>
      </c>
      <c r="F4" s="179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"/>
      <c r="Z4" s="1"/>
    </row>
    <row r="5" spans="1:26" ht="18" customHeight="1">
      <c r="A5" s="180" t="s">
        <v>2111</v>
      </c>
      <c r="B5" s="180" t="s">
        <v>2112</v>
      </c>
      <c r="C5" s="181" t="s">
        <v>2113</v>
      </c>
      <c r="D5" s="180">
        <v>30</v>
      </c>
      <c r="E5" s="182">
        <v>400000</v>
      </c>
      <c r="F5" s="183" t="s">
        <v>2108</v>
      </c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"/>
      <c r="Z5" s="1"/>
    </row>
    <row r="6" spans="1:26" ht="18" customHeight="1">
      <c r="A6" s="184" t="s">
        <v>2111</v>
      </c>
      <c r="B6" s="184" t="s">
        <v>2114</v>
      </c>
      <c r="C6" s="185" t="s">
        <v>2115</v>
      </c>
      <c r="D6" s="184">
        <v>110</v>
      </c>
      <c r="E6" s="186">
        <v>1475000</v>
      </c>
      <c r="F6" s="179"/>
      <c r="G6" s="176"/>
      <c r="H6" s="176"/>
      <c r="I6" s="187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"/>
      <c r="Z6" s="1"/>
    </row>
    <row r="7" spans="1:26" ht="18" customHeight="1">
      <c r="A7" s="177" t="s">
        <v>2116</v>
      </c>
      <c r="B7" s="184" t="s">
        <v>2117</v>
      </c>
      <c r="C7" s="178" t="s">
        <v>2118</v>
      </c>
      <c r="D7" s="177">
        <v>6</v>
      </c>
      <c r="E7" s="188">
        <v>80000</v>
      </c>
      <c r="F7" s="183" t="s">
        <v>2108</v>
      </c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"/>
      <c r="Z7" s="1"/>
    </row>
    <row r="8" spans="1:26" ht="18" customHeight="1">
      <c r="A8" s="177" t="s">
        <v>2116</v>
      </c>
      <c r="B8" s="177" t="s">
        <v>2119</v>
      </c>
      <c r="C8" s="178" t="s">
        <v>2120</v>
      </c>
      <c r="D8" s="177">
        <v>7</v>
      </c>
      <c r="E8" s="188">
        <v>100000</v>
      </c>
      <c r="F8" s="179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"/>
      <c r="Z8" s="1"/>
    </row>
    <row r="9" spans="1:26" ht="18" customHeight="1">
      <c r="A9" s="177" t="s">
        <v>2116</v>
      </c>
      <c r="B9" s="177" t="s">
        <v>2121</v>
      </c>
      <c r="C9" s="178" t="s">
        <v>2122</v>
      </c>
      <c r="D9" s="177">
        <v>10</v>
      </c>
      <c r="E9" s="188">
        <v>135000</v>
      </c>
      <c r="F9" s="183" t="s">
        <v>2108</v>
      </c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"/>
      <c r="Z9" s="1"/>
    </row>
    <row r="10" spans="1:26" ht="18" customHeight="1">
      <c r="A10" s="177" t="s">
        <v>2116</v>
      </c>
      <c r="B10" s="177" t="s">
        <v>2123</v>
      </c>
      <c r="C10" s="178" t="s">
        <v>2124</v>
      </c>
      <c r="D10" s="177">
        <v>15</v>
      </c>
      <c r="E10" s="188">
        <v>200000</v>
      </c>
      <c r="F10" s="183" t="s">
        <v>2108</v>
      </c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"/>
      <c r="Z10" s="1"/>
    </row>
    <row r="11" spans="1:26" ht="18" customHeight="1">
      <c r="A11" s="177" t="s">
        <v>2116</v>
      </c>
      <c r="B11" s="177" t="s">
        <v>2125</v>
      </c>
      <c r="C11" s="178" t="s">
        <v>2126</v>
      </c>
      <c r="D11" s="177">
        <v>15</v>
      </c>
      <c r="E11" s="188">
        <v>200000</v>
      </c>
      <c r="F11" s="183" t="s">
        <v>2108</v>
      </c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"/>
      <c r="Z11" s="1"/>
    </row>
    <row r="12" spans="1:26" ht="18" customHeight="1">
      <c r="A12" s="177" t="s">
        <v>2116</v>
      </c>
      <c r="B12" s="177" t="s">
        <v>2127</v>
      </c>
      <c r="C12" s="178" t="s">
        <v>2128</v>
      </c>
      <c r="D12" s="177">
        <v>15</v>
      </c>
      <c r="E12" s="188">
        <v>200000</v>
      </c>
      <c r="F12" s="183" t="s">
        <v>2108</v>
      </c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"/>
      <c r="Z12" s="1"/>
    </row>
    <row r="13" spans="1:26" ht="18" customHeight="1">
      <c r="A13" s="177" t="s">
        <v>2116</v>
      </c>
      <c r="B13" s="177" t="s">
        <v>2129</v>
      </c>
      <c r="C13" s="178" t="s">
        <v>2130</v>
      </c>
      <c r="D13" s="177">
        <v>20</v>
      </c>
      <c r="E13" s="188">
        <v>270000</v>
      </c>
      <c r="F13" s="183" t="s">
        <v>2108</v>
      </c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"/>
      <c r="Z13" s="1"/>
    </row>
    <row r="14" spans="1:26" ht="18" customHeight="1">
      <c r="A14" s="177" t="s">
        <v>2116</v>
      </c>
      <c r="B14" s="177" t="s">
        <v>2131</v>
      </c>
      <c r="C14" s="178" t="s">
        <v>2132</v>
      </c>
      <c r="D14" s="177">
        <v>20</v>
      </c>
      <c r="E14" s="188">
        <v>270000</v>
      </c>
      <c r="F14" s="183" t="s">
        <v>2108</v>
      </c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"/>
      <c r="Z14" s="1"/>
    </row>
    <row r="15" spans="1:26" ht="18" customHeight="1">
      <c r="A15" s="177" t="s">
        <v>2116</v>
      </c>
      <c r="B15" s="177" t="s">
        <v>2133</v>
      </c>
      <c r="C15" s="178" t="s">
        <v>2134</v>
      </c>
      <c r="D15" s="177">
        <v>20</v>
      </c>
      <c r="E15" s="188">
        <v>270000</v>
      </c>
      <c r="F15" s="183" t="s">
        <v>2108</v>
      </c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"/>
      <c r="Z15" s="1"/>
    </row>
    <row r="16" spans="1:26" ht="18" customHeight="1">
      <c r="A16" s="177" t="s">
        <v>2116</v>
      </c>
      <c r="B16" s="177" t="s">
        <v>2135</v>
      </c>
      <c r="C16" s="178" t="s">
        <v>2136</v>
      </c>
      <c r="D16" s="177">
        <v>25</v>
      </c>
      <c r="E16" s="188">
        <v>340000</v>
      </c>
      <c r="F16" s="179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"/>
      <c r="Z16" s="1"/>
    </row>
    <row r="17" spans="1:26" ht="18" customHeight="1">
      <c r="A17" s="177" t="s">
        <v>2116</v>
      </c>
      <c r="B17" s="177" t="s">
        <v>2137</v>
      </c>
      <c r="C17" s="178" t="s">
        <v>2138</v>
      </c>
      <c r="D17" s="177">
        <v>30</v>
      </c>
      <c r="E17" s="188">
        <v>400000</v>
      </c>
      <c r="F17" s="183" t="s">
        <v>2108</v>
      </c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"/>
      <c r="Z17" s="1"/>
    </row>
    <row r="18" spans="1:26" ht="18" customHeight="1">
      <c r="A18" s="177" t="s">
        <v>2116</v>
      </c>
      <c r="B18" s="177" t="s">
        <v>2139</v>
      </c>
      <c r="C18" s="178" t="s">
        <v>2140</v>
      </c>
      <c r="D18" s="177">
        <v>40</v>
      </c>
      <c r="E18" s="188">
        <v>535000</v>
      </c>
      <c r="F18" s="183" t="s">
        <v>2108</v>
      </c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"/>
      <c r="Z18" s="1"/>
    </row>
    <row r="19" spans="1:26" ht="18" customHeight="1">
      <c r="A19" s="177" t="s">
        <v>2116</v>
      </c>
      <c r="B19" s="177" t="s">
        <v>2141</v>
      </c>
      <c r="C19" s="178" t="s">
        <v>2142</v>
      </c>
      <c r="D19" s="177">
        <v>45</v>
      </c>
      <c r="E19" s="188">
        <v>600000</v>
      </c>
      <c r="F19" s="179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"/>
      <c r="Z19" s="1"/>
    </row>
    <row r="20" spans="1:26" ht="18" customHeight="1">
      <c r="A20" s="177" t="s">
        <v>2116</v>
      </c>
      <c r="B20" s="177" t="s">
        <v>2143</v>
      </c>
      <c r="C20" s="178" t="s">
        <v>2144</v>
      </c>
      <c r="D20" s="177">
        <v>50</v>
      </c>
      <c r="E20" s="188">
        <v>670000</v>
      </c>
      <c r="F20" s="183" t="s">
        <v>2108</v>
      </c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"/>
      <c r="Z20" s="1"/>
    </row>
    <row r="21" spans="1:26" ht="18" customHeight="1">
      <c r="A21" s="177" t="s">
        <v>2116</v>
      </c>
      <c r="B21" s="177" t="s">
        <v>2145</v>
      </c>
      <c r="C21" s="178" t="s">
        <v>2146</v>
      </c>
      <c r="D21" s="177">
        <v>55</v>
      </c>
      <c r="E21" s="188">
        <v>740000</v>
      </c>
      <c r="F21" s="179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"/>
      <c r="Z21" s="1"/>
    </row>
    <row r="22" spans="1:26" ht="18" customHeight="1">
      <c r="A22" s="177" t="s">
        <v>2147</v>
      </c>
      <c r="B22" s="177" t="s">
        <v>2148</v>
      </c>
      <c r="C22" s="178" t="s">
        <v>2149</v>
      </c>
      <c r="D22" s="177">
        <v>15</v>
      </c>
      <c r="E22" s="188">
        <v>200000</v>
      </c>
      <c r="F22" s="183" t="s">
        <v>2108</v>
      </c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"/>
      <c r="Z22" s="1"/>
    </row>
    <row r="23" spans="1:26" ht="18" customHeight="1">
      <c r="A23" s="177" t="s">
        <v>2147</v>
      </c>
      <c r="B23" s="177" t="s">
        <v>2150</v>
      </c>
      <c r="C23" s="178" t="s">
        <v>2151</v>
      </c>
      <c r="D23" s="177">
        <v>25</v>
      </c>
      <c r="E23" s="188">
        <v>340000</v>
      </c>
      <c r="F23" s="183" t="s">
        <v>2108</v>
      </c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"/>
      <c r="Z23" s="1"/>
    </row>
    <row r="24" spans="1:26" ht="18" customHeight="1">
      <c r="A24" s="177" t="s">
        <v>2147</v>
      </c>
      <c r="B24" s="177" t="s">
        <v>2152</v>
      </c>
      <c r="C24" s="178" t="s">
        <v>2153</v>
      </c>
      <c r="D24" s="177">
        <v>35</v>
      </c>
      <c r="E24" s="188">
        <v>470000</v>
      </c>
      <c r="F24" s="179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"/>
      <c r="Z24" s="1"/>
    </row>
    <row r="25" spans="1:26" ht="18" customHeight="1">
      <c r="A25" s="177" t="s">
        <v>2147</v>
      </c>
      <c r="B25" s="177" t="s">
        <v>2154</v>
      </c>
      <c r="C25" s="178" t="s">
        <v>2155</v>
      </c>
      <c r="D25" s="177">
        <v>35</v>
      </c>
      <c r="E25" s="188">
        <v>470000</v>
      </c>
      <c r="F25" s="179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"/>
      <c r="Z25" s="1"/>
    </row>
    <row r="26" spans="1:26" ht="18" customHeight="1">
      <c r="A26" s="177" t="s">
        <v>2147</v>
      </c>
      <c r="B26" s="177" t="s">
        <v>2156</v>
      </c>
      <c r="C26" s="178" t="s">
        <v>2157</v>
      </c>
      <c r="D26" s="177">
        <v>55</v>
      </c>
      <c r="E26" s="188">
        <v>740000</v>
      </c>
      <c r="F26" s="179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"/>
      <c r="Z26" s="1"/>
    </row>
    <row r="27" spans="1:26" ht="18" customHeight="1">
      <c r="A27" s="177" t="s">
        <v>2147</v>
      </c>
      <c r="B27" s="177" t="s">
        <v>2158</v>
      </c>
      <c r="C27" s="178" t="s">
        <v>2159</v>
      </c>
      <c r="D27" s="177">
        <v>60</v>
      </c>
      <c r="E27" s="188">
        <v>800000</v>
      </c>
      <c r="F27" s="179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"/>
      <c r="Z27" s="1"/>
    </row>
    <row r="28" spans="1:26" ht="18" customHeight="1">
      <c r="A28" s="177" t="s">
        <v>2147</v>
      </c>
      <c r="B28" s="177" t="s">
        <v>2160</v>
      </c>
      <c r="C28" s="178" t="s">
        <v>2161</v>
      </c>
      <c r="D28" s="177">
        <v>65</v>
      </c>
      <c r="E28" s="188">
        <v>870000</v>
      </c>
      <c r="F28" s="179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"/>
      <c r="Z28" s="1"/>
    </row>
    <row r="29" spans="1:26" ht="18" customHeight="1">
      <c r="A29" s="177" t="s">
        <v>2147</v>
      </c>
      <c r="B29" s="177" t="s">
        <v>2162</v>
      </c>
      <c r="C29" s="178" t="s">
        <v>2163</v>
      </c>
      <c r="D29" s="177">
        <v>75</v>
      </c>
      <c r="E29" s="188">
        <v>1000000</v>
      </c>
      <c r="F29" s="179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"/>
      <c r="Z29" s="1"/>
    </row>
    <row r="30" spans="1:26" ht="18" customHeight="1">
      <c r="A30" s="177" t="s">
        <v>2164</v>
      </c>
      <c r="B30" s="177" t="s">
        <v>2165</v>
      </c>
      <c r="C30" s="178" t="s">
        <v>2166</v>
      </c>
      <c r="D30" s="177">
        <v>8</v>
      </c>
      <c r="E30" s="188">
        <v>110000</v>
      </c>
      <c r="F30" s="179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"/>
      <c r="Z30" s="1"/>
    </row>
    <row r="31" spans="1:26" ht="18" customHeight="1">
      <c r="A31" s="177" t="s">
        <v>2164</v>
      </c>
      <c r="B31" s="177" t="s">
        <v>2167</v>
      </c>
      <c r="C31" s="178" t="s">
        <v>2168</v>
      </c>
      <c r="D31" s="177">
        <v>10</v>
      </c>
      <c r="E31" s="188">
        <v>135000</v>
      </c>
      <c r="F31" s="183" t="s">
        <v>2108</v>
      </c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"/>
      <c r="Z31" s="1"/>
    </row>
    <row r="32" spans="1:26" ht="18" customHeight="1">
      <c r="A32" s="177" t="s">
        <v>2164</v>
      </c>
      <c r="B32" s="177" t="s">
        <v>2169</v>
      </c>
      <c r="C32" s="178" t="s">
        <v>2170</v>
      </c>
      <c r="D32" s="177">
        <v>10</v>
      </c>
      <c r="E32" s="188">
        <v>135000</v>
      </c>
      <c r="F32" s="179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"/>
      <c r="Z32" s="1"/>
    </row>
    <row r="33" spans="1:26" ht="18" customHeight="1">
      <c r="A33" s="177" t="s">
        <v>2164</v>
      </c>
      <c r="B33" s="177" t="s">
        <v>2171</v>
      </c>
      <c r="C33" s="178" t="s">
        <v>2172</v>
      </c>
      <c r="D33" s="177">
        <v>20</v>
      </c>
      <c r="E33" s="188">
        <v>270000</v>
      </c>
      <c r="F33" s="179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"/>
      <c r="Z33" s="1"/>
    </row>
    <row r="34" spans="1:26" ht="18" customHeight="1">
      <c r="A34" s="177" t="s">
        <v>2173</v>
      </c>
      <c r="B34" s="177" t="s">
        <v>2174</v>
      </c>
      <c r="C34" s="178" t="s">
        <v>2175</v>
      </c>
      <c r="D34" s="177">
        <v>25</v>
      </c>
      <c r="E34" s="188">
        <v>340000</v>
      </c>
      <c r="F34" s="183" t="s">
        <v>2108</v>
      </c>
      <c r="G34" s="189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"/>
      <c r="Z34" s="1"/>
    </row>
    <row r="35" spans="1:26" ht="18" customHeight="1">
      <c r="A35" s="177" t="s">
        <v>2173</v>
      </c>
      <c r="B35" s="177" t="s">
        <v>2176</v>
      </c>
      <c r="C35" s="178" t="s">
        <v>2177</v>
      </c>
      <c r="D35" s="177">
        <v>25</v>
      </c>
      <c r="E35" s="188">
        <v>340000</v>
      </c>
      <c r="F35" s="183" t="s">
        <v>2108</v>
      </c>
      <c r="G35" s="189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"/>
      <c r="Z35" s="1"/>
    </row>
    <row r="36" spans="1:26" ht="18" customHeight="1">
      <c r="A36" s="177" t="s">
        <v>2173</v>
      </c>
      <c r="B36" s="177" t="s">
        <v>2178</v>
      </c>
      <c r="C36" s="178" t="s">
        <v>2179</v>
      </c>
      <c r="D36" s="177">
        <v>60</v>
      </c>
      <c r="E36" s="188">
        <v>800000</v>
      </c>
      <c r="F36" s="179"/>
      <c r="G36" s="189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"/>
      <c r="Z36" s="1"/>
    </row>
    <row r="37" spans="1:26" ht="18" customHeight="1">
      <c r="A37" s="177" t="s">
        <v>2180</v>
      </c>
      <c r="B37" s="177" t="s">
        <v>2181</v>
      </c>
      <c r="C37" s="178" t="s">
        <v>2182</v>
      </c>
      <c r="D37" s="177">
        <v>25</v>
      </c>
      <c r="E37" s="188">
        <v>340000</v>
      </c>
      <c r="F37" s="183" t="s">
        <v>2108</v>
      </c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"/>
      <c r="Z37" s="1"/>
    </row>
    <row r="38" spans="1:26" ht="18" customHeight="1">
      <c r="A38" s="177" t="s">
        <v>2180</v>
      </c>
      <c r="B38" s="177" t="s">
        <v>2183</v>
      </c>
      <c r="C38" s="178" t="s">
        <v>2184</v>
      </c>
      <c r="D38" s="177">
        <v>35</v>
      </c>
      <c r="E38" s="188">
        <v>470000</v>
      </c>
      <c r="F38" s="183" t="s">
        <v>2108</v>
      </c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"/>
      <c r="Z38" s="1"/>
    </row>
    <row r="39" spans="1:26" ht="18" customHeight="1">
      <c r="A39" s="177" t="s">
        <v>2180</v>
      </c>
      <c r="B39" s="177" t="s">
        <v>2185</v>
      </c>
      <c r="C39" s="178" t="s">
        <v>2186</v>
      </c>
      <c r="D39" s="177">
        <v>40</v>
      </c>
      <c r="E39" s="188">
        <v>535000</v>
      </c>
      <c r="F39" s="179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"/>
      <c r="Z39" s="1"/>
    </row>
    <row r="40" spans="1:26" ht="18" customHeight="1">
      <c r="A40" s="177" t="s">
        <v>2180</v>
      </c>
      <c r="B40" s="177" t="s">
        <v>2187</v>
      </c>
      <c r="C40" s="178" t="s">
        <v>2188</v>
      </c>
      <c r="D40" s="177">
        <v>85</v>
      </c>
      <c r="E40" s="188">
        <v>1140000</v>
      </c>
      <c r="F40" s="179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"/>
      <c r="Z40" s="1"/>
    </row>
    <row r="41" spans="1:26" ht="18" customHeight="1">
      <c r="A41" s="177" t="s">
        <v>2180</v>
      </c>
      <c r="B41" s="177" t="s">
        <v>2189</v>
      </c>
      <c r="C41" s="178" t="s">
        <v>2190</v>
      </c>
      <c r="D41" s="177">
        <v>90</v>
      </c>
      <c r="E41" s="188">
        <v>1200000</v>
      </c>
      <c r="F41" s="179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"/>
      <c r="Z41" s="1"/>
    </row>
    <row r="42" spans="1:26" ht="18" customHeight="1">
      <c r="A42" s="177" t="s">
        <v>2180</v>
      </c>
      <c r="B42" s="177" t="s">
        <v>2191</v>
      </c>
      <c r="C42" s="178" t="s">
        <v>2192</v>
      </c>
      <c r="D42" s="177">
        <v>100</v>
      </c>
      <c r="E42" s="188">
        <v>1340000</v>
      </c>
      <c r="F42" s="179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"/>
      <c r="Z42" s="1"/>
    </row>
    <row r="43" spans="1:26" ht="18" customHeight="1">
      <c r="A43" s="177" t="s">
        <v>2193</v>
      </c>
      <c r="B43" s="177" t="s">
        <v>2194</v>
      </c>
      <c r="C43" s="178" t="s">
        <v>2195</v>
      </c>
      <c r="D43" s="177">
        <v>100</v>
      </c>
      <c r="E43" s="188">
        <v>1340000</v>
      </c>
      <c r="F43" s="179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"/>
      <c r="Z43" s="1"/>
    </row>
    <row r="44" spans="1:26" ht="18" customHeight="1">
      <c r="A44" s="177" t="s">
        <v>2196</v>
      </c>
      <c r="B44" s="177" t="s">
        <v>2197</v>
      </c>
      <c r="C44" s="178" t="s">
        <v>2198</v>
      </c>
      <c r="D44" s="177">
        <v>30</v>
      </c>
      <c r="E44" s="188">
        <v>400000</v>
      </c>
      <c r="F44" s="179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"/>
      <c r="Z44" s="1"/>
    </row>
    <row r="45" spans="1:26" ht="18" customHeight="1">
      <c r="A45" s="177" t="s">
        <v>2199</v>
      </c>
      <c r="B45" s="177" t="s">
        <v>2200</v>
      </c>
      <c r="C45" s="178" t="s">
        <v>2201</v>
      </c>
      <c r="D45" s="177">
        <v>35</v>
      </c>
      <c r="E45" s="188">
        <v>470000</v>
      </c>
      <c r="F45" s="179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"/>
      <c r="Z45" s="1"/>
    </row>
    <row r="46" spans="1:26" ht="18" customHeight="1">
      <c r="A46" s="177" t="s">
        <v>2199</v>
      </c>
      <c r="B46" s="177" t="s">
        <v>2202</v>
      </c>
      <c r="C46" s="178" t="s">
        <v>2203</v>
      </c>
      <c r="D46" s="177">
        <v>65</v>
      </c>
      <c r="E46" s="188">
        <v>870000</v>
      </c>
      <c r="F46" s="179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"/>
      <c r="Z46" s="1"/>
    </row>
    <row r="47" spans="1:26" ht="18" customHeight="1">
      <c r="A47" s="177" t="s">
        <v>2199</v>
      </c>
      <c r="B47" s="177" t="s">
        <v>2204</v>
      </c>
      <c r="C47" s="178" t="s">
        <v>2205</v>
      </c>
      <c r="D47" s="177">
        <v>95</v>
      </c>
      <c r="E47" s="188">
        <v>1275000</v>
      </c>
      <c r="F47" s="179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"/>
      <c r="Z47" s="1"/>
    </row>
    <row r="48" spans="1:26" ht="18" customHeight="1">
      <c r="A48" s="177" t="s">
        <v>2206</v>
      </c>
      <c r="B48" s="177" t="s">
        <v>2207</v>
      </c>
      <c r="C48" s="178" t="s">
        <v>2208</v>
      </c>
      <c r="D48" s="177">
        <v>210</v>
      </c>
      <c r="E48" s="188">
        <v>2815000</v>
      </c>
      <c r="F48" s="183" t="s">
        <v>2108</v>
      </c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"/>
      <c r="Z48" s="1"/>
    </row>
    <row r="49" spans="1:26" ht="18" customHeight="1">
      <c r="A49" s="177" t="s">
        <v>2209</v>
      </c>
      <c r="B49" s="177" t="s">
        <v>2210</v>
      </c>
      <c r="C49" s="178" t="s">
        <v>2211</v>
      </c>
      <c r="D49" s="177">
        <v>45</v>
      </c>
      <c r="E49" s="188">
        <v>600000</v>
      </c>
      <c r="F49" s="183" t="s">
        <v>2108</v>
      </c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"/>
      <c r="Z49" s="1"/>
    </row>
    <row r="50" spans="1:26" ht="18" customHeight="1">
      <c r="A50" s="177" t="s">
        <v>2212</v>
      </c>
      <c r="B50" s="177" t="s">
        <v>2213</v>
      </c>
      <c r="C50" s="178" t="s">
        <v>2214</v>
      </c>
      <c r="D50" s="177">
        <v>20</v>
      </c>
      <c r="E50" s="188">
        <v>270000</v>
      </c>
      <c r="F50" s="179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"/>
      <c r="Z50" s="1"/>
    </row>
    <row r="51" spans="1:26" ht="18" customHeight="1">
      <c r="A51" s="177" t="s">
        <v>2212</v>
      </c>
      <c r="B51" s="177" t="s">
        <v>2215</v>
      </c>
      <c r="C51" s="178" t="s">
        <v>2216</v>
      </c>
      <c r="D51" s="177">
        <v>20</v>
      </c>
      <c r="E51" s="188">
        <v>270000</v>
      </c>
      <c r="F51" s="183" t="s">
        <v>2108</v>
      </c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"/>
      <c r="Z51" s="1"/>
    </row>
    <row r="52" spans="1:26" ht="18" customHeight="1">
      <c r="A52" s="177" t="s">
        <v>2212</v>
      </c>
      <c r="B52" s="177" t="s">
        <v>2217</v>
      </c>
      <c r="C52" s="178" t="s">
        <v>2218</v>
      </c>
      <c r="D52" s="177">
        <v>25</v>
      </c>
      <c r="E52" s="188">
        <v>340000</v>
      </c>
      <c r="F52" s="179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"/>
      <c r="Z52" s="1"/>
    </row>
    <row r="53" spans="1:26" ht="18" customHeight="1">
      <c r="A53" s="177" t="s">
        <v>2212</v>
      </c>
      <c r="B53" s="177" t="s">
        <v>2219</v>
      </c>
      <c r="C53" s="178" t="s">
        <v>2220</v>
      </c>
      <c r="D53" s="177">
        <v>25</v>
      </c>
      <c r="E53" s="188">
        <v>340000</v>
      </c>
      <c r="F53" s="183" t="s">
        <v>2108</v>
      </c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"/>
      <c r="Z53" s="1"/>
    </row>
    <row r="54" spans="1:26" ht="18" customHeight="1">
      <c r="A54" s="177" t="s">
        <v>2212</v>
      </c>
      <c r="B54" s="177" t="s">
        <v>2221</v>
      </c>
      <c r="C54" s="178" t="s">
        <v>2222</v>
      </c>
      <c r="D54" s="177">
        <v>25</v>
      </c>
      <c r="E54" s="188">
        <v>340000</v>
      </c>
      <c r="F54" s="183" t="s">
        <v>2108</v>
      </c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"/>
      <c r="Z54" s="1"/>
    </row>
    <row r="55" spans="1:26" ht="18" customHeight="1">
      <c r="A55" s="177" t="s">
        <v>2212</v>
      </c>
      <c r="B55" s="177" t="s">
        <v>2223</v>
      </c>
      <c r="C55" s="178" t="s">
        <v>2224</v>
      </c>
      <c r="D55" s="177">
        <v>30</v>
      </c>
      <c r="E55" s="188">
        <v>400000</v>
      </c>
      <c r="F55" s="183" t="s">
        <v>2108</v>
      </c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"/>
      <c r="Z55" s="1"/>
    </row>
    <row r="56" spans="1:26" ht="18" customHeight="1">
      <c r="A56" s="177" t="s">
        <v>2225</v>
      </c>
      <c r="B56" s="177" t="s">
        <v>2226</v>
      </c>
      <c r="C56" s="178" t="s">
        <v>2227</v>
      </c>
      <c r="D56" s="177">
        <v>20</v>
      </c>
      <c r="E56" s="188">
        <v>270000</v>
      </c>
      <c r="F56" s="179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"/>
      <c r="Z56" s="1"/>
    </row>
    <row r="57" spans="1:26" ht="18" customHeight="1">
      <c r="A57" s="177" t="s">
        <v>2225</v>
      </c>
      <c r="B57" s="177" t="s">
        <v>2228</v>
      </c>
      <c r="C57" s="178" t="s">
        <v>2229</v>
      </c>
      <c r="D57" s="177">
        <v>35</v>
      </c>
      <c r="E57" s="188">
        <v>470000</v>
      </c>
      <c r="F57" s="179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"/>
      <c r="Z57" s="1"/>
    </row>
    <row r="58" spans="1:26" ht="18" customHeight="1">
      <c r="A58" s="177" t="s">
        <v>2230</v>
      </c>
      <c r="B58" s="177" t="s">
        <v>2231</v>
      </c>
      <c r="C58" s="178" t="s">
        <v>2232</v>
      </c>
      <c r="D58" s="177">
        <v>20</v>
      </c>
      <c r="E58" s="188">
        <v>270000</v>
      </c>
      <c r="F58" s="179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"/>
      <c r="Z58" s="1"/>
    </row>
    <row r="59" spans="1:26" ht="18" customHeight="1">
      <c r="A59" s="177" t="s">
        <v>2230</v>
      </c>
      <c r="B59" s="177" t="s">
        <v>2233</v>
      </c>
      <c r="C59" s="178" t="s">
        <v>2234</v>
      </c>
      <c r="D59" s="177">
        <v>20</v>
      </c>
      <c r="E59" s="188">
        <v>270000</v>
      </c>
      <c r="F59" s="179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"/>
      <c r="Z59" s="1"/>
    </row>
    <row r="60" spans="1:26" ht="18" customHeight="1">
      <c r="A60" s="177" t="s">
        <v>2230</v>
      </c>
      <c r="B60" s="177" t="s">
        <v>2235</v>
      </c>
      <c r="C60" s="178" t="s">
        <v>2236</v>
      </c>
      <c r="D60" s="177">
        <v>25</v>
      </c>
      <c r="E60" s="188">
        <v>340000</v>
      </c>
      <c r="F60" s="183" t="s">
        <v>2108</v>
      </c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"/>
      <c r="Z60" s="1"/>
    </row>
    <row r="61" spans="1:26" ht="18" customHeight="1">
      <c r="A61" s="177" t="s">
        <v>2230</v>
      </c>
      <c r="B61" s="179"/>
      <c r="C61" s="178" t="s">
        <v>2237</v>
      </c>
      <c r="D61" s="177">
        <v>25</v>
      </c>
      <c r="E61" s="188">
        <v>340000</v>
      </c>
      <c r="F61" s="179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"/>
      <c r="Z61" s="1"/>
    </row>
    <row r="62" spans="1:26" ht="18" customHeight="1">
      <c r="A62" s="177" t="s">
        <v>2230</v>
      </c>
      <c r="B62" s="177" t="s">
        <v>2238</v>
      </c>
      <c r="C62" s="178" t="s">
        <v>2239</v>
      </c>
      <c r="D62" s="177">
        <v>40</v>
      </c>
      <c r="E62" s="188">
        <v>540000</v>
      </c>
      <c r="F62" s="179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"/>
      <c r="Z62" s="1"/>
    </row>
    <row r="63" spans="1:26" ht="18" customHeight="1">
      <c r="A63" s="177" t="s">
        <v>2230</v>
      </c>
      <c r="B63" s="177" t="s">
        <v>2240</v>
      </c>
      <c r="C63" s="178" t="s">
        <v>2241</v>
      </c>
      <c r="D63" s="177">
        <v>40</v>
      </c>
      <c r="E63" s="188">
        <v>540000</v>
      </c>
      <c r="F63" s="179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"/>
      <c r="Z63" s="1"/>
    </row>
    <row r="64" spans="1:26" ht="18" customHeight="1">
      <c r="A64" s="177" t="s">
        <v>2230</v>
      </c>
      <c r="B64" s="177" t="s">
        <v>2242</v>
      </c>
      <c r="C64" s="178" t="s">
        <v>2243</v>
      </c>
      <c r="D64" s="177">
        <v>40</v>
      </c>
      <c r="E64" s="188">
        <v>540000</v>
      </c>
      <c r="F64" s="179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"/>
      <c r="Z64" s="1"/>
    </row>
    <row r="65" spans="1:26" ht="18" customHeight="1">
      <c r="A65" s="177" t="s">
        <v>2230</v>
      </c>
      <c r="B65" s="177" t="s">
        <v>2244</v>
      </c>
      <c r="C65" s="178" t="s">
        <v>2245</v>
      </c>
      <c r="D65" s="177">
        <v>65</v>
      </c>
      <c r="E65" s="188">
        <v>870000</v>
      </c>
      <c r="F65" s="179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"/>
      <c r="Z65" s="1"/>
    </row>
    <row r="66" spans="1:26" ht="18" customHeight="1">
      <c r="A66" s="177" t="s">
        <v>2230</v>
      </c>
      <c r="B66" s="179"/>
      <c r="C66" s="178" t="s">
        <v>2246</v>
      </c>
      <c r="D66" s="177">
        <v>70</v>
      </c>
      <c r="E66" s="188">
        <v>940000</v>
      </c>
      <c r="F66" s="179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"/>
      <c r="Z66" s="1"/>
    </row>
    <row r="67" spans="1:26" ht="18" customHeight="1">
      <c r="A67" s="177" t="s">
        <v>2230</v>
      </c>
      <c r="B67" s="177" t="s">
        <v>2247</v>
      </c>
      <c r="C67" s="178" t="s">
        <v>2248</v>
      </c>
      <c r="D67" s="177">
        <v>70</v>
      </c>
      <c r="E67" s="188">
        <v>940000</v>
      </c>
      <c r="F67" s="179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"/>
      <c r="Z67" s="1"/>
    </row>
    <row r="68" spans="1:26" ht="18" customHeight="1">
      <c r="A68" s="177" t="s">
        <v>2230</v>
      </c>
      <c r="B68" s="177" t="s">
        <v>2249</v>
      </c>
      <c r="C68" s="178" t="s">
        <v>2250</v>
      </c>
      <c r="D68" s="177">
        <v>75</v>
      </c>
      <c r="E68" s="188">
        <v>1000000</v>
      </c>
      <c r="F68" s="179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"/>
      <c r="Z68" s="1"/>
    </row>
    <row r="69" spans="1:26" ht="18" customHeight="1">
      <c r="A69" s="177" t="s">
        <v>2230</v>
      </c>
      <c r="B69" s="177" t="s">
        <v>2251</v>
      </c>
      <c r="C69" s="178" t="s">
        <v>2252</v>
      </c>
      <c r="D69" s="177">
        <v>90</v>
      </c>
      <c r="E69" s="188">
        <v>1200000</v>
      </c>
      <c r="F69" s="179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"/>
      <c r="Z69" s="1"/>
    </row>
    <row r="70" spans="1:26" ht="18" customHeight="1">
      <c r="A70" s="177" t="s">
        <v>2253</v>
      </c>
      <c r="B70" s="177" t="s">
        <v>2254</v>
      </c>
      <c r="C70" s="178" t="s">
        <v>2255</v>
      </c>
      <c r="D70" s="177">
        <v>150</v>
      </c>
      <c r="E70" s="188">
        <v>2000000</v>
      </c>
      <c r="F70" s="179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"/>
      <c r="Z70" s="1"/>
    </row>
    <row r="71" spans="1:26" ht="18" customHeight="1">
      <c r="A71" s="177" t="s">
        <v>2253</v>
      </c>
      <c r="B71" s="177" t="s">
        <v>2256</v>
      </c>
      <c r="C71" s="178" t="s">
        <v>2257</v>
      </c>
      <c r="D71" s="177">
        <v>250</v>
      </c>
      <c r="E71" s="188">
        <v>3350000</v>
      </c>
      <c r="F71" s="179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"/>
      <c r="Z71" s="1"/>
    </row>
    <row r="72" spans="1:26" ht="18" customHeight="1">
      <c r="A72" s="176"/>
      <c r="B72" s="176"/>
      <c r="C72" s="190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"/>
      <c r="Z72" s="1"/>
    </row>
    <row r="73" spans="1:26" ht="18" customHeight="1">
      <c r="A73" s="176"/>
      <c r="B73" s="176"/>
      <c r="C73" s="190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"/>
      <c r="Z73" s="1"/>
    </row>
    <row r="74" spans="1:26" ht="18" customHeight="1">
      <c r="A74" s="176"/>
      <c r="B74" s="176"/>
      <c r="C74" s="190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"/>
      <c r="Z74" s="1"/>
    </row>
    <row r="75" spans="1:26" ht="18" customHeight="1">
      <c r="A75" s="176"/>
      <c r="B75" s="176"/>
      <c r="C75" s="190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"/>
      <c r="Z75" s="1"/>
    </row>
    <row r="76" spans="1:26" ht="18" customHeight="1">
      <c r="A76" s="176"/>
      <c r="B76" s="176"/>
      <c r="C76" s="190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"/>
      <c r="Z76" s="1"/>
    </row>
    <row r="77" spans="1:26" ht="18" customHeight="1">
      <c r="A77" s="176"/>
      <c r="B77" s="176"/>
      <c r="C77" s="190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"/>
      <c r="Z77" s="1"/>
    </row>
    <row r="78" spans="1:26" ht="18" customHeight="1">
      <c r="A78" s="176"/>
      <c r="B78" s="176"/>
      <c r="C78" s="190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"/>
      <c r="Z78" s="1"/>
    </row>
    <row r="79" spans="1:26" ht="18" customHeight="1">
      <c r="A79" s="176"/>
      <c r="B79" s="176"/>
      <c r="C79" s="190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"/>
      <c r="Z79" s="1"/>
    </row>
    <row r="80" spans="1:26" ht="18" customHeight="1">
      <c r="A80" s="176"/>
      <c r="B80" s="176"/>
      <c r="C80" s="190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"/>
      <c r="Z80" s="1"/>
    </row>
    <row r="81" spans="1:26" ht="18" customHeight="1">
      <c r="A81" s="176"/>
      <c r="B81" s="176"/>
      <c r="C81" s="190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"/>
      <c r="Z81" s="1"/>
    </row>
    <row r="82" spans="1:26" ht="18" customHeight="1">
      <c r="A82" s="176"/>
      <c r="B82" s="176"/>
      <c r="C82" s="190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"/>
      <c r="Z82" s="1"/>
    </row>
    <row r="83" spans="1:26" ht="18" customHeight="1">
      <c r="A83" s="176"/>
      <c r="B83" s="176"/>
      <c r="C83" s="190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"/>
      <c r="Z83" s="1"/>
    </row>
    <row r="84" spans="1:26" ht="18" customHeight="1">
      <c r="A84" s="176"/>
      <c r="B84" s="176"/>
      <c r="C84" s="190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"/>
      <c r="Z84" s="1"/>
    </row>
    <row r="85" spans="1:26" ht="18" customHeight="1">
      <c r="A85" s="176"/>
      <c r="B85" s="176"/>
      <c r="C85" s="190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"/>
      <c r="Z85" s="1"/>
    </row>
    <row r="86" spans="1:26" ht="18" customHeight="1">
      <c r="A86" s="176"/>
      <c r="B86" s="176"/>
      <c r="C86" s="190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"/>
      <c r="Z86" s="1"/>
    </row>
    <row r="87" spans="1:26" ht="18" customHeight="1">
      <c r="A87" s="176"/>
      <c r="B87" s="176"/>
      <c r="C87" s="190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"/>
      <c r="Z87" s="1"/>
    </row>
    <row r="88" spans="1:26" ht="18" customHeight="1">
      <c r="A88" s="176"/>
      <c r="B88" s="176"/>
      <c r="C88" s="190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"/>
      <c r="Z88" s="1"/>
    </row>
    <row r="89" spans="1:26" ht="18" customHeight="1">
      <c r="A89" s="176"/>
      <c r="B89" s="176"/>
      <c r="C89" s="190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"/>
      <c r="Z89" s="1"/>
    </row>
    <row r="90" spans="1:26" ht="18" customHeight="1">
      <c r="A90" s="176"/>
      <c r="B90" s="176"/>
      <c r="C90" s="190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"/>
      <c r="Z90" s="1"/>
    </row>
    <row r="91" spans="1:26" ht="18" customHeight="1">
      <c r="A91" s="176"/>
      <c r="B91" s="176"/>
      <c r="C91" s="190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"/>
      <c r="Z91" s="1"/>
    </row>
    <row r="92" spans="1:26" ht="18" customHeight="1">
      <c r="A92" s="176"/>
      <c r="B92" s="176"/>
      <c r="C92" s="190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"/>
      <c r="Z92" s="1"/>
    </row>
    <row r="93" spans="1:26" ht="18" customHeight="1">
      <c r="A93" s="176"/>
      <c r="B93" s="176"/>
      <c r="C93" s="190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"/>
      <c r="Z93" s="1"/>
    </row>
    <row r="94" spans="1:26" ht="18" customHeight="1">
      <c r="A94" s="176"/>
      <c r="B94" s="176"/>
      <c r="C94" s="190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"/>
      <c r="Z94" s="1"/>
    </row>
    <row r="95" spans="1:26" ht="18" customHeight="1">
      <c r="A95" s="176"/>
      <c r="B95" s="176"/>
      <c r="C95" s="190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"/>
      <c r="Z95" s="1"/>
    </row>
    <row r="96" spans="1:26" ht="18" customHeight="1">
      <c r="A96" s="176"/>
      <c r="B96" s="176"/>
      <c r="C96" s="190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"/>
      <c r="Z96" s="1"/>
    </row>
    <row r="97" spans="1:26" ht="18" customHeight="1">
      <c r="A97" s="176"/>
      <c r="B97" s="176"/>
      <c r="C97" s="190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"/>
      <c r="Z97" s="1"/>
    </row>
    <row r="98" spans="1:26" ht="18" customHeight="1">
      <c r="A98" s="176"/>
      <c r="B98" s="176"/>
      <c r="C98" s="190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"/>
      <c r="Z98" s="1"/>
    </row>
    <row r="99" spans="1:26" ht="18" customHeight="1">
      <c r="A99" s="176"/>
      <c r="B99" s="176"/>
      <c r="C99" s="190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"/>
      <c r="Z99" s="1"/>
    </row>
    <row r="100" spans="1:26" ht="18" customHeight="1">
      <c r="A100" s="176"/>
      <c r="B100" s="176"/>
      <c r="C100" s="190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"/>
      <c r="Z100" s="1"/>
    </row>
  </sheetData>
  <mergeCells count="1">
    <mergeCell ref="A1:F1"/>
  </mergeCell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50"/>
  <sheetViews>
    <sheetView workbookViewId="0"/>
  </sheetViews>
  <sheetFormatPr defaultColWidth="14.3984375" defaultRowHeight="15" customHeight="1"/>
  <cols>
    <col min="1" max="1" width="29.265625" customWidth="1"/>
    <col min="2" max="2" width="21.1328125" customWidth="1"/>
    <col min="3" max="3" width="78.1328125" customWidth="1"/>
    <col min="4" max="4" width="13.265625" customWidth="1"/>
    <col min="5" max="5" width="17.73046875" customWidth="1"/>
    <col min="6" max="6" width="15.1328125" customWidth="1"/>
    <col min="7" max="26" width="8.73046875" customWidth="1"/>
  </cols>
  <sheetData>
    <row r="1" spans="1:26" ht="41.25" customHeight="1">
      <c r="A1" s="425" t="s">
        <v>2099</v>
      </c>
      <c r="B1" s="408"/>
      <c r="C1" s="408"/>
      <c r="D1" s="408"/>
      <c r="E1" s="408"/>
      <c r="F1" s="407"/>
      <c r="G1" s="176"/>
      <c r="H1" s="1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"/>
      <c r="Z1" s="1"/>
    </row>
    <row r="2" spans="1:26" ht="18" customHeight="1">
      <c r="A2" s="191" t="s">
        <v>2100</v>
      </c>
      <c r="B2" s="191" t="s">
        <v>2101</v>
      </c>
      <c r="C2" s="191" t="s">
        <v>2102</v>
      </c>
      <c r="D2" s="192" t="s">
        <v>2258</v>
      </c>
      <c r="E2" s="192" t="s">
        <v>2259</v>
      </c>
      <c r="F2" s="192" t="s">
        <v>2260</v>
      </c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"/>
      <c r="Z2" s="1"/>
    </row>
    <row r="3" spans="1:26" ht="18" customHeight="1">
      <c r="A3" s="193" t="s">
        <v>2261</v>
      </c>
      <c r="B3" s="194"/>
      <c r="C3" s="194"/>
      <c r="D3" s="195"/>
      <c r="E3" s="196"/>
      <c r="F3" s="195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"/>
      <c r="Z3" s="1"/>
    </row>
    <row r="4" spans="1:26" ht="18" customHeight="1">
      <c r="A4" s="197" t="s">
        <v>2261</v>
      </c>
      <c r="B4" s="197" t="s">
        <v>2262</v>
      </c>
      <c r="C4" s="197" t="s">
        <v>2263</v>
      </c>
      <c r="D4" s="53">
        <v>133</v>
      </c>
      <c r="E4" s="198" t="s">
        <v>2264</v>
      </c>
      <c r="F4" s="53" t="s">
        <v>2265</v>
      </c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"/>
      <c r="Z4" s="1"/>
    </row>
    <row r="5" spans="1:26" ht="18" customHeight="1">
      <c r="A5" s="197" t="s">
        <v>2261</v>
      </c>
      <c r="B5" s="197" t="s">
        <v>2266</v>
      </c>
      <c r="C5" s="197" t="s">
        <v>2267</v>
      </c>
      <c r="D5" s="53">
        <v>185</v>
      </c>
      <c r="E5" s="198" t="s">
        <v>2268</v>
      </c>
      <c r="F5" s="53" t="s">
        <v>2269</v>
      </c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"/>
      <c r="Z5" s="1"/>
    </row>
    <row r="6" spans="1:26" ht="18" customHeight="1">
      <c r="A6" s="193" t="s">
        <v>2270</v>
      </c>
      <c r="B6" s="194"/>
      <c r="C6" s="194"/>
      <c r="D6" s="195"/>
      <c r="E6" s="196"/>
      <c r="F6" s="195"/>
      <c r="G6" s="176"/>
      <c r="H6" s="176"/>
      <c r="I6" s="187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"/>
      <c r="Z6" s="1"/>
    </row>
    <row r="7" spans="1:26" ht="18" customHeight="1">
      <c r="A7" s="197" t="s">
        <v>2270</v>
      </c>
      <c r="B7" s="197" t="s">
        <v>2271</v>
      </c>
      <c r="C7" s="197" t="s">
        <v>2272</v>
      </c>
      <c r="D7" s="53">
        <v>28</v>
      </c>
      <c r="E7" s="198" t="s">
        <v>2273</v>
      </c>
      <c r="F7" s="53" t="s">
        <v>2274</v>
      </c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"/>
      <c r="Z7" s="1"/>
    </row>
    <row r="8" spans="1:26" ht="18" customHeight="1">
      <c r="A8" s="197" t="s">
        <v>2270</v>
      </c>
      <c r="B8" s="197" t="s">
        <v>2275</v>
      </c>
      <c r="C8" s="197" t="s">
        <v>2276</v>
      </c>
      <c r="D8" s="53">
        <v>28</v>
      </c>
      <c r="E8" s="198" t="s">
        <v>2273</v>
      </c>
      <c r="F8" s="53" t="s">
        <v>2274</v>
      </c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"/>
      <c r="Z8" s="1"/>
    </row>
    <row r="9" spans="1:26" ht="18" customHeight="1">
      <c r="A9" s="197" t="s">
        <v>2270</v>
      </c>
      <c r="B9" s="197" t="s">
        <v>2277</v>
      </c>
      <c r="C9" s="197" t="s">
        <v>2278</v>
      </c>
      <c r="D9" s="53">
        <v>28</v>
      </c>
      <c r="E9" s="198" t="s">
        <v>2273</v>
      </c>
      <c r="F9" s="53" t="s">
        <v>2274</v>
      </c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"/>
      <c r="Z9" s="1"/>
    </row>
    <row r="10" spans="1:26" ht="18" customHeight="1">
      <c r="A10" s="197" t="s">
        <v>2270</v>
      </c>
      <c r="B10" s="197" t="s">
        <v>2279</v>
      </c>
      <c r="C10" s="197" t="s">
        <v>2280</v>
      </c>
      <c r="D10" s="53">
        <v>80</v>
      </c>
      <c r="E10" s="198" t="s">
        <v>2281</v>
      </c>
      <c r="F10" s="53" t="s">
        <v>2282</v>
      </c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"/>
      <c r="Z10" s="1"/>
    </row>
    <row r="11" spans="1:26" ht="18" customHeight="1">
      <c r="A11" s="197" t="s">
        <v>2270</v>
      </c>
      <c r="B11" s="197" t="s">
        <v>2283</v>
      </c>
      <c r="C11" s="197" t="s">
        <v>2284</v>
      </c>
      <c r="D11" s="53">
        <v>45</v>
      </c>
      <c r="E11" s="198" t="s">
        <v>2285</v>
      </c>
      <c r="F11" s="53" t="s">
        <v>2286</v>
      </c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"/>
      <c r="Z11" s="1"/>
    </row>
    <row r="12" spans="1:26" ht="18" customHeight="1">
      <c r="A12" s="193" t="s">
        <v>2287</v>
      </c>
      <c r="B12" s="194"/>
      <c r="C12" s="194"/>
      <c r="D12" s="195"/>
      <c r="E12" s="196"/>
      <c r="F12" s="195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"/>
      <c r="Z12" s="1"/>
    </row>
    <row r="13" spans="1:26" ht="18" customHeight="1">
      <c r="A13" s="197" t="s">
        <v>2287</v>
      </c>
      <c r="B13" s="197" t="s">
        <v>2288</v>
      </c>
      <c r="C13" s="197" t="s">
        <v>2289</v>
      </c>
      <c r="D13" s="53">
        <v>20</v>
      </c>
      <c r="E13" s="198" t="s">
        <v>2290</v>
      </c>
      <c r="F13" s="53" t="s">
        <v>2291</v>
      </c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"/>
      <c r="Z13" s="1"/>
    </row>
    <row r="14" spans="1:26" ht="18" customHeight="1">
      <c r="A14" s="197" t="s">
        <v>2287</v>
      </c>
      <c r="B14" s="197" t="s">
        <v>2292</v>
      </c>
      <c r="C14" s="197" t="s">
        <v>2293</v>
      </c>
      <c r="D14" s="53">
        <v>30</v>
      </c>
      <c r="E14" s="198" t="s">
        <v>2294</v>
      </c>
      <c r="F14" s="53" t="s">
        <v>2295</v>
      </c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"/>
      <c r="Z14" s="1"/>
    </row>
    <row r="15" spans="1:26" ht="18" customHeight="1">
      <c r="A15" s="197" t="s">
        <v>2287</v>
      </c>
      <c r="B15" s="197" t="s">
        <v>2296</v>
      </c>
      <c r="C15" s="197" t="s">
        <v>2297</v>
      </c>
      <c r="D15" s="53">
        <v>28</v>
      </c>
      <c r="E15" s="198" t="s">
        <v>2273</v>
      </c>
      <c r="F15" s="53" t="s">
        <v>2274</v>
      </c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"/>
      <c r="Z15" s="1"/>
    </row>
    <row r="16" spans="1:26" ht="18" customHeight="1">
      <c r="A16" s="197" t="s">
        <v>2287</v>
      </c>
      <c r="B16" s="197" t="s">
        <v>2298</v>
      </c>
      <c r="C16" s="197" t="s">
        <v>2299</v>
      </c>
      <c r="D16" s="53">
        <v>23</v>
      </c>
      <c r="E16" s="198" t="s">
        <v>2291</v>
      </c>
      <c r="F16" s="53" t="s">
        <v>2300</v>
      </c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"/>
      <c r="Z16" s="1"/>
    </row>
    <row r="17" spans="1:26" ht="18" customHeight="1">
      <c r="A17" s="197" t="s">
        <v>2287</v>
      </c>
      <c r="B17" s="197" t="s">
        <v>2301</v>
      </c>
      <c r="C17" s="197" t="s">
        <v>2302</v>
      </c>
      <c r="D17" s="53">
        <v>20</v>
      </c>
      <c r="E17" s="198" t="s">
        <v>2290</v>
      </c>
      <c r="F17" s="53" t="s">
        <v>2291</v>
      </c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"/>
      <c r="Z17" s="1"/>
    </row>
    <row r="18" spans="1:26" ht="18" customHeight="1">
      <c r="A18" s="197" t="s">
        <v>2287</v>
      </c>
      <c r="B18" s="199">
        <v>50307</v>
      </c>
      <c r="C18" s="197" t="s">
        <v>2303</v>
      </c>
      <c r="D18" s="53">
        <v>17</v>
      </c>
      <c r="E18" s="198" t="s">
        <v>2304</v>
      </c>
      <c r="F18" s="53" t="s">
        <v>2305</v>
      </c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"/>
      <c r="Z18" s="1"/>
    </row>
    <row r="19" spans="1:26" ht="18" customHeight="1">
      <c r="A19" s="193" t="s">
        <v>2306</v>
      </c>
      <c r="B19" s="194"/>
      <c r="C19" s="194"/>
      <c r="D19" s="195"/>
      <c r="E19" s="196"/>
      <c r="F19" s="195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"/>
      <c r="Z19" s="1"/>
    </row>
    <row r="20" spans="1:26" ht="18" customHeight="1">
      <c r="A20" s="197" t="s">
        <v>2306</v>
      </c>
      <c r="B20" s="197" t="s">
        <v>2307</v>
      </c>
      <c r="C20" s="197" t="s">
        <v>2308</v>
      </c>
      <c r="D20" s="53">
        <v>40</v>
      </c>
      <c r="E20" s="198" t="s">
        <v>2309</v>
      </c>
      <c r="F20" s="53" t="s">
        <v>2310</v>
      </c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"/>
      <c r="Z20" s="1"/>
    </row>
    <row r="21" spans="1:26" ht="18" customHeight="1">
      <c r="A21" s="197" t="s">
        <v>2306</v>
      </c>
      <c r="B21" s="197" t="s">
        <v>2311</v>
      </c>
      <c r="C21" s="197" t="s">
        <v>2312</v>
      </c>
      <c r="D21" s="53">
        <v>25</v>
      </c>
      <c r="E21" s="198" t="s">
        <v>2313</v>
      </c>
      <c r="F21" s="53" t="s">
        <v>2314</v>
      </c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"/>
      <c r="Z21" s="1"/>
    </row>
    <row r="22" spans="1:26" ht="18" customHeight="1">
      <c r="A22" s="197" t="s">
        <v>2306</v>
      </c>
      <c r="B22" s="197" t="s">
        <v>2315</v>
      </c>
      <c r="C22" s="197" t="s">
        <v>2316</v>
      </c>
      <c r="D22" s="53">
        <v>16</v>
      </c>
      <c r="E22" s="198" t="s">
        <v>2317</v>
      </c>
      <c r="F22" s="53" t="s">
        <v>2318</v>
      </c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"/>
      <c r="Z22" s="1"/>
    </row>
    <row r="23" spans="1:26" ht="18" customHeight="1">
      <c r="A23" s="197" t="s">
        <v>2306</v>
      </c>
      <c r="B23" s="197" t="s">
        <v>2319</v>
      </c>
      <c r="C23" s="197" t="s">
        <v>2320</v>
      </c>
      <c r="D23" s="53">
        <v>16</v>
      </c>
      <c r="E23" s="198" t="s">
        <v>2317</v>
      </c>
      <c r="F23" s="53" t="s">
        <v>2318</v>
      </c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"/>
      <c r="Z23" s="1"/>
    </row>
    <row r="24" spans="1:26" ht="18" customHeight="1">
      <c r="A24" s="197" t="s">
        <v>2306</v>
      </c>
      <c r="B24" s="197" t="s">
        <v>2321</v>
      </c>
      <c r="C24" s="197" t="s">
        <v>2322</v>
      </c>
      <c r="D24" s="53">
        <v>16</v>
      </c>
      <c r="E24" s="198" t="s">
        <v>2317</v>
      </c>
      <c r="F24" s="53" t="s">
        <v>2318</v>
      </c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"/>
      <c r="Z24" s="1"/>
    </row>
    <row r="25" spans="1:26" ht="18" customHeight="1">
      <c r="A25" s="197" t="s">
        <v>2306</v>
      </c>
      <c r="B25" s="197" t="s">
        <v>2323</v>
      </c>
      <c r="C25" s="197" t="s">
        <v>2324</v>
      </c>
      <c r="D25" s="53">
        <v>20</v>
      </c>
      <c r="E25" s="198" t="s">
        <v>2290</v>
      </c>
      <c r="F25" s="53" t="s">
        <v>2291</v>
      </c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"/>
      <c r="Z25" s="1"/>
    </row>
    <row r="26" spans="1:26" ht="18" customHeight="1">
      <c r="A26" s="197" t="s">
        <v>2306</v>
      </c>
      <c r="B26" s="197" t="s">
        <v>2325</v>
      </c>
      <c r="C26" s="197" t="s">
        <v>2326</v>
      </c>
      <c r="D26" s="53">
        <v>59</v>
      </c>
      <c r="E26" s="198" t="s">
        <v>2327</v>
      </c>
      <c r="F26" s="53" t="s">
        <v>2328</v>
      </c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"/>
      <c r="Z26" s="1"/>
    </row>
    <row r="27" spans="1:26" ht="18" customHeight="1">
      <c r="A27" s="197" t="s">
        <v>2306</v>
      </c>
      <c r="B27" s="197" t="s">
        <v>2329</v>
      </c>
      <c r="C27" s="197" t="s">
        <v>2330</v>
      </c>
      <c r="D27" s="53">
        <v>20</v>
      </c>
      <c r="E27" s="198" t="s">
        <v>2290</v>
      </c>
      <c r="F27" s="53" t="s">
        <v>2291</v>
      </c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"/>
      <c r="Z27" s="1"/>
    </row>
    <row r="28" spans="1:26" ht="18" customHeight="1">
      <c r="A28" s="197" t="s">
        <v>2306</v>
      </c>
      <c r="B28" s="197" t="s">
        <v>2331</v>
      </c>
      <c r="C28" s="197" t="s">
        <v>2332</v>
      </c>
      <c r="D28" s="53">
        <v>90</v>
      </c>
      <c r="E28" s="198" t="s">
        <v>2333</v>
      </c>
      <c r="F28" s="53" t="s">
        <v>2334</v>
      </c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"/>
      <c r="Z28" s="1"/>
    </row>
    <row r="29" spans="1:26" ht="18" customHeight="1">
      <c r="A29" s="197" t="s">
        <v>2306</v>
      </c>
      <c r="B29" s="197" t="s">
        <v>2335</v>
      </c>
      <c r="C29" s="197" t="s">
        <v>2336</v>
      </c>
      <c r="D29" s="53">
        <v>90</v>
      </c>
      <c r="E29" s="198" t="s">
        <v>2333</v>
      </c>
      <c r="F29" s="53" t="s">
        <v>2334</v>
      </c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"/>
      <c r="Z29" s="1"/>
    </row>
    <row r="30" spans="1:26" ht="18" customHeight="1">
      <c r="A30" s="197" t="s">
        <v>2306</v>
      </c>
      <c r="B30" s="197" t="s">
        <v>2337</v>
      </c>
      <c r="C30" s="197" t="s">
        <v>2338</v>
      </c>
      <c r="D30" s="53">
        <v>90</v>
      </c>
      <c r="E30" s="198" t="s">
        <v>2333</v>
      </c>
      <c r="F30" s="53" t="s">
        <v>2334</v>
      </c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"/>
      <c r="Z30" s="1"/>
    </row>
    <row r="31" spans="1:26" ht="18" customHeight="1">
      <c r="A31" s="197" t="s">
        <v>2306</v>
      </c>
      <c r="B31" s="197" t="s">
        <v>2339</v>
      </c>
      <c r="C31" s="197" t="s">
        <v>2340</v>
      </c>
      <c r="D31" s="53">
        <v>30</v>
      </c>
      <c r="E31" s="198" t="s">
        <v>2294</v>
      </c>
      <c r="F31" s="53" t="s">
        <v>2295</v>
      </c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"/>
      <c r="Z31" s="1"/>
    </row>
    <row r="32" spans="1:26" ht="18" customHeight="1">
      <c r="A32" s="197" t="s">
        <v>2306</v>
      </c>
      <c r="B32" s="197" t="s">
        <v>2341</v>
      </c>
      <c r="C32" s="197" t="s">
        <v>2342</v>
      </c>
      <c r="D32" s="53">
        <v>35</v>
      </c>
      <c r="E32" s="198" t="s">
        <v>2343</v>
      </c>
      <c r="F32" s="53" t="s">
        <v>2309</v>
      </c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"/>
      <c r="Z32" s="1"/>
    </row>
    <row r="33" spans="1:26" ht="18" customHeight="1">
      <c r="A33" s="193" t="s">
        <v>2344</v>
      </c>
      <c r="B33" s="194"/>
      <c r="C33" s="194"/>
      <c r="D33" s="195"/>
      <c r="E33" s="196"/>
      <c r="F33" s="195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"/>
      <c r="Z33" s="1"/>
    </row>
    <row r="34" spans="1:26" ht="18" customHeight="1">
      <c r="A34" s="197" t="s">
        <v>2344</v>
      </c>
      <c r="B34" s="197" t="s">
        <v>2345</v>
      </c>
      <c r="C34" s="197" t="s">
        <v>2346</v>
      </c>
      <c r="D34" s="53">
        <v>35</v>
      </c>
      <c r="E34" s="198" t="s">
        <v>2343</v>
      </c>
      <c r="F34" s="53" t="s">
        <v>2309</v>
      </c>
      <c r="G34" s="189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"/>
      <c r="Z34" s="1"/>
    </row>
    <row r="35" spans="1:26" ht="18" customHeight="1">
      <c r="A35" s="197" t="s">
        <v>2344</v>
      </c>
      <c r="B35" s="197" t="s">
        <v>2347</v>
      </c>
      <c r="C35" s="197" t="s">
        <v>2348</v>
      </c>
      <c r="D35" s="53">
        <v>35</v>
      </c>
      <c r="E35" s="198" t="s">
        <v>2343</v>
      </c>
      <c r="F35" s="53" t="s">
        <v>2309</v>
      </c>
      <c r="G35" s="189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"/>
      <c r="Z35" s="1"/>
    </row>
    <row r="36" spans="1:26" ht="18" customHeight="1">
      <c r="A36" s="197" t="s">
        <v>2344</v>
      </c>
      <c r="B36" s="197" t="s">
        <v>2349</v>
      </c>
      <c r="C36" s="197" t="s">
        <v>2350</v>
      </c>
      <c r="D36" s="53">
        <v>38</v>
      </c>
      <c r="E36" s="198" t="s">
        <v>2351</v>
      </c>
      <c r="F36" s="53" t="s">
        <v>2352</v>
      </c>
      <c r="G36" s="189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"/>
      <c r="Z36" s="1"/>
    </row>
    <row r="37" spans="1:26" ht="18" customHeight="1">
      <c r="A37" s="197" t="s">
        <v>2344</v>
      </c>
      <c r="B37" s="197" t="s">
        <v>2353</v>
      </c>
      <c r="C37" s="197" t="s">
        <v>2354</v>
      </c>
      <c r="D37" s="53">
        <v>26</v>
      </c>
      <c r="E37" s="198" t="s">
        <v>2355</v>
      </c>
      <c r="F37" s="53" t="s">
        <v>2356</v>
      </c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"/>
      <c r="Z37" s="1"/>
    </row>
    <row r="38" spans="1:26" ht="18" customHeight="1">
      <c r="A38" s="197" t="s">
        <v>2344</v>
      </c>
      <c r="B38" s="197" t="s">
        <v>2357</v>
      </c>
      <c r="C38" s="197" t="s">
        <v>2358</v>
      </c>
      <c r="D38" s="53">
        <v>24</v>
      </c>
      <c r="E38" s="198" t="s">
        <v>2359</v>
      </c>
      <c r="F38" s="53" t="s">
        <v>2360</v>
      </c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"/>
      <c r="Z38" s="1"/>
    </row>
    <row r="39" spans="1:26" ht="18" customHeight="1">
      <c r="A39" s="197" t="s">
        <v>2344</v>
      </c>
      <c r="B39" s="197" t="s">
        <v>2361</v>
      </c>
      <c r="C39" s="197" t="s">
        <v>2362</v>
      </c>
      <c r="D39" s="53">
        <v>45</v>
      </c>
      <c r="E39" s="198" t="s">
        <v>2285</v>
      </c>
      <c r="F39" s="53" t="s">
        <v>2286</v>
      </c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"/>
      <c r="Z39" s="1"/>
    </row>
    <row r="40" spans="1:26" ht="18" customHeight="1">
      <c r="A40" s="197" t="s">
        <v>2344</v>
      </c>
      <c r="B40" s="197" t="s">
        <v>2363</v>
      </c>
      <c r="C40" s="197" t="s">
        <v>2364</v>
      </c>
      <c r="D40" s="53">
        <v>63</v>
      </c>
      <c r="E40" s="198" t="s">
        <v>2365</v>
      </c>
      <c r="F40" s="53" t="s">
        <v>2366</v>
      </c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"/>
      <c r="Z40" s="1"/>
    </row>
    <row r="41" spans="1:26" ht="18" customHeight="1">
      <c r="A41" s="197" t="s">
        <v>2344</v>
      </c>
      <c r="B41" s="197" t="s">
        <v>2367</v>
      </c>
      <c r="C41" s="197" t="s">
        <v>2368</v>
      </c>
      <c r="D41" s="53">
        <v>25</v>
      </c>
      <c r="E41" s="198" t="s">
        <v>2313</v>
      </c>
      <c r="F41" s="53" t="s">
        <v>2314</v>
      </c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"/>
      <c r="Z41" s="1"/>
    </row>
    <row r="42" spans="1:26" ht="18" customHeight="1">
      <c r="A42" s="197" t="s">
        <v>2344</v>
      </c>
      <c r="B42" s="197" t="s">
        <v>2369</v>
      </c>
      <c r="C42" s="197" t="s">
        <v>2370</v>
      </c>
      <c r="D42" s="53">
        <v>167</v>
      </c>
      <c r="E42" s="198" t="s">
        <v>2371</v>
      </c>
      <c r="F42" s="53" t="s">
        <v>2372</v>
      </c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"/>
      <c r="Z42" s="1"/>
    </row>
    <row r="43" spans="1:26" ht="18" customHeight="1">
      <c r="A43" s="197" t="s">
        <v>2344</v>
      </c>
      <c r="B43" s="197" t="s">
        <v>2373</v>
      </c>
      <c r="C43" s="197" t="s">
        <v>2374</v>
      </c>
      <c r="D43" s="53">
        <v>189</v>
      </c>
      <c r="E43" s="198" t="s">
        <v>2375</v>
      </c>
      <c r="F43" s="53" t="s">
        <v>2376</v>
      </c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"/>
      <c r="Z43" s="1"/>
    </row>
    <row r="44" spans="1:26" ht="18" customHeight="1">
      <c r="A44" s="197" t="s">
        <v>2344</v>
      </c>
      <c r="B44" s="197" t="s">
        <v>2377</v>
      </c>
      <c r="C44" s="197" t="s">
        <v>2378</v>
      </c>
      <c r="D44" s="53">
        <v>138</v>
      </c>
      <c r="E44" s="198" t="s">
        <v>2379</v>
      </c>
      <c r="F44" s="53" t="s">
        <v>2380</v>
      </c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"/>
      <c r="Z44" s="1"/>
    </row>
    <row r="45" spans="1:26" ht="18" customHeight="1">
      <c r="A45" s="197" t="s">
        <v>2344</v>
      </c>
      <c r="B45" s="197" t="s">
        <v>2381</v>
      </c>
      <c r="C45" s="197" t="s">
        <v>2382</v>
      </c>
      <c r="D45" s="53">
        <v>139</v>
      </c>
      <c r="E45" s="198" t="s">
        <v>2383</v>
      </c>
      <c r="F45" s="53" t="s">
        <v>2384</v>
      </c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"/>
      <c r="Z45" s="1"/>
    </row>
    <row r="46" spans="1:26" ht="18" customHeight="1">
      <c r="A46" s="197" t="s">
        <v>2344</v>
      </c>
      <c r="B46" s="197" t="s">
        <v>2385</v>
      </c>
      <c r="C46" s="197" t="s">
        <v>2386</v>
      </c>
      <c r="D46" s="53">
        <v>95</v>
      </c>
      <c r="E46" s="198" t="s">
        <v>2387</v>
      </c>
      <c r="F46" s="53" t="s">
        <v>2388</v>
      </c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"/>
      <c r="Z46" s="1"/>
    </row>
    <row r="47" spans="1:26" ht="18" customHeight="1">
      <c r="A47" s="197" t="s">
        <v>2344</v>
      </c>
      <c r="B47" s="197" t="s">
        <v>2389</v>
      </c>
      <c r="C47" s="197" t="s">
        <v>2390</v>
      </c>
      <c r="D47" s="53">
        <v>39</v>
      </c>
      <c r="E47" s="198" t="s">
        <v>2391</v>
      </c>
      <c r="F47" s="53" t="s">
        <v>2392</v>
      </c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"/>
      <c r="Z47" s="1"/>
    </row>
    <row r="48" spans="1:26" ht="18" customHeight="1">
      <c r="A48" s="197" t="s">
        <v>2344</v>
      </c>
      <c r="B48" s="200"/>
      <c r="C48" s="197" t="s">
        <v>2393</v>
      </c>
      <c r="D48" s="53">
        <v>70</v>
      </c>
      <c r="E48" s="198" t="s">
        <v>2394</v>
      </c>
      <c r="F48" s="53" t="s">
        <v>2281</v>
      </c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"/>
      <c r="Z48" s="1"/>
    </row>
    <row r="49" spans="1:26" ht="18" customHeight="1">
      <c r="A49" s="197" t="s">
        <v>2344</v>
      </c>
      <c r="B49" s="197" t="s">
        <v>2395</v>
      </c>
      <c r="C49" s="197" t="s">
        <v>2396</v>
      </c>
      <c r="D49" s="53">
        <v>65</v>
      </c>
      <c r="E49" s="198" t="s">
        <v>2397</v>
      </c>
      <c r="F49" s="53" t="s">
        <v>2398</v>
      </c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"/>
      <c r="Z49" s="1"/>
    </row>
    <row r="50" spans="1:26" ht="18" customHeight="1">
      <c r="A50" s="197" t="s">
        <v>2344</v>
      </c>
      <c r="B50" s="197" t="s">
        <v>2399</v>
      </c>
      <c r="C50" s="197" t="s">
        <v>2400</v>
      </c>
      <c r="D50" s="53">
        <v>65</v>
      </c>
      <c r="E50" s="198" t="s">
        <v>2397</v>
      </c>
      <c r="F50" s="53" t="s">
        <v>2398</v>
      </c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"/>
      <c r="Z50" s="1"/>
    </row>
    <row r="51" spans="1:26" ht="18" customHeight="1">
      <c r="A51" s="193" t="s">
        <v>2401</v>
      </c>
      <c r="B51" s="194"/>
      <c r="C51" s="194"/>
      <c r="D51" s="195"/>
      <c r="E51" s="196"/>
      <c r="F51" s="195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"/>
      <c r="Z51" s="1"/>
    </row>
    <row r="52" spans="1:26" ht="18" customHeight="1">
      <c r="A52" s="197" t="s">
        <v>2401</v>
      </c>
      <c r="B52" s="197" t="s">
        <v>2402</v>
      </c>
      <c r="C52" s="197" t="s">
        <v>2403</v>
      </c>
      <c r="D52" s="53">
        <v>12</v>
      </c>
      <c r="E52" s="198" t="s">
        <v>2404</v>
      </c>
      <c r="F52" s="53" t="s">
        <v>2405</v>
      </c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"/>
      <c r="Z52" s="1"/>
    </row>
    <row r="53" spans="1:26" ht="18" customHeight="1">
      <c r="A53" s="197" t="s">
        <v>2401</v>
      </c>
      <c r="B53" s="197" t="s">
        <v>2406</v>
      </c>
      <c r="C53" s="197" t="s">
        <v>2407</v>
      </c>
      <c r="D53" s="53">
        <v>20</v>
      </c>
      <c r="E53" s="198" t="s">
        <v>2290</v>
      </c>
      <c r="F53" s="53" t="s">
        <v>2291</v>
      </c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"/>
      <c r="Z53" s="1"/>
    </row>
    <row r="54" spans="1:26" ht="18" customHeight="1">
      <c r="A54" s="197" t="s">
        <v>2401</v>
      </c>
      <c r="B54" s="197" t="s">
        <v>2408</v>
      </c>
      <c r="C54" s="197" t="s">
        <v>2409</v>
      </c>
      <c r="D54" s="53">
        <v>101</v>
      </c>
      <c r="E54" s="198" t="s">
        <v>2410</v>
      </c>
      <c r="F54" s="53" t="s">
        <v>2411</v>
      </c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"/>
      <c r="Z54" s="1"/>
    </row>
    <row r="55" spans="1:26" ht="18" customHeight="1">
      <c r="A55" s="193" t="s">
        <v>2412</v>
      </c>
      <c r="B55" s="194"/>
      <c r="C55" s="194"/>
      <c r="D55" s="195"/>
      <c r="E55" s="196"/>
      <c r="F55" s="195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"/>
      <c r="Z55" s="1"/>
    </row>
    <row r="56" spans="1:26" ht="18" customHeight="1">
      <c r="A56" s="197" t="s">
        <v>2412</v>
      </c>
      <c r="B56" s="200"/>
      <c r="C56" s="197" t="s">
        <v>2413</v>
      </c>
      <c r="D56" s="53">
        <v>150</v>
      </c>
      <c r="E56" s="198" t="s">
        <v>2414</v>
      </c>
      <c r="F56" s="53" t="s">
        <v>2415</v>
      </c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"/>
      <c r="Z56" s="1"/>
    </row>
    <row r="57" spans="1:26" ht="18" customHeight="1">
      <c r="A57" s="197" t="s">
        <v>2412</v>
      </c>
      <c r="B57" s="200"/>
      <c r="C57" s="197" t="s">
        <v>2416</v>
      </c>
      <c r="D57" s="53">
        <v>30</v>
      </c>
      <c r="E57" s="198" t="s">
        <v>2294</v>
      </c>
      <c r="F57" s="53" t="s">
        <v>2295</v>
      </c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"/>
      <c r="Z57" s="1"/>
    </row>
    <row r="58" spans="1:26" ht="18" customHeight="1">
      <c r="A58" s="197" t="s">
        <v>2412</v>
      </c>
      <c r="B58" s="197" t="s">
        <v>2417</v>
      </c>
      <c r="C58" s="197" t="s">
        <v>2418</v>
      </c>
      <c r="D58" s="53">
        <v>28</v>
      </c>
      <c r="E58" s="198" t="s">
        <v>2273</v>
      </c>
      <c r="F58" s="53" t="s">
        <v>2274</v>
      </c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"/>
      <c r="Z58" s="1"/>
    </row>
    <row r="59" spans="1:26" ht="18" customHeight="1">
      <c r="A59" s="197" t="s">
        <v>2412</v>
      </c>
      <c r="B59" s="197" t="s">
        <v>2419</v>
      </c>
      <c r="C59" s="197" t="s">
        <v>2420</v>
      </c>
      <c r="D59" s="53">
        <v>190</v>
      </c>
      <c r="E59" s="198" t="s">
        <v>2421</v>
      </c>
      <c r="F59" s="53" t="s">
        <v>2422</v>
      </c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"/>
      <c r="Z59" s="1"/>
    </row>
    <row r="60" spans="1:26" ht="18" customHeight="1">
      <c r="A60" s="197" t="s">
        <v>2412</v>
      </c>
      <c r="B60" s="197" t="s">
        <v>2423</v>
      </c>
      <c r="C60" s="197" t="s">
        <v>2424</v>
      </c>
      <c r="D60" s="53">
        <v>190</v>
      </c>
      <c r="E60" s="198" t="s">
        <v>2421</v>
      </c>
      <c r="F60" s="53" t="s">
        <v>2422</v>
      </c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"/>
      <c r="Z60" s="1"/>
    </row>
    <row r="61" spans="1:26" ht="18" customHeight="1">
      <c r="A61" s="197" t="s">
        <v>2412</v>
      </c>
      <c r="B61" s="197" t="s">
        <v>2423</v>
      </c>
      <c r="C61" s="197" t="s">
        <v>2425</v>
      </c>
      <c r="D61" s="53">
        <v>190</v>
      </c>
      <c r="E61" s="198" t="s">
        <v>2421</v>
      </c>
      <c r="F61" s="53" t="s">
        <v>2422</v>
      </c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"/>
      <c r="Z61" s="1"/>
    </row>
    <row r="62" spans="1:26" ht="18" customHeight="1">
      <c r="A62" s="197" t="s">
        <v>2412</v>
      </c>
      <c r="B62" s="197" t="s">
        <v>2426</v>
      </c>
      <c r="C62" s="197" t="s">
        <v>2427</v>
      </c>
      <c r="D62" s="53">
        <v>20</v>
      </c>
      <c r="E62" s="198" t="s">
        <v>2290</v>
      </c>
      <c r="F62" s="53" t="s">
        <v>2291</v>
      </c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"/>
      <c r="Z62" s="1"/>
    </row>
    <row r="63" spans="1:26" ht="18" customHeight="1">
      <c r="A63" s="197" t="s">
        <v>2412</v>
      </c>
      <c r="B63" s="197" t="s">
        <v>2428</v>
      </c>
      <c r="C63" s="197" t="s">
        <v>2429</v>
      </c>
      <c r="D63" s="53">
        <v>50</v>
      </c>
      <c r="E63" s="198" t="s">
        <v>2430</v>
      </c>
      <c r="F63" s="53" t="s">
        <v>2431</v>
      </c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"/>
      <c r="Z63" s="1"/>
    </row>
    <row r="64" spans="1:26" ht="18" customHeight="1">
      <c r="A64" s="197" t="s">
        <v>2412</v>
      </c>
      <c r="B64" s="197" t="s">
        <v>2432</v>
      </c>
      <c r="C64" s="197" t="s">
        <v>2433</v>
      </c>
      <c r="D64" s="53">
        <v>60</v>
      </c>
      <c r="E64" s="198" t="s">
        <v>2434</v>
      </c>
      <c r="F64" s="53" t="s">
        <v>2435</v>
      </c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"/>
      <c r="Z64" s="1"/>
    </row>
    <row r="65" spans="1:26" ht="18" customHeight="1">
      <c r="A65" s="193" t="s">
        <v>2436</v>
      </c>
      <c r="B65" s="194"/>
      <c r="C65" s="194"/>
      <c r="D65" s="195"/>
      <c r="E65" s="196"/>
      <c r="F65" s="195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"/>
      <c r="Z65" s="1"/>
    </row>
    <row r="66" spans="1:26" ht="18" customHeight="1">
      <c r="A66" s="197" t="s">
        <v>2436</v>
      </c>
      <c r="B66" s="197" t="s">
        <v>2437</v>
      </c>
      <c r="C66" s="197" t="s">
        <v>2438</v>
      </c>
      <c r="D66" s="53">
        <v>30</v>
      </c>
      <c r="E66" s="198" t="s">
        <v>2294</v>
      </c>
      <c r="F66" s="53" t="s">
        <v>2295</v>
      </c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"/>
      <c r="Z66" s="1"/>
    </row>
    <row r="67" spans="1:26" ht="18" customHeight="1">
      <c r="A67" s="197" t="s">
        <v>2436</v>
      </c>
      <c r="B67" s="197" t="s">
        <v>2439</v>
      </c>
      <c r="C67" s="197" t="s">
        <v>2440</v>
      </c>
      <c r="D67" s="53">
        <v>47</v>
      </c>
      <c r="E67" s="198" t="s">
        <v>2441</v>
      </c>
      <c r="F67" s="53" t="s">
        <v>2442</v>
      </c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"/>
      <c r="Z67" s="1"/>
    </row>
    <row r="68" spans="1:26" ht="18" customHeight="1">
      <c r="A68" s="197" t="s">
        <v>2436</v>
      </c>
      <c r="B68" s="197" t="s">
        <v>2443</v>
      </c>
      <c r="C68" s="197" t="s">
        <v>2444</v>
      </c>
      <c r="D68" s="53">
        <v>35</v>
      </c>
      <c r="E68" s="198" t="s">
        <v>2343</v>
      </c>
      <c r="F68" s="53" t="s">
        <v>2309</v>
      </c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"/>
      <c r="Z68" s="1"/>
    </row>
    <row r="69" spans="1:26" ht="18" customHeight="1">
      <c r="A69" s="197" t="s">
        <v>2436</v>
      </c>
      <c r="B69" s="197" t="s">
        <v>2445</v>
      </c>
      <c r="C69" s="197" t="s">
        <v>2446</v>
      </c>
      <c r="D69" s="53">
        <v>15</v>
      </c>
      <c r="E69" s="198" t="s">
        <v>2447</v>
      </c>
      <c r="F69" s="53" t="s">
        <v>2304</v>
      </c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"/>
      <c r="Z69" s="1"/>
    </row>
    <row r="70" spans="1:26" ht="18" customHeight="1">
      <c r="A70" s="197" t="s">
        <v>2436</v>
      </c>
      <c r="B70" s="197" t="s">
        <v>2448</v>
      </c>
      <c r="C70" s="197" t="s">
        <v>2449</v>
      </c>
      <c r="D70" s="53">
        <v>15</v>
      </c>
      <c r="E70" s="198" t="s">
        <v>2447</v>
      </c>
      <c r="F70" s="53" t="s">
        <v>2304</v>
      </c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"/>
      <c r="Z70" s="1"/>
    </row>
    <row r="71" spans="1:26" ht="18" customHeight="1">
      <c r="A71" s="197" t="s">
        <v>2436</v>
      </c>
      <c r="B71" s="197" t="s">
        <v>2450</v>
      </c>
      <c r="C71" s="197" t="s">
        <v>2451</v>
      </c>
      <c r="D71" s="53">
        <v>19</v>
      </c>
      <c r="E71" s="198" t="s">
        <v>2305</v>
      </c>
      <c r="F71" s="53" t="s">
        <v>2452</v>
      </c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"/>
      <c r="Z71" s="1"/>
    </row>
    <row r="72" spans="1:26" ht="18" customHeight="1">
      <c r="A72" s="197" t="s">
        <v>2436</v>
      </c>
      <c r="B72" s="197" t="s">
        <v>2453</v>
      </c>
      <c r="C72" s="197" t="s">
        <v>2454</v>
      </c>
      <c r="D72" s="53">
        <v>19.399999999999999</v>
      </c>
      <c r="E72" s="53" t="s">
        <v>2305</v>
      </c>
      <c r="F72" s="53" t="s">
        <v>2452</v>
      </c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"/>
      <c r="Z72" s="1"/>
    </row>
    <row r="73" spans="1:26" ht="18" customHeight="1">
      <c r="A73" s="197" t="s">
        <v>2436</v>
      </c>
      <c r="B73" s="197" t="s">
        <v>2455</v>
      </c>
      <c r="C73" s="197" t="s">
        <v>2456</v>
      </c>
      <c r="D73" s="53">
        <v>19.399999999999999</v>
      </c>
      <c r="E73" s="53" t="s">
        <v>2305</v>
      </c>
      <c r="F73" s="53" t="s">
        <v>2452</v>
      </c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"/>
      <c r="Z73" s="1"/>
    </row>
    <row r="74" spans="1:26" ht="18" customHeight="1">
      <c r="A74" s="197" t="s">
        <v>2436</v>
      </c>
      <c r="B74" s="197" t="s">
        <v>2457</v>
      </c>
      <c r="C74" s="197" t="s">
        <v>2458</v>
      </c>
      <c r="D74" s="53">
        <v>19.399999999999999</v>
      </c>
      <c r="E74" s="53" t="s">
        <v>2305</v>
      </c>
      <c r="F74" s="53" t="s">
        <v>2452</v>
      </c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"/>
      <c r="Z74" s="1"/>
    </row>
    <row r="75" spans="1:26" ht="18" customHeight="1">
      <c r="A75" s="197" t="s">
        <v>2436</v>
      </c>
      <c r="B75" s="197" t="s">
        <v>2459</v>
      </c>
      <c r="C75" s="197" t="s">
        <v>2460</v>
      </c>
      <c r="D75" s="53">
        <v>19.399999999999999</v>
      </c>
      <c r="E75" s="53" t="s">
        <v>2305</v>
      </c>
      <c r="F75" s="53" t="s">
        <v>2452</v>
      </c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"/>
      <c r="Z75" s="1"/>
    </row>
    <row r="76" spans="1:26" ht="18" customHeight="1">
      <c r="A76" s="197" t="s">
        <v>2436</v>
      </c>
      <c r="B76" s="197" t="s">
        <v>2461</v>
      </c>
      <c r="C76" s="197" t="s">
        <v>2462</v>
      </c>
      <c r="D76" s="53">
        <v>19.399999999999999</v>
      </c>
      <c r="E76" s="53" t="s">
        <v>2305</v>
      </c>
      <c r="F76" s="53" t="s">
        <v>2452</v>
      </c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"/>
      <c r="Z76" s="1"/>
    </row>
    <row r="77" spans="1:26" ht="18" customHeight="1">
      <c r="A77" s="197" t="s">
        <v>2436</v>
      </c>
      <c r="B77" s="197" t="s">
        <v>2463</v>
      </c>
      <c r="C77" s="197" t="s">
        <v>2464</v>
      </c>
      <c r="D77" s="53">
        <v>19.399999999999999</v>
      </c>
      <c r="E77" s="53" t="s">
        <v>2305</v>
      </c>
      <c r="F77" s="53" t="s">
        <v>2452</v>
      </c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"/>
      <c r="Z77" s="1"/>
    </row>
    <row r="78" spans="1:26" ht="18" customHeight="1">
      <c r="A78" s="197" t="s">
        <v>2436</v>
      </c>
      <c r="B78" s="197" t="s">
        <v>2465</v>
      </c>
      <c r="C78" s="197" t="s">
        <v>2466</v>
      </c>
      <c r="D78" s="53">
        <v>25</v>
      </c>
      <c r="E78" s="53" t="s">
        <v>2313</v>
      </c>
      <c r="F78" s="53" t="s">
        <v>2314</v>
      </c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"/>
      <c r="Z78" s="1"/>
    </row>
    <row r="79" spans="1:26" ht="18" customHeight="1">
      <c r="A79" s="197" t="s">
        <v>2436</v>
      </c>
      <c r="B79" s="197" t="s">
        <v>2467</v>
      </c>
      <c r="C79" s="197" t="s">
        <v>2468</v>
      </c>
      <c r="D79" s="53">
        <v>25</v>
      </c>
      <c r="E79" s="53" t="s">
        <v>2313</v>
      </c>
      <c r="F79" s="53" t="s">
        <v>2314</v>
      </c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"/>
      <c r="Z79" s="1"/>
    </row>
    <row r="80" spans="1:26" ht="18" customHeight="1">
      <c r="A80" s="197" t="s">
        <v>2436</v>
      </c>
      <c r="B80" s="197" t="s">
        <v>2469</v>
      </c>
      <c r="C80" s="197" t="s">
        <v>2470</v>
      </c>
      <c r="D80" s="53">
        <v>30</v>
      </c>
      <c r="E80" s="53" t="s">
        <v>2294</v>
      </c>
      <c r="F80" s="53" t="s">
        <v>2295</v>
      </c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"/>
      <c r="Z80" s="1"/>
    </row>
    <row r="81" spans="1:26" ht="18" customHeight="1">
      <c r="A81" s="197" t="s">
        <v>2436</v>
      </c>
      <c r="B81" s="197" t="s">
        <v>2471</v>
      </c>
      <c r="C81" s="197" t="s">
        <v>2472</v>
      </c>
      <c r="D81" s="53">
        <v>25</v>
      </c>
      <c r="E81" s="53" t="s">
        <v>2313</v>
      </c>
      <c r="F81" s="53" t="s">
        <v>2314</v>
      </c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"/>
      <c r="Z81" s="1"/>
    </row>
    <row r="82" spans="1:26" ht="18" customHeight="1">
      <c r="A82" s="197" t="s">
        <v>2436</v>
      </c>
      <c r="B82" s="197" t="s">
        <v>2473</v>
      </c>
      <c r="C82" s="197" t="s">
        <v>2474</v>
      </c>
      <c r="D82" s="53">
        <v>8</v>
      </c>
      <c r="E82" s="53" t="s">
        <v>2475</v>
      </c>
      <c r="F82" s="53" t="s">
        <v>2476</v>
      </c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"/>
      <c r="Z82" s="1"/>
    </row>
    <row r="83" spans="1:26" ht="18" customHeight="1">
      <c r="A83" s="197" t="s">
        <v>2436</v>
      </c>
      <c r="B83" s="197" t="s">
        <v>2477</v>
      </c>
      <c r="C83" s="197" t="s">
        <v>2478</v>
      </c>
      <c r="D83" s="53">
        <v>28</v>
      </c>
      <c r="E83" s="53" t="s">
        <v>2273</v>
      </c>
      <c r="F83" s="53" t="s">
        <v>2274</v>
      </c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"/>
      <c r="Z83" s="1"/>
    </row>
    <row r="84" spans="1:26" ht="18" customHeight="1">
      <c r="A84" s="197" t="s">
        <v>2436</v>
      </c>
      <c r="B84" s="197" t="s">
        <v>2479</v>
      </c>
      <c r="C84" s="197" t="s">
        <v>2480</v>
      </c>
      <c r="D84" s="53">
        <v>71</v>
      </c>
      <c r="E84" s="53" t="s">
        <v>2481</v>
      </c>
      <c r="F84" s="53" t="s">
        <v>2482</v>
      </c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"/>
      <c r="Z84" s="1"/>
    </row>
    <row r="85" spans="1:26" ht="18" customHeight="1">
      <c r="A85" s="197" t="s">
        <v>2436</v>
      </c>
      <c r="B85" s="197" t="s">
        <v>2483</v>
      </c>
      <c r="C85" s="197" t="s">
        <v>2484</v>
      </c>
      <c r="D85" s="53">
        <v>85</v>
      </c>
      <c r="E85" s="53" t="s">
        <v>2485</v>
      </c>
      <c r="F85" s="53" t="s">
        <v>2486</v>
      </c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"/>
      <c r="Z85" s="1"/>
    </row>
    <row r="86" spans="1:26" ht="18" customHeight="1">
      <c r="A86" s="197" t="s">
        <v>2436</v>
      </c>
      <c r="B86" s="197" t="s">
        <v>2487</v>
      </c>
      <c r="C86" s="197" t="s">
        <v>2488</v>
      </c>
      <c r="D86" s="53">
        <v>50</v>
      </c>
      <c r="E86" s="53" t="s">
        <v>2430</v>
      </c>
      <c r="F86" s="53" t="s">
        <v>2431</v>
      </c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"/>
      <c r="Z86" s="1"/>
    </row>
    <row r="87" spans="1:26" ht="18" customHeight="1">
      <c r="A87" s="197" t="s">
        <v>2436</v>
      </c>
      <c r="B87" s="197" t="s">
        <v>2489</v>
      </c>
      <c r="C87" s="197" t="s">
        <v>2490</v>
      </c>
      <c r="D87" s="53">
        <v>73</v>
      </c>
      <c r="E87" s="53" t="s">
        <v>2491</v>
      </c>
      <c r="F87" s="53" t="s">
        <v>2492</v>
      </c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"/>
      <c r="Z87" s="1"/>
    </row>
    <row r="88" spans="1:26" ht="18" customHeight="1">
      <c r="A88" s="197" t="s">
        <v>2436</v>
      </c>
      <c r="B88" s="197" t="s">
        <v>2493</v>
      </c>
      <c r="C88" s="197" t="s">
        <v>2494</v>
      </c>
      <c r="D88" s="53">
        <v>56</v>
      </c>
      <c r="E88" s="53" t="s">
        <v>2495</v>
      </c>
      <c r="F88" s="53" t="s">
        <v>2496</v>
      </c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"/>
      <c r="Z88" s="1"/>
    </row>
    <row r="89" spans="1:26" ht="18" customHeight="1">
      <c r="A89" s="197" t="s">
        <v>2436</v>
      </c>
      <c r="B89" s="197" t="s">
        <v>2497</v>
      </c>
      <c r="C89" s="197" t="s">
        <v>2498</v>
      </c>
      <c r="D89" s="53">
        <v>167</v>
      </c>
      <c r="E89" s="53" t="s">
        <v>2371</v>
      </c>
      <c r="F89" s="53" t="s">
        <v>2372</v>
      </c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"/>
      <c r="Z89" s="1"/>
    </row>
    <row r="90" spans="1:26" ht="18" customHeight="1">
      <c r="A90" s="197" t="s">
        <v>2436</v>
      </c>
      <c r="B90" s="197" t="s">
        <v>2499</v>
      </c>
      <c r="C90" s="197" t="s">
        <v>2500</v>
      </c>
      <c r="D90" s="53">
        <v>95</v>
      </c>
      <c r="E90" s="53" t="s">
        <v>2387</v>
      </c>
      <c r="F90" s="53" t="s">
        <v>2388</v>
      </c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"/>
      <c r="Z90" s="1"/>
    </row>
    <row r="91" spans="1:26" ht="18" customHeight="1">
      <c r="A91" s="197" t="s">
        <v>2436</v>
      </c>
      <c r="B91" s="197" t="s">
        <v>2501</v>
      </c>
      <c r="C91" s="197" t="s">
        <v>2502</v>
      </c>
      <c r="D91" s="53">
        <v>35</v>
      </c>
      <c r="E91" s="53" t="s">
        <v>2343</v>
      </c>
      <c r="F91" s="53" t="s">
        <v>2309</v>
      </c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"/>
      <c r="Z91" s="1"/>
    </row>
    <row r="92" spans="1:26" ht="18" customHeight="1">
      <c r="A92" s="197" t="s">
        <v>2436</v>
      </c>
      <c r="B92" s="197" t="s">
        <v>2503</v>
      </c>
      <c r="C92" s="197" t="s">
        <v>2504</v>
      </c>
      <c r="D92" s="53">
        <v>34</v>
      </c>
      <c r="E92" s="53" t="s">
        <v>2295</v>
      </c>
      <c r="F92" s="53" t="s">
        <v>2505</v>
      </c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"/>
      <c r="Z92" s="1"/>
    </row>
    <row r="93" spans="1:26" ht="18" customHeight="1">
      <c r="A93" s="197" t="s">
        <v>2436</v>
      </c>
      <c r="B93" s="197" t="s">
        <v>2506</v>
      </c>
      <c r="C93" s="197" t="s">
        <v>2507</v>
      </c>
      <c r="D93" s="53">
        <v>50</v>
      </c>
      <c r="E93" s="53" t="s">
        <v>2430</v>
      </c>
      <c r="F93" s="53" t="s">
        <v>2431</v>
      </c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"/>
      <c r="Z93" s="1"/>
    </row>
    <row r="94" spans="1:26" ht="18" customHeight="1">
      <c r="A94" s="197" t="s">
        <v>2436</v>
      </c>
      <c r="B94" s="197" t="s">
        <v>2508</v>
      </c>
      <c r="C94" s="197" t="s">
        <v>2509</v>
      </c>
      <c r="D94" s="53">
        <v>30</v>
      </c>
      <c r="E94" s="53" t="s">
        <v>2294</v>
      </c>
      <c r="F94" s="53" t="s">
        <v>2295</v>
      </c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"/>
      <c r="Z94" s="1"/>
    </row>
    <row r="95" spans="1:26" ht="18" customHeight="1">
      <c r="A95" s="197" t="s">
        <v>2436</v>
      </c>
      <c r="B95" s="197" t="s">
        <v>2510</v>
      </c>
      <c r="C95" s="197" t="s">
        <v>2511</v>
      </c>
      <c r="D95" s="53">
        <v>45</v>
      </c>
      <c r="E95" s="53" t="s">
        <v>2285</v>
      </c>
      <c r="F95" s="53" t="s">
        <v>2286</v>
      </c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"/>
      <c r="Z95" s="1"/>
    </row>
    <row r="96" spans="1:26" ht="18" customHeight="1">
      <c r="A96" s="197" t="s">
        <v>2436</v>
      </c>
      <c r="B96" s="197" t="s">
        <v>2512</v>
      </c>
      <c r="C96" s="197" t="s">
        <v>2513</v>
      </c>
      <c r="D96" s="53">
        <v>65</v>
      </c>
      <c r="E96" s="53" t="s">
        <v>2397</v>
      </c>
      <c r="F96" s="53" t="s">
        <v>2398</v>
      </c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"/>
      <c r="Z96" s="1"/>
    </row>
    <row r="97" spans="1:26" ht="18" customHeight="1">
      <c r="A97" s="197" t="s">
        <v>2436</v>
      </c>
      <c r="B97" s="197" t="s">
        <v>2514</v>
      </c>
      <c r="C97" s="197" t="s">
        <v>2515</v>
      </c>
      <c r="D97" s="53">
        <v>19.399999999999999</v>
      </c>
      <c r="E97" s="53" t="s">
        <v>2305</v>
      </c>
      <c r="F97" s="53" t="s">
        <v>2452</v>
      </c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"/>
      <c r="Z97" s="1"/>
    </row>
    <row r="98" spans="1:26" ht="18" customHeight="1">
      <c r="A98" s="197" t="s">
        <v>2436</v>
      </c>
      <c r="B98" s="197" t="s">
        <v>2516</v>
      </c>
      <c r="C98" s="197" t="s">
        <v>2517</v>
      </c>
      <c r="D98" s="53">
        <v>25</v>
      </c>
      <c r="E98" s="53" t="s">
        <v>2313</v>
      </c>
      <c r="F98" s="53" t="s">
        <v>2314</v>
      </c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"/>
      <c r="Z98" s="1"/>
    </row>
    <row r="99" spans="1:26" ht="18" customHeight="1">
      <c r="A99" s="197" t="s">
        <v>2436</v>
      </c>
      <c r="B99" s="197" t="s">
        <v>2518</v>
      </c>
      <c r="C99" s="197" t="s">
        <v>2519</v>
      </c>
      <c r="D99" s="53">
        <v>14</v>
      </c>
      <c r="E99" s="53" t="s">
        <v>2405</v>
      </c>
      <c r="F99" s="53" t="s">
        <v>2317</v>
      </c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"/>
      <c r="Z99" s="1"/>
    </row>
    <row r="100" spans="1:26" ht="18" customHeight="1">
      <c r="A100" s="197" t="s">
        <v>2436</v>
      </c>
      <c r="B100" s="197" t="s">
        <v>2520</v>
      </c>
      <c r="C100" s="197" t="s">
        <v>2521</v>
      </c>
      <c r="D100" s="53">
        <v>8</v>
      </c>
      <c r="E100" s="53" t="s">
        <v>2475</v>
      </c>
      <c r="F100" s="53" t="s">
        <v>2476</v>
      </c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"/>
      <c r="Z100" s="1"/>
    </row>
    <row r="101" spans="1:26" ht="14.25" customHeight="1">
      <c r="A101" s="193" t="s">
        <v>2522</v>
      </c>
      <c r="B101" s="194"/>
      <c r="C101" s="194"/>
      <c r="D101" s="195"/>
      <c r="E101" s="195"/>
      <c r="F101" s="195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"/>
      <c r="Z101" s="1"/>
    </row>
    <row r="102" spans="1:26" ht="14.25" customHeight="1">
      <c r="A102" s="197" t="s">
        <v>2522</v>
      </c>
      <c r="B102" s="197" t="s">
        <v>2523</v>
      </c>
      <c r="C102" s="197" t="s">
        <v>2524</v>
      </c>
      <c r="D102" s="53">
        <v>42</v>
      </c>
      <c r="E102" s="53" t="s">
        <v>2525</v>
      </c>
      <c r="F102" s="53" t="s">
        <v>2526</v>
      </c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"/>
      <c r="Z102" s="1"/>
    </row>
    <row r="103" spans="1:26" ht="14.25" customHeight="1">
      <c r="A103" s="197" t="s">
        <v>2522</v>
      </c>
      <c r="B103" s="197" t="s">
        <v>2527</v>
      </c>
      <c r="C103" s="197" t="s">
        <v>2528</v>
      </c>
      <c r="D103" s="53">
        <v>110</v>
      </c>
      <c r="E103" s="53" t="s">
        <v>2529</v>
      </c>
      <c r="F103" s="53" t="s">
        <v>2530</v>
      </c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"/>
      <c r="Z103" s="1"/>
    </row>
    <row r="104" spans="1:26" ht="14.25" customHeight="1">
      <c r="A104" s="197" t="s">
        <v>2522</v>
      </c>
      <c r="B104" s="197" t="s">
        <v>2531</v>
      </c>
      <c r="C104" s="197" t="s">
        <v>2532</v>
      </c>
      <c r="D104" s="53">
        <v>112</v>
      </c>
      <c r="E104" s="53" t="s">
        <v>2533</v>
      </c>
      <c r="F104" s="53" t="s">
        <v>2534</v>
      </c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"/>
      <c r="Z104" s="1"/>
    </row>
    <row r="105" spans="1:26" ht="14.25" customHeight="1">
      <c r="A105" s="197" t="s">
        <v>2522</v>
      </c>
      <c r="B105" s="197" t="s">
        <v>2535</v>
      </c>
      <c r="C105" s="197" t="s">
        <v>2536</v>
      </c>
      <c r="D105" s="53">
        <v>27</v>
      </c>
      <c r="E105" s="53" t="s">
        <v>2360</v>
      </c>
      <c r="F105" s="53" t="s">
        <v>2537</v>
      </c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"/>
      <c r="Z105" s="1"/>
    </row>
    <row r="106" spans="1:26" ht="14.25" customHeight="1">
      <c r="A106" s="197" t="s">
        <v>2522</v>
      </c>
      <c r="B106" s="197" t="s">
        <v>2538</v>
      </c>
      <c r="C106" s="197" t="s">
        <v>2539</v>
      </c>
      <c r="D106" s="53">
        <v>43</v>
      </c>
      <c r="E106" s="53" t="s">
        <v>2540</v>
      </c>
      <c r="F106" s="53" t="s">
        <v>2541</v>
      </c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"/>
      <c r="Z106" s="1"/>
    </row>
    <row r="107" spans="1:26" ht="14.25" customHeight="1">
      <c r="A107" s="193" t="s">
        <v>2542</v>
      </c>
      <c r="B107" s="194"/>
      <c r="C107" s="194"/>
      <c r="D107" s="195"/>
      <c r="E107" s="195"/>
      <c r="F107" s="195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"/>
      <c r="Z107" s="1"/>
    </row>
    <row r="108" spans="1:26" ht="14.25" customHeight="1">
      <c r="A108" s="197" t="s">
        <v>2542</v>
      </c>
      <c r="B108" s="197" t="s">
        <v>2543</v>
      </c>
      <c r="C108" s="197" t="s">
        <v>2544</v>
      </c>
      <c r="D108" s="53">
        <v>45</v>
      </c>
      <c r="E108" s="53" t="s">
        <v>2285</v>
      </c>
      <c r="F108" s="53" t="s">
        <v>2286</v>
      </c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"/>
      <c r="Z108" s="1"/>
    </row>
    <row r="109" spans="1:26" ht="14.25" customHeight="1">
      <c r="A109" s="197" t="s">
        <v>2542</v>
      </c>
      <c r="B109" s="197" t="s">
        <v>2545</v>
      </c>
      <c r="C109" s="197" t="s">
        <v>2546</v>
      </c>
      <c r="D109" s="53">
        <v>24</v>
      </c>
      <c r="E109" s="53" t="s">
        <v>2359</v>
      </c>
      <c r="F109" s="53" t="s">
        <v>2360</v>
      </c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"/>
      <c r="Z109" s="1"/>
    </row>
    <row r="110" spans="1:26" ht="14.25" customHeight="1">
      <c r="A110" s="197" t="s">
        <v>2542</v>
      </c>
      <c r="B110" s="197" t="s">
        <v>2547</v>
      </c>
      <c r="C110" s="197" t="s">
        <v>2548</v>
      </c>
      <c r="D110" s="53">
        <v>24</v>
      </c>
      <c r="E110" s="53" t="s">
        <v>2359</v>
      </c>
      <c r="F110" s="53" t="s">
        <v>2360</v>
      </c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"/>
      <c r="Z110" s="1"/>
    </row>
    <row r="111" spans="1:26" ht="14.25" customHeight="1">
      <c r="A111" s="197" t="s">
        <v>2542</v>
      </c>
      <c r="B111" s="197" t="s">
        <v>2549</v>
      </c>
      <c r="C111" s="197" t="s">
        <v>2550</v>
      </c>
      <c r="D111" s="53">
        <v>80</v>
      </c>
      <c r="E111" s="53" t="s">
        <v>2281</v>
      </c>
      <c r="F111" s="53" t="s">
        <v>2282</v>
      </c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"/>
      <c r="Z111" s="1"/>
    </row>
    <row r="112" spans="1:26" ht="14.25" customHeight="1">
      <c r="A112" s="197" t="s">
        <v>2542</v>
      </c>
      <c r="B112" s="197" t="s">
        <v>2551</v>
      </c>
      <c r="C112" s="197" t="s">
        <v>2552</v>
      </c>
      <c r="D112" s="53">
        <v>22</v>
      </c>
      <c r="E112" s="53" t="s">
        <v>2452</v>
      </c>
      <c r="F112" s="53" t="s">
        <v>2313</v>
      </c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"/>
      <c r="Z112" s="1"/>
    </row>
    <row r="113" spans="1:26" ht="14.25" customHeight="1">
      <c r="A113" s="197" t="s">
        <v>2542</v>
      </c>
      <c r="B113" s="197" t="s">
        <v>2553</v>
      </c>
      <c r="C113" s="197" t="s">
        <v>2554</v>
      </c>
      <c r="D113" s="53">
        <v>23</v>
      </c>
      <c r="E113" s="53" t="s">
        <v>2291</v>
      </c>
      <c r="F113" s="53" t="s">
        <v>2300</v>
      </c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"/>
      <c r="Z113" s="1"/>
    </row>
    <row r="114" spans="1:26" ht="14.25" customHeight="1">
      <c r="A114" s="197" t="s">
        <v>2542</v>
      </c>
      <c r="B114" s="197" t="s">
        <v>2555</v>
      </c>
      <c r="C114" s="197" t="s">
        <v>2556</v>
      </c>
      <c r="D114" s="53">
        <v>28</v>
      </c>
      <c r="E114" s="53" t="s">
        <v>2273</v>
      </c>
      <c r="F114" s="53" t="s">
        <v>2274</v>
      </c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"/>
      <c r="Z114" s="1"/>
    </row>
    <row r="115" spans="1:26" ht="14.25" customHeight="1">
      <c r="A115" s="197" t="s">
        <v>2542</v>
      </c>
      <c r="B115" s="197" t="s">
        <v>2557</v>
      </c>
      <c r="C115" s="197" t="s">
        <v>2558</v>
      </c>
      <c r="D115" s="53">
        <v>120</v>
      </c>
      <c r="E115" s="53" t="s">
        <v>2559</v>
      </c>
      <c r="F115" s="53" t="s">
        <v>2560</v>
      </c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"/>
      <c r="Z115" s="1"/>
    </row>
    <row r="116" spans="1:26" ht="14.25" customHeight="1">
      <c r="A116" s="197" t="s">
        <v>2542</v>
      </c>
      <c r="B116" s="197" t="s">
        <v>2561</v>
      </c>
      <c r="C116" s="197" t="s">
        <v>2562</v>
      </c>
      <c r="D116" s="53">
        <v>40</v>
      </c>
      <c r="E116" s="53" t="s">
        <v>2309</v>
      </c>
      <c r="F116" s="53" t="s">
        <v>2310</v>
      </c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"/>
      <c r="Z116" s="1"/>
    </row>
    <row r="117" spans="1:26" ht="14.25" customHeight="1">
      <c r="A117" s="197" t="s">
        <v>2542</v>
      </c>
      <c r="B117" s="197" t="s">
        <v>2563</v>
      </c>
      <c r="C117" s="197" t="s">
        <v>2564</v>
      </c>
      <c r="D117" s="53">
        <v>73</v>
      </c>
      <c r="E117" s="53" t="s">
        <v>2491</v>
      </c>
      <c r="F117" s="53" t="s">
        <v>2492</v>
      </c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"/>
      <c r="Z117" s="1"/>
    </row>
    <row r="118" spans="1:26" ht="14.25" customHeight="1">
      <c r="A118" s="197" t="s">
        <v>2542</v>
      </c>
      <c r="B118" s="197" t="s">
        <v>2565</v>
      </c>
      <c r="C118" s="197" t="s">
        <v>2566</v>
      </c>
      <c r="D118" s="53">
        <v>25</v>
      </c>
      <c r="E118" s="53" t="s">
        <v>2313</v>
      </c>
      <c r="F118" s="53" t="s">
        <v>2314</v>
      </c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"/>
      <c r="Z118" s="1"/>
    </row>
    <row r="119" spans="1:26" ht="14.25" customHeight="1">
      <c r="A119" s="197" t="s">
        <v>2542</v>
      </c>
      <c r="B119" s="197" t="s">
        <v>2567</v>
      </c>
      <c r="C119" s="197" t="s">
        <v>2568</v>
      </c>
      <c r="D119" s="53">
        <v>40</v>
      </c>
      <c r="E119" s="53" t="s">
        <v>2309</v>
      </c>
      <c r="F119" s="53" t="s">
        <v>2310</v>
      </c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"/>
      <c r="Z119" s="1"/>
    </row>
    <row r="120" spans="1:26" ht="14.25" customHeight="1">
      <c r="A120" s="197" t="s">
        <v>2542</v>
      </c>
      <c r="B120" s="197" t="s">
        <v>2569</v>
      </c>
      <c r="C120" s="197" t="s">
        <v>2570</v>
      </c>
      <c r="D120" s="53">
        <v>16</v>
      </c>
      <c r="E120" s="53" t="s">
        <v>2317</v>
      </c>
      <c r="F120" s="53" t="s">
        <v>2318</v>
      </c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"/>
      <c r="Z120" s="1"/>
    </row>
    <row r="121" spans="1:26" ht="14.25" customHeight="1">
      <c r="A121" s="197" t="s">
        <v>2542</v>
      </c>
      <c r="B121" s="197" t="s">
        <v>2571</v>
      </c>
      <c r="C121" s="197" t="s">
        <v>2572</v>
      </c>
      <c r="D121" s="53">
        <v>55</v>
      </c>
      <c r="E121" s="53" t="s">
        <v>2573</v>
      </c>
      <c r="F121" s="53" t="s">
        <v>2365</v>
      </c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"/>
      <c r="Z121" s="1"/>
    </row>
    <row r="122" spans="1:26" ht="14.25" customHeight="1">
      <c r="A122" s="197" t="s">
        <v>2542</v>
      </c>
      <c r="B122" s="197" t="s">
        <v>2574</v>
      </c>
      <c r="C122" s="197" t="s">
        <v>2575</v>
      </c>
      <c r="D122" s="53">
        <v>26</v>
      </c>
      <c r="E122" s="53" t="s">
        <v>2355</v>
      </c>
      <c r="F122" s="53" t="s">
        <v>2356</v>
      </c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"/>
      <c r="Z122" s="1"/>
    </row>
    <row r="123" spans="1:26" ht="14.25" customHeight="1">
      <c r="A123" s="197" t="s">
        <v>2542</v>
      </c>
      <c r="B123" s="197" t="s">
        <v>2576</v>
      </c>
      <c r="C123" s="197" t="s">
        <v>2577</v>
      </c>
      <c r="D123" s="53">
        <v>50</v>
      </c>
      <c r="E123" s="53" t="s">
        <v>2430</v>
      </c>
      <c r="F123" s="53" t="s">
        <v>2431</v>
      </c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"/>
      <c r="Z123" s="1"/>
    </row>
    <row r="124" spans="1:26" ht="14.25" customHeight="1">
      <c r="A124" s="197" t="s">
        <v>2542</v>
      </c>
      <c r="B124" s="197" t="s">
        <v>2578</v>
      </c>
      <c r="C124" s="197" t="s">
        <v>2579</v>
      </c>
      <c r="D124" s="53">
        <v>100</v>
      </c>
      <c r="E124" s="53" t="s">
        <v>2580</v>
      </c>
      <c r="F124" s="53" t="s">
        <v>2581</v>
      </c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"/>
      <c r="Z124" s="1"/>
    </row>
    <row r="125" spans="1:26" ht="14.25" customHeight="1">
      <c r="A125" s="197" t="s">
        <v>2542</v>
      </c>
      <c r="B125" s="197" t="s">
        <v>2582</v>
      </c>
      <c r="C125" s="197" t="s">
        <v>2583</v>
      </c>
      <c r="D125" s="53">
        <v>50</v>
      </c>
      <c r="E125" s="53" t="s">
        <v>2430</v>
      </c>
      <c r="F125" s="53" t="s">
        <v>2431</v>
      </c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"/>
      <c r="Z125" s="1"/>
    </row>
    <row r="126" spans="1:26" ht="14.25" customHeight="1">
      <c r="A126" s="197" t="s">
        <v>2542</v>
      </c>
      <c r="B126" s="197" t="s">
        <v>2584</v>
      </c>
      <c r="C126" s="197" t="s">
        <v>2585</v>
      </c>
      <c r="D126" s="53">
        <v>75</v>
      </c>
      <c r="E126" s="53" t="s">
        <v>2586</v>
      </c>
      <c r="F126" s="53" t="s">
        <v>2587</v>
      </c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"/>
      <c r="Z126" s="1"/>
    </row>
    <row r="127" spans="1:26" ht="14.25" customHeight="1">
      <c r="A127" s="197" t="s">
        <v>2542</v>
      </c>
      <c r="B127" s="197" t="s">
        <v>2588</v>
      </c>
      <c r="C127" s="197" t="s">
        <v>2589</v>
      </c>
      <c r="D127" s="53">
        <v>35</v>
      </c>
      <c r="E127" s="53" t="s">
        <v>2343</v>
      </c>
      <c r="F127" s="53" t="s">
        <v>2309</v>
      </c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"/>
      <c r="Z127" s="1"/>
    </row>
    <row r="128" spans="1:26" ht="14.25" customHeight="1">
      <c r="A128" s="197" t="s">
        <v>2542</v>
      </c>
      <c r="B128" s="197" t="s">
        <v>2590</v>
      </c>
      <c r="C128" s="197" t="s">
        <v>2591</v>
      </c>
      <c r="D128" s="53">
        <v>35</v>
      </c>
      <c r="E128" s="53" t="s">
        <v>2343</v>
      </c>
      <c r="F128" s="53" t="s">
        <v>2309</v>
      </c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"/>
      <c r="Z128" s="1"/>
    </row>
    <row r="129" spans="1:26" ht="14.25" customHeight="1">
      <c r="A129" s="197" t="s">
        <v>2542</v>
      </c>
      <c r="B129" s="197" t="s">
        <v>2592</v>
      </c>
      <c r="C129" s="197" t="s">
        <v>2593</v>
      </c>
      <c r="D129" s="53">
        <v>40</v>
      </c>
      <c r="E129" s="53" t="s">
        <v>2309</v>
      </c>
      <c r="F129" s="53" t="s">
        <v>2310</v>
      </c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"/>
      <c r="Z129" s="1"/>
    </row>
    <row r="130" spans="1:26" ht="14.25" customHeight="1">
      <c r="A130" s="197" t="s">
        <v>2542</v>
      </c>
      <c r="B130" s="197" t="s">
        <v>2594</v>
      </c>
      <c r="C130" s="197" t="s">
        <v>2595</v>
      </c>
      <c r="D130" s="53">
        <v>40</v>
      </c>
      <c r="E130" s="53" t="s">
        <v>2309</v>
      </c>
      <c r="F130" s="53" t="s">
        <v>2310</v>
      </c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"/>
      <c r="Z130" s="1"/>
    </row>
    <row r="131" spans="1:26" ht="14.25" customHeight="1">
      <c r="A131" s="197" t="s">
        <v>2542</v>
      </c>
      <c r="B131" s="197" t="s">
        <v>2596</v>
      </c>
      <c r="C131" s="197" t="s">
        <v>2597</v>
      </c>
      <c r="D131" s="53">
        <v>40</v>
      </c>
      <c r="E131" s="53" t="s">
        <v>2309</v>
      </c>
      <c r="F131" s="53" t="s">
        <v>2310</v>
      </c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"/>
      <c r="Z131" s="1"/>
    </row>
    <row r="132" spans="1:26" ht="14.25" customHeight="1">
      <c r="A132" s="197" t="s">
        <v>2542</v>
      </c>
      <c r="B132" s="197" t="s">
        <v>2598</v>
      </c>
      <c r="C132" s="197" t="s">
        <v>2599</v>
      </c>
      <c r="D132" s="53">
        <v>30</v>
      </c>
      <c r="E132" s="53" t="s">
        <v>2294</v>
      </c>
      <c r="F132" s="53" t="s">
        <v>2295</v>
      </c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"/>
      <c r="Z132" s="1"/>
    </row>
    <row r="133" spans="1:26" ht="14.25" customHeight="1">
      <c r="A133" s="197" t="s">
        <v>2542</v>
      </c>
      <c r="B133" s="197" t="s">
        <v>2600</v>
      </c>
      <c r="C133" s="197" t="s">
        <v>2601</v>
      </c>
      <c r="D133" s="53">
        <v>55</v>
      </c>
      <c r="E133" s="53" t="s">
        <v>2573</v>
      </c>
      <c r="F133" s="53" t="s">
        <v>2365</v>
      </c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"/>
      <c r="Z133" s="1"/>
    </row>
    <row r="134" spans="1:26" ht="14.25" customHeight="1">
      <c r="A134" s="197" t="s">
        <v>2542</v>
      </c>
      <c r="B134" s="197" t="s">
        <v>2602</v>
      </c>
      <c r="C134" s="197" t="s">
        <v>2603</v>
      </c>
      <c r="D134" s="53">
        <v>35</v>
      </c>
      <c r="E134" s="53" t="s">
        <v>2343</v>
      </c>
      <c r="F134" s="53" t="s">
        <v>2309</v>
      </c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"/>
      <c r="Z134" s="1"/>
    </row>
    <row r="135" spans="1:26" ht="14.25" customHeight="1">
      <c r="A135" s="197" t="s">
        <v>2542</v>
      </c>
      <c r="B135" s="197" t="s">
        <v>2604</v>
      </c>
      <c r="C135" s="197" t="s">
        <v>2605</v>
      </c>
      <c r="D135" s="53">
        <v>60</v>
      </c>
      <c r="E135" s="53" t="s">
        <v>2434</v>
      </c>
      <c r="F135" s="53" t="s">
        <v>2435</v>
      </c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"/>
      <c r="Z135" s="1"/>
    </row>
    <row r="136" spans="1:26" ht="14.25" customHeight="1">
      <c r="A136" s="197" t="s">
        <v>2542</v>
      </c>
      <c r="B136" s="197" t="s">
        <v>2606</v>
      </c>
      <c r="C136" s="197" t="s">
        <v>2607</v>
      </c>
      <c r="D136" s="53">
        <v>65</v>
      </c>
      <c r="E136" s="53" t="s">
        <v>2397</v>
      </c>
      <c r="F136" s="53" t="s">
        <v>2398</v>
      </c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"/>
      <c r="Z136" s="1"/>
    </row>
    <row r="137" spans="1:26" ht="14.25" customHeight="1">
      <c r="A137" s="197" t="s">
        <v>2542</v>
      </c>
      <c r="B137" s="197" t="s">
        <v>2608</v>
      </c>
      <c r="C137" s="197" t="s">
        <v>2609</v>
      </c>
      <c r="D137" s="53">
        <v>65</v>
      </c>
      <c r="E137" s="53" t="s">
        <v>2397</v>
      </c>
      <c r="F137" s="53" t="s">
        <v>2398</v>
      </c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"/>
      <c r="Z137" s="1"/>
    </row>
    <row r="138" spans="1:26" ht="14.25" customHeight="1">
      <c r="A138" s="197" t="s">
        <v>2542</v>
      </c>
      <c r="B138" s="197" t="s">
        <v>2610</v>
      </c>
      <c r="C138" s="197" t="s">
        <v>2611</v>
      </c>
      <c r="D138" s="53">
        <v>25</v>
      </c>
      <c r="E138" s="53" t="s">
        <v>2313</v>
      </c>
      <c r="F138" s="53" t="s">
        <v>2314</v>
      </c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"/>
      <c r="Z138" s="1"/>
    </row>
    <row r="139" spans="1:26" ht="14.25" customHeight="1">
      <c r="A139" s="197" t="s">
        <v>2542</v>
      </c>
      <c r="B139" s="197" t="s">
        <v>2612</v>
      </c>
      <c r="C139" s="197" t="s">
        <v>2613</v>
      </c>
      <c r="D139" s="53">
        <v>35</v>
      </c>
      <c r="E139" s="53" t="s">
        <v>2343</v>
      </c>
      <c r="F139" s="53" t="s">
        <v>2309</v>
      </c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"/>
      <c r="Z139" s="1"/>
    </row>
    <row r="140" spans="1:26" ht="14.25" customHeight="1">
      <c r="A140" s="176"/>
      <c r="B140" s="176"/>
      <c r="C140" s="190"/>
      <c r="D140" s="201"/>
      <c r="E140" s="201"/>
      <c r="F140" s="201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"/>
      <c r="Z140" s="1"/>
    </row>
    <row r="141" spans="1:26" ht="14.25" customHeight="1">
      <c r="A141" s="176"/>
      <c r="B141" s="176"/>
      <c r="C141" s="190"/>
      <c r="D141" s="201"/>
      <c r="E141" s="201"/>
      <c r="F141" s="201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"/>
      <c r="Z141" s="1"/>
    </row>
    <row r="142" spans="1:26" ht="14.25" customHeight="1">
      <c r="A142" s="176"/>
      <c r="B142" s="176"/>
      <c r="C142" s="190"/>
      <c r="D142" s="201"/>
      <c r="E142" s="201"/>
      <c r="F142" s="201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"/>
      <c r="Z142" s="1"/>
    </row>
    <row r="143" spans="1:26" ht="14.25" customHeight="1">
      <c r="A143" s="176"/>
      <c r="B143" s="176"/>
      <c r="C143" s="190"/>
      <c r="D143" s="201"/>
      <c r="E143" s="201"/>
      <c r="F143" s="201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"/>
      <c r="Z143" s="1"/>
    </row>
    <row r="144" spans="1:26" ht="14.25" customHeight="1">
      <c r="A144" s="176"/>
      <c r="B144" s="176"/>
      <c r="C144" s="190"/>
      <c r="D144" s="201"/>
      <c r="E144" s="201"/>
      <c r="F144" s="201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"/>
      <c r="Z144" s="1"/>
    </row>
    <row r="145" spans="1:26" ht="14.25" customHeight="1">
      <c r="A145" s="176"/>
      <c r="B145" s="176"/>
      <c r="C145" s="190"/>
      <c r="D145" s="201"/>
      <c r="E145" s="201"/>
      <c r="F145" s="201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"/>
      <c r="Z145" s="1"/>
    </row>
    <row r="146" spans="1:26" ht="14.25" customHeight="1">
      <c r="A146" s="176"/>
      <c r="B146" s="176"/>
      <c r="C146" s="190"/>
      <c r="D146" s="201"/>
      <c r="E146" s="201"/>
      <c r="F146" s="201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"/>
      <c r="Z146" s="1"/>
    </row>
    <row r="147" spans="1:26" ht="14.25" customHeight="1">
      <c r="A147" s="176"/>
      <c r="B147" s="176"/>
      <c r="C147" s="190"/>
      <c r="D147" s="201"/>
      <c r="E147" s="201"/>
      <c r="F147" s="201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"/>
      <c r="Z147" s="1"/>
    </row>
    <row r="148" spans="1:26" ht="14.25" customHeight="1">
      <c r="A148" s="176"/>
      <c r="B148" s="176"/>
      <c r="C148" s="190"/>
      <c r="D148" s="201"/>
      <c r="E148" s="201"/>
      <c r="F148" s="201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"/>
      <c r="Z148" s="1"/>
    </row>
    <row r="149" spans="1:26" ht="14.25" customHeight="1">
      <c r="A149" s="176"/>
      <c r="B149" s="176"/>
      <c r="C149" s="190"/>
      <c r="D149" s="201"/>
      <c r="E149" s="201"/>
      <c r="F149" s="201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"/>
      <c r="Z149" s="1"/>
    </row>
    <row r="150" spans="1:26" ht="14.25" customHeight="1">
      <c r="A150" s="176"/>
      <c r="B150" s="176"/>
      <c r="C150" s="190"/>
      <c r="D150" s="201"/>
      <c r="E150" s="201"/>
      <c r="F150" s="201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"/>
      <c r="Z150" s="1"/>
    </row>
  </sheetData>
  <mergeCells count="1">
    <mergeCell ref="A1:F1"/>
  </mergeCells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50"/>
  <sheetViews>
    <sheetView workbookViewId="0"/>
  </sheetViews>
  <sheetFormatPr defaultColWidth="14.3984375" defaultRowHeight="15" customHeight="1"/>
  <cols>
    <col min="1" max="1" width="10.265625" customWidth="1"/>
    <col min="2" max="2" width="13.1328125" customWidth="1"/>
    <col min="3" max="3" width="21.3984375" customWidth="1"/>
    <col min="4" max="4" width="80" customWidth="1"/>
    <col min="5" max="5" width="8.86328125" customWidth="1"/>
    <col min="6" max="6" width="15.86328125" customWidth="1"/>
    <col min="7" max="26" width="8.86328125" customWidth="1"/>
  </cols>
  <sheetData>
    <row r="1" spans="1:26" ht="36" customHeight="1">
      <c r="A1" s="426"/>
      <c r="B1" s="408"/>
      <c r="C1" s="408"/>
      <c r="D1" s="408"/>
      <c r="E1" s="407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</row>
    <row r="2" spans="1:26" ht="18" customHeight="1">
      <c r="A2" s="203" t="s">
        <v>2614</v>
      </c>
      <c r="B2" s="203" t="s">
        <v>2615</v>
      </c>
      <c r="C2" s="203" t="s">
        <v>2616</v>
      </c>
      <c r="D2" s="203" t="s">
        <v>2617</v>
      </c>
      <c r="E2" s="204">
        <v>185</v>
      </c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</row>
    <row r="3" spans="1:26" ht="18" customHeight="1">
      <c r="A3" s="203" t="s">
        <v>2614</v>
      </c>
      <c r="B3" s="203" t="s">
        <v>2615</v>
      </c>
      <c r="C3" s="203" t="s">
        <v>2618</v>
      </c>
      <c r="D3" s="203" t="s">
        <v>2619</v>
      </c>
      <c r="E3" s="204">
        <v>180</v>
      </c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</row>
    <row r="4" spans="1:26" ht="18" hidden="1" customHeight="1">
      <c r="A4" s="203" t="s">
        <v>2614</v>
      </c>
      <c r="B4" s="203" t="s">
        <v>2615</v>
      </c>
      <c r="C4" s="203"/>
      <c r="D4" s="203" t="s">
        <v>2620</v>
      </c>
      <c r="E4" s="204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</row>
    <row r="5" spans="1:26" ht="18" hidden="1" customHeight="1">
      <c r="A5" s="203" t="s">
        <v>2614</v>
      </c>
      <c r="B5" s="203" t="s">
        <v>2615</v>
      </c>
      <c r="C5" s="203"/>
      <c r="D5" s="203" t="s">
        <v>2621</v>
      </c>
      <c r="E5" s="204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</row>
    <row r="6" spans="1:26" ht="18" hidden="1" customHeight="1">
      <c r="A6" s="203" t="s">
        <v>2614</v>
      </c>
      <c r="B6" s="203" t="s">
        <v>2615</v>
      </c>
      <c r="C6" s="203"/>
      <c r="D6" s="205" t="s">
        <v>2622</v>
      </c>
      <c r="E6" s="204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</row>
    <row r="7" spans="1:26" ht="18" hidden="1" customHeight="1">
      <c r="A7" s="203" t="s">
        <v>2614</v>
      </c>
      <c r="B7" s="203" t="s">
        <v>2615</v>
      </c>
      <c r="C7" s="203"/>
      <c r="D7" s="205" t="s">
        <v>2623</v>
      </c>
      <c r="E7" s="204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spans="1:26" ht="18" customHeight="1">
      <c r="A8" s="206" t="s">
        <v>2614</v>
      </c>
      <c r="B8" s="206" t="s">
        <v>2615</v>
      </c>
      <c r="C8" s="206" t="s">
        <v>2624</v>
      </c>
      <c r="D8" s="207" t="s">
        <v>2625</v>
      </c>
      <c r="E8" s="208">
        <v>65</v>
      </c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</row>
    <row r="9" spans="1:26" ht="18" customHeight="1">
      <c r="A9" s="206" t="s">
        <v>2614</v>
      </c>
      <c r="B9" s="206" t="s">
        <v>2615</v>
      </c>
      <c r="C9" s="206" t="s">
        <v>2626</v>
      </c>
      <c r="D9" s="207" t="s">
        <v>2627</v>
      </c>
      <c r="E9" s="208">
        <v>67</v>
      </c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</row>
    <row r="10" spans="1:26" ht="18" customHeight="1">
      <c r="A10" s="206" t="s">
        <v>2614</v>
      </c>
      <c r="B10" s="206" t="s">
        <v>2615</v>
      </c>
      <c r="C10" s="206" t="s">
        <v>2628</v>
      </c>
      <c r="D10" s="207" t="s">
        <v>2629</v>
      </c>
      <c r="E10" s="208">
        <v>83</v>
      </c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</row>
    <row r="11" spans="1:26" ht="18" customHeight="1">
      <c r="A11" s="206" t="s">
        <v>2614</v>
      </c>
      <c r="B11" s="206" t="s">
        <v>2615</v>
      </c>
      <c r="C11" s="206" t="s">
        <v>2630</v>
      </c>
      <c r="D11" s="207" t="s">
        <v>2631</v>
      </c>
      <c r="E11" s="208">
        <v>78</v>
      </c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</row>
    <row r="12" spans="1:26" ht="18" customHeight="1">
      <c r="A12" s="203" t="s">
        <v>2614</v>
      </c>
      <c r="B12" s="203" t="s">
        <v>2615</v>
      </c>
      <c r="C12" s="203"/>
      <c r="D12" s="205" t="s">
        <v>2632</v>
      </c>
      <c r="E12" s="204">
        <v>80</v>
      </c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</row>
    <row r="13" spans="1:26" ht="18" hidden="1" customHeight="1">
      <c r="A13" s="203" t="s">
        <v>2614</v>
      </c>
      <c r="B13" s="203" t="s">
        <v>2615</v>
      </c>
      <c r="C13" s="203"/>
      <c r="D13" s="203" t="s">
        <v>2633</v>
      </c>
      <c r="E13" s="204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</row>
    <row r="14" spans="1:26" ht="18" customHeight="1">
      <c r="A14" s="206" t="s">
        <v>2614</v>
      </c>
      <c r="B14" s="206" t="s">
        <v>2615</v>
      </c>
      <c r="C14" s="206" t="s">
        <v>2634</v>
      </c>
      <c r="D14" s="206" t="s">
        <v>2635</v>
      </c>
      <c r="E14" s="208">
        <v>83</v>
      </c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</row>
    <row r="15" spans="1:26" ht="18" customHeight="1">
      <c r="A15" s="203" t="s">
        <v>2614</v>
      </c>
      <c r="B15" s="203" t="s">
        <v>2615</v>
      </c>
      <c r="C15" s="203" t="s">
        <v>2636</v>
      </c>
      <c r="D15" s="203" t="s">
        <v>2637</v>
      </c>
      <c r="E15" s="204">
        <v>80</v>
      </c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</row>
    <row r="16" spans="1:26" ht="18" hidden="1" customHeight="1">
      <c r="A16" s="203" t="s">
        <v>2614</v>
      </c>
      <c r="B16" s="203" t="s">
        <v>2615</v>
      </c>
      <c r="C16" s="203"/>
      <c r="D16" s="205" t="s">
        <v>2638</v>
      </c>
      <c r="E16" s="204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</row>
    <row r="17" spans="1:26" ht="18" hidden="1" customHeight="1">
      <c r="A17" s="203" t="s">
        <v>2614</v>
      </c>
      <c r="B17" s="203" t="s">
        <v>2615</v>
      </c>
      <c r="C17" s="203"/>
      <c r="D17" s="205" t="s">
        <v>2639</v>
      </c>
      <c r="E17" s="204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</row>
    <row r="18" spans="1:26" ht="18" customHeight="1">
      <c r="A18" s="206" t="s">
        <v>2614</v>
      </c>
      <c r="B18" s="206" t="s">
        <v>2615</v>
      </c>
      <c r="C18" s="206"/>
      <c r="D18" s="207" t="s">
        <v>2640</v>
      </c>
      <c r="E18" s="208">
        <v>43</v>
      </c>
      <c r="F18" s="209" t="s">
        <v>2641</v>
      </c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</row>
    <row r="19" spans="1:26" ht="18" hidden="1" customHeight="1">
      <c r="A19" s="203" t="s">
        <v>2614</v>
      </c>
      <c r="B19" s="203" t="s">
        <v>2615</v>
      </c>
      <c r="C19" s="203"/>
      <c r="D19" s="205" t="s">
        <v>2642</v>
      </c>
      <c r="E19" s="204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</row>
    <row r="20" spans="1:26" ht="18" customHeight="1">
      <c r="A20" s="206" t="s">
        <v>2614</v>
      </c>
      <c r="B20" s="206" t="s">
        <v>2615</v>
      </c>
      <c r="C20" s="206" t="s">
        <v>2643</v>
      </c>
      <c r="D20" s="206" t="s">
        <v>2644</v>
      </c>
      <c r="E20" s="208">
        <v>62</v>
      </c>
      <c r="F20" s="209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</row>
    <row r="21" spans="1:26" ht="18" customHeight="1">
      <c r="A21" s="206" t="s">
        <v>2614</v>
      </c>
      <c r="B21" s="206" t="s">
        <v>2615</v>
      </c>
      <c r="C21" s="206" t="s">
        <v>2645</v>
      </c>
      <c r="D21" s="206" t="s">
        <v>2646</v>
      </c>
      <c r="E21" s="208">
        <v>60</v>
      </c>
      <c r="F21" s="209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</row>
    <row r="22" spans="1:26" ht="18" hidden="1" customHeight="1">
      <c r="A22" s="203" t="s">
        <v>2614</v>
      </c>
      <c r="B22" s="203" t="s">
        <v>2615</v>
      </c>
      <c r="C22" s="203"/>
      <c r="D22" s="205" t="s">
        <v>2647</v>
      </c>
      <c r="E22" s="204"/>
      <c r="F22" s="209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</row>
    <row r="23" spans="1:26" ht="18" hidden="1" customHeight="1">
      <c r="A23" s="203" t="s">
        <v>2614</v>
      </c>
      <c r="B23" s="203" t="s">
        <v>2615</v>
      </c>
      <c r="C23" s="203"/>
      <c r="D23" s="205" t="s">
        <v>2648</v>
      </c>
      <c r="E23" s="204"/>
      <c r="F23" s="209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</row>
    <row r="24" spans="1:26" ht="18" hidden="1" customHeight="1">
      <c r="A24" s="203" t="s">
        <v>2614</v>
      </c>
      <c r="B24" s="203" t="s">
        <v>2615</v>
      </c>
      <c r="C24" s="203" t="s">
        <v>2649</v>
      </c>
      <c r="D24" s="205" t="s">
        <v>2650</v>
      </c>
      <c r="E24" s="204"/>
      <c r="F24" s="209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</row>
    <row r="25" spans="1:26" ht="18" customHeight="1">
      <c r="A25" s="206" t="s">
        <v>2614</v>
      </c>
      <c r="B25" s="206" t="s">
        <v>2615</v>
      </c>
      <c r="C25" s="206" t="s">
        <v>2649</v>
      </c>
      <c r="D25" s="207" t="s">
        <v>2651</v>
      </c>
      <c r="E25" s="208"/>
      <c r="F25" s="209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</row>
    <row r="26" spans="1:26" ht="18" customHeight="1">
      <c r="A26" s="206" t="s">
        <v>2614</v>
      </c>
      <c r="B26" s="206" t="s">
        <v>2615</v>
      </c>
      <c r="C26" s="206" t="s">
        <v>2652</v>
      </c>
      <c r="D26" s="207" t="s">
        <v>2653</v>
      </c>
      <c r="E26" s="208">
        <v>48</v>
      </c>
      <c r="F26" s="209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</row>
    <row r="27" spans="1:26" ht="18" hidden="1" customHeight="1">
      <c r="A27" s="206" t="s">
        <v>2614</v>
      </c>
      <c r="B27" s="206" t="s">
        <v>2615</v>
      </c>
      <c r="C27" s="203"/>
      <c r="D27" s="205" t="s">
        <v>2654</v>
      </c>
      <c r="E27" s="204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</row>
    <row r="28" spans="1:26" ht="18" customHeight="1">
      <c r="A28" s="206" t="s">
        <v>2614</v>
      </c>
      <c r="B28" s="206" t="s">
        <v>2615</v>
      </c>
      <c r="C28" s="206" t="s">
        <v>2655</v>
      </c>
      <c r="D28" s="207" t="s">
        <v>2656</v>
      </c>
      <c r="E28" s="208">
        <v>52</v>
      </c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</row>
    <row r="29" spans="1:26" ht="18" customHeight="1">
      <c r="A29" s="206" t="s">
        <v>2614</v>
      </c>
      <c r="B29" s="206" t="s">
        <v>2615</v>
      </c>
      <c r="C29" s="206" t="s">
        <v>2657</v>
      </c>
      <c r="D29" s="207" t="s">
        <v>2658</v>
      </c>
      <c r="E29" s="208">
        <v>49</v>
      </c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</row>
    <row r="30" spans="1:26" ht="18" customHeight="1">
      <c r="A30" s="203" t="s">
        <v>2614</v>
      </c>
      <c r="B30" s="203" t="s">
        <v>2615</v>
      </c>
      <c r="C30" s="203"/>
      <c r="D30" s="205" t="s">
        <v>2659</v>
      </c>
      <c r="E30" s="204">
        <v>43</v>
      </c>
      <c r="F30" s="202" t="s">
        <v>2660</v>
      </c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</row>
    <row r="31" spans="1:26" ht="18" customHeight="1">
      <c r="A31" s="203" t="s">
        <v>2614</v>
      </c>
      <c r="B31" s="203" t="s">
        <v>2615</v>
      </c>
      <c r="C31" s="203"/>
      <c r="D31" s="205" t="s">
        <v>2661</v>
      </c>
      <c r="E31" s="204">
        <v>53</v>
      </c>
      <c r="F31" s="202" t="s">
        <v>2662</v>
      </c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</row>
    <row r="32" spans="1:26" ht="18" hidden="1" customHeight="1">
      <c r="A32" s="203" t="s">
        <v>2614</v>
      </c>
      <c r="B32" s="203" t="s">
        <v>2615</v>
      </c>
      <c r="C32" s="203"/>
      <c r="D32" s="203" t="s">
        <v>2663</v>
      </c>
      <c r="E32" s="204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</row>
    <row r="33" spans="1:26" ht="18" hidden="1" customHeight="1">
      <c r="A33" s="203" t="s">
        <v>2614</v>
      </c>
      <c r="B33" s="203" t="s">
        <v>2615</v>
      </c>
      <c r="C33" s="203"/>
      <c r="D33" s="203" t="s">
        <v>2664</v>
      </c>
      <c r="E33" s="204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</row>
    <row r="34" spans="1:26" ht="18" hidden="1" customHeight="1">
      <c r="A34" s="203" t="s">
        <v>2614</v>
      </c>
      <c r="B34" s="203" t="s">
        <v>2615</v>
      </c>
      <c r="C34" s="203"/>
      <c r="D34" s="205" t="s">
        <v>2665</v>
      </c>
      <c r="E34" s="204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</row>
    <row r="35" spans="1:26" ht="18" customHeight="1">
      <c r="A35" s="203" t="s">
        <v>2614</v>
      </c>
      <c r="B35" s="203" t="s">
        <v>2615</v>
      </c>
      <c r="C35" s="203"/>
      <c r="D35" s="205" t="s">
        <v>2666</v>
      </c>
      <c r="E35" s="204">
        <v>41</v>
      </c>
      <c r="F35" s="202" t="s">
        <v>2660</v>
      </c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</row>
    <row r="36" spans="1:26" ht="18" hidden="1" customHeight="1">
      <c r="A36" s="203" t="s">
        <v>2614</v>
      </c>
      <c r="B36" s="203" t="s">
        <v>2615</v>
      </c>
      <c r="C36" s="203"/>
      <c r="D36" s="205" t="s">
        <v>2667</v>
      </c>
      <c r="E36" s="204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</row>
    <row r="37" spans="1:26" ht="18" hidden="1" customHeight="1">
      <c r="A37" s="203" t="s">
        <v>2614</v>
      </c>
      <c r="B37" s="203" t="s">
        <v>2615</v>
      </c>
      <c r="C37" s="203"/>
      <c r="D37" s="205" t="s">
        <v>2668</v>
      </c>
      <c r="E37" s="204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</row>
    <row r="38" spans="1:26" ht="18" hidden="1" customHeight="1">
      <c r="A38" s="203" t="s">
        <v>2614</v>
      </c>
      <c r="B38" s="203" t="s">
        <v>2615</v>
      </c>
      <c r="C38" s="203"/>
      <c r="D38" s="205" t="s">
        <v>2669</v>
      </c>
      <c r="E38" s="204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</row>
    <row r="39" spans="1:26" ht="18" hidden="1" customHeight="1">
      <c r="A39" s="210" t="s">
        <v>2614</v>
      </c>
      <c r="B39" s="210" t="s">
        <v>2615</v>
      </c>
      <c r="C39" s="210"/>
      <c r="D39" s="211" t="s">
        <v>2670</v>
      </c>
      <c r="E39" s="21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</row>
    <row r="40" spans="1:26" ht="18" customHeight="1">
      <c r="A40" s="202"/>
      <c r="B40" s="202"/>
      <c r="C40" s="202"/>
      <c r="D40" s="213"/>
      <c r="E40" s="214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</row>
    <row r="41" spans="1:26" ht="18" customHeight="1">
      <c r="A41" s="206" t="s">
        <v>2614</v>
      </c>
      <c r="B41" s="206" t="s">
        <v>2671</v>
      </c>
      <c r="C41" s="206" t="s">
        <v>2672</v>
      </c>
      <c r="D41" s="207" t="s">
        <v>2673</v>
      </c>
      <c r="E41" s="208">
        <v>134</v>
      </c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</row>
    <row r="42" spans="1:26" ht="18" customHeight="1">
      <c r="A42" s="206" t="s">
        <v>2614</v>
      </c>
      <c r="B42" s="206" t="s">
        <v>2671</v>
      </c>
      <c r="C42" s="206" t="s">
        <v>2674</v>
      </c>
      <c r="D42" s="207" t="s">
        <v>2675</v>
      </c>
      <c r="E42" s="208">
        <v>130</v>
      </c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</row>
    <row r="43" spans="1:26" ht="18" customHeight="1">
      <c r="A43" s="206" t="s">
        <v>2614</v>
      </c>
      <c r="B43" s="206" t="s">
        <v>2671</v>
      </c>
      <c r="C43" s="206" t="s">
        <v>2676</v>
      </c>
      <c r="D43" s="207" t="s">
        <v>2677</v>
      </c>
      <c r="E43" s="208">
        <v>118</v>
      </c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</row>
    <row r="44" spans="1:26" ht="18" customHeight="1">
      <c r="A44" s="206" t="s">
        <v>2614</v>
      </c>
      <c r="B44" s="206" t="s">
        <v>2671</v>
      </c>
      <c r="C44" s="206" t="s">
        <v>2678</v>
      </c>
      <c r="D44" s="207" t="s">
        <v>2679</v>
      </c>
      <c r="E44" s="208">
        <v>115</v>
      </c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</row>
    <row r="45" spans="1:26" ht="18" customHeight="1">
      <c r="A45" s="203" t="s">
        <v>2614</v>
      </c>
      <c r="B45" s="203" t="s">
        <v>2671</v>
      </c>
      <c r="C45" s="203" t="s">
        <v>2680</v>
      </c>
      <c r="D45" s="205" t="s">
        <v>2681</v>
      </c>
      <c r="E45" s="204">
        <v>91</v>
      </c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</row>
    <row r="46" spans="1:26" ht="18" customHeight="1">
      <c r="A46" s="203" t="s">
        <v>2614</v>
      </c>
      <c r="B46" s="203" t="s">
        <v>2671</v>
      </c>
      <c r="C46" s="203" t="s">
        <v>2682</v>
      </c>
      <c r="D46" s="205" t="s">
        <v>2683</v>
      </c>
      <c r="E46" s="204">
        <v>88</v>
      </c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</row>
    <row r="47" spans="1:26" ht="18" customHeight="1">
      <c r="A47" s="203" t="s">
        <v>2614</v>
      </c>
      <c r="B47" s="203" t="s">
        <v>2671</v>
      </c>
      <c r="C47" s="203" t="s">
        <v>2684</v>
      </c>
      <c r="D47" s="205" t="s">
        <v>2685</v>
      </c>
      <c r="E47" s="204">
        <v>85</v>
      </c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</row>
    <row r="48" spans="1:26" ht="18" customHeight="1">
      <c r="A48" s="203" t="s">
        <v>2614</v>
      </c>
      <c r="B48" s="203" t="s">
        <v>2671</v>
      </c>
      <c r="C48" s="203" t="s">
        <v>2686</v>
      </c>
      <c r="D48" s="205" t="s">
        <v>2687</v>
      </c>
      <c r="E48" s="204">
        <v>82</v>
      </c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</row>
    <row r="49" spans="1:26" ht="18" customHeight="1">
      <c r="A49" s="203" t="s">
        <v>2614</v>
      </c>
      <c r="B49" s="203" t="s">
        <v>2671</v>
      </c>
      <c r="C49" s="203" t="s">
        <v>2688</v>
      </c>
      <c r="D49" s="205" t="s">
        <v>2689</v>
      </c>
      <c r="E49" s="204">
        <v>78</v>
      </c>
      <c r="F49" s="202"/>
      <c r="G49" s="202"/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</row>
    <row r="50" spans="1:26" ht="18" customHeight="1">
      <c r="A50" s="203" t="s">
        <v>2614</v>
      </c>
      <c r="B50" s="203" t="s">
        <v>2671</v>
      </c>
      <c r="C50" s="203" t="s">
        <v>2690</v>
      </c>
      <c r="D50" s="205" t="s">
        <v>2691</v>
      </c>
      <c r="E50" s="204">
        <v>75</v>
      </c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</row>
    <row r="51" spans="1:26" ht="18" customHeight="1">
      <c r="A51" s="206" t="s">
        <v>2614</v>
      </c>
      <c r="B51" s="206" t="s">
        <v>2671</v>
      </c>
      <c r="C51" s="206" t="s">
        <v>2692</v>
      </c>
      <c r="D51" s="207" t="s">
        <v>2693</v>
      </c>
      <c r="E51" s="208">
        <v>100</v>
      </c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</row>
    <row r="52" spans="1:26" ht="18" customHeight="1">
      <c r="A52" s="206" t="s">
        <v>2614</v>
      </c>
      <c r="B52" s="206" t="s">
        <v>2671</v>
      </c>
      <c r="C52" s="206" t="s">
        <v>2694</v>
      </c>
      <c r="D52" s="207" t="s">
        <v>2695</v>
      </c>
      <c r="E52" s="208">
        <v>95</v>
      </c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</row>
    <row r="53" spans="1:26" ht="18" customHeight="1">
      <c r="A53" s="203" t="s">
        <v>2614</v>
      </c>
      <c r="B53" s="203" t="s">
        <v>2671</v>
      </c>
      <c r="C53" s="203"/>
      <c r="D53" s="205" t="s">
        <v>2696</v>
      </c>
      <c r="E53" s="204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</row>
    <row r="54" spans="1:26" ht="18" customHeight="1">
      <c r="A54" s="203" t="s">
        <v>2614</v>
      </c>
      <c r="B54" s="203" t="s">
        <v>2671</v>
      </c>
      <c r="C54" s="203" t="s">
        <v>2697</v>
      </c>
      <c r="D54" s="205" t="s">
        <v>2698</v>
      </c>
      <c r="E54" s="204">
        <v>90</v>
      </c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</row>
    <row r="55" spans="1:26" ht="18" customHeight="1">
      <c r="A55" s="203" t="s">
        <v>2614</v>
      </c>
      <c r="B55" s="203" t="s">
        <v>2671</v>
      </c>
      <c r="C55" s="203" t="s">
        <v>2699</v>
      </c>
      <c r="D55" s="205" t="s">
        <v>2700</v>
      </c>
      <c r="E55" s="204">
        <v>76</v>
      </c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</row>
    <row r="56" spans="1:26" ht="18" customHeight="1">
      <c r="A56" s="203" t="s">
        <v>2614</v>
      </c>
      <c r="B56" s="203" t="s">
        <v>2671</v>
      </c>
      <c r="C56" s="203"/>
      <c r="D56" s="205" t="s">
        <v>2701</v>
      </c>
      <c r="E56" s="204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</row>
    <row r="57" spans="1:26" ht="18" customHeight="1">
      <c r="A57" s="203" t="s">
        <v>2614</v>
      </c>
      <c r="B57" s="203" t="s">
        <v>2671</v>
      </c>
      <c r="C57" s="203"/>
      <c r="D57" s="205" t="s">
        <v>2702</v>
      </c>
      <c r="E57" s="204"/>
      <c r="F57" s="202" t="s">
        <v>2660</v>
      </c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</row>
    <row r="58" spans="1:26" ht="18" customHeight="1">
      <c r="A58" s="203" t="s">
        <v>2614</v>
      </c>
      <c r="B58" s="203" t="s">
        <v>2671</v>
      </c>
      <c r="C58" s="203" t="s">
        <v>2703</v>
      </c>
      <c r="D58" s="205" t="s">
        <v>2704</v>
      </c>
      <c r="E58" s="204">
        <v>57</v>
      </c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</row>
    <row r="59" spans="1:26" ht="18" customHeight="1">
      <c r="A59" s="203" t="s">
        <v>2614</v>
      </c>
      <c r="B59" s="203" t="s">
        <v>2671</v>
      </c>
      <c r="C59" s="203" t="s">
        <v>2705</v>
      </c>
      <c r="D59" s="205" t="s">
        <v>2706</v>
      </c>
      <c r="E59" s="204">
        <v>76</v>
      </c>
      <c r="F59" s="202" t="s">
        <v>2662</v>
      </c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</row>
    <row r="60" spans="1:26" ht="18" customHeight="1">
      <c r="A60" s="203" t="s">
        <v>2614</v>
      </c>
      <c r="B60" s="203" t="s">
        <v>2671</v>
      </c>
      <c r="C60" s="203"/>
      <c r="D60" s="205" t="s">
        <v>2707</v>
      </c>
      <c r="E60" s="204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</row>
    <row r="61" spans="1:26" ht="18" customHeight="1">
      <c r="A61" s="203" t="s">
        <v>2614</v>
      </c>
      <c r="B61" s="203" t="s">
        <v>2671</v>
      </c>
      <c r="C61" s="203" t="s">
        <v>2708</v>
      </c>
      <c r="D61" s="205" t="s">
        <v>2709</v>
      </c>
      <c r="E61" s="204">
        <v>52</v>
      </c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</row>
    <row r="62" spans="1:26" ht="18" customHeight="1">
      <c r="A62" s="203" t="s">
        <v>2614</v>
      </c>
      <c r="B62" s="203" t="s">
        <v>2671</v>
      </c>
      <c r="C62" s="203" t="s">
        <v>2710</v>
      </c>
      <c r="D62" s="205" t="s">
        <v>2711</v>
      </c>
      <c r="E62" s="204">
        <v>46</v>
      </c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</row>
    <row r="63" spans="1:26" ht="18" customHeight="1">
      <c r="A63" s="203" t="s">
        <v>2614</v>
      </c>
      <c r="B63" s="203" t="s">
        <v>2671</v>
      </c>
      <c r="C63" s="203" t="s">
        <v>2712</v>
      </c>
      <c r="D63" s="205" t="s">
        <v>2713</v>
      </c>
      <c r="E63" s="204">
        <v>44</v>
      </c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</row>
    <row r="64" spans="1:26" ht="18" customHeight="1">
      <c r="A64" s="206" t="s">
        <v>2614</v>
      </c>
      <c r="B64" s="206" t="s">
        <v>2671</v>
      </c>
      <c r="C64" s="206" t="s">
        <v>2714</v>
      </c>
      <c r="D64" s="207" t="s">
        <v>2715</v>
      </c>
      <c r="E64" s="208">
        <v>39</v>
      </c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</row>
    <row r="65" spans="1:26" ht="18" customHeight="1">
      <c r="A65" s="203" t="s">
        <v>2614</v>
      </c>
      <c r="B65" s="203" t="s">
        <v>2671</v>
      </c>
      <c r="C65" s="203"/>
      <c r="D65" s="205" t="s">
        <v>2716</v>
      </c>
      <c r="E65" s="204">
        <v>33</v>
      </c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</row>
    <row r="66" spans="1:26" ht="18" customHeight="1">
      <c r="A66" s="206" t="s">
        <v>2614</v>
      </c>
      <c r="B66" s="206" t="s">
        <v>2671</v>
      </c>
      <c r="C66" s="206"/>
      <c r="D66" s="207" t="s">
        <v>2717</v>
      </c>
      <c r="E66" s="208">
        <v>24</v>
      </c>
      <c r="F66" s="209" t="s">
        <v>2718</v>
      </c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</row>
    <row r="67" spans="1:26" ht="18" customHeight="1">
      <c r="A67" s="203" t="s">
        <v>2614</v>
      </c>
      <c r="B67" s="203" t="s">
        <v>2671</v>
      </c>
      <c r="C67" s="203"/>
      <c r="D67" s="205" t="s">
        <v>2719</v>
      </c>
      <c r="E67" s="204">
        <v>41</v>
      </c>
      <c r="F67" s="202" t="s">
        <v>2662</v>
      </c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</row>
    <row r="68" spans="1:26" ht="18" customHeight="1">
      <c r="A68" s="203" t="s">
        <v>2614</v>
      </c>
      <c r="B68" s="203" t="s">
        <v>2671</v>
      </c>
      <c r="C68" s="203"/>
      <c r="D68" s="205" t="s">
        <v>2720</v>
      </c>
      <c r="E68" s="204">
        <v>36</v>
      </c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</row>
    <row r="69" spans="1:26" ht="18" customHeight="1">
      <c r="A69" s="203" t="s">
        <v>2614</v>
      </c>
      <c r="B69" s="203" t="s">
        <v>2671</v>
      </c>
      <c r="C69" s="203"/>
      <c r="D69" s="205" t="s">
        <v>2721</v>
      </c>
      <c r="E69" s="204">
        <v>30</v>
      </c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</row>
    <row r="70" spans="1:26" ht="18" customHeight="1">
      <c r="A70" s="203" t="s">
        <v>2614</v>
      </c>
      <c r="B70" s="203" t="s">
        <v>2671</v>
      </c>
      <c r="C70" s="203"/>
      <c r="D70" s="203" t="s">
        <v>2722</v>
      </c>
      <c r="E70" s="204">
        <v>25</v>
      </c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</row>
    <row r="71" spans="1:26" ht="18" customHeight="1">
      <c r="A71" s="206" t="s">
        <v>2614</v>
      </c>
      <c r="B71" s="206" t="s">
        <v>2671</v>
      </c>
      <c r="C71" s="206"/>
      <c r="D71" s="206" t="s">
        <v>2723</v>
      </c>
      <c r="E71" s="208">
        <v>22</v>
      </c>
      <c r="F71" s="209" t="s">
        <v>2718</v>
      </c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</row>
    <row r="72" spans="1:26" ht="18" customHeight="1">
      <c r="A72" s="202"/>
      <c r="B72" s="202"/>
      <c r="C72" s="202"/>
      <c r="D72" s="202"/>
      <c r="E72" s="214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</row>
    <row r="73" spans="1:26" ht="18" customHeight="1">
      <c r="A73" s="203" t="s">
        <v>2614</v>
      </c>
      <c r="B73" s="203" t="s">
        <v>2724</v>
      </c>
      <c r="C73" s="203" t="s">
        <v>2725</v>
      </c>
      <c r="D73" s="205" t="s">
        <v>2726</v>
      </c>
      <c r="E73" s="204">
        <v>135</v>
      </c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</row>
    <row r="74" spans="1:26" ht="18" customHeight="1">
      <c r="A74" s="203" t="s">
        <v>2614</v>
      </c>
      <c r="B74" s="203" t="s">
        <v>2724</v>
      </c>
      <c r="C74" s="203"/>
      <c r="D74" s="203" t="s">
        <v>2727</v>
      </c>
      <c r="E74" s="204">
        <v>135</v>
      </c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</row>
    <row r="75" spans="1:26" ht="18" customHeight="1">
      <c r="A75" s="203" t="s">
        <v>2614</v>
      </c>
      <c r="B75" s="203" t="s">
        <v>2724</v>
      </c>
      <c r="C75" s="203" t="s">
        <v>2728</v>
      </c>
      <c r="D75" s="203" t="s">
        <v>2729</v>
      </c>
      <c r="E75" s="204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</row>
    <row r="76" spans="1:26" ht="18" customHeight="1">
      <c r="A76" s="203" t="s">
        <v>2614</v>
      </c>
      <c r="B76" s="203" t="s">
        <v>2724</v>
      </c>
      <c r="C76" s="203"/>
      <c r="D76" s="203" t="s">
        <v>2730</v>
      </c>
      <c r="E76" s="204">
        <v>100</v>
      </c>
      <c r="F76" s="202" t="s">
        <v>2660</v>
      </c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</row>
    <row r="77" spans="1:26" ht="18" customHeight="1">
      <c r="A77" s="203" t="s">
        <v>2614</v>
      </c>
      <c r="B77" s="203" t="s">
        <v>2724</v>
      </c>
      <c r="C77" s="203"/>
      <c r="D77" s="203" t="s">
        <v>2731</v>
      </c>
      <c r="E77" s="204">
        <v>118</v>
      </c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</row>
    <row r="78" spans="1:26" ht="18" customHeight="1">
      <c r="A78" s="203" t="s">
        <v>2614</v>
      </c>
      <c r="B78" s="203" t="s">
        <v>2724</v>
      </c>
      <c r="C78" s="203"/>
      <c r="D78" s="203" t="s">
        <v>2732</v>
      </c>
      <c r="E78" s="204">
        <v>115</v>
      </c>
      <c r="F78" s="202" t="s">
        <v>2662</v>
      </c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</row>
    <row r="79" spans="1:26" ht="18" customHeight="1">
      <c r="A79" s="203" t="s">
        <v>2614</v>
      </c>
      <c r="B79" s="203" t="s">
        <v>2724</v>
      </c>
      <c r="C79" s="203"/>
      <c r="D79" s="203" t="s">
        <v>2733</v>
      </c>
      <c r="E79" s="204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</row>
    <row r="80" spans="1:26" ht="18" customHeight="1">
      <c r="A80" s="203" t="s">
        <v>2614</v>
      </c>
      <c r="B80" s="203" t="s">
        <v>2724</v>
      </c>
      <c r="C80" s="203" t="s">
        <v>2734</v>
      </c>
      <c r="D80" s="203" t="s">
        <v>2735</v>
      </c>
      <c r="E80" s="204">
        <v>130</v>
      </c>
      <c r="F80" s="209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</row>
    <row r="81" spans="1:26" ht="18" customHeight="1">
      <c r="A81" s="203" t="s">
        <v>2614</v>
      </c>
      <c r="B81" s="203" t="s">
        <v>2724</v>
      </c>
      <c r="C81" s="203" t="s">
        <v>2736</v>
      </c>
      <c r="D81" s="203" t="s">
        <v>2737</v>
      </c>
      <c r="E81" s="204">
        <v>135</v>
      </c>
      <c r="F81" s="209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</row>
    <row r="82" spans="1:26" ht="18" customHeight="1">
      <c r="A82" s="206" t="s">
        <v>2614</v>
      </c>
      <c r="B82" s="206" t="s">
        <v>2724</v>
      </c>
      <c r="C82" s="206" t="s">
        <v>2738</v>
      </c>
      <c r="D82" s="206" t="s">
        <v>2739</v>
      </c>
      <c r="E82" s="208">
        <v>210</v>
      </c>
      <c r="F82" s="209"/>
      <c r="G82" s="202"/>
      <c r="H82" s="20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</row>
    <row r="83" spans="1:26" ht="18" customHeight="1">
      <c r="A83" s="203" t="s">
        <v>2614</v>
      </c>
      <c r="B83" s="203" t="s">
        <v>2724</v>
      </c>
      <c r="C83" s="203" t="s">
        <v>2740</v>
      </c>
      <c r="D83" s="203" t="s">
        <v>2741</v>
      </c>
      <c r="E83" s="204">
        <v>170</v>
      </c>
      <c r="F83" s="209"/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</row>
    <row r="84" spans="1:26" ht="18" customHeight="1">
      <c r="A84" s="203" t="s">
        <v>2614</v>
      </c>
      <c r="B84" s="203" t="s">
        <v>2724</v>
      </c>
      <c r="C84" s="203" t="s">
        <v>2742</v>
      </c>
      <c r="D84" s="205" t="s">
        <v>2743</v>
      </c>
      <c r="E84" s="204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</row>
    <row r="85" spans="1:26" ht="18" customHeight="1">
      <c r="A85" s="206" t="s">
        <v>2614</v>
      </c>
      <c r="B85" s="206" t="s">
        <v>2724</v>
      </c>
      <c r="C85" s="206" t="s">
        <v>2744</v>
      </c>
      <c r="D85" s="207" t="s">
        <v>2745</v>
      </c>
      <c r="E85" s="208">
        <v>88</v>
      </c>
      <c r="F85" s="202"/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2"/>
      <c r="X85" s="202"/>
      <c r="Y85" s="202"/>
      <c r="Z85" s="202"/>
    </row>
    <row r="86" spans="1:26" ht="18" customHeight="1">
      <c r="A86" s="203" t="s">
        <v>2614</v>
      </c>
      <c r="B86" s="203" t="s">
        <v>2724</v>
      </c>
      <c r="C86" s="203" t="s">
        <v>2746</v>
      </c>
      <c r="D86" s="205" t="s">
        <v>2747</v>
      </c>
      <c r="E86" s="204">
        <v>88</v>
      </c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</row>
    <row r="87" spans="1:26" ht="18" customHeight="1">
      <c r="A87" s="203" t="s">
        <v>2614</v>
      </c>
      <c r="B87" s="203" t="s">
        <v>2724</v>
      </c>
      <c r="C87" s="203" t="s">
        <v>2748</v>
      </c>
      <c r="D87" s="205" t="s">
        <v>2749</v>
      </c>
      <c r="E87" s="204">
        <v>58</v>
      </c>
      <c r="F87" s="202"/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</row>
    <row r="88" spans="1:26" ht="18" customHeight="1">
      <c r="A88" s="203" t="s">
        <v>2614</v>
      </c>
      <c r="B88" s="203" t="s">
        <v>2724</v>
      </c>
      <c r="C88" s="203" t="s">
        <v>2750</v>
      </c>
      <c r="D88" s="205" t="s">
        <v>2751</v>
      </c>
      <c r="E88" s="204"/>
      <c r="F88" s="202"/>
      <c r="G88" s="202"/>
      <c r="H88" s="202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</row>
    <row r="89" spans="1:26" ht="18" customHeight="1">
      <c r="A89" s="202"/>
      <c r="B89" s="202"/>
      <c r="C89" s="202"/>
      <c r="D89" s="213"/>
      <c r="E89" s="214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</row>
    <row r="90" spans="1:26" ht="18" customHeight="1">
      <c r="A90" s="203" t="s">
        <v>2614</v>
      </c>
      <c r="B90" s="203" t="s">
        <v>2752</v>
      </c>
      <c r="C90" s="203" t="s">
        <v>2753</v>
      </c>
      <c r="D90" s="205" t="s">
        <v>2754</v>
      </c>
      <c r="E90" s="204">
        <v>115</v>
      </c>
      <c r="F90" s="202"/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</row>
    <row r="91" spans="1:26" ht="18" customHeight="1">
      <c r="A91" s="203" t="s">
        <v>2614</v>
      </c>
      <c r="B91" s="203" t="s">
        <v>2752</v>
      </c>
      <c r="C91" s="203" t="s">
        <v>2755</v>
      </c>
      <c r="D91" s="205" t="s">
        <v>2756</v>
      </c>
      <c r="E91" s="204">
        <v>90</v>
      </c>
      <c r="F91" s="202"/>
      <c r="G91" s="202"/>
      <c r="H91" s="202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</row>
    <row r="92" spans="1:26" ht="18" customHeight="1">
      <c r="A92" s="203" t="s">
        <v>2614</v>
      </c>
      <c r="B92" s="203" t="s">
        <v>2752</v>
      </c>
      <c r="C92" s="203" t="s">
        <v>2757</v>
      </c>
      <c r="D92" s="205" t="s">
        <v>2758</v>
      </c>
      <c r="E92" s="204">
        <v>90</v>
      </c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</row>
    <row r="93" spans="1:26" ht="18" customHeight="1">
      <c r="A93" s="203" t="s">
        <v>2614</v>
      </c>
      <c r="B93" s="203" t="s">
        <v>2752</v>
      </c>
      <c r="C93" s="203" t="s">
        <v>2759</v>
      </c>
      <c r="D93" s="205" t="s">
        <v>2760</v>
      </c>
      <c r="E93" s="204">
        <v>80</v>
      </c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</row>
    <row r="94" spans="1:26" ht="18" customHeight="1">
      <c r="A94" s="203" t="s">
        <v>2614</v>
      </c>
      <c r="B94" s="203" t="s">
        <v>2752</v>
      </c>
      <c r="C94" s="203" t="s">
        <v>2761</v>
      </c>
      <c r="D94" s="203" t="s">
        <v>2762</v>
      </c>
      <c r="E94" s="204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</row>
    <row r="95" spans="1:26" ht="18" customHeight="1">
      <c r="A95" s="203" t="s">
        <v>2614</v>
      </c>
      <c r="B95" s="203" t="s">
        <v>2752</v>
      </c>
      <c r="C95" s="203" t="s">
        <v>2763</v>
      </c>
      <c r="D95" s="205" t="s">
        <v>2764</v>
      </c>
      <c r="E95" s="204">
        <v>73</v>
      </c>
      <c r="F95" s="202"/>
      <c r="G95" s="202"/>
      <c r="H95" s="202"/>
      <c r="I95" s="202"/>
      <c r="J95" s="202"/>
      <c r="K95" s="202"/>
      <c r="L95" s="202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</row>
    <row r="96" spans="1:26" ht="18" customHeight="1">
      <c r="A96" s="203" t="s">
        <v>2614</v>
      </c>
      <c r="B96" s="203" t="s">
        <v>2752</v>
      </c>
      <c r="C96" s="203" t="s">
        <v>2765</v>
      </c>
      <c r="D96" s="205" t="s">
        <v>2766</v>
      </c>
      <c r="E96" s="204">
        <v>73</v>
      </c>
      <c r="F96" s="202"/>
      <c r="G96" s="202"/>
      <c r="H96" s="202"/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</row>
    <row r="97" spans="1:26" ht="18" customHeight="1">
      <c r="A97" s="206" t="s">
        <v>2614</v>
      </c>
      <c r="B97" s="206" t="s">
        <v>2752</v>
      </c>
      <c r="C97" s="206" t="s">
        <v>2767</v>
      </c>
      <c r="D97" s="206" t="s">
        <v>2768</v>
      </c>
      <c r="E97" s="208">
        <v>61</v>
      </c>
      <c r="F97" s="202"/>
      <c r="G97" s="202"/>
      <c r="H97" s="202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</row>
    <row r="98" spans="1:26" ht="18" customHeight="1">
      <c r="A98" s="203" t="s">
        <v>2614</v>
      </c>
      <c r="B98" s="203" t="s">
        <v>2752</v>
      </c>
      <c r="C98" s="203"/>
      <c r="D98" s="205" t="s">
        <v>2769</v>
      </c>
      <c r="E98" s="204"/>
      <c r="F98" s="202"/>
      <c r="G98" s="202"/>
      <c r="H98" s="202"/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</row>
    <row r="99" spans="1:26" ht="18" customHeight="1">
      <c r="A99" s="203" t="s">
        <v>2614</v>
      </c>
      <c r="B99" s="203" t="s">
        <v>2752</v>
      </c>
      <c r="C99" s="203" t="s">
        <v>2770</v>
      </c>
      <c r="D99" s="205" t="s">
        <v>2771</v>
      </c>
      <c r="E99" s="204">
        <v>53</v>
      </c>
      <c r="F99" s="202"/>
      <c r="G99" s="202"/>
      <c r="H99" s="202"/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</row>
    <row r="100" spans="1:26" ht="18" customHeight="1">
      <c r="A100" s="203" t="s">
        <v>2614</v>
      </c>
      <c r="B100" s="203" t="s">
        <v>2752</v>
      </c>
      <c r="C100" s="203"/>
      <c r="D100" s="205" t="s">
        <v>2772</v>
      </c>
      <c r="E100" s="204"/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</row>
    <row r="101" spans="1:26" ht="18" customHeight="1">
      <c r="A101" s="203" t="s">
        <v>2614</v>
      </c>
      <c r="B101" s="203" t="s">
        <v>2752</v>
      </c>
      <c r="C101" s="203" t="s">
        <v>2773</v>
      </c>
      <c r="D101" s="205" t="s">
        <v>2774</v>
      </c>
      <c r="E101" s="204">
        <v>53</v>
      </c>
      <c r="F101" s="202"/>
      <c r="G101" s="202"/>
      <c r="H101" s="20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</row>
    <row r="102" spans="1:26" ht="18" customHeight="1">
      <c r="A102" s="203" t="s">
        <v>2614</v>
      </c>
      <c r="B102" s="203" t="s">
        <v>2752</v>
      </c>
      <c r="C102" s="203" t="s">
        <v>2775</v>
      </c>
      <c r="D102" s="205" t="s">
        <v>2776</v>
      </c>
      <c r="E102" s="204"/>
      <c r="F102" s="202"/>
      <c r="G102" s="202"/>
      <c r="H102" s="20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</row>
    <row r="103" spans="1:26" ht="18" customHeight="1">
      <c r="A103" s="203" t="s">
        <v>2614</v>
      </c>
      <c r="B103" s="203" t="s">
        <v>2752</v>
      </c>
      <c r="C103" s="203"/>
      <c r="D103" s="203" t="s">
        <v>2777</v>
      </c>
      <c r="E103" s="204">
        <v>60</v>
      </c>
      <c r="F103" s="202"/>
      <c r="G103" s="202"/>
      <c r="H103" s="202"/>
      <c r="I103" s="202"/>
      <c r="J103" s="202"/>
      <c r="K103" s="202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</row>
    <row r="104" spans="1:26" ht="18" customHeight="1">
      <c r="A104" s="203" t="s">
        <v>2614</v>
      </c>
      <c r="B104" s="203" t="s">
        <v>2752</v>
      </c>
      <c r="C104" s="203"/>
      <c r="D104" s="205" t="s">
        <v>2778</v>
      </c>
      <c r="E104" s="204">
        <v>55</v>
      </c>
      <c r="F104" s="202" t="s">
        <v>2779</v>
      </c>
      <c r="G104" s="202"/>
      <c r="H104" s="202"/>
      <c r="I104" s="202"/>
      <c r="J104" s="202"/>
      <c r="K104" s="202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</row>
    <row r="105" spans="1:26" ht="18" customHeight="1">
      <c r="A105" s="206" t="s">
        <v>2614</v>
      </c>
      <c r="B105" s="206" t="s">
        <v>2752</v>
      </c>
      <c r="C105" s="206" t="s">
        <v>2780</v>
      </c>
      <c r="D105" s="207" t="s">
        <v>2781</v>
      </c>
      <c r="E105" s="208">
        <v>53</v>
      </c>
      <c r="F105" s="202"/>
      <c r="G105" s="202"/>
      <c r="H105" s="202"/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</row>
    <row r="106" spans="1:26" ht="18" customHeight="1">
      <c r="A106" s="203" t="s">
        <v>2614</v>
      </c>
      <c r="B106" s="203" t="s">
        <v>2752</v>
      </c>
      <c r="C106" s="203"/>
      <c r="D106" s="205" t="s">
        <v>2782</v>
      </c>
      <c r="E106" s="204">
        <v>55</v>
      </c>
      <c r="F106" s="202" t="s">
        <v>2783</v>
      </c>
      <c r="G106" s="202"/>
      <c r="H106" s="202"/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</row>
    <row r="107" spans="1:26" ht="18" customHeight="1">
      <c r="A107" s="203" t="s">
        <v>2614</v>
      </c>
      <c r="B107" s="203" t="s">
        <v>2752</v>
      </c>
      <c r="C107" s="203"/>
      <c r="D107" s="205" t="s">
        <v>2784</v>
      </c>
      <c r="E107" s="204">
        <v>38</v>
      </c>
      <c r="F107" s="202"/>
      <c r="G107" s="202"/>
      <c r="H107" s="202"/>
      <c r="I107" s="202"/>
      <c r="J107" s="202"/>
      <c r="K107" s="202"/>
      <c r="L107" s="202"/>
      <c r="M107" s="202"/>
      <c r="N107" s="202"/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</row>
    <row r="108" spans="1:26" ht="18" customHeight="1">
      <c r="A108" s="203" t="s">
        <v>2614</v>
      </c>
      <c r="B108" s="203" t="s">
        <v>2752</v>
      </c>
      <c r="C108" s="203"/>
      <c r="D108" s="205" t="s">
        <v>2785</v>
      </c>
      <c r="E108" s="204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</row>
    <row r="109" spans="1:26" ht="18" customHeight="1">
      <c r="A109" s="206" t="s">
        <v>2614</v>
      </c>
      <c r="B109" s="206" t="s">
        <v>2752</v>
      </c>
      <c r="C109" s="206" t="s">
        <v>2786</v>
      </c>
      <c r="D109" s="207" t="s">
        <v>2787</v>
      </c>
      <c r="E109" s="208">
        <v>38</v>
      </c>
      <c r="F109" s="202"/>
      <c r="G109" s="202"/>
      <c r="H109" s="202"/>
      <c r="I109" s="202"/>
      <c r="J109" s="202"/>
      <c r="K109" s="202"/>
      <c r="L109" s="202"/>
      <c r="M109" s="202"/>
      <c r="N109" s="202"/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  <c r="Y109" s="202"/>
      <c r="Z109" s="202"/>
    </row>
    <row r="110" spans="1:26" ht="18" customHeight="1">
      <c r="A110" s="206" t="s">
        <v>2614</v>
      </c>
      <c r="B110" s="206" t="s">
        <v>2752</v>
      </c>
      <c r="C110" s="206" t="s">
        <v>2788</v>
      </c>
      <c r="D110" s="207" t="s">
        <v>2789</v>
      </c>
      <c r="E110" s="208">
        <v>35</v>
      </c>
      <c r="F110" s="202"/>
      <c r="G110" s="202"/>
      <c r="H110" s="202"/>
      <c r="I110" s="202"/>
      <c r="J110" s="202"/>
      <c r="K110" s="202"/>
      <c r="L110" s="202"/>
      <c r="M110" s="202"/>
      <c r="N110" s="202"/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</row>
    <row r="111" spans="1:26" ht="18" customHeight="1">
      <c r="A111" s="203" t="s">
        <v>2614</v>
      </c>
      <c r="B111" s="203" t="s">
        <v>2752</v>
      </c>
      <c r="C111" s="203"/>
      <c r="D111" s="205" t="s">
        <v>2790</v>
      </c>
      <c r="E111" s="204">
        <v>38</v>
      </c>
      <c r="F111" s="202"/>
      <c r="G111" s="202"/>
      <c r="H111" s="202"/>
      <c r="I111" s="202"/>
      <c r="J111" s="202"/>
      <c r="K111" s="202"/>
      <c r="L111" s="202"/>
      <c r="M111" s="202"/>
      <c r="N111" s="202"/>
      <c r="O111" s="202"/>
      <c r="P111" s="202"/>
      <c r="Q111" s="202"/>
      <c r="R111" s="202"/>
      <c r="S111" s="202"/>
      <c r="T111" s="202"/>
      <c r="U111" s="202"/>
      <c r="V111" s="202"/>
      <c r="W111" s="202"/>
      <c r="X111" s="202"/>
      <c r="Y111" s="202"/>
      <c r="Z111" s="202"/>
    </row>
    <row r="112" spans="1:26" ht="18" customHeight="1">
      <c r="A112" s="203" t="s">
        <v>2614</v>
      </c>
      <c r="B112" s="203" t="s">
        <v>2752</v>
      </c>
      <c r="C112" s="203"/>
      <c r="D112" s="205" t="s">
        <v>2791</v>
      </c>
      <c r="E112" s="204"/>
      <c r="F112" s="202"/>
      <c r="G112" s="202"/>
      <c r="H112" s="202"/>
      <c r="I112" s="202"/>
      <c r="J112" s="202"/>
      <c r="K112" s="202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</row>
    <row r="113" spans="1:26" ht="18" customHeight="1">
      <c r="A113" s="203" t="s">
        <v>2614</v>
      </c>
      <c r="B113" s="203" t="s">
        <v>2752</v>
      </c>
      <c r="C113" s="203" t="s">
        <v>2792</v>
      </c>
      <c r="D113" s="205" t="s">
        <v>2793</v>
      </c>
      <c r="E113" s="204">
        <v>30</v>
      </c>
      <c r="F113" s="202"/>
      <c r="G113" s="202"/>
      <c r="H113" s="202"/>
      <c r="I113" s="202"/>
      <c r="J113" s="202"/>
      <c r="K113" s="202"/>
      <c r="L113" s="202"/>
      <c r="M113" s="202"/>
      <c r="N113" s="202"/>
      <c r="O113" s="202"/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</row>
    <row r="114" spans="1:26" ht="18" customHeight="1">
      <c r="A114" s="203" t="s">
        <v>2614</v>
      </c>
      <c r="B114" s="203" t="s">
        <v>2752</v>
      </c>
      <c r="C114" s="203" t="s">
        <v>2794</v>
      </c>
      <c r="D114" s="205" t="s">
        <v>2795</v>
      </c>
      <c r="E114" s="204">
        <v>29</v>
      </c>
      <c r="F114" s="202"/>
      <c r="G114" s="202"/>
      <c r="H114" s="202"/>
      <c r="I114" s="202"/>
      <c r="J114" s="202"/>
      <c r="K114" s="202"/>
      <c r="L114" s="202"/>
      <c r="M114" s="202"/>
      <c r="N114" s="202"/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</row>
    <row r="115" spans="1:26" ht="18" customHeight="1">
      <c r="A115" s="203" t="s">
        <v>2614</v>
      </c>
      <c r="B115" s="203" t="s">
        <v>2752</v>
      </c>
      <c r="C115" s="203"/>
      <c r="D115" s="205" t="s">
        <v>2796</v>
      </c>
      <c r="E115" s="204">
        <v>26</v>
      </c>
      <c r="F115" s="202"/>
      <c r="G115" s="202"/>
      <c r="H115" s="202"/>
      <c r="I115" s="202"/>
      <c r="J115" s="202"/>
      <c r="K115" s="202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</row>
    <row r="116" spans="1:26" ht="18" customHeight="1">
      <c r="A116" s="203" t="s">
        <v>2614</v>
      </c>
      <c r="B116" s="203" t="s">
        <v>2752</v>
      </c>
      <c r="C116" s="203" t="s">
        <v>2797</v>
      </c>
      <c r="D116" s="205" t="s">
        <v>2798</v>
      </c>
      <c r="E116" s="204">
        <v>22</v>
      </c>
      <c r="F116" s="202"/>
      <c r="G116" s="202"/>
      <c r="H116" s="202"/>
      <c r="I116" s="202"/>
      <c r="J116" s="202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</row>
    <row r="117" spans="1:26" ht="18" customHeight="1">
      <c r="A117" s="203" t="s">
        <v>2614</v>
      </c>
      <c r="B117" s="203" t="s">
        <v>2752</v>
      </c>
      <c r="C117" s="203"/>
      <c r="D117" s="205" t="s">
        <v>2799</v>
      </c>
      <c r="E117" s="204">
        <v>58</v>
      </c>
      <c r="F117" s="202"/>
      <c r="G117" s="202"/>
      <c r="H117" s="202"/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</row>
    <row r="118" spans="1:26" ht="18" customHeight="1">
      <c r="A118" s="203" t="s">
        <v>2614</v>
      </c>
      <c r="B118" s="203" t="s">
        <v>2752</v>
      </c>
      <c r="C118" s="203" t="s">
        <v>2800</v>
      </c>
      <c r="D118" s="205" t="s">
        <v>2801</v>
      </c>
      <c r="E118" s="204">
        <v>53</v>
      </c>
      <c r="F118" s="202"/>
      <c r="G118" s="202"/>
      <c r="H118" s="202"/>
      <c r="I118" s="202"/>
      <c r="J118" s="202"/>
      <c r="K118" s="202"/>
      <c r="L118" s="202"/>
      <c r="M118" s="202"/>
      <c r="N118" s="202"/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</row>
    <row r="119" spans="1:26" ht="18" customHeight="1">
      <c r="A119" s="203" t="s">
        <v>2614</v>
      </c>
      <c r="B119" s="203" t="s">
        <v>2752</v>
      </c>
      <c r="C119" s="203"/>
      <c r="D119" s="205" t="s">
        <v>2802</v>
      </c>
      <c r="E119" s="204">
        <v>50</v>
      </c>
      <c r="F119" s="202" t="s">
        <v>2662</v>
      </c>
      <c r="G119" s="202"/>
      <c r="H119" s="202"/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</row>
    <row r="120" spans="1:26" ht="18" customHeight="1">
      <c r="A120" s="203" t="s">
        <v>2614</v>
      </c>
      <c r="B120" s="203" t="s">
        <v>2752</v>
      </c>
      <c r="C120" s="203"/>
      <c r="D120" s="203" t="s">
        <v>2803</v>
      </c>
      <c r="E120" s="204">
        <v>50</v>
      </c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</row>
    <row r="121" spans="1:26" ht="18" customHeight="1">
      <c r="A121" s="206" t="s">
        <v>2614</v>
      </c>
      <c r="B121" s="206" t="s">
        <v>2752</v>
      </c>
      <c r="C121" s="215" t="s">
        <v>2804</v>
      </c>
      <c r="D121" s="216" t="s">
        <v>2805</v>
      </c>
      <c r="E121" s="208">
        <v>33</v>
      </c>
      <c r="F121" s="202"/>
      <c r="G121" s="202"/>
      <c r="H121" s="202"/>
      <c r="I121" s="202"/>
      <c r="J121" s="202"/>
      <c r="K121" s="202"/>
      <c r="L121" s="202"/>
      <c r="M121" s="202"/>
      <c r="N121" s="202"/>
      <c r="O121" s="202"/>
      <c r="P121" s="202"/>
      <c r="Q121" s="202"/>
      <c r="R121" s="202"/>
      <c r="S121" s="202"/>
      <c r="T121" s="202"/>
      <c r="U121" s="202"/>
      <c r="V121" s="202"/>
      <c r="W121" s="202"/>
      <c r="X121" s="202"/>
      <c r="Y121" s="202"/>
      <c r="Z121" s="202"/>
    </row>
    <row r="122" spans="1:26" ht="18" customHeight="1">
      <c r="A122" s="206" t="s">
        <v>2614</v>
      </c>
      <c r="B122" s="206" t="s">
        <v>2752</v>
      </c>
      <c r="C122" s="206" t="s">
        <v>2806</v>
      </c>
      <c r="D122" s="206" t="s">
        <v>2807</v>
      </c>
      <c r="E122" s="208">
        <v>32</v>
      </c>
      <c r="F122" s="202"/>
      <c r="G122" s="202"/>
      <c r="H122" s="202"/>
      <c r="I122" s="202"/>
      <c r="J122" s="202"/>
      <c r="K122" s="202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</row>
    <row r="123" spans="1:26" ht="18" customHeight="1">
      <c r="A123" s="203" t="s">
        <v>2614</v>
      </c>
      <c r="B123" s="203" t="s">
        <v>2752</v>
      </c>
      <c r="C123" s="203"/>
      <c r="D123" s="205" t="s">
        <v>2808</v>
      </c>
      <c r="E123" s="204">
        <v>38</v>
      </c>
      <c r="F123" s="202"/>
      <c r="G123" s="202"/>
      <c r="H123" s="202"/>
      <c r="I123" s="202"/>
      <c r="J123" s="202"/>
      <c r="K123" s="202"/>
      <c r="L123" s="202"/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</row>
    <row r="124" spans="1:26" ht="18" customHeight="1">
      <c r="A124" s="203" t="s">
        <v>2614</v>
      </c>
      <c r="B124" s="203" t="s">
        <v>2752</v>
      </c>
      <c r="C124" s="203"/>
      <c r="D124" s="205" t="s">
        <v>2809</v>
      </c>
      <c r="E124" s="204"/>
      <c r="F124" s="202"/>
      <c r="G124" s="202"/>
      <c r="H124" s="202"/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</row>
    <row r="125" spans="1:26" ht="18" customHeight="1">
      <c r="A125" s="203" t="s">
        <v>2614</v>
      </c>
      <c r="B125" s="203" t="s">
        <v>2752</v>
      </c>
      <c r="C125" s="203"/>
      <c r="D125" s="205" t="s">
        <v>2810</v>
      </c>
      <c r="E125" s="204"/>
      <c r="F125" s="202"/>
      <c r="G125" s="202"/>
      <c r="H125" s="202"/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</row>
    <row r="126" spans="1:26" ht="18" customHeight="1">
      <c r="A126" s="203" t="s">
        <v>2614</v>
      </c>
      <c r="B126" s="203" t="s">
        <v>2752</v>
      </c>
      <c r="C126" s="203"/>
      <c r="D126" s="205" t="s">
        <v>2811</v>
      </c>
      <c r="E126" s="204">
        <v>28</v>
      </c>
      <c r="F126" s="202" t="s">
        <v>2662</v>
      </c>
      <c r="G126" s="202"/>
      <c r="H126" s="202"/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02"/>
      <c r="Z126" s="202"/>
    </row>
    <row r="127" spans="1:26" ht="18" customHeight="1">
      <c r="A127" s="203" t="s">
        <v>2614</v>
      </c>
      <c r="B127" s="203" t="s">
        <v>2752</v>
      </c>
      <c r="C127" s="203"/>
      <c r="D127" s="205" t="s">
        <v>2812</v>
      </c>
      <c r="E127" s="204">
        <v>33</v>
      </c>
      <c r="F127" s="202"/>
      <c r="G127" s="202"/>
      <c r="H127" s="202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  <c r="Y127" s="202"/>
      <c r="Z127" s="202"/>
    </row>
    <row r="128" spans="1:26" ht="18" customHeight="1">
      <c r="A128" s="203" t="s">
        <v>2614</v>
      </c>
      <c r="B128" s="203" t="s">
        <v>2752</v>
      </c>
      <c r="C128" s="203"/>
      <c r="D128" s="205" t="s">
        <v>2813</v>
      </c>
      <c r="E128" s="204"/>
      <c r="F128" s="202"/>
      <c r="G128" s="202"/>
      <c r="H128" s="202"/>
      <c r="I128" s="202"/>
      <c r="J128" s="202"/>
      <c r="K128" s="202"/>
      <c r="L128" s="202"/>
      <c r="M128" s="202"/>
      <c r="N128" s="202"/>
      <c r="O128" s="202"/>
      <c r="P128" s="202"/>
      <c r="Q128" s="202"/>
      <c r="R128" s="202"/>
      <c r="S128" s="202"/>
      <c r="T128" s="202"/>
      <c r="U128" s="202"/>
      <c r="V128" s="202"/>
      <c r="W128" s="202"/>
      <c r="X128" s="202"/>
      <c r="Y128" s="202"/>
      <c r="Z128" s="202"/>
    </row>
    <row r="129" spans="1:26" ht="18" customHeight="1">
      <c r="A129" s="203" t="s">
        <v>2614</v>
      </c>
      <c r="B129" s="203" t="s">
        <v>2752</v>
      </c>
      <c r="C129" s="203"/>
      <c r="D129" s="205" t="s">
        <v>2814</v>
      </c>
      <c r="E129" s="204">
        <v>28</v>
      </c>
      <c r="F129" s="202"/>
      <c r="G129" s="202"/>
      <c r="H129" s="202"/>
      <c r="I129" s="202"/>
      <c r="J129" s="202"/>
      <c r="K129" s="202"/>
      <c r="L129" s="202"/>
      <c r="M129" s="202"/>
      <c r="N129" s="202"/>
      <c r="O129" s="202"/>
      <c r="P129" s="202"/>
      <c r="Q129" s="202"/>
      <c r="R129" s="202"/>
      <c r="S129" s="202"/>
      <c r="T129" s="202"/>
      <c r="U129" s="202"/>
      <c r="V129" s="202"/>
      <c r="W129" s="202"/>
      <c r="X129" s="202"/>
      <c r="Y129" s="202"/>
      <c r="Z129" s="202"/>
    </row>
    <row r="130" spans="1:26" ht="18" customHeight="1">
      <c r="A130" s="203" t="s">
        <v>2614</v>
      </c>
      <c r="B130" s="203" t="s">
        <v>2752</v>
      </c>
      <c r="C130" s="203"/>
      <c r="D130" s="205" t="s">
        <v>2815</v>
      </c>
      <c r="E130" s="204">
        <v>27</v>
      </c>
      <c r="F130" s="202" t="s">
        <v>2662</v>
      </c>
      <c r="G130" s="202"/>
      <c r="H130" s="202"/>
      <c r="I130" s="202"/>
      <c r="J130" s="202"/>
      <c r="K130" s="202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2"/>
      <c r="X130" s="202"/>
      <c r="Y130" s="202"/>
      <c r="Z130" s="202"/>
    </row>
    <row r="131" spans="1:26" ht="18" customHeight="1">
      <c r="A131" s="206" t="s">
        <v>2614</v>
      </c>
      <c r="B131" s="206" t="s">
        <v>2752</v>
      </c>
      <c r="C131" s="206" t="s">
        <v>2816</v>
      </c>
      <c r="D131" s="207" t="s">
        <v>2817</v>
      </c>
      <c r="E131" s="208">
        <v>25</v>
      </c>
      <c r="F131" s="202"/>
      <c r="G131" s="202"/>
      <c r="H131" s="202"/>
      <c r="I131" s="202"/>
      <c r="J131" s="202"/>
      <c r="K131" s="202"/>
      <c r="L131" s="202"/>
      <c r="M131" s="202"/>
      <c r="N131" s="202"/>
      <c r="O131" s="202"/>
      <c r="P131" s="202"/>
      <c r="Q131" s="202"/>
      <c r="R131" s="202"/>
      <c r="S131" s="202"/>
      <c r="T131" s="202"/>
      <c r="U131" s="202"/>
      <c r="V131" s="202"/>
      <c r="W131" s="202"/>
      <c r="X131" s="202"/>
      <c r="Y131" s="202"/>
      <c r="Z131" s="202"/>
    </row>
    <row r="132" spans="1:26" ht="18" customHeight="1">
      <c r="A132" s="203" t="s">
        <v>2614</v>
      </c>
      <c r="B132" s="203" t="s">
        <v>2752</v>
      </c>
      <c r="C132" s="203"/>
      <c r="D132" s="205" t="s">
        <v>2818</v>
      </c>
      <c r="E132" s="204">
        <v>18</v>
      </c>
      <c r="F132" s="202"/>
      <c r="G132" s="202"/>
      <c r="H132" s="202"/>
      <c r="I132" s="202"/>
      <c r="J132" s="202"/>
      <c r="K132" s="202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202"/>
    </row>
    <row r="133" spans="1:26" ht="18" customHeight="1">
      <c r="A133" s="206" t="s">
        <v>2614</v>
      </c>
      <c r="B133" s="206" t="s">
        <v>2752</v>
      </c>
      <c r="C133" s="206" t="s">
        <v>2819</v>
      </c>
      <c r="D133" s="207" t="s">
        <v>2820</v>
      </c>
      <c r="E133" s="208">
        <v>19</v>
      </c>
      <c r="F133" s="202"/>
      <c r="G133" s="202"/>
      <c r="H133" s="202"/>
      <c r="I133" s="202"/>
      <c r="J133" s="202"/>
      <c r="K133" s="202"/>
      <c r="L133" s="202"/>
      <c r="M133" s="202"/>
      <c r="N133" s="202"/>
      <c r="O133" s="202"/>
      <c r="P133" s="202"/>
      <c r="Q133" s="202"/>
      <c r="R133" s="202"/>
      <c r="S133" s="202"/>
      <c r="T133" s="202"/>
      <c r="U133" s="202"/>
      <c r="V133" s="202"/>
      <c r="W133" s="202"/>
      <c r="X133" s="202"/>
      <c r="Y133" s="202"/>
      <c r="Z133" s="202"/>
    </row>
    <row r="134" spans="1:26" ht="18" customHeight="1">
      <c r="A134" s="206" t="s">
        <v>2614</v>
      </c>
      <c r="B134" s="206" t="s">
        <v>2752</v>
      </c>
      <c r="C134" s="215" t="s">
        <v>2821</v>
      </c>
      <c r="D134" s="216" t="s">
        <v>2822</v>
      </c>
      <c r="E134" s="208">
        <v>18</v>
      </c>
      <c r="F134" s="202"/>
      <c r="G134" s="202"/>
      <c r="H134" s="202"/>
      <c r="I134" s="202"/>
      <c r="J134" s="202"/>
      <c r="K134" s="202"/>
      <c r="L134" s="202"/>
      <c r="M134" s="202"/>
      <c r="N134" s="202"/>
      <c r="O134" s="202"/>
      <c r="P134" s="202"/>
      <c r="Q134" s="202"/>
      <c r="R134" s="202"/>
      <c r="S134" s="202"/>
      <c r="T134" s="202"/>
      <c r="U134" s="202"/>
      <c r="V134" s="202"/>
      <c r="W134" s="202"/>
      <c r="X134" s="202"/>
      <c r="Y134" s="202"/>
      <c r="Z134" s="202"/>
    </row>
    <row r="135" spans="1:26" ht="18" customHeight="1">
      <c r="A135" s="206" t="s">
        <v>2614</v>
      </c>
      <c r="B135" s="206" t="s">
        <v>2752</v>
      </c>
      <c r="C135" s="215" t="s">
        <v>2823</v>
      </c>
      <c r="D135" s="216" t="s">
        <v>2824</v>
      </c>
      <c r="E135" s="208">
        <v>18</v>
      </c>
      <c r="F135" s="202"/>
      <c r="G135" s="202"/>
      <c r="H135" s="202"/>
      <c r="I135" s="202"/>
      <c r="J135" s="202"/>
      <c r="K135" s="202"/>
      <c r="L135" s="202"/>
      <c r="M135" s="202"/>
      <c r="N135" s="202"/>
      <c r="O135" s="202"/>
      <c r="P135" s="202"/>
      <c r="Q135" s="202"/>
      <c r="R135" s="202"/>
      <c r="S135" s="202"/>
      <c r="T135" s="202"/>
      <c r="U135" s="202"/>
      <c r="V135" s="202"/>
      <c r="W135" s="202"/>
      <c r="X135" s="202"/>
      <c r="Y135" s="202"/>
      <c r="Z135" s="202"/>
    </row>
    <row r="136" spans="1:26" ht="18" customHeight="1">
      <c r="A136" s="203" t="s">
        <v>2614</v>
      </c>
      <c r="B136" s="203" t="s">
        <v>2752</v>
      </c>
      <c r="C136" s="203" t="s">
        <v>2825</v>
      </c>
      <c r="D136" s="205" t="s">
        <v>2826</v>
      </c>
      <c r="E136" s="204">
        <v>12</v>
      </c>
      <c r="F136" s="202"/>
      <c r="G136" s="202"/>
      <c r="H136" s="202"/>
      <c r="I136" s="202"/>
      <c r="J136" s="202"/>
      <c r="K136" s="202"/>
      <c r="L136" s="202"/>
      <c r="M136" s="202"/>
      <c r="N136" s="202"/>
      <c r="O136" s="202"/>
      <c r="P136" s="202"/>
      <c r="Q136" s="202"/>
      <c r="R136" s="202"/>
      <c r="S136" s="202"/>
      <c r="T136" s="202"/>
      <c r="U136" s="202"/>
      <c r="V136" s="202"/>
      <c r="W136" s="202"/>
      <c r="X136" s="202"/>
      <c r="Y136" s="202"/>
      <c r="Z136" s="202"/>
    </row>
    <row r="137" spans="1:26" ht="18" customHeight="1">
      <c r="A137" s="203" t="s">
        <v>2614</v>
      </c>
      <c r="B137" s="203" t="s">
        <v>2752</v>
      </c>
      <c r="C137" s="203"/>
      <c r="D137" s="205" t="s">
        <v>2827</v>
      </c>
      <c r="E137" s="204">
        <v>10</v>
      </c>
      <c r="F137" s="202"/>
      <c r="G137" s="202"/>
      <c r="H137" s="202"/>
      <c r="I137" s="202"/>
      <c r="J137" s="202"/>
      <c r="K137" s="202"/>
      <c r="L137" s="202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  <c r="X137" s="202"/>
      <c r="Y137" s="202"/>
      <c r="Z137" s="202"/>
    </row>
    <row r="138" spans="1:26" ht="15.75" customHeight="1">
      <c r="A138" s="203" t="s">
        <v>2614</v>
      </c>
      <c r="B138" s="203" t="s">
        <v>2752</v>
      </c>
      <c r="C138" s="203"/>
      <c r="D138" s="205" t="s">
        <v>2828</v>
      </c>
      <c r="E138" s="204">
        <v>6.5</v>
      </c>
      <c r="F138" s="202"/>
      <c r="G138" s="202"/>
      <c r="H138" s="202"/>
      <c r="I138" s="202"/>
      <c r="J138" s="202"/>
      <c r="K138" s="202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202"/>
    </row>
    <row r="139" spans="1:26" ht="15.75" customHeight="1">
      <c r="A139" s="203" t="s">
        <v>2614</v>
      </c>
      <c r="B139" s="203" t="s">
        <v>2752</v>
      </c>
      <c r="C139" s="203"/>
      <c r="D139" s="203" t="s">
        <v>2829</v>
      </c>
      <c r="E139" s="204">
        <v>3.5</v>
      </c>
      <c r="F139" s="202"/>
      <c r="G139" s="202"/>
      <c r="H139" s="202"/>
      <c r="I139" s="202"/>
      <c r="J139" s="202"/>
      <c r="K139" s="202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</row>
    <row r="140" spans="1:26" ht="15.75" customHeight="1">
      <c r="A140" s="202"/>
      <c r="B140" s="202"/>
      <c r="C140" s="202"/>
      <c r="D140" s="202"/>
      <c r="E140" s="214"/>
      <c r="F140" s="202"/>
      <c r="G140" s="202"/>
      <c r="H140" s="202"/>
      <c r="I140" s="202"/>
      <c r="J140" s="202"/>
      <c r="K140" s="202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</row>
    <row r="141" spans="1:26" ht="15.75" customHeight="1">
      <c r="A141" s="202"/>
      <c r="B141" s="202"/>
      <c r="C141" s="202"/>
      <c r="D141" s="202"/>
      <c r="E141" s="214"/>
      <c r="F141" s="202"/>
      <c r="G141" s="202"/>
      <c r="H141" s="202"/>
      <c r="I141" s="202"/>
      <c r="J141" s="202"/>
      <c r="K141" s="202"/>
      <c r="L141" s="202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  <c r="Y141" s="202"/>
      <c r="Z141" s="202"/>
    </row>
    <row r="142" spans="1:26" ht="15.75" customHeight="1">
      <c r="A142" s="202"/>
      <c r="B142" s="202"/>
      <c r="C142" s="202"/>
      <c r="D142" s="202"/>
      <c r="E142" s="214"/>
      <c r="F142" s="202"/>
      <c r="G142" s="202"/>
      <c r="H142" s="202"/>
      <c r="I142" s="202"/>
      <c r="J142" s="202"/>
      <c r="K142" s="202"/>
      <c r="L142" s="202"/>
      <c r="M142" s="202"/>
      <c r="N142" s="202"/>
      <c r="O142" s="202"/>
      <c r="P142" s="202"/>
      <c r="Q142" s="202"/>
      <c r="R142" s="202"/>
      <c r="S142" s="202"/>
      <c r="T142" s="202"/>
      <c r="U142" s="202"/>
      <c r="V142" s="202"/>
      <c r="W142" s="202"/>
      <c r="X142" s="202"/>
      <c r="Y142" s="202"/>
      <c r="Z142" s="202"/>
    </row>
    <row r="143" spans="1:26" ht="15.75" customHeight="1">
      <c r="A143" s="202"/>
      <c r="B143" s="202"/>
      <c r="C143" s="202"/>
      <c r="D143" s="202"/>
      <c r="E143" s="214"/>
      <c r="F143" s="202"/>
      <c r="G143" s="202"/>
      <c r="H143" s="202"/>
      <c r="I143" s="202"/>
      <c r="J143" s="202"/>
      <c r="K143" s="202"/>
      <c r="L143" s="202"/>
      <c r="M143" s="202"/>
      <c r="N143" s="202"/>
      <c r="O143" s="202"/>
      <c r="P143" s="202"/>
      <c r="Q143" s="202"/>
      <c r="R143" s="202"/>
      <c r="S143" s="202"/>
      <c r="T143" s="202"/>
      <c r="U143" s="202"/>
      <c r="V143" s="202"/>
      <c r="W143" s="202"/>
      <c r="X143" s="202"/>
      <c r="Y143" s="202"/>
      <c r="Z143" s="202"/>
    </row>
    <row r="144" spans="1:26" ht="15.75" customHeight="1">
      <c r="A144" s="202"/>
      <c r="B144" s="202"/>
      <c r="C144" s="202"/>
      <c r="D144" s="202"/>
      <c r="E144" s="214"/>
      <c r="F144" s="202"/>
      <c r="G144" s="202"/>
      <c r="H144" s="202"/>
      <c r="I144" s="202"/>
      <c r="J144" s="202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</row>
    <row r="145" spans="1:26" ht="15.75" customHeight="1">
      <c r="A145" s="202"/>
      <c r="B145" s="202"/>
      <c r="C145" s="202"/>
      <c r="D145" s="202"/>
      <c r="E145" s="214"/>
      <c r="F145" s="202"/>
      <c r="G145" s="202"/>
      <c r="H145" s="202"/>
      <c r="I145" s="202"/>
      <c r="J145" s="202"/>
      <c r="K145" s="202"/>
      <c r="L145" s="202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</row>
    <row r="146" spans="1:26" ht="15.75" customHeight="1">
      <c r="A146" s="202"/>
      <c r="B146" s="202"/>
      <c r="C146" s="202"/>
      <c r="D146" s="202"/>
      <c r="E146" s="214"/>
      <c r="F146" s="202"/>
      <c r="G146" s="202"/>
      <c r="H146" s="202"/>
      <c r="I146" s="202"/>
      <c r="J146" s="202"/>
      <c r="K146" s="202"/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</row>
    <row r="147" spans="1:26" ht="15.75" customHeight="1">
      <c r="A147" s="202"/>
      <c r="B147" s="202"/>
      <c r="C147" s="202"/>
      <c r="D147" s="202"/>
      <c r="E147" s="214"/>
      <c r="F147" s="202"/>
      <c r="G147" s="202"/>
      <c r="H147" s="202"/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</row>
    <row r="148" spans="1:26" ht="15.75" customHeight="1">
      <c r="A148" s="202"/>
      <c r="B148" s="202"/>
      <c r="C148" s="202"/>
      <c r="D148" s="202"/>
      <c r="E148" s="214"/>
      <c r="F148" s="202"/>
      <c r="G148" s="202"/>
      <c r="H148" s="202"/>
      <c r="I148" s="202"/>
      <c r="J148" s="202"/>
      <c r="K148" s="202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2"/>
      <c r="X148" s="202"/>
      <c r="Y148" s="202"/>
      <c r="Z148" s="202"/>
    </row>
    <row r="149" spans="1:26" ht="15.75" customHeight="1">
      <c r="A149" s="202"/>
      <c r="B149" s="202"/>
      <c r="C149" s="202"/>
      <c r="D149" s="202"/>
      <c r="E149" s="214"/>
      <c r="F149" s="202"/>
      <c r="G149" s="202"/>
      <c r="H149" s="202"/>
      <c r="I149" s="202"/>
      <c r="J149" s="202"/>
      <c r="K149" s="202"/>
      <c r="L149" s="202"/>
      <c r="M149" s="202"/>
      <c r="N149" s="202"/>
      <c r="O149" s="202"/>
      <c r="P149" s="202"/>
      <c r="Q149" s="202"/>
      <c r="R149" s="202"/>
      <c r="S149" s="202"/>
      <c r="T149" s="202"/>
      <c r="U149" s="202"/>
      <c r="V149" s="202"/>
      <c r="W149" s="202"/>
      <c r="X149" s="202"/>
      <c r="Y149" s="202"/>
      <c r="Z149" s="202"/>
    </row>
    <row r="150" spans="1:26" ht="15.75" customHeight="1">
      <c r="A150" s="202"/>
      <c r="B150" s="202"/>
      <c r="C150" s="202"/>
      <c r="D150" s="202"/>
      <c r="E150" s="214"/>
      <c r="F150" s="202"/>
      <c r="G150" s="202"/>
      <c r="H150" s="202"/>
      <c r="I150" s="202"/>
      <c r="J150" s="202"/>
      <c r="K150" s="202"/>
      <c r="L150" s="202"/>
      <c r="M150" s="202"/>
      <c r="N150" s="202"/>
      <c r="O150" s="202"/>
      <c r="P150" s="202"/>
      <c r="Q150" s="202"/>
      <c r="R150" s="202"/>
      <c r="S150" s="202"/>
      <c r="T150" s="202"/>
      <c r="U150" s="202"/>
      <c r="V150" s="202"/>
      <c r="W150" s="202"/>
      <c r="X150" s="202"/>
      <c r="Y150" s="202"/>
      <c r="Z150" s="202"/>
    </row>
  </sheetData>
  <mergeCells count="1">
    <mergeCell ref="A1:E1"/>
  </mergeCells>
  <conditionalFormatting sqref="D5:D12 D16:D19 D22:D69 D84:D138">
    <cfRule type="cellIs" dxfId="3" priority="1" stopIfTrue="1" operator="equal">
      <formula>0</formula>
    </cfRule>
  </conditionalFormatting>
  <conditionalFormatting sqref="D73">
    <cfRule type="cellIs" dxfId="2" priority="2" stopIfTrue="1" operator="equal">
      <formula>0</formula>
    </cfRule>
  </conditionalFormatting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30"/>
  <sheetViews>
    <sheetView workbookViewId="0"/>
  </sheetViews>
  <sheetFormatPr defaultColWidth="14.3984375" defaultRowHeight="15" customHeight="1"/>
  <cols>
    <col min="1" max="1" width="6.86328125" customWidth="1"/>
    <col min="2" max="2" width="3.86328125" customWidth="1"/>
    <col min="3" max="3" width="17.86328125" customWidth="1"/>
    <col min="4" max="4" width="64.73046875" customWidth="1"/>
    <col min="5" max="5" width="7" customWidth="1"/>
    <col min="6" max="25" width="8.73046875" customWidth="1"/>
  </cols>
  <sheetData>
    <row r="1" spans="1:26" ht="36" customHeight="1">
      <c r="A1" s="426"/>
      <c r="B1" s="408"/>
      <c r="C1" s="408"/>
      <c r="D1" s="408"/>
      <c r="E1" s="40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59" t="s">
        <v>2830</v>
      </c>
      <c r="B2" s="59"/>
      <c r="C2" s="217" t="s">
        <v>2831</v>
      </c>
      <c r="D2" s="121" t="s">
        <v>2832</v>
      </c>
      <c r="E2" s="53">
        <v>370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59" t="s">
        <v>2830</v>
      </c>
      <c r="B3" s="59"/>
      <c r="C3" s="217" t="s">
        <v>2833</v>
      </c>
      <c r="D3" s="121" t="s">
        <v>2834</v>
      </c>
      <c r="E3" s="53">
        <v>370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59" t="s">
        <v>2830</v>
      </c>
      <c r="B4" s="59"/>
      <c r="C4" s="217" t="s">
        <v>2835</v>
      </c>
      <c r="D4" s="121" t="s">
        <v>2836</v>
      </c>
      <c r="E4" s="53">
        <v>360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59" t="s">
        <v>2830</v>
      </c>
      <c r="B5" s="59"/>
      <c r="C5" s="217" t="s">
        <v>2837</v>
      </c>
      <c r="D5" s="120" t="s">
        <v>2838</v>
      </c>
      <c r="E5" s="53">
        <v>360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59" t="s">
        <v>2830</v>
      </c>
      <c r="B6" s="59"/>
      <c r="C6" s="217" t="s">
        <v>2839</v>
      </c>
      <c r="D6" s="120" t="s">
        <v>2840</v>
      </c>
      <c r="E6" s="53">
        <v>270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59" t="s">
        <v>2830</v>
      </c>
      <c r="B7" s="59"/>
      <c r="C7" s="217" t="s">
        <v>2841</v>
      </c>
      <c r="D7" s="120" t="s">
        <v>2842</v>
      </c>
      <c r="E7" s="53">
        <v>270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59" t="s">
        <v>2830</v>
      </c>
      <c r="B8" s="59"/>
      <c r="C8" s="217" t="s">
        <v>2843</v>
      </c>
      <c r="D8" s="120" t="s">
        <v>2844</v>
      </c>
      <c r="E8" s="53">
        <v>230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59" t="s">
        <v>2830</v>
      </c>
      <c r="B9" s="59"/>
      <c r="C9" s="217" t="s">
        <v>2845</v>
      </c>
      <c r="D9" s="120" t="s">
        <v>2846</v>
      </c>
      <c r="E9" s="53">
        <v>230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59" t="s">
        <v>2830</v>
      </c>
      <c r="B10" s="59"/>
      <c r="C10" s="217" t="s">
        <v>2847</v>
      </c>
      <c r="D10" s="120" t="s">
        <v>2848</v>
      </c>
      <c r="E10" s="53">
        <v>70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59" t="s">
        <v>2830</v>
      </c>
      <c r="B11" s="59"/>
      <c r="C11" s="217" t="s">
        <v>2849</v>
      </c>
      <c r="D11" s="120" t="s">
        <v>2850</v>
      </c>
      <c r="E11" s="53">
        <v>70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"/>
      <c r="C12" s="1"/>
      <c r="D12" s="1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"/>
      <c r="C13" s="1"/>
      <c r="D13" s="1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"/>
      <c r="C16" s="1"/>
      <c r="D16" s="1"/>
      <c r="E16" s="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1"/>
      <c r="D17" s="1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1">
    <mergeCell ref="A1:E1"/>
  </mergeCells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50"/>
  <sheetViews>
    <sheetView workbookViewId="0"/>
  </sheetViews>
  <sheetFormatPr defaultColWidth="14.3984375" defaultRowHeight="15" customHeight="1"/>
  <cols>
    <col min="1" max="1" width="46.265625" customWidth="1"/>
    <col min="2" max="2" width="7.73046875" customWidth="1"/>
    <col min="3" max="3" width="9" customWidth="1"/>
    <col min="4" max="4" width="7.265625" customWidth="1"/>
    <col min="5" max="5" width="45.86328125" customWidth="1"/>
    <col min="6" max="26" width="9.1328125" customWidth="1"/>
  </cols>
  <sheetData>
    <row r="1" spans="1:26" ht="36" customHeight="1">
      <c r="A1" s="426"/>
      <c r="B1" s="408"/>
      <c r="C1" s="408"/>
      <c r="D1" s="408"/>
      <c r="E1" s="407"/>
      <c r="F1" s="218" t="s">
        <v>2851</v>
      </c>
      <c r="G1" s="1"/>
      <c r="H1" s="1"/>
      <c r="I1" s="1"/>
      <c r="J1" s="1"/>
      <c r="K1" s="1"/>
      <c r="L1" s="1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</row>
    <row r="2" spans="1:26" ht="18" customHeight="1">
      <c r="A2" s="220" t="s">
        <v>2852</v>
      </c>
      <c r="B2" s="220"/>
      <c r="C2" s="220" t="s">
        <v>2853</v>
      </c>
      <c r="D2" s="221" t="s">
        <v>2854</v>
      </c>
      <c r="E2" s="222" t="s">
        <v>2855</v>
      </c>
      <c r="F2" s="1"/>
      <c r="G2" s="1"/>
      <c r="H2" s="1"/>
      <c r="I2" s="1"/>
      <c r="J2" s="1"/>
      <c r="K2" s="1"/>
      <c r="L2" s="1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</row>
    <row r="3" spans="1:26" ht="18" customHeight="1">
      <c r="A3" s="430" t="s">
        <v>2856</v>
      </c>
      <c r="B3" s="408"/>
      <c r="C3" s="408"/>
      <c r="D3" s="408"/>
      <c r="E3" s="407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</row>
    <row r="4" spans="1:26" ht="24" customHeight="1">
      <c r="A4" s="224" t="s">
        <v>2857</v>
      </c>
      <c r="B4" s="224"/>
      <c r="C4" s="225">
        <v>3</v>
      </c>
      <c r="D4" s="226">
        <v>3.2</v>
      </c>
      <c r="E4" s="427" t="s">
        <v>2858</v>
      </c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</row>
    <row r="5" spans="1:26" ht="24" customHeight="1">
      <c r="A5" s="224" t="s">
        <v>2859</v>
      </c>
      <c r="B5" s="224"/>
      <c r="C5" s="225">
        <v>3.8</v>
      </c>
      <c r="D5" s="226">
        <v>4</v>
      </c>
      <c r="E5" s="428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</row>
    <row r="6" spans="1:26" ht="24" customHeight="1">
      <c r="A6" s="224" t="s">
        <v>2860</v>
      </c>
      <c r="B6" s="224"/>
      <c r="C6" s="225">
        <v>4.5</v>
      </c>
      <c r="D6" s="226">
        <v>4.8</v>
      </c>
      <c r="E6" s="429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</row>
    <row r="7" spans="1:26" ht="18" customHeight="1">
      <c r="A7" s="430" t="s">
        <v>2861</v>
      </c>
      <c r="B7" s="408"/>
      <c r="C7" s="408"/>
      <c r="D7" s="408"/>
      <c r="E7" s="407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  <c r="Z7" s="223"/>
    </row>
    <row r="8" spans="1:26" ht="60" customHeight="1">
      <c r="A8" s="224" t="s">
        <v>2862</v>
      </c>
      <c r="B8" s="224"/>
      <c r="C8" s="225">
        <v>6.3</v>
      </c>
      <c r="D8" s="226">
        <v>6.8</v>
      </c>
      <c r="E8" s="427" t="s">
        <v>2863</v>
      </c>
      <c r="F8" s="223"/>
      <c r="G8" s="223"/>
      <c r="H8" s="223"/>
      <c r="I8" s="223"/>
      <c r="J8" s="223"/>
      <c r="K8" s="223"/>
      <c r="L8" s="223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3"/>
      <c r="Z8" s="223"/>
    </row>
    <row r="9" spans="1:26" ht="60" customHeight="1">
      <c r="A9" s="224" t="s">
        <v>2864</v>
      </c>
      <c r="B9" s="224"/>
      <c r="C9" s="225">
        <v>7</v>
      </c>
      <c r="D9" s="226">
        <v>7.5</v>
      </c>
      <c r="E9" s="428"/>
      <c r="F9" s="223"/>
      <c r="G9" s="223"/>
      <c r="H9" s="223"/>
      <c r="I9" s="223"/>
      <c r="J9" s="223"/>
      <c r="K9" s="223"/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3"/>
      <c r="Y9" s="223"/>
      <c r="Z9" s="223"/>
    </row>
    <row r="10" spans="1:26" ht="60" customHeight="1">
      <c r="A10" s="224" t="s">
        <v>2865</v>
      </c>
      <c r="B10" s="224"/>
      <c r="C10" s="225">
        <v>8</v>
      </c>
      <c r="D10" s="226">
        <v>8.5</v>
      </c>
      <c r="E10" s="429"/>
      <c r="F10" s="223"/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</row>
    <row r="11" spans="1:26" ht="18" customHeight="1">
      <c r="A11" s="431" t="s">
        <v>2866</v>
      </c>
      <c r="B11" s="408"/>
      <c r="C11" s="408"/>
      <c r="D11" s="408"/>
      <c r="E11" s="407"/>
      <c r="F11" s="219"/>
      <c r="G11" s="219"/>
      <c r="H11" s="219"/>
      <c r="I11" s="219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</row>
    <row r="12" spans="1:26" ht="18" customHeight="1">
      <c r="A12" s="224" t="s">
        <v>2867</v>
      </c>
      <c r="B12" s="224"/>
      <c r="C12" s="225">
        <v>15</v>
      </c>
      <c r="D12" s="226">
        <v>16</v>
      </c>
      <c r="E12" s="227" t="s">
        <v>2868</v>
      </c>
      <c r="F12" s="219"/>
      <c r="G12" s="219"/>
      <c r="H12" s="219"/>
      <c r="I12" s="219"/>
      <c r="J12" s="219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</row>
    <row r="13" spans="1:26" ht="18" customHeight="1">
      <c r="A13" s="224" t="s">
        <v>2869</v>
      </c>
      <c r="B13" s="224"/>
      <c r="C13" s="225">
        <v>18</v>
      </c>
      <c r="D13" s="226">
        <v>19</v>
      </c>
      <c r="E13" s="227" t="s">
        <v>2870</v>
      </c>
      <c r="F13" s="219"/>
      <c r="G13" s="219"/>
      <c r="H13" s="219"/>
      <c r="I13" s="219"/>
      <c r="J13" s="219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</row>
    <row r="14" spans="1:26" ht="18" customHeight="1">
      <c r="A14" s="431" t="s">
        <v>2871</v>
      </c>
      <c r="B14" s="408"/>
      <c r="C14" s="408"/>
      <c r="D14" s="408"/>
      <c r="E14" s="407"/>
      <c r="F14" s="219"/>
      <c r="G14" s="219"/>
      <c r="H14" s="219"/>
      <c r="I14" s="219"/>
      <c r="J14" s="219"/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19"/>
    </row>
    <row r="15" spans="1:26" ht="87" customHeight="1">
      <c r="A15" s="228" t="s">
        <v>2872</v>
      </c>
      <c r="B15" s="228"/>
      <c r="C15" s="229"/>
      <c r="D15" s="226">
        <v>48</v>
      </c>
      <c r="E15" s="227" t="s">
        <v>2873</v>
      </c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</row>
    <row r="16" spans="1:26" ht="18" customHeight="1">
      <c r="A16" s="431" t="s">
        <v>2871</v>
      </c>
      <c r="B16" s="408"/>
      <c r="C16" s="408"/>
      <c r="D16" s="408"/>
      <c r="E16" s="407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</row>
    <row r="17" spans="1:26" ht="36" customHeight="1">
      <c r="A17" s="228" t="s">
        <v>2874</v>
      </c>
      <c r="B17" s="230"/>
      <c r="C17" s="231"/>
      <c r="D17" s="232">
        <v>83</v>
      </c>
      <c r="E17" s="427" t="s">
        <v>2875</v>
      </c>
      <c r="F17" s="219"/>
      <c r="G17" s="219"/>
      <c r="H17" s="219"/>
      <c r="I17" s="219"/>
      <c r="J17" s="219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</row>
    <row r="18" spans="1:26" ht="36" customHeight="1">
      <c r="A18" s="233" t="s">
        <v>2876</v>
      </c>
      <c r="B18" s="234"/>
      <c r="C18" s="235"/>
      <c r="D18" s="232">
        <v>115</v>
      </c>
      <c r="E18" s="428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</row>
    <row r="19" spans="1:26" ht="36" customHeight="1">
      <c r="A19" s="233" t="s">
        <v>2877</v>
      </c>
      <c r="B19" s="233"/>
      <c r="C19" s="236"/>
      <c r="D19" s="226">
        <v>200</v>
      </c>
      <c r="E19" s="42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</row>
    <row r="20" spans="1:26" ht="18" customHeight="1">
      <c r="A20" s="431" t="s">
        <v>2878</v>
      </c>
      <c r="B20" s="408"/>
      <c r="C20" s="408"/>
      <c r="D20" s="408"/>
      <c r="E20" s="407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</row>
    <row r="21" spans="1:26" ht="36" customHeight="1">
      <c r="A21" s="224" t="s">
        <v>2879</v>
      </c>
      <c r="B21" s="224"/>
      <c r="C21" s="225"/>
      <c r="D21" s="226">
        <v>300</v>
      </c>
      <c r="E21" s="227" t="s">
        <v>2880</v>
      </c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</row>
    <row r="22" spans="1:26" ht="36" customHeight="1">
      <c r="A22" s="224" t="s">
        <v>2881</v>
      </c>
      <c r="B22" s="224"/>
      <c r="C22" s="225"/>
      <c r="D22" s="226">
        <v>1050</v>
      </c>
      <c r="E22" s="427" t="s">
        <v>2882</v>
      </c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</row>
    <row r="23" spans="1:26" ht="36" customHeight="1">
      <c r="A23" s="224" t="s">
        <v>2883</v>
      </c>
      <c r="B23" s="224"/>
      <c r="C23" s="225"/>
      <c r="D23" s="226">
        <v>1250</v>
      </c>
      <c r="E23" s="42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</row>
    <row r="24" spans="1:26" ht="14.25" customHeight="1">
      <c r="A24" s="1"/>
      <c r="B24" s="1"/>
      <c r="C24" s="7"/>
      <c r="D24" s="23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7"/>
      <c r="D25" s="23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7"/>
      <c r="D26" s="23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7"/>
      <c r="D27" s="23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7"/>
      <c r="D28" s="237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7"/>
      <c r="D29" s="23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7"/>
      <c r="D30" s="23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7"/>
      <c r="D31" s="23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7"/>
      <c r="D32" s="23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7"/>
      <c r="D33" s="23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7"/>
      <c r="D34" s="237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7"/>
      <c r="D35" s="23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7"/>
      <c r="D36" s="23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7"/>
      <c r="D37" s="237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7"/>
      <c r="D38" s="23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7"/>
      <c r="D39" s="237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7"/>
      <c r="D40" s="237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7"/>
      <c r="D41" s="23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7"/>
      <c r="D42" s="23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7"/>
      <c r="D43" s="23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7"/>
      <c r="D44" s="237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7"/>
      <c r="D45" s="23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7"/>
      <c r="D46" s="23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7"/>
      <c r="D47" s="23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7"/>
      <c r="D48" s="23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7"/>
      <c r="D49" s="23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7"/>
      <c r="D50" s="237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mergeCells count="11">
    <mergeCell ref="E8:E10"/>
    <mergeCell ref="E17:E19"/>
    <mergeCell ref="E22:E23"/>
    <mergeCell ref="A1:E1"/>
    <mergeCell ref="A3:E3"/>
    <mergeCell ref="E4:E6"/>
    <mergeCell ref="A7:E7"/>
    <mergeCell ref="A11:E11"/>
    <mergeCell ref="A14:E14"/>
    <mergeCell ref="A16:E16"/>
    <mergeCell ref="A20:E20"/>
  </mergeCells>
  <pageMargins left="0.7" right="0.7" top="0.75" bottom="0.7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70"/>
  <sheetViews>
    <sheetView workbookViewId="0"/>
  </sheetViews>
  <sheetFormatPr defaultColWidth="14.3984375" defaultRowHeight="15" customHeight="1"/>
  <cols>
    <col min="1" max="1" width="15.86328125" customWidth="1"/>
    <col min="2" max="2" width="46.73046875" customWidth="1"/>
    <col min="3" max="3" width="9" hidden="1" customWidth="1"/>
    <col min="4" max="21" width="9" customWidth="1"/>
    <col min="22" max="22" width="14.265625" customWidth="1"/>
  </cols>
  <sheetData>
    <row r="1" spans="1:22" ht="36" customHeight="1">
      <c r="A1" s="426"/>
      <c r="B1" s="408"/>
      <c r="C1" s="407"/>
      <c r="D1" s="54" t="s">
        <v>1307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" customHeight="1">
      <c r="A2" s="52" t="s">
        <v>2884</v>
      </c>
      <c r="B2" s="52" t="s">
        <v>1922</v>
      </c>
      <c r="C2" s="54"/>
      <c r="D2" s="54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" customHeight="1">
      <c r="A3" s="52" t="s">
        <v>2885</v>
      </c>
      <c r="B3" s="95" t="s">
        <v>1923</v>
      </c>
      <c r="C3" s="54"/>
      <c r="D3" s="54">
        <v>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8" customHeight="1">
      <c r="A4" s="52" t="s">
        <v>2885</v>
      </c>
      <c r="B4" s="95" t="s">
        <v>1924</v>
      </c>
      <c r="C4" s="54"/>
      <c r="D4" s="54">
        <v>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" customHeight="1">
      <c r="A5" s="52" t="s">
        <v>2885</v>
      </c>
      <c r="B5" s="95" t="s">
        <v>1925</v>
      </c>
      <c r="C5" s="54"/>
      <c r="D5" s="54">
        <v>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" customHeight="1">
      <c r="A6" s="55" t="s">
        <v>2884</v>
      </c>
      <c r="B6" s="238" t="s">
        <v>1926</v>
      </c>
      <c r="C6" s="56"/>
      <c r="D6" s="56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" customHeight="1">
      <c r="A7" s="55" t="s">
        <v>2884</v>
      </c>
      <c r="B7" s="238" t="s">
        <v>1927</v>
      </c>
      <c r="C7" s="56"/>
      <c r="D7" s="56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" customHeight="1">
      <c r="A8" s="55" t="s">
        <v>2884</v>
      </c>
      <c r="B8" s="238" t="s">
        <v>1928</v>
      </c>
      <c r="C8" s="56"/>
      <c r="D8" s="56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" customHeight="1">
      <c r="A9" s="55" t="s">
        <v>2884</v>
      </c>
      <c r="B9" s="238" t="s">
        <v>1929</v>
      </c>
      <c r="C9" s="56"/>
      <c r="D9" s="56">
        <v>13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8" customHeight="1">
      <c r="A10" s="52" t="s">
        <v>2884</v>
      </c>
      <c r="B10" s="95" t="s">
        <v>1930</v>
      </c>
      <c r="C10" s="54"/>
      <c r="D10" s="5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8" customHeight="1">
      <c r="A11" s="55" t="s">
        <v>2884</v>
      </c>
      <c r="B11" s="238" t="s">
        <v>1931</v>
      </c>
      <c r="C11" s="56"/>
      <c r="D11" s="56">
        <v>15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8" customHeight="1">
      <c r="A12" s="52" t="s">
        <v>2884</v>
      </c>
      <c r="B12" s="95" t="s">
        <v>2886</v>
      </c>
      <c r="C12" s="54"/>
      <c r="D12" s="5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8" customHeight="1">
      <c r="A13" s="55" t="s">
        <v>2884</v>
      </c>
      <c r="B13" s="238" t="s">
        <v>1932</v>
      </c>
      <c r="C13" s="56"/>
      <c r="D13" s="56">
        <v>19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8" customHeight="1">
      <c r="A14" s="52" t="s">
        <v>2884</v>
      </c>
      <c r="B14" s="95" t="s">
        <v>1933</v>
      </c>
      <c r="C14" s="54"/>
      <c r="D14" s="5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8" customHeight="1">
      <c r="A15" s="52" t="s">
        <v>2884</v>
      </c>
      <c r="B15" s="95" t="s">
        <v>1934</v>
      </c>
      <c r="C15" s="54"/>
      <c r="D15" s="54">
        <v>16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8" customHeight="1">
      <c r="A16" s="55" t="s">
        <v>2884</v>
      </c>
      <c r="B16" s="238" t="s">
        <v>1935</v>
      </c>
      <c r="C16" s="56"/>
      <c r="D16" s="56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8" customHeight="1">
      <c r="A17" s="52" t="s">
        <v>2884</v>
      </c>
      <c r="B17" s="95" t="s">
        <v>1936</v>
      </c>
      <c r="C17" s="54"/>
      <c r="D17" s="54">
        <v>22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8" customHeight="1">
      <c r="A18" s="52" t="s">
        <v>2884</v>
      </c>
      <c r="B18" s="95" t="s">
        <v>1937</v>
      </c>
      <c r="C18" s="54"/>
      <c r="D18" s="54">
        <v>22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8" customHeight="1">
      <c r="A19" s="55" t="s">
        <v>2884</v>
      </c>
      <c r="B19" s="238" t="s">
        <v>1938</v>
      </c>
      <c r="C19" s="56"/>
      <c r="D19" s="56">
        <v>23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8" customHeight="1">
      <c r="A20" s="52" t="s">
        <v>2884</v>
      </c>
      <c r="B20" s="95" t="s">
        <v>1939</v>
      </c>
      <c r="C20" s="54"/>
      <c r="D20" s="54">
        <v>30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8" customHeight="1">
      <c r="A21" s="52" t="s">
        <v>2884</v>
      </c>
      <c r="B21" s="95" t="s">
        <v>2887</v>
      </c>
      <c r="C21" s="54"/>
      <c r="D21" s="54">
        <v>50</v>
      </c>
      <c r="E21" s="1" t="s">
        <v>2662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8" customHeight="1">
      <c r="A22" s="52" t="s">
        <v>2884</v>
      </c>
      <c r="B22" s="95" t="s">
        <v>1941</v>
      </c>
      <c r="C22" s="54"/>
      <c r="D22" s="54">
        <v>32</v>
      </c>
      <c r="E22" s="1" t="s">
        <v>2662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8" customHeight="1">
      <c r="A23" s="59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8" customHeight="1">
      <c r="A24" s="52" t="s">
        <v>2888</v>
      </c>
      <c r="B24" s="52" t="s">
        <v>1944</v>
      </c>
      <c r="C24" s="54"/>
      <c r="D24" s="5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8" customHeight="1">
      <c r="A25" s="52" t="s">
        <v>2888</v>
      </c>
      <c r="B25" s="52" t="s">
        <v>1945</v>
      </c>
      <c r="C25" s="54"/>
      <c r="D25" s="5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8" customHeight="1">
      <c r="A26" s="52" t="s">
        <v>2888</v>
      </c>
      <c r="B26" s="52" t="s">
        <v>1946</v>
      </c>
      <c r="C26" s="54"/>
      <c r="D26" s="54">
        <v>63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8" customHeight="1">
      <c r="A27" s="52" t="s">
        <v>2888</v>
      </c>
      <c r="B27" s="52" t="s">
        <v>1947</v>
      </c>
      <c r="C27" s="54"/>
      <c r="D27" s="54">
        <v>66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8" customHeight="1">
      <c r="A28" s="52" t="s">
        <v>2888</v>
      </c>
      <c r="B28" s="52" t="s">
        <v>1948</v>
      </c>
      <c r="C28" s="54"/>
      <c r="D28" s="54">
        <v>68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8" customHeight="1">
      <c r="A29" s="52" t="s">
        <v>2888</v>
      </c>
      <c r="B29" s="52" t="s">
        <v>2889</v>
      </c>
      <c r="C29" s="54"/>
      <c r="D29" s="5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8" customHeight="1">
      <c r="A30" s="52" t="s">
        <v>2888</v>
      </c>
      <c r="B30" s="52" t="s">
        <v>2890</v>
      </c>
      <c r="C30" s="54"/>
      <c r="D30" s="5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8" customHeight="1">
      <c r="A31" s="52" t="s">
        <v>2888</v>
      </c>
      <c r="B31" s="52" t="s">
        <v>1949</v>
      </c>
      <c r="C31" s="54"/>
      <c r="D31" s="54">
        <v>50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8" customHeight="1">
      <c r="A32" s="52" t="s">
        <v>2888</v>
      </c>
      <c r="B32" s="52" t="s">
        <v>1950</v>
      </c>
      <c r="C32" s="54"/>
      <c r="D32" s="54">
        <v>50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8" customHeight="1">
      <c r="A33" s="52" t="s">
        <v>2888</v>
      </c>
      <c r="B33" s="52" t="s">
        <v>2891</v>
      </c>
      <c r="C33" s="54"/>
      <c r="D33" s="5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8" customHeight="1">
      <c r="A34" s="52" t="s">
        <v>2888</v>
      </c>
      <c r="B34" s="52" t="s">
        <v>2892</v>
      </c>
      <c r="C34" s="54"/>
      <c r="D34" s="5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8" customHeight="1">
      <c r="A35" s="52" t="s">
        <v>2888</v>
      </c>
      <c r="B35" s="95" t="s">
        <v>1951</v>
      </c>
      <c r="C35" s="54"/>
      <c r="D35" s="5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8" customHeight="1">
      <c r="A36" s="52" t="s">
        <v>2888</v>
      </c>
      <c r="B36" s="95" t="s">
        <v>1952</v>
      </c>
      <c r="C36" s="54"/>
      <c r="D36" s="5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8" customHeight="1">
      <c r="A37" s="52" t="s">
        <v>2888</v>
      </c>
      <c r="B37" s="95" t="s">
        <v>2893</v>
      </c>
      <c r="C37" s="54"/>
      <c r="D37" s="5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8" customHeight="1">
      <c r="A38" s="52" t="s">
        <v>2888</v>
      </c>
      <c r="B38" s="95" t="s">
        <v>1953</v>
      </c>
      <c r="C38" s="54"/>
      <c r="D38" s="54">
        <v>85</v>
      </c>
      <c r="E38" s="1" t="s">
        <v>2662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8" customHeight="1">
      <c r="A39" s="59"/>
      <c r="B39" s="95"/>
      <c r="C39" s="54"/>
      <c r="D39" s="5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8" customHeight="1">
      <c r="A40" s="52" t="s">
        <v>2888</v>
      </c>
      <c r="B40" s="95" t="s">
        <v>1954</v>
      </c>
      <c r="C40" s="54"/>
      <c r="D40" s="54">
        <v>100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8" customHeight="1">
      <c r="A41" s="52" t="s">
        <v>2888</v>
      </c>
      <c r="B41" s="95" t="s">
        <v>1955</v>
      </c>
      <c r="C41" s="54"/>
      <c r="D41" s="54">
        <v>100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8" customHeight="1">
      <c r="A42" s="52" t="s">
        <v>2888</v>
      </c>
      <c r="B42" s="95" t="s">
        <v>1956</v>
      </c>
      <c r="C42" s="54"/>
      <c r="D42" s="54">
        <v>100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8" customHeight="1">
      <c r="A43" s="52" t="s">
        <v>2888</v>
      </c>
      <c r="B43" s="95" t="s">
        <v>1957</v>
      </c>
      <c r="C43" s="54"/>
      <c r="D43" s="5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8" customHeight="1">
      <c r="A44" s="52" t="s">
        <v>2888</v>
      </c>
      <c r="B44" s="95" t="s">
        <v>1958</v>
      </c>
      <c r="C44" s="54"/>
      <c r="D44" s="54">
        <v>127</v>
      </c>
      <c r="E44" s="1" t="s">
        <v>2662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8" customHeight="1">
      <c r="A45" s="59"/>
      <c r="B45" s="95"/>
      <c r="C45" s="54"/>
      <c r="D45" s="54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8" customHeight="1">
      <c r="A46" s="59"/>
      <c r="B46" s="95" t="s">
        <v>2894</v>
      </c>
      <c r="C46" s="54"/>
      <c r="D46" s="54">
        <v>7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8" customHeight="1">
      <c r="A47" s="59"/>
      <c r="B47" s="95" t="s">
        <v>2895</v>
      </c>
      <c r="C47" s="54"/>
      <c r="D47" s="5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8" customHeight="1">
      <c r="A48" s="59"/>
      <c r="B48" s="95" t="s">
        <v>2896</v>
      </c>
      <c r="C48" s="54"/>
      <c r="D48" s="5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</sheetData>
  <mergeCells count="1">
    <mergeCell ref="A1:C1"/>
  </mergeCells>
  <conditionalFormatting sqref="B3:B10 B14:B21 B36:B48">
    <cfRule type="cellIs" dxfId="1" priority="1" stopIfTrue="1" operator="equal">
      <formula>0</formula>
    </cfRule>
  </conditionalFormatting>
  <conditionalFormatting sqref="B12">
    <cfRule type="cellIs" dxfId="0" priority="2" stopIfTrue="1" operator="equal">
      <formula>0</formula>
    </cfRule>
  </conditionalFormatting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30"/>
  <sheetViews>
    <sheetView workbookViewId="0"/>
  </sheetViews>
  <sheetFormatPr defaultColWidth="14.3984375" defaultRowHeight="15" customHeight="1"/>
  <cols>
    <col min="1" max="1" width="8.73046875" customWidth="1"/>
    <col min="2" max="2" width="11" customWidth="1"/>
    <col min="3" max="3" width="8.73046875" customWidth="1"/>
    <col min="4" max="4" width="71.1328125" customWidth="1"/>
    <col min="5" max="5" width="8.73046875" hidden="1" customWidth="1"/>
    <col min="6" max="26" width="8.73046875" customWidth="1"/>
  </cols>
  <sheetData>
    <row r="1" spans="1:26" ht="36" customHeight="1">
      <c r="A1" s="426"/>
      <c r="B1" s="408"/>
      <c r="C1" s="408"/>
      <c r="D1" s="408"/>
      <c r="E1" s="407"/>
      <c r="F1" s="54" t="s">
        <v>1307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203" t="s">
        <v>2897</v>
      </c>
      <c r="B2" s="203" t="s">
        <v>2898</v>
      </c>
      <c r="C2" s="203"/>
      <c r="D2" s="239" t="s">
        <v>2899</v>
      </c>
      <c r="E2" s="203"/>
      <c r="F2" s="204">
        <v>8.5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203" t="s">
        <v>2897</v>
      </c>
      <c r="B3" s="203" t="s">
        <v>2898</v>
      </c>
      <c r="C3" s="203"/>
      <c r="D3" s="239" t="s">
        <v>2900</v>
      </c>
      <c r="E3" s="203"/>
      <c r="F3" s="204">
        <v>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203" t="s">
        <v>2897</v>
      </c>
      <c r="B4" s="203" t="s">
        <v>2898</v>
      </c>
      <c r="C4" s="203"/>
      <c r="D4" s="239" t="s">
        <v>2901</v>
      </c>
      <c r="E4" s="203"/>
      <c r="F4" s="204">
        <v>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203" t="s">
        <v>2897</v>
      </c>
      <c r="B5" s="203" t="s">
        <v>2898</v>
      </c>
      <c r="C5" s="203"/>
      <c r="D5" s="239" t="s">
        <v>2902</v>
      </c>
      <c r="E5" s="203"/>
      <c r="F5" s="204">
        <v>10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203" t="s">
        <v>2897</v>
      </c>
      <c r="B6" s="203" t="s">
        <v>2898</v>
      </c>
      <c r="C6" s="203"/>
      <c r="D6" s="239" t="s">
        <v>2903</v>
      </c>
      <c r="E6" s="203"/>
      <c r="F6" s="204">
        <v>14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203" t="s">
        <v>2897</v>
      </c>
      <c r="B7" s="203" t="s">
        <v>2898</v>
      </c>
      <c r="C7" s="203"/>
      <c r="D7" s="239" t="s">
        <v>2904</v>
      </c>
      <c r="E7" s="203"/>
      <c r="F7" s="204">
        <v>15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203" t="s">
        <v>2897</v>
      </c>
      <c r="B8" s="203" t="s">
        <v>2898</v>
      </c>
      <c r="C8" s="203"/>
      <c r="D8" s="239" t="s">
        <v>2905</v>
      </c>
      <c r="E8" s="203"/>
      <c r="F8" s="204">
        <v>16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203" t="s">
        <v>2897</v>
      </c>
      <c r="B9" s="203" t="s">
        <v>2898</v>
      </c>
      <c r="C9" s="203"/>
      <c r="D9" s="239" t="s">
        <v>2906</v>
      </c>
      <c r="E9" s="203"/>
      <c r="F9" s="204">
        <v>19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203" t="s">
        <v>2897</v>
      </c>
      <c r="B10" s="203" t="s">
        <v>2898</v>
      </c>
      <c r="C10" s="203"/>
      <c r="D10" s="239" t="s">
        <v>2907</v>
      </c>
      <c r="E10" s="203"/>
      <c r="F10" s="204">
        <v>19.5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1"/>
      <c r="B11" s="1"/>
      <c r="C11" s="1"/>
      <c r="D11" s="1"/>
      <c r="E11" s="1"/>
      <c r="F11" s="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203" t="s">
        <v>2897</v>
      </c>
      <c r="B12" s="203" t="s">
        <v>2908</v>
      </c>
      <c r="C12" s="203"/>
      <c r="D12" s="239" t="s">
        <v>2909</v>
      </c>
      <c r="E12" s="203"/>
      <c r="F12" s="204">
        <v>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1"/>
      <c r="B13" s="1"/>
      <c r="C13" s="1"/>
      <c r="D13" s="1"/>
      <c r="E13" s="1"/>
      <c r="F13" s="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1"/>
      <c r="B14" s="1"/>
      <c r="C14" s="1"/>
      <c r="D14" s="1"/>
      <c r="E14" s="1"/>
      <c r="F14" s="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1"/>
      <c r="B15" s="1"/>
      <c r="C15" s="1"/>
      <c r="D15" s="1"/>
      <c r="E15" s="1"/>
      <c r="F15" s="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1"/>
      <c r="B16" s="1"/>
      <c r="C16" s="1"/>
      <c r="D16" s="1"/>
      <c r="E16" s="1"/>
      <c r="F16" s="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1"/>
      <c r="B17" s="1"/>
      <c r="C17" s="1"/>
      <c r="D17" s="1"/>
      <c r="E17" s="1"/>
      <c r="F17" s="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1"/>
      <c r="B18" s="1"/>
      <c r="C18" s="1"/>
      <c r="D18" s="1"/>
      <c r="E18" s="1"/>
      <c r="F18" s="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1"/>
      <c r="B19" s="1"/>
      <c r="C19" s="1"/>
      <c r="D19" s="1"/>
      <c r="E19" s="1"/>
      <c r="F19" s="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1"/>
      <c r="B20" s="1"/>
      <c r="C20" s="1"/>
      <c r="D20" s="1"/>
      <c r="E20" s="1"/>
      <c r="F20" s="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1"/>
      <c r="B21" s="1"/>
      <c r="C21" s="1"/>
      <c r="D21" s="1"/>
      <c r="E21" s="1"/>
      <c r="F21" s="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1"/>
      <c r="B22" s="1"/>
      <c r="C22" s="1"/>
      <c r="D22" s="1"/>
      <c r="E22" s="1"/>
      <c r="F22" s="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1"/>
      <c r="B23" s="1"/>
      <c r="C23" s="1"/>
      <c r="D23" s="1"/>
      <c r="E23" s="1"/>
      <c r="F23" s="7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1"/>
      <c r="B24" s="1"/>
      <c r="C24" s="1"/>
      <c r="D24" s="1"/>
      <c r="E24" s="1"/>
      <c r="F24" s="7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1"/>
      <c r="B25" s="1"/>
      <c r="C25" s="1"/>
      <c r="D25" s="1"/>
      <c r="E25" s="1"/>
      <c r="F25" s="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1"/>
      <c r="B26" s="1"/>
      <c r="C26" s="1"/>
      <c r="D26" s="1"/>
      <c r="E26" s="1"/>
      <c r="F26" s="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1"/>
      <c r="B27" s="1"/>
      <c r="C27" s="1"/>
      <c r="D27" s="1"/>
      <c r="E27" s="1"/>
      <c r="F27" s="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1"/>
      <c r="B28" s="1"/>
      <c r="C28" s="1"/>
      <c r="D28" s="1"/>
      <c r="E28" s="1"/>
      <c r="F28" s="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"/>
      <c r="B29" s="1"/>
      <c r="C29" s="1"/>
      <c r="D29" s="1"/>
      <c r="E29" s="1"/>
      <c r="F29" s="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"/>
      <c r="B30" s="1"/>
      <c r="C30" s="1"/>
      <c r="D30" s="1"/>
      <c r="E30" s="1"/>
      <c r="F30" s="7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1">
    <mergeCell ref="A1:E1"/>
  </mergeCells>
  <pageMargins left="0.7" right="0.7" top="0.75" bottom="0.7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50"/>
  <sheetViews>
    <sheetView workbookViewId="0"/>
  </sheetViews>
  <sheetFormatPr defaultColWidth="14.3984375" defaultRowHeight="15" customHeight="1"/>
  <cols>
    <col min="1" max="1" width="95" customWidth="1"/>
    <col min="2" max="2" width="6.265625" hidden="1" customWidth="1"/>
    <col min="3" max="3" width="6.265625" customWidth="1"/>
    <col min="4" max="4" width="8.73046875" customWidth="1"/>
    <col min="5" max="5" width="32.265625" customWidth="1"/>
    <col min="6" max="24" width="8.73046875" customWidth="1"/>
  </cols>
  <sheetData>
    <row r="1" spans="1:26" ht="36" customHeight="1">
      <c r="A1" s="432"/>
      <c r="B1" s="407"/>
      <c r="C1" s="54" t="s">
        <v>1307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239" t="s">
        <v>2910</v>
      </c>
      <c r="B2" s="203"/>
      <c r="C2" s="204">
        <v>40</v>
      </c>
      <c r="D2" s="20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239" t="s">
        <v>2911</v>
      </c>
      <c r="B3" s="203"/>
      <c r="C3" s="204"/>
      <c r="D3" s="20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239" t="s">
        <v>2912</v>
      </c>
      <c r="B4" s="203"/>
      <c r="C4" s="204">
        <v>85</v>
      </c>
      <c r="D4" s="20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239" t="s">
        <v>2913</v>
      </c>
      <c r="B5" s="203"/>
      <c r="C5" s="204">
        <v>85</v>
      </c>
      <c r="D5" s="20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203" t="s">
        <v>2914</v>
      </c>
      <c r="B6" s="240"/>
      <c r="C6" s="204">
        <v>170</v>
      </c>
      <c r="D6" s="202" t="s">
        <v>2662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203"/>
      <c r="B7" s="240"/>
      <c r="C7" s="204"/>
      <c r="D7" s="20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203" t="s">
        <v>2915</v>
      </c>
      <c r="B8" s="240"/>
      <c r="C8" s="204">
        <v>11</v>
      </c>
      <c r="D8" s="20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203"/>
      <c r="B9" s="240"/>
      <c r="C9" s="204"/>
      <c r="D9" s="20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203" t="s">
        <v>2916</v>
      </c>
      <c r="B10" s="240"/>
      <c r="C10" s="204"/>
      <c r="D10" s="20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239" t="s">
        <v>2917</v>
      </c>
      <c r="B11" s="240"/>
      <c r="C11" s="204">
        <v>250</v>
      </c>
      <c r="D11" s="20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239" t="s">
        <v>2918</v>
      </c>
      <c r="B12" s="240"/>
      <c r="C12" s="204">
        <v>140</v>
      </c>
      <c r="D12" s="20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241" t="s">
        <v>2919</v>
      </c>
      <c r="B13" s="242"/>
      <c r="C13" s="208">
        <v>125</v>
      </c>
      <c r="D13" s="20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239" t="s">
        <v>2920</v>
      </c>
      <c r="B14" s="243"/>
      <c r="C14" s="53">
        <v>125</v>
      </c>
      <c r="D14" s="20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241" t="s">
        <v>2921</v>
      </c>
      <c r="B15" s="242"/>
      <c r="C15" s="208">
        <v>105</v>
      </c>
      <c r="D15" s="20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D16" s="20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203"/>
      <c r="B17" s="240"/>
      <c r="C17" s="204"/>
      <c r="D17" s="202"/>
      <c r="E17" s="244"/>
      <c r="F17" s="20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203" t="s">
        <v>2922</v>
      </c>
      <c r="B18" s="240"/>
      <c r="C18" s="204">
        <v>46</v>
      </c>
      <c r="D18" s="202"/>
      <c r="E18" s="244"/>
      <c r="F18" s="20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206" t="s">
        <v>2923</v>
      </c>
      <c r="B19" s="242"/>
      <c r="C19" s="208">
        <v>43</v>
      </c>
      <c r="D19" s="209"/>
      <c r="E19" s="244"/>
      <c r="F19" s="20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203" t="s">
        <v>2924</v>
      </c>
      <c r="B20" s="240"/>
      <c r="C20" s="204">
        <v>55</v>
      </c>
      <c r="D20" s="202" t="s">
        <v>2660</v>
      </c>
      <c r="E20" s="244"/>
      <c r="F20" s="20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206" t="s">
        <v>2925</v>
      </c>
      <c r="B21" s="242"/>
      <c r="C21" s="208">
        <v>47</v>
      </c>
      <c r="D21" s="209"/>
      <c r="E21" s="244"/>
      <c r="F21" s="20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203" t="s">
        <v>2926</v>
      </c>
      <c r="B22" s="240"/>
      <c r="C22" s="204">
        <v>64</v>
      </c>
      <c r="D22" s="202"/>
      <c r="E22" s="244"/>
      <c r="F22" s="20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203" t="s">
        <v>2927</v>
      </c>
      <c r="B23" s="240"/>
      <c r="C23" s="204">
        <v>78</v>
      </c>
      <c r="D23" s="202"/>
      <c r="E23" s="244"/>
      <c r="F23" s="20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203" t="s">
        <v>2928</v>
      </c>
      <c r="B24" s="240"/>
      <c r="C24" s="204"/>
      <c r="D24" s="202"/>
      <c r="E24" s="244"/>
      <c r="F24" s="20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203" t="s">
        <v>2929</v>
      </c>
      <c r="B25" s="240"/>
      <c r="C25" s="204">
        <v>100</v>
      </c>
      <c r="D25" s="202"/>
      <c r="E25" s="202"/>
      <c r="F25" s="24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203" t="s">
        <v>2930</v>
      </c>
      <c r="B26" s="240"/>
      <c r="C26" s="204">
        <v>100</v>
      </c>
      <c r="D26" s="20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203" t="s">
        <v>2931</v>
      </c>
      <c r="B27" s="240"/>
      <c r="C27" s="204">
        <v>110</v>
      </c>
      <c r="D27" s="202" t="s">
        <v>2662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203" t="s">
        <v>2932</v>
      </c>
      <c r="B28" s="240"/>
      <c r="C28" s="204">
        <v>130</v>
      </c>
      <c r="D28" s="20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203" t="s">
        <v>2933</v>
      </c>
      <c r="B29" s="240"/>
      <c r="C29" s="204">
        <v>140</v>
      </c>
      <c r="D29" s="20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203" t="s">
        <v>2934</v>
      </c>
      <c r="B30" s="240"/>
      <c r="C30" s="204"/>
      <c r="D30" s="20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203" t="s">
        <v>2935</v>
      </c>
      <c r="B31" s="240"/>
      <c r="C31" s="204">
        <v>155</v>
      </c>
      <c r="D31" s="20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203" t="s">
        <v>2936</v>
      </c>
      <c r="B32" s="203"/>
      <c r="C32" s="204">
        <v>170</v>
      </c>
      <c r="D32" s="20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203" t="s">
        <v>2937</v>
      </c>
      <c r="B33" s="203"/>
      <c r="C33" s="204"/>
      <c r="D33" s="20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203" t="s">
        <v>2938</v>
      </c>
      <c r="B34" s="240"/>
      <c r="C34" s="204"/>
      <c r="D34" s="20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203" t="s">
        <v>2939</v>
      </c>
      <c r="B35" s="240"/>
      <c r="C35" s="20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202"/>
      <c r="B36" s="245"/>
      <c r="C36" s="21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1"/>
      <c r="B37" s="246"/>
      <c r="C37" s="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1"/>
      <c r="B38" s="246"/>
      <c r="C38" s="7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1"/>
      <c r="B39" s="246"/>
      <c r="C39" s="7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1"/>
      <c r="B40" s="246"/>
      <c r="C40" s="7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1"/>
      <c r="B41" s="246"/>
      <c r="C41" s="7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1"/>
      <c r="B42" s="246"/>
      <c r="C42" s="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1"/>
      <c r="B43" s="246"/>
      <c r="C43" s="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1"/>
      <c r="B44" s="246"/>
      <c r="C44" s="7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1"/>
      <c r="B45" s="246"/>
      <c r="C45" s="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1"/>
      <c r="B46" s="246"/>
      <c r="C46" s="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>
      <c r="A47" s="1"/>
      <c r="B47" s="246"/>
      <c r="C47" s="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>
      <c r="A48" s="1"/>
      <c r="B48" s="246"/>
      <c r="C48" s="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>
      <c r="A49" s="1"/>
      <c r="B49" s="246"/>
      <c r="C49" s="7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>
      <c r="A50" s="1"/>
      <c r="B50" s="246"/>
      <c r="C50" s="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mergeCells count="1">
    <mergeCell ref="A1:B1"/>
  </mergeCells>
  <pageMargins left="0.7" right="0.7" top="0.75" bottom="0.75" header="0" footer="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30"/>
  <sheetViews>
    <sheetView workbookViewId="0"/>
  </sheetViews>
  <sheetFormatPr defaultColWidth="14.3984375" defaultRowHeight="15" customHeight="1"/>
  <cols>
    <col min="1" max="1" width="8.73046875" customWidth="1"/>
    <col min="2" max="2" width="17.265625" customWidth="1"/>
    <col min="3" max="3" width="22" customWidth="1"/>
    <col min="4" max="4" width="69.1328125" customWidth="1"/>
    <col min="5" max="26" width="8.73046875" customWidth="1"/>
  </cols>
  <sheetData>
    <row r="1" spans="1:26" ht="36" customHeight="1">
      <c r="A1" s="433"/>
      <c r="B1" s="408"/>
      <c r="C1" s="408"/>
      <c r="D1" s="407"/>
      <c r="E1" s="54" t="s">
        <v>1307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203" t="s">
        <v>2940</v>
      </c>
      <c r="B2" s="203" t="s">
        <v>2941</v>
      </c>
      <c r="C2" s="217" t="s">
        <v>2942</v>
      </c>
      <c r="D2" s="217" t="s">
        <v>2943</v>
      </c>
      <c r="E2" s="58">
        <v>175</v>
      </c>
      <c r="F2" s="1" t="s">
        <v>2662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203" t="s">
        <v>2940</v>
      </c>
      <c r="B3" s="203" t="s">
        <v>2941</v>
      </c>
      <c r="C3" s="217" t="s">
        <v>2944</v>
      </c>
      <c r="D3" s="217" t="s">
        <v>2945</v>
      </c>
      <c r="E3" s="58">
        <v>175</v>
      </c>
      <c r="F3" s="1" t="s">
        <v>2662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203" t="s">
        <v>2940</v>
      </c>
      <c r="B4" s="203" t="s">
        <v>2941</v>
      </c>
      <c r="C4" s="217" t="s">
        <v>2946</v>
      </c>
      <c r="D4" s="217" t="s">
        <v>2947</v>
      </c>
      <c r="E4" s="5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203" t="s">
        <v>2940</v>
      </c>
      <c r="B5" s="203" t="s">
        <v>2941</v>
      </c>
      <c r="C5" s="217" t="s">
        <v>2948</v>
      </c>
      <c r="D5" s="217" t="s">
        <v>2949</v>
      </c>
      <c r="E5" s="5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203" t="s">
        <v>2940</v>
      </c>
      <c r="B6" s="203" t="s">
        <v>2941</v>
      </c>
      <c r="C6" s="217" t="s">
        <v>2950</v>
      </c>
      <c r="D6" s="217" t="s">
        <v>2951</v>
      </c>
      <c r="E6" s="58">
        <v>230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203" t="s">
        <v>2940</v>
      </c>
      <c r="B7" s="203" t="s">
        <v>2941</v>
      </c>
      <c r="C7" s="217" t="s">
        <v>2952</v>
      </c>
      <c r="D7" s="217" t="s">
        <v>2953</v>
      </c>
      <c r="E7" s="58">
        <v>230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203" t="s">
        <v>2940</v>
      </c>
      <c r="B8" s="203" t="s">
        <v>2941</v>
      </c>
      <c r="C8" s="217" t="s">
        <v>2954</v>
      </c>
      <c r="D8" s="217" t="s">
        <v>2955</v>
      </c>
      <c r="E8" s="58">
        <v>330</v>
      </c>
      <c r="F8" s="1" t="s">
        <v>2662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203" t="s">
        <v>2940</v>
      </c>
      <c r="B9" s="203" t="s">
        <v>2941</v>
      </c>
      <c r="C9" s="217" t="s">
        <v>2956</v>
      </c>
      <c r="D9" s="217" t="s">
        <v>2957</v>
      </c>
      <c r="E9" s="58">
        <v>330</v>
      </c>
      <c r="F9" s="1" t="s">
        <v>2662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203" t="s">
        <v>2940</v>
      </c>
      <c r="B10" s="203" t="s">
        <v>2941</v>
      </c>
      <c r="C10" s="217" t="s">
        <v>2958</v>
      </c>
      <c r="D10" s="217" t="s">
        <v>2959</v>
      </c>
      <c r="E10" s="58">
        <v>330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247" t="s">
        <v>2940</v>
      </c>
      <c r="B11" s="247" t="s">
        <v>2941</v>
      </c>
      <c r="C11" s="248" t="s">
        <v>2960</v>
      </c>
      <c r="D11" s="248" t="s">
        <v>2961</v>
      </c>
      <c r="E11" s="58">
        <v>330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247" t="s">
        <v>2940</v>
      </c>
      <c r="B12" s="247" t="s">
        <v>2941</v>
      </c>
      <c r="C12" s="248" t="s">
        <v>2962</v>
      </c>
      <c r="D12" s="248" t="s">
        <v>2963</v>
      </c>
      <c r="E12" s="58">
        <v>330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203" t="s">
        <v>2940</v>
      </c>
      <c r="B13" s="203" t="s">
        <v>2941</v>
      </c>
      <c r="C13" s="217" t="s">
        <v>2964</v>
      </c>
      <c r="D13" s="217" t="s">
        <v>2965</v>
      </c>
      <c r="E13" s="58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203" t="s">
        <v>2940</v>
      </c>
      <c r="B14" s="203" t="s">
        <v>2941</v>
      </c>
      <c r="C14" s="217" t="s">
        <v>2966</v>
      </c>
      <c r="D14" s="217" t="s">
        <v>2967</v>
      </c>
      <c r="E14" s="58">
        <v>300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203" t="s">
        <v>2940</v>
      </c>
      <c r="B15" s="203" t="s">
        <v>2941</v>
      </c>
      <c r="C15" s="217" t="s">
        <v>2968</v>
      </c>
      <c r="D15" s="217" t="s">
        <v>2969</v>
      </c>
      <c r="E15" s="58">
        <v>300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203" t="s">
        <v>2940</v>
      </c>
      <c r="B16" s="203" t="s">
        <v>2941</v>
      </c>
      <c r="C16" s="217" t="s">
        <v>2970</v>
      </c>
      <c r="D16" s="217" t="s">
        <v>2971</v>
      </c>
      <c r="E16" s="58">
        <v>300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203" t="s">
        <v>2940</v>
      </c>
      <c r="B17" s="203" t="s">
        <v>2941</v>
      </c>
      <c r="C17" s="217" t="s">
        <v>2972</v>
      </c>
      <c r="D17" s="217" t="s">
        <v>2973</v>
      </c>
      <c r="E17" s="5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203" t="s">
        <v>2940</v>
      </c>
      <c r="B18" s="203" t="s">
        <v>2941</v>
      </c>
      <c r="C18" s="59"/>
      <c r="D18" s="217" t="s">
        <v>2974</v>
      </c>
      <c r="E18" s="58">
        <v>220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1">
    <mergeCell ref="A1:D1"/>
  </mergeCells>
  <pageMargins left="0.7" right="0.7" top="0.75" bottom="0.75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40"/>
  <sheetViews>
    <sheetView workbookViewId="0"/>
  </sheetViews>
  <sheetFormatPr defaultColWidth="14.3984375" defaultRowHeight="15" customHeight="1"/>
  <cols>
    <col min="1" max="1" width="102.1328125" customWidth="1"/>
    <col min="2" max="2" width="6.265625" hidden="1" customWidth="1"/>
    <col min="3" max="3" width="6.265625" customWidth="1"/>
    <col min="4" max="4" width="7.1328125" customWidth="1"/>
    <col min="5" max="23" width="8.73046875" customWidth="1"/>
    <col min="24" max="24" width="14.265625" customWidth="1"/>
  </cols>
  <sheetData>
    <row r="1" spans="1:26" ht="36" customHeight="1">
      <c r="A1" s="434"/>
      <c r="B1" s="401"/>
      <c r="C1" s="249" t="s">
        <v>1307</v>
      </c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</row>
    <row r="2" spans="1:26" ht="18" customHeight="1">
      <c r="A2" s="203" t="s">
        <v>2975</v>
      </c>
      <c r="B2" s="203"/>
      <c r="C2" s="204">
        <v>27</v>
      </c>
      <c r="D2" s="202" t="s">
        <v>2660</v>
      </c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</row>
    <row r="3" spans="1:26" ht="18" customHeight="1">
      <c r="A3" s="250" t="s">
        <v>2976</v>
      </c>
      <c r="B3" s="203"/>
      <c r="C3" s="204">
        <v>32</v>
      </c>
      <c r="D3" s="202" t="s">
        <v>2977</v>
      </c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</row>
    <row r="4" spans="1:26" ht="18" customHeight="1">
      <c r="A4" s="250" t="s">
        <v>2978</v>
      </c>
      <c r="B4" s="203"/>
      <c r="C4" s="204">
        <v>44</v>
      </c>
      <c r="D4" s="202" t="s">
        <v>2662</v>
      </c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</row>
    <row r="5" spans="1:26" ht="18" customHeight="1">
      <c r="A5" s="250" t="s">
        <v>2979</v>
      </c>
      <c r="B5" s="203"/>
      <c r="C5" s="204">
        <v>44</v>
      </c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</row>
    <row r="6" spans="1:26" ht="18" customHeight="1">
      <c r="A6" s="251" t="s">
        <v>2980</v>
      </c>
      <c r="B6" s="206"/>
      <c r="C6" s="208">
        <v>55</v>
      </c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</row>
    <row r="7" spans="1:26" ht="18" customHeight="1">
      <c r="A7" s="251" t="s">
        <v>2981</v>
      </c>
      <c r="B7" s="206"/>
      <c r="C7" s="208">
        <v>60</v>
      </c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spans="1:26" ht="18" customHeight="1">
      <c r="A8" s="250" t="s">
        <v>2982</v>
      </c>
      <c r="B8" s="203"/>
      <c r="C8" s="204">
        <v>59</v>
      </c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</row>
    <row r="9" spans="1:26" ht="18" customHeight="1">
      <c r="A9" s="250" t="s">
        <v>2983</v>
      </c>
      <c r="B9" s="203"/>
      <c r="C9" s="204">
        <v>56</v>
      </c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</row>
    <row r="10" spans="1:26" ht="18" customHeight="1">
      <c r="A10" s="250" t="s">
        <v>2984</v>
      </c>
      <c r="B10" s="203"/>
      <c r="C10" s="204">
        <v>55</v>
      </c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</row>
    <row r="11" spans="1:26" ht="18" customHeight="1">
      <c r="A11" s="250" t="s">
        <v>2985</v>
      </c>
      <c r="B11" s="203"/>
      <c r="C11" s="204">
        <v>90</v>
      </c>
      <c r="D11" s="202" t="s">
        <v>2783</v>
      </c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</row>
    <row r="12" spans="1:26" ht="18" customHeight="1">
      <c r="A12" s="202"/>
      <c r="B12" s="202"/>
      <c r="C12" s="214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</row>
    <row r="13" spans="1:26" ht="18" customHeight="1">
      <c r="A13" s="252" t="s">
        <v>2986</v>
      </c>
      <c r="B13" s="253"/>
      <c r="C13" s="254">
        <v>24</v>
      </c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</row>
    <row r="14" spans="1:26" ht="18" customHeight="1">
      <c r="A14" s="252" t="s">
        <v>2987</v>
      </c>
      <c r="B14" s="253"/>
      <c r="C14" s="254">
        <v>27</v>
      </c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</row>
    <row r="15" spans="1:26" ht="18" customHeight="1">
      <c r="A15" s="252" t="s">
        <v>2988</v>
      </c>
      <c r="B15" s="253"/>
      <c r="C15" s="254">
        <v>32</v>
      </c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</row>
    <row r="16" spans="1:26" ht="18" customHeight="1">
      <c r="A16" s="202"/>
      <c r="B16" s="202"/>
      <c r="C16" s="214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</row>
    <row r="17" spans="1:26" ht="18" customHeight="1">
      <c r="A17" s="239" t="s">
        <v>2989</v>
      </c>
      <c r="B17" s="203"/>
      <c r="C17" s="204">
        <v>14</v>
      </c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</row>
    <row r="18" spans="1:26" ht="18" customHeight="1">
      <c r="A18" s="255" t="s">
        <v>2990</v>
      </c>
      <c r="B18" s="253"/>
      <c r="C18" s="254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</row>
    <row r="19" spans="1:26" ht="18" customHeight="1">
      <c r="A19" s="241" t="s">
        <v>2991</v>
      </c>
      <c r="B19" s="206"/>
      <c r="C19" s="208">
        <v>19</v>
      </c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</row>
    <row r="20" spans="1:26" ht="18" customHeight="1">
      <c r="A20" s="256" t="s">
        <v>2992</v>
      </c>
      <c r="B20" s="206"/>
      <c r="C20" s="208">
        <v>27</v>
      </c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</row>
    <row r="21" spans="1:26" ht="18" customHeight="1">
      <c r="A21" s="256" t="s">
        <v>2993</v>
      </c>
      <c r="B21" s="253"/>
      <c r="C21" s="254">
        <v>30</v>
      </c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</row>
    <row r="22" spans="1:26" ht="18" customHeight="1">
      <c r="A22" s="202"/>
      <c r="B22" s="202"/>
      <c r="C22" s="214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</row>
    <row r="23" spans="1:26" ht="18" customHeight="1">
      <c r="A23" s="202"/>
      <c r="B23" s="202"/>
      <c r="C23" s="214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</row>
    <row r="24" spans="1:26" ht="18" customHeight="1">
      <c r="A24" s="202"/>
      <c r="B24" s="202"/>
      <c r="C24" s="214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</row>
    <row r="25" spans="1:26" ht="18" customHeight="1">
      <c r="A25" s="202"/>
      <c r="B25" s="202"/>
      <c r="C25" s="214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</row>
    <row r="26" spans="1:26" ht="18" customHeight="1">
      <c r="A26" s="202"/>
      <c r="B26" s="202"/>
      <c r="C26" s="214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</row>
    <row r="27" spans="1:26" ht="18" customHeight="1">
      <c r="A27" s="202"/>
      <c r="B27" s="202"/>
      <c r="C27" s="214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</row>
    <row r="28" spans="1:26" ht="18" customHeight="1">
      <c r="A28" s="202"/>
      <c r="B28" s="202"/>
      <c r="C28" s="214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</row>
    <row r="29" spans="1:26" ht="18" customHeight="1">
      <c r="A29" s="202"/>
      <c r="B29" s="202"/>
      <c r="C29" s="214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</row>
    <row r="30" spans="1:26" ht="18" customHeight="1">
      <c r="A30" s="202"/>
      <c r="B30" s="202"/>
      <c r="C30" s="214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</row>
    <row r="31" spans="1:26" ht="18" customHeight="1">
      <c r="A31" s="202"/>
      <c r="B31" s="202"/>
      <c r="C31" s="214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</row>
    <row r="32" spans="1:26" ht="18" customHeight="1">
      <c r="A32" s="202"/>
      <c r="B32" s="202"/>
      <c r="C32" s="214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</row>
    <row r="33" spans="1:26" ht="18" customHeight="1">
      <c r="A33" s="202"/>
      <c r="B33" s="202"/>
      <c r="C33" s="214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</row>
    <row r="34" spans="1:26" ht="18" customHeight="1">
      <c r="A34" s="202"/>
      <c r="B34" s="202"/>
      <c r="C34" s="214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</row>
    <row r="35" spans="1:26" ht="18" customHeight="1">
      <c r="A35" s="202"/>
      <c r="B35" s="202"/>
      <c r="C35" s="214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</row>
    <row r="36" spans="1:26" ht="18" customHeight="1">
      <c r="A36" s="202"/>
      <c r="B36" s="202"/>
      <c r="C36" s="214"/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</row>
    <row r="37" spans="1:26" ht="18" customHeight="1">
      <c r="A37" s="202"/>
      <c r="B37" s="202"/>
      <c r="C37" s="214"/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</row>
    <row r="38" spans="1:26" ht="18" customHeight="1">
      <c r="A38" s="202"/>
      <c r="B38" s="202"/>
      <c r="C38" s="214"/>
      <c r="D38" s="202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</row>
    <row r="39" spans="1:26" ht="18" customHeight="1">
      <c r="A39" s="202"/>
      <c r="B39" s="202"/>
      <c r="C39" s="214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</row>
    <row r="40" spans="1:26" ht="18" customHeight="1">
      <c r="A40" s="202"/>
      <c r="B40" s="202"/>
      <c r="C40" s="214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</row>
  </sheetData>
  <mergeCells count="1">
    <mergeCell ref="A1:B1"/>
  </mergeCells>
  <pageMargins left="0.7" right="0.7" top="0.75" bottom="0.75" header="0" footer="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60"/>
  <sheetViews>
    <sheetView workbookViewId="0"/>
  </sheetViews>
  <sheetFormatPr defaultColWidth="14.3984375" defaultRowHeight="15" customHeight="1"/>
  <cols>
    <col min="1" max="1" width="78.86328125" customWidth="1"/>
    <col min="2" max="2" width="6.1328125" hidden="1" customWidth="1"/>
    <col min="3" max="3" width="6.1328125" customWidth="1"/>
    <col min="4" max="5" width="8.73046875" customWidth="1"/>
    <col min="6" max="6" width="33.86328125" customWidth="1"/>
    <col min="7" max="24" width="8.73046875" customWidth="1"/>
  </cols>
  <sheetData>
    <row r="1" spans="1:26" ht="36" customHeight="1">
      <c r="A1" s="432"/>
      <c r="B1" s="407"/>
      <c r="C1" s="257" t="s">
        <v>1307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59" t="s">
        <v>2994</v>
      </c>
      <c r="B2" s="59" t="str">
        <f ca="1">IFERROR(__xludf.DUMMYFUNCTION("IFERROR(LET(
  angle,     REGEXEXTRACT(A2, ""&lt;([^&gt;]+)&gt;""),
  round,     REGEXEXTRACT(A2,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2" s="53">
        <v>43</v>
      </c>
      <c r="D2" s="1"/>
      <c r="E2" s="1"/>
      <c r="F2" s="244"/>
      <c r="G2" s="20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59" t="s">
        <v>2995</v>
      </c>
      <c r="B3" s="59" t="str">
        <f ca="1">IFERROR(__xludf.DUMMYFUNCTION("IFERROR(LET(
  angle,     REGEXEXTRACT(A3, ""&lt;([^&gt;]+)&gt;""),
  round,     REGEXEXTRACT(A3,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3" s="53"/>
      <c r="D3" s="1"/>
      <c r="E3" s="1"/>
      <c r="F3" s="244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59" t="s">
        <v>2996</v>
      </c>
      <c r="B4" s="59" t="str">
        <f ca="1">IFERROR(__xludf.DUMMYFUNCTION("IFERROR(LET(
  angle,     REGEXEXTRACT(A4, ""&lt;([^&gt;]+)&gt;""),
  round,     REGEXEXTRACT(A4,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4" s="53"/>
      <c r="D4" s="1"/>
      <c r="E4" s="1"/>
      <c r="F4" s="244"/>
      <c r="G4" s="20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59" t="s">
        <v>2997</v>
      </c>
      <c r="B5" s="59" t="str">
        <f ca="1">IFERROR(__xludf.DUMMYFUNCTION("IFERROR(LET(
  angle,     REGEXEXTRACT(A5, ""&lt;([^&gt;]+)&gt;""),
  round,     REGEXEXTRACT(A5,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5" s="53">
        <v>70</v>
      </c>
      <c r="D5" s="1"/>
      <c r="E5" s="1"/>
      <c r="F5" s="244"/>
      <c r="G5" s="20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59" t="s">
        <v>2998</v>
      </c>
      <c r="B6" s="59" t="str">
        <f ca="1">IFERROR(__xludf.DUMMYFUNCTION("IFERROR(LET(
  angle,     REGEXEXTRACT(A6, ""&lt;([^&gt;]+)&gt;""),
  round,     REGEXEXTRACT(A6,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6" s="53">
        <v>70</v>
      </c>
      <c r="D6" s="1"/>
      <c r="E6" s="1"/>
      <c r="F6" s="244"/>
      <c r="G6" s="20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59" t="s">
        <v>2999</v>
      </c>
      <c r="B7" s="59" t="str">
        <f ca="1">IFERROR(__xludf.DUMMYFUNCTION("IFERROR(LET(
  angle,     REGEXEXTRACT(A7, ""&lt;([^&gt;]+)&gt;""),
  round,     REGEXEXTRACT(A7,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7" s="53">
        <v>70</v>
      </c>
      <c r="D7" s="1"/>
      <c r="E7" s="1"/>
      <c r="F7" s="244"/>
      <c r="G7" s="20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59" t="s">
        <v>3000</v>
      </c>
      <c r="B8" s="59" t="str">
        <f ca="1">IFERROR(__xludf.DUMMYFUNCTION("IFERROR(LET(
  angle,     REGEXEXTRACT(A8, ""&lt;([^&gt;]+)&gt;""),
  round,     REGEXEXTRACT(A8,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8" s="53"/>
      <c r="D8" s="1"/>
      <c r="E8" s="1"/>
      <c r="F8" s="244"/>
      <c r="G8" s="20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59" t="s">
        <v>3001</v>
      </c>
      <c r="B9" s="59" t="str">
        <f ca="1">IFERROR(__xludf.DUMMYFUNCTION("IFERROR(LET(
  angle,     REGEXEXTRACT(A9, ""&lt;([^&gt;]+)&gt;""),
  round,     REGEXEXTRACT(A9,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9" s="5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59" t="s">
        <v>3002</v>
      </c>
      <c r="B10" s="59" t="str">
        <f ca="1">IFERROR(__xludf.DUMMYFUNCTION("IFERROR(LET(
  angle,     REGEXEXTRACT(A10, ""&lt;([^&gt;]+)&gt;""),
  round,     REGEXEXTRACT(A10,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0" s="5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59" t="s">
        <v>3003</v>
      </c>
      <c r="B11" s="59" t="str">
        <f ca="1">IFERROR(__xludf.DUMMYFUNCTION("IFERROR(LET(
  angle,     REGEXEXTRACT(A11, ""&lt;([^&gt;]+)&gt;""),
  round,     REGEXEXTRACT(A11,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1" s="5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59" t="s">
        <v>3004</v>
      </c>
      <c r="B12" s="59" t="str">
        <f ca="1">IFERROR(__xludf.DUMMYFUNCTION("IFERROR(LET(
  angle,     REGEXEXTRACT(A12, ""&lt;([^&gt;]+)&gt;""),
  round,     REGEXEXTRACT(A12,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2" s="53">
        <v>160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1"/>
      <c r="B13" s="1" t="str">
        <f ca="1">IFERROR(__xludf.DUMMYFUNCTION("IFERROR(LET(
  angle,     REGEXEXTRACT(A13, ""&lt;([^&gt;]+)&gt;""),
  round,     REGEXEXTRACT(A13,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3" s="7"/>
      <c r="D13" s="1"/>
      <c r="E13" s="1"/>
      <c r="F13" s="258"/>
      <c r="G13" s="20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59" t="s">
        <v>3005</v>
      </c>
      <c r="B14" s="59" t="str">
        <f ca="1">IFERROR(__xludf.DUMMYFUNCTION("IFERROR(LET(
  angle,     REGEXEXTRACT(A14, ""&lt;([^&gt;]+)&gt;""),
  round,     REGEXEXTRACT(A14,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4" s="53"/>
      <c r="D14" s="1"/>
      <c r="E14" s="1"/>
      <c r="F14" s="258"/>
      <c r="G14" s="20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59" t="s">
        <v>3006</v>
      </c>
      <c r="B15" s="59" t="str">
        <f ca="1">IFERROR(__xludf.DUMMYFUNCTION("IFERROR(LET(
  angle,     REGEXEXTRACT(A15, ""&lt;([^&gt;]+)&gt;""),
  round,     REGEXEXTRACT(A15,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5" s="53"/>
      <c r="D15" s="1"/>
      <c r="E15" s="1"/>
      <c r="F15" s="258"/>
      <c r="G15" s="20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59" t="s">
        <v>3007</v>
      </c>
      <c r="B16" s="59" t="str">
        <f ca="1">IFERROR(__xludf.DUMMYFUNCTION("IFERROR(LET(
  angle,     REGEXEXTRACT(A16, ""&lt;([^&gt;]+)&gt;""),
  round,     REGEXEXTRACT(A16,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6" s="53"/>
      <c r="D16" s="1"/>
      <c r="E16" s="1"/>
      <c r="F16" s="258"/>
      <c r="G16" s="20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59" t="s">
        <v>3008</v>
      </c>
      <c r="B17" s="59" t="str">
        <f ca="1">IFERROR(__xludf.DUMMYFUNCTION("IFERROR(LET(
  angle,     REGEXEXTRACT(A17, ""&lt;([^&gt;]+)&gt;""),
  round,     REGEXEXTRACT(A17,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7" s="53">
        <v>95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59" t="s">
        <v>3009</v>
      </c>
      <c r="B18" s="59" t="str">
        <f ca="1">IFERROR(__xludf.DUMMYFUNCTION("IFERROR(LET(
  angle,     REGEXEXTRACT(A18, ""&lt;([^&gt;]+)&gt;""),
  round,     REGEXEXTRACT(A18,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8" s="53">
        <v>100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59" t="s">
        <v>3010</v>
      </c>
      <c r="B19" s="59" t="str">
        <f ca="1">IFERROR(__xludf.DUMMYFUNCTION("IFERROR(LET(
  angle,     REGEXEXTRACT(A19, ""&lt;([^&gt;]+)&gt;""),
  round,     REGEXEXTRACT(A19,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9" s="5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59" t="s">
        <v>3011</v>
      </c>
      <c r="B20" s="59" t="str">
        <f ca="1">IFERROR(__xludf.DUMMYFUNCTION("IFERROR(LET(
  angle,     REGEXEXTRACT(A20, ""&lt;([^&gt;]+)&gt;""),
  round,     REGEXEXTRACT(A20,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0" s="5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59" t="s">
        <v>3012</v>
      </c>
      <c r="B21" s="59" t="str">
        <f ca="1">IFERROR(__xludf.DUMMYFUNCTION("IFERROR(LET(
  angle,     REGEXEXTRACT(A21, ""&lt;([^&gt;]+)&gt;""),
  round,     REGEXEXTRACT(A21,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1" s="53">
        <v>80</v>
      </c>
      <c r="D21" s="1" t="s">
        <v>2718</v>
      </c>
      <c r="E21" s="1"/>
      <c r="F21" s="244"/>
      <c r="G21" s="20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59" t="s">
        <v>3013</v>
      </c>
      <c r="B22" s="59" t="str">
        <f ca="1">IFERROR(__xludf.DUMMYFUNCTION("IFERROR(LET(
  angle,     REGEXEXTRACT(A22, ""&lt;([^&gt;]+)&gt;""),
  round,     REGEXEXTRACT(A22,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2" s="53">
        <v>230</v>
      </c>
      <c r="D22" s="1" t="s">
        <v>2662</v>
      </c>
      <c r="E22" s="1"/>
      <c r="F22" s="244"/>
      <c r="G22" s="20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1"/>
      <c r="B23" s="1" t="str">
        <f ca="1">IFERROR(__xludf.DUMMYFUNCTION("IFERROR(LET(
  angle,     REGEXEXTRACT(A23, ""&lt;([^&gt;]+)&gt;""),
  round,     REGEXEXTRACT(A23,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3" s="7"/>
      <c r="D23" s="1"/>
      <c r="E23" s="1"/>
      <c r="F23" s="244"/>
      <c r="G23" s="20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259" t="s">
        <v>3014</v>
      </c>
      <c r="B24" s="259" t="str">
        <f ca="1">IFERROR(__xludf.DUMMYFUNCTION("IFERROR(LET(
  angle,     REGEXEXTRACT(A24, ""&lt;([^&gt;]+)&gt;""),
  round,     REGEXEXTRACT(A24,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4" s="58">
        <v>24</v>
      </c>
      <c r="D24" s="1"/>
      <c r="E24" s="1"/>
      <c r="F24" s="244"/>
      <c r="G24" s="20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259" t="s">
        <v>3015</v>
      </c>
      <c r="B25" s="259" t="str">
        <f ca="1">IFERROR(__xludf.DUMMYFUNCTION("IFERROR(LET(
  angle,     REGEXEXTRACT(A25, ""&lt;([^&gt;]+)&gt;""),
  round,     REGEXEXTRACT(A25,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5" s="58">
        <v>27</v>
      </c>
      <c r="D25" s="1"/>
      <c r="E25" s="1"/>
      <c r="F25" s="244"/>
      <c r="G25" s="20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59" t="s">
        <v>3016</v>
      </c>
      <c r="B26" s="59" t="str">
        <f ca="1">IFERROR(__xludf.DUMMYFUNCTION("IFERROR(LET(
  angle,     REGEXEXTRACT(A26, ""&lt;([^&gt;]+)&gt;""),
  round,     REGEXEXTRACT(A26,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6" s="53">
        <v>35</v>
      </c>
      <c r="D26" s="1"/>
      <c r="E26" s="1"/>
      <c r="F26" s="244"/>
      <c r="G26" s="20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59" t="s">
        <v>3017</v>
      </c>
      <c r="B27" s="59" t="str">
        <f ca="1">IFERROR(__xludf.DUMMYFUNCTION("IFERROR(LET(
  angle,     REGEXEXTRACT(A27, ""&lt;([^&gt;]+)&gt;""),
  round,     REGEXEXTRACT(A27,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7" s="53">
        <v>37</v>
      </c>
      <c r="D27" s="1"/>
      <c r="E27" s="1"/>
      <c r="F27" s="244"/>
      <c r="G27" s="20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59" t="s">
        <v>3018</v>
      </c>
      <c r="B28" s="59" t="str">
        <f ca="1">IFERROR(__xludf.DUMMYFUNCTION("IFERROR(LET(
  angle,     REGEXEXTRACT(A28, ""&lt;([^&gt;]+)&gt;""),
  round,     REGEXEXTRACT(A28,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8" s="53">
        <v>45</v>
      </c>
      <c r="D28" s="1"/>
      <c r="E28" s="1"/>
      <c r="F28" s="244"/>
      <c r="G28" s="20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59" t="s">
        <v>3019</v>
      </c>
      <c r="B29" s="59" t="str">
        <f ca="1">IFERROR(__xludf.DUMMYFUNCTION("IFERROR(LET(
  angle,     REGEXEXTRACT(A29, ""&lt;([^&gt;]+)&gt;""),
  round,     REGEXEXTRACT(A29,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"""")"),"306-7ZP2C11-CE0")</f>
        <v>306-7ZP2C11-CE0</v>
      </c>
      <c r="C29" s="53">
        <v>62</v>
      </c>
      <c r="D29" s="1"/>
      <c r="E29" s="1"/>
      <c r="F29" s="244"/>
      <c r="G29" s="20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59" t="s">
        <v>3020</v>
      </c>
      <c r="B30" s="59" t="str">
        <f ca="1">IFERROR(__xludf.DUMMYFUNCTION("IFERROR(LET(
  angle,     REGEXEXTRACT(A30, ""&lt;([^&gt;]+)&gt;""),
  round,     REGEXEXTRACT(A30,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0" s="53">
        <v>95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59" t="s">
        <v>3021</v>
      </c>
      <c r="B31" s="59" t="str">
        <f ca="1">IFERROR(__xludf.DUMMYFUNCTION("IFERROR(LET(
  angle,     REGEXEXTRACT(A31, ""&lt;([^&gt;]+)&gt;""),
  round,     REGEXEXTRACT(A31,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1" s="53">
        <v>105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59" t="s">
        <v>3022</v>
      </c>
      <c r="B32" s="59" t="str">
        <f ca="1">IFERROR(__xludf.DUMMYFUNCTION("IFERROR(LET(
  angle,     REGEXEXTRACT(A32, ""&lt;([^&gt;]+)&gt;""),
  round,     REGEXEXTRACT(A32,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2" s="53">
        <v>95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59" t="s">
        <v>3023</v>
      </c>
      <c r="B33" s="59" t="str">
        <f ca="1">IFERROR(__xludf.DUMMYFUNCTION("IFERROR(LET(
  angle,     REGEXEXTRACT(A33, ""&lt;([^&gt;]+)&gt;""),
  round,     REGEXEXTRACT(A33,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3" s="53">
        <v>110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59" t="s">
        <v>3024</v>
      </c>
      <c r="B34" s="59" t="str">
        <f ca="1">IFERROR(__xludf.DUMMYFUNCTION("IFERROR(LET(
  angle,     REGEXEXTRACT(A34, ""&lt;([^&gt;]+)&gt;""),
  round,     REGEXEXTRACT(A34,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4" s="53">
        <v>115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59" t="s">
        <v>3025</v>
      </c>
      <c r="B35" s="59" t="str">
        <f ca="1">IFERROR(__xludf.DUMMYFUNCTION("IFERROR(LET(
  angle,     REGEXEXTRACT(A35, ""&lt;([^&gt;]+)&gt;""),
  round,     REGEXEXTRACT(A35,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5" s="53">
        <v>135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59" t="s">
        <v>3026</v>
      </c>
      <c r="B36" s="59" t="str">
        <f ca="1">IFERROR(__xludf.DUMMYFUNCTION("IFERROR(LET(
  angle,     REGEXEXTRACT(A36, ""&lt;([^&gt;]+)&gt;""),
  round,     REGEXEXTRACT(A36,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6" s="53">
        <v>140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59" t="s">
        <v>3027</v>
      </c>
      <c r="B37" s="59" t="str">
        <f ca="1">IFERROR(__xludf.DUMMYFUNCTION("IFERROR(LET(
  angle,     REGEXEXTRACT(A37, ""&lt;([^&gt;]+)&gt;""),
  round,     REGEXEXTRACT(A37,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7" s="53">
        <v>170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1"/>
      <c r="B38" s="1" t="str">
        <f ca="1">IFERROR(__xludf.DUMMYFUNCTION("IFERROR(LET(
  angle,     REGEXEXTRACT(A38, ""&lt;([^&gt;]+)&gt;""),
  round,     REGEXEXTRACT(A38,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8" s="7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59" t="s">
        <v>3028</v>
      </c>
      <c r="B39" s="59" t="str">
        <f ca="1">IFERROR(__xludf.DUMMYFUNCTION("IFERROR(LET(
  angle,     REGEXEXTRACT(A39, ""&lt;([^&gt;]+)&gt;""),
  round,     REGEXEXTRACT(A39,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9" s="5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59" t="s">
        <v>3029</v>
      </c>
      <c r="B40" s="59" t="str">
        <f ca="1">IFERROR(__xludf.DUMMYFUNCTION("IFERROR(LET(
  angle,     REGEXEXTRACT(A40, ""&lt;([^&gt;]+)&gt;""),
  round,     REGEXEXTRACT(A40,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0" s="53">
        <v>40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59" t="s">
        <v>3030</v>
      </c>
      <c r="B41" s="59" t="str">
        <f ca="1">IFERROR(__xludf.DUMMYFUNCTION("IFERROR(LET(
  angle,     REGEXEXTRACT(A41, ""&lt;([^&gt;]+)&gt;""),
  round,     REGEXEXTRACT(A41,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1" s="53">
        <v>67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59" t="s">
        <v>3031</v>
      </c>
      <c r="B42" s="59" t="str">
        <f ca="1">IFERROR(__xludf.DUMMYFUNCTION("IFERROR(LET(
  angle,     REGEXEXTRACT(A42, ""&lt;([^&gt;]+)&gt;""),
  round,     REGEXEXTRACT(A42,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2" s="5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59" t="s">
        <v>3032</v>
      </c>
      <c r="B43" s="59" t="str">
        <f ca="1">IFERROR(__xludf.DUMMYFUNCTION("IFERROR(LET(
  angle,     REGEXEXTRACT(A43, ""&lt;([^&gt;]+)&gt;""),
  round,     REGEXEXTRACT(A43,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3" s="53">
        <v>9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59" t="s">
        <v>3033</v>
      </c>
      <c r="B44" s="59" t="str">
        <f ca="1">IFERROR(__xludf.DUMMYFUNCTION("IFERROR(LET(
  angle,     REGEXEXTRACT(A44, ""&lt;([^&gt;]+)&gt;""),
  round,     REGEXEXTRACT(A44,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4" s="5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59" t="s">
        <v>3034</v>
      </c>
      <c r="B45" s="59" t="str">
        <f ca="1">IFERROR(__xludf.DUMMYFUNCTION("IFERROR(LET(
  angle,     REGEXEXTRACT(A45, ""&lt;([^&gt;]+)&gt;""),
  round,     REGEXEXTRACT(A45,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5" s="53">
        <v>225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59" t="s">
        <v>3035</v>
      </c>
      <c r="B46" s="59" t="str">
        <f ca="1">IFERROR(__xludf.DUMMYFUNCTION("IFERROR(LET(
  angle,     REGEXEXTRACT(A46, ""&lt;([^&gt;]+)&gt;""),
  round,     REGEXEXTRACT(A46,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6" s="5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>
      <c r="A47" s="1"/>
      <c r="B47" s="1"/>
      <c r="C47" s="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>
      <c r="A48" s="1"/>
      <c r="B48" s="1"/>
      <c r="C48" s="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>
      <c r="A49" s="1"/>
      <c r="B49" s="1"/>
      <c r="C49" s="7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>
      <c r="A50" s="1"/>
      <c r="B50" s="1"/>
      <c r="C50" s="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>
      <c r="A51" s="1"/>
      <c r="B51" s="1"/>
      <c r="C51" s="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>
      <c r="A52" s="1"/>
      <c r="B52" s="1"/>
      <c r="C52" s="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>
      <c r="A53" s="1"/>
      <c r="B53" s="1"/>
      <c r="C53" s="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>
      <c r="A54" s="1"/>
      <c r="B54" s="1"/>
      <c r="C54" s="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>
      <c r="A55" s="1"/>
      <c r="B55" s="1"/>
      <c r="C55" s="7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>
      <c r="A56" s="1"/>
      <c r="B56" s="1"/>
      <c r="C56" s="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>
      <c r="A57" s="1"/>
      <c r="B57" s="1"/>
      <c r="C57" s="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>
      <c r="A58" s="1"/>
      <c r="B58" s="1"/>
      <c r="C58" s="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>
      <c r="A59" s="258"/>
      <c r="B59" s="202"/>
      <c r="C59" s="21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>
      <c r="A60" s="1"/>
      <c r="B60" s="1"/>
      <c r="C60" s="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mergeCells count="1">
    <mergeCell ref="A1:B1"/>
  </mergeCells>
  <pageMargins left="0.7" right="0.7" top="0.75" bottom="0.75" header="0" footer="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Z50"/>
  <sheetViews>
    <sheetView workbookViewId="0"/>
  </sheetViews>
  <sheetFormatPr defaultColWidth="14.3984375" defaultRowHeight="15" customHeight="1"/>
  <cols>
    <col min="1" max="1" width="40.265625" customWidth="1"/>
    <col min="2" max="4" width="9.265625" customWidth="1"/>
    <col min="5" max="5" width="35.265625" customWidth="1"/>
    <col min="6" max="26" width="9" customWidth="1"/>
  </cols>
  <sheetData>
    <row r="1" spans="1:26" ht="36" customHeight="1">
      <c r="A1" s="432"/>
      <c r="B1" s="408"/>
      <c r="C1" s="408"/>
      <c r="D1" s="408"/>
      <c r="E1" s="407"/>
      <c r="F1" s="218" t="s">
        <v>2851</v>
      </c>
      <c r="G1" s="260"/>
      <c r="H1" s="260"/>
      <c r="I1" s="260"/>
      <c r="J1" s="260"/>
      <c r="K1" s="260"/>
      <c r="L1" s="260"/>
      <c r="M1" s="260"/>
      <c r="N1" s="260"/>
      <c r="O1" s="1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</row>
    <row r="2" spans="1:26" ht="12.75" customHeight="1">
      <c r="A2" s="261" t="s">
        <v>2852</v>
      </c>
      <c r="B2" s="262"/>
      <c r="C2" s="262" t="s">
        <v>3036</v>
      </c>
      <c r="D2" s="262" t="s">
        <v>3037</v>
      </c>
      <c r="E2" s="261" t="s">
        <v>2855</v>
      </c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</row>
    <row r="3" spans="1:26" ht="12.75" customHeight="1">
      <c r="A3" s="435" t="s">
        <v>3038</v>
      </c>
      <c r="B3" s="408"/>
      <c r="C3" s="408"/>
      <c r="D3" s="408"/>
      <c r="E3" s="407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</row>
    <row r="4" spans="1:26" ht="78.75" customHeight="1">
      <c r="A4" s="263" t="s">
        <v>3039</v>
      </c>
      <c r="B4" s="264"/>
      <c r="C4" s="265">
        <v>36</v>
      </c>
      <c r="D4" s="266">
        <v>37</v>
      </c>
      <c r="E4" s="227" t="s">
        <v>3040</v>
      </c>
      <c r="F4" s="260"/>
      <c r="G4" s="1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</row>
    <row r="5" spans="1:26" ht="78.75" customHeight="1">
      <c r="A5" s="263" t="s">
        <v>3041</v>
      </c>
      <c r="B5" s="264"/>
      <c r="C5" s="265"/>
      <c r="D5" s="266"/>
      <c r="E5" s="227" t="s">
        <v>3042</v>
      </c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60"/>
    </row>
    <row r="6" spans="1:26" ht="78.75" customHeight="1">
      <c r="A6" s="263" t="s">
        <v>3043</v>
      </c>
      <c r="B6" s="264"/>
      <c r="C6" s="265">
        <v>108</v>
      </c>
      <c r="D6" s="266">
        <v>113</v>
      </c>
      <c r="E6" s="227" t="s">
        <v>3044</v>
      </c>
      <c r="F6" s="260"/>
      <c r="G6" s="1"/>
      <c r="H6" s="260"/>
      <c r="I6" s="260"/>
      <c r="J6" s="260"/>
      <c r="K6" s="260"/>
      <c r="L6" s="260"/>
      <c r="M6" s="260"/>
      <c r="N6" s="260"/>
      <c r="O6" s="260"/>
      <c r="P6" s="260"/>
      <c r="Q6" s="260"/>
      <c r="R6" s="260"/>
      <c r="S6" s="260"/>
      <c r="T6" s="260"/>
      <c r="U6" s="260"/>
      <c r="V6" s="260"/>
      <c r="W6" s="260"/>
      <c r="X6" s="260"/>
      <c r="Y6" s="260"/>
      <c r="Z6" s="260"/>
    </row>
    <row r="7" spans="1:26" ht="78.75" customHeight="1">
      <c r="A7" s="267" t="s">
        <v>3045</v>
      </c>
      <c r="B7" s="264"/>
      <c r="C7" s="265">
        <v>116</v>
      </c>
      <c r="D7" s="266">
        <v>118</v>
      </c>
      <c r="E7" s="427" t="s">
        <v>3046</v>
      </c>
      <c r="F7" s="260"/>
      <c r="G7" s="260"/>
      <c r="H7" s="260"/>
      <c r="I7" s="260"/>
      <c r="J7" s="260"/>
      <c r="K7" s="260"/>
      <c r="L7" s="260"/>
      <c r="M7" s="260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</row>
    <row r="8" spans="1:26" ht="78.75" customHeight="1">
      <c r="A8" s="267" t="s">
        <v>3047</v>
      </c>
      <c r="B8" s="264"/>
      <c r="C8" s="265">
        <v>138</v>
      </c>
      <c r="D8" s="266">
        <v>140</v>
      </c>
      <c r="E8" s="429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  <c r="S8" s="260"/>
      <c r="T8" s="260"/>
      <c r="U8" s="260"/>
      <c r="V8" s="260"/>
      <c r="W8" s="260"/>
      <c r="X8" s="260"/>
      <c r="Y8" s="260"/>
      <c r="Z8" s="260"/>
    </row>
    <row r="9" spans="1:26" ht="12.75" customHeight="1">
      <c r="A9" s="435" t="s">
        <v>3048</v>
      </c>
      <c r="B9" s="408"/>
      <c r="C9" s="408"/>
      <c r="D9" s="408"/>
      <c r="E9" s="407"/>
      <c r="F9" s="260"/>
      <c r="G9" s="260"/>
      <c r="H9" s="260"/>
      <c r="I9" s="260"/>
      <c r="J9" s="260"/>
      <c r="K9" s="260"/>
      <c r="L9" s="260"/>
      <c r="M9" s="260"/>
      <c r="N9" s="260"/>
      <c r="O9" s="260"/>
      <c r="P9" s="260"/>
      <c r="Q9" s="260"/>
      <c r="R9" s="260"/>
      <c r="S9" s="260"/>
      <c r="T9" s="260"/>
      <c r="U9" s="260"/>
      <c r="V9" s="260"/>
      <c r="W9" s="260"/>
      <c r="X9" s="260"/>
      <c r="Y9" s="260"/>
      <c r="Z9" s="260"/>
    </row>
    <row r="10" spans="1:26" ht="96.75" customHeight="1">
      <c r="A10" s="263" t="s">
        <v>3049</v>
      </c>
      <c r="B10" s="268"/>
      <c r="C10" s="266">
        <v>44</v>
      </c>
      <c r="D10" s="266">
        <v>46</v>
      </c>
      <c r="E10" s="427" t="s">
        <v>3050</v>
      </c>
      <c r="F10" s="260"/>
      <c r="G10" s="260"/>
      <c r="H10" s="260"/>
      <c r="I10" s="260"/>
      <c r="J10" s="260"/>
      <c r="K10" s="260"/>
      <c r="L10" s="260"/>
      <c r="M10" s="260"/>
      <c r="N10" s="260"/>
      <c r="O10" s="260"/>
      <c r="P10" s="260"/>
      <c r="Q10" s="260"/>
      <c r="R10" s="260"/>
      <c r="S10" s="260"/>
      <c r="T10" s="260"/>
      <c r="U10" s="260"/>
      <c r="V10" s="260"/>
      <c r="W10" s="260"/>
      <c r="X10" s="260"/>
      <c r="Y10" s="260"/>
      <c r="Z10" s="260"/>
    </row>
    <row r="11" spans="1:26" ht="96.75" customHeight="1">
      <c r="A11" s="263" t="s">
        <v>3051</v>
      </c>
      <c r="B11" s="268"/>
      <c r="C11" s="266">
        <v>47</v>
      </c>
      <c r="D11" s="266">
        <v>49</v>
      </c>
      <c r="E11" s="429"/>
      <c r="F11" s="260"/>
      <c r="G11" s="260"/>
      <c r="H11" s="260"/>
      <c r="I11" s="260"/>
      <c r="J11" s="260"/>
      <c r="K11" s="260"/>
      <c r="L11" s="260"/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60"/>
    </row>
    <row r="12" spans="1:26" ht="99.75" customHeight="1">
      <c r="A12" s="263" t="s">
        <v>3052</v>
      </c>
      <c r="B12" s="268"/>
      <c r="C12" s="266">
        <v>86</v>
      </c>
      <c r="D12" s="266">
        <v>89</v>
      </c>
      <c r="E12" s="227" t="s">
        <v>3053</v>
      </c>
      <c r="F12" s="260"/>
      <c r="G12" s="1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60"/>
      <c r="Y12" s="260"/>
      <c r="Z12" s="260"/>
    </row>
    <row r="13" spans="1:26" ht="96.75" customHeight="1">
      <c r="A13" s="263" t="s">
        <v>3054</v>
      </c>
      <c r="B13" s="268"/>
      <c r="C13" s="266">
        <v>47</v>
      </c>
      <c r="D13" s="266">
        <v>49</v>
      </c>
      <c r="E13" s="427" t="s">
        <v>3055</v>
      </c>
      <c r="F13" s="260"/>
      <c r="G13" s="260"/>
      <c r="H13" s="260"/>
      <c r="I13" s="260"/>
      <c r="J13" s="260"/>
      <c r="K13" s="260"/>
      <c r="L13" s="260"/>
      <c r="M13" s="260"/>
      <c r="N13" s="260"/>
      <c r="O13" s="260"/>
      <c r="P13" s="260"/>
      <c r="Q13" s="260"/>
      <c r="R13" s="260"/>
      <c r="S13" s="260"/>
      <c r="T13" s="260"/>
      <c r="U13" s="260"/>
      <c r="V13" s="260"/>
      <c r="W13" s="260"/>
      <c r="X13" s="260"/>
      <c r="Y13" s="260"/>
      <c r="Z13" s="260"/>
    </row>
    <row r="14" spans="1:26" ht="96.75" customHeight="1">
      <c r="A14" s="263" t="s">
        <v>3056</v>
      </c>
      <c r="B14" s="268"/>
      <c r="C14" s="266">
        <v>50</v>
      </c>
      <c r="D14" s="266">
        <v>53</v>
      </c>
      <c r="E14" s="429"/>
      <c r="F14" s="260"/>
      <c r="G14" s="260"/>
      <c r="H14" s="260"/>
      <c r="I14" s="260"/>
      <c r="J14" s="260"/>
      <c r="K14" s="260"/>
      <c r="L14" s="260"/>
      <c r="M14" s="260"/>
      <c r="N14" s="260"/>
      <c r="O14" s="260"/>
      <c r="P14" s="260"/>
      <c r="Q14" s="260"/>
      <c r="R14" s="260"/>
      <c r="S14" s="260"/>
      <c r="T14" s="260"/>
      <c r="U14" s="260"/>
      <c r="V14" s="260"/>
      <c r="W14" s="260"/>
      <c r="X14" s="260"/>
      <c r="Y14" s="260"/>
      <c r="Z14" s="260"/>
    </row>
    <row r="15" spans="1:26" ht="96.75" customHeight="1">
      <c r="A15" s="263" t="s">
        <v>3057</v>
      </c>
      <c r="B15" s="268"/>
      <c r="C15" s="266">
        <v>52</v>
      </c>
      <c r="D15" s="266">
        <v>55</v>
      </c>
      <c r="E15" s="227" t="s">
        <v>3058</v>
      </c>
      <c r="F15" s="260"/>
      <c r="G15" s="1"/>
      <c r="H15" s="260"/>
      <c r="I15" s="260"/>
      <c r="J15" s="260"/>
      <c r="K15" s="260"/>
      <c r="L15" s="260"/>
      <c r="M15" s="260"/>
      <c r="N15" s="260"/>
      <c r="O15" s="260"/>
      <c r="P15" s="260"/>
      <c r="Q15" s="260"/>
      <c r="R15" s="260"/>
      <c r="S15" s="260"/>
      <c r="T15" s="260"/>
      <c r="U15" s="260"/>
      <c r="V15" s="260"/>
      <c r="W15" s="260"/>
      <c r="X15" s="260"/>
      <c r="Y15" s="260"/>
      <c r="Z15" s="260"/>
    </row>
    <row r="16" spans="1:26" ht="99.75" customHeight="1">
      <c r="A16" s="263" t="s">
        <v>3059</v>
      </c>
      <c r="B16" s="268"/>
      <c r="C16" s="266">
        <v>65</v>
      </c>
      <c r="D16" s="266">
        <v>68</v>
      </c>
      <c r="E16" s="227" t="s">
        <v>3060</v>
      </c>
      <c r="F16" s="260"/>
      <c r="G16" s="260"/>
      <c r="H16" s="260"/>
      <c r="I16" s="260"/>
      <c r="J16" s="260"/>
      <c r="K16" s="260"/>
      <c r="L16" s="260"/>
      <c r="M16" s="260"/>
      <c r="N16" s="260"/>
      <c r="O16" s="260"/>
      <c r="P16" s="260"/>
      <c r="Q16" s="260"/>
      <c r="R16" s="260"/>
      <c r="S16" s="260"/>
      <c r="T16" s="260"/>
      <c r="U16" s="260"/>
      <c r="V16" s="260"/>
      <c r="W16" s="260"/>
      <c r="X16" s="260"/>
      <c r="Y16" s="260"/>
      <c r="Z16" s="260"/>
    </row>
    <row r="17" spans="1:26" ht="99.75" customHeight="1">
      <c r="A17" s="263" t="s">
        <v>3061</v>
      </c>
      <c r="B17" s="268"/>
      <c r="C17" s="266">
        <v>113</v>
      </c>
      <c r="D17" s="266">
        <v>118</v>
      </c>
      <c r="E17" s="427" t="s">
        <v>3062</v>
      </c>
      <c r="F17" s="260"/>
      <c r="G17" s="1"/>
      <c r="H17" s="260"/>
      <c r="I17" s="260"/>
      <c r="J17" s="260"/>
      <c r="K17" s="260"/>
      <c r="L17" s="260"/>
      <c r="M17" s="260"/>
      <c r="N17" s="260"/>
      <c r="O17" s="260"/>
      <c r="P17" s="260"/>
      <c r="Q17" s="260"/>
      <c r="R17" s="260"/>
      <c r="S17" s="260"/>
      <c r="T17" s="260"/>
      <c r="U17" s="260"/>
      <c r="V17" s="260"/>
      <c r="W17" s="260"/>
      <c r="X17" s="260"/>
      <c r="Y17" s="260"/>
      <c r="Z17" s="260"/>
    </row>
    <row r="18" spans="1:26" ht="99.75" customHeight="1">
      <c r="A18" s="263" t="s">
        <v>3063</v>
      </c>
      <c r="B18" s="268"/>
      <c r="C18" s="266">
        <v>113</v>
      </c>
      <c r="D18" s="266">
        <v>118</v>
      </c>
      <c r="E18" s="429"/>
      <c r="F18" s="260"/>
      <c r="G18" s="1"/>
      <c r="H18" s="260"/>
      <c r="I18" s="260"/>
      <c r="J18" s="260"/>
      <c r="K18" s="260"/>
      <c r="L18" s="260"/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60"/>
    </row>
    <row r="19" spans="1:26" ht="99.75" customHeight="1">
      <c r="A19" s="263" t="s">
        <v>3064</v>
      </c>
      <c r="B19" s="268"/>
      <c r="C19" s="266">
        <v>99</v>
      </c>
      <c r="D19" s="266">
        <v>105</v>
      </c>
      <c r="E19" s="427" t="s">
        <v>3065</v>
      </c>
      <c r="F19" s="1"/>
      <c r="G19" s="260"/>
      <c r="H19" s="260"/>
      <c r="I19" s="260"/>
      <c r="J19" s="260"/>
      <c r="K19" s="260"/>
      <c r="L19" s="260"/>
      <c r="M19" s="260"/>
      <c r="N19" s="260"/>
      <c r="O19" s="260"/>
      <c r="P19" s="260"/>
      <c r="Q19" s="260"/>
      <c r="R19" s="260"/>
      <c r="S19" s="260"/>
      <c r="T19" s="260"/>
      <c r="U19" s="260"/>
      <c r="V19" s="260"/>
      <c r="W19" s="260"/>
      <c r="X19" s="260"/>
      <c r="Y19" s="260"/>
      <c r="Z19" s="260"/>
    </row>
    <row r="20" spans="1:26" ht="99.75" customHeight="1">
      <c r="A20" s="263" t="s">
        <v>3066</v>
      </c>
      <c r="B20" s="268"/>
      <c r="C20" s="266">
        <v>99</v>
      </c>
      <c r="D20" s="266">
        <v>105</v>
      </c>
      <c r="E20" s="429"/>
      <c r="F20" s="260"/>
      <c r="G20" s="260"/>
      <c r="H20" s="260"/>
      <c r="I20" s="260"/>
      <c r="J20" s="260"/>
      <c r="K20" s="260"/>
      <c r="L20" s="260"/>
      <c r="M20" s="260"/>
      <c r="N20" s="260"/>
      <c r="O20" s="260"/>
      <c r="P20" s="260"/>
      <c r="Q20" s="260"/>
      <c r="R20" s="260"/>
      <c r="S20" s="260"/>
      <c r="T20" s="260"/>
      <c r="U20" s="260"/>
      <c r="V20" s="260"/>
      <c r="W20" s="260"/>
      <c r="X20" s="260"/>
      <c r="Y20" s="260"/>
      <c r="Z20" s="260"/>
    </row>
    <row r="21" spans="1:26" ht="99.75" customHeight="1">
      <c r="A21" s="263" t="s">
        <v>3067</v>
      </c>
      <c r="B21" s="268"/>
      <c r="C21" s="266">
        <v>88</v>
      </c>
      <c r="D21" s="266">
        <v>93</v>
      </c>
      <c r="E21" s="427" t="s">
        <v>3068</v>
      </c>
      <c r="F21" s="260"/>
      <c r="G21" s="260"/>
      <c r="H21" s="1"/>
      <c r="I21" s="260"/>
      <c r="J21" s="260"/>
      <c r="K21" s="260"/>
      <c r="L21" s="260"/>
      <c r="M21" s="260"/>
      <c r="N21" s="260"/>
      <c r="O21" s="260"/>
      <c r="P21" s="260"/>
      <c r="Q21" s="260"/>
      <c r="R21" s="260"/>
      <c r="S21" s="260"/>
      <c r="T21" s="260"/>
      <c r="U21" s="260"/>
      <c r="V21" s="260"/>
      <c r="W21" s="260"/>
      <c r="X21" s="260"/>
      <c r="Y21" s="260"/>
      <c r="Z21" s="260"/>
    </row>
    <row r="22" spans="1:26" ht="99.75" customHeight="1">
      <c r="A22" s="263" t="s">
        <v>3069</v>
      </c>
      <c r="B22" s="268"/>
      <c r="C22" s="266">
        <v>92</v>
      </c>
      <c r="D22" s="266">
        <v>95</v>
      </c>
      <c r="E22" s="429"/>
      <c r="F22" s="260"/>
      <c r="G22" s="1"/>
      <c r="H22" s="260"/>
      <c r="I22" s="260"/>
      <c r="J22" s="260"/>
      <c r="K22" s="260"/>
      <c r="L22" s="260"/>
      <c r="M22" s="260"/>
      <c r="N22" s="260"/>
      <c r="O22" s="260"/>
      <c r="P22" s="260"/>
      <c r="Q22" s="260"/>
      <c r="R22" s="260"/>
      <c r="S22" s="260"/>
      <c r="T22" s="260"/>
      <c r="U22" s="260"/>
      <c r="V22" s="260"/>
      <c r="W22" s="260"/>
      <c r="X22" s="260"/>
      <c r="Y22" s="260"/>
      <c r="Z22" s="260"/>
    </row>
    <row r="23" spans="1:26" ht="99.75" customHeight="1">
      <c r="A23" s="263" t="s">
        <v>3070</v>
      </c>
      <c r="B23" s="268"/>
      <c r="C23" s="266">
        <v>133</v>
      </c>
      <c r="D23" s="266">
        <v>138</v>
      </c>
      <c r="E23" s="427" t="s">
        <v>3071</v>
      </c>
      <c r="F23" s="260"/>
      <c r="G23" s="1"/>
      <c r="H23" s="260"/>
      <c r="I23" s="260"/>
      <c r="J23" s="260"/>
      <c r="K23" s="260"/>
      <c r="L23" s="260"/>
      <c r="M23" s="260"/>
      <c r="N23" s="260"/>
      <c r="O23" s="260"/>
      <c r="P23" s="260"/>
      <c r="Q23" s="260"/>
      <c r="R23" s="260"/>
      <c r="S23" s="260"/>
      <c r="T23" s="260"/>
      <c r="U23" s="260"/>
      <c r="V23" s="260"/>
      <c r="W23" s="260"/>
      <c r="X23" s="260"/>
      <c r="Y23" s="260"/>
      <c r="Z23" s="260"/>
    </row>
    <row r="24" spans="1:26" ht="99.75" customHeight="1">
      <c r="A24" s="263" t="s">
        <v>3072</v>
      </c>
      <c r="B24" s="268"/>
      <c r="C24" s="266">
        <v>140</v>
      </c>
      <c r="D24" s="266">
        <v>145</v>
      </c>
      <c r="E24" s="428"/>
      <c r="F24" s="1"/>
      <c r="G24" s="260"/>
      <c r="H24" s="260"/>
      <c r="I24" s="260"/>
      <c r="J24" s="260"/>
      <c r="K24" s="260"/>
      <c r="L24" s="260"/>
      <c r="M24" s="260"/>
      <c r="N24" s="260"/>
      <c r="O24" s="260"/>
      <c r="P24" s="260"/>
      <c r="Q24" s="260"/>
      <c r="R24" s="260"/>
      <c r="S24" s="260"/>
      <c r="T24" s="260"/>
      <c r="U24" s="260"/>
      <c r="V24" s="260"/>
      <c r="W24" s="260"/>
      <c r="X24" s="260"/>
      <c r="Y24" s="260"/>
      <c r="Z24" s="260"/>
    </row>
    <row r="25" spans="1:26" ht="99.75" customHeight="1">
      <c r="A25" s="263" t="s">
        <v>3073</v>
      </c>
      <c r="B25" s="268"/>
      <c r="C25" s="266">
        <v>142</v>
      </c>
      <c r="D25" s="266">
        <v>147</v>
      </c>
      <c r="E25" s="429"/>
      <c r="F25" s="260"/>
      <c r="G25" s="260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Y25" s="260"/>
      <c r="Z25" s="260"/>
    </row>
    <row r="26" spans="1:26" ht="12.75" customHeight="1">
      <c r="A26" s="269"/>
      <c r="B26" s="270"/>
      <c r="C26" s="271"/>
      <c r="D26" s="271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60"/>
      <c r="X26" s="260"/>
      <c r="Y26" s="260"/>
      <c r="Z26" s="260"/>
    </row>
    <row r="27" spans="1:26" ht="12.75" customHeight="1">
      <c r="A27" s="269"/>
      <c r="B27" s="270"/>
      <c r="C27" s="271"/>
      <c r="D27" s="271"/>
      <c r="E27" s="260"/>
      <c r="F27" s="260"/>
      <c r="G27" s="260"/>
      <c r="H27" s="260"/>
      <c r="I27" s="260"/>
      <c r="J27" s="260"/>
      <c r="K27" s="260"/>
      <c r="L27" s="260"/>
      <c r="M27" s="260"/>
      <c r="N27" s="260"/>
      <c r="O27" s="260"/>
      <c r="P27" s="260"/>
      <c r="Q27" s="260"/>
      <c r="R27" s="260"/>
      <c r="S27" s="260"/>
      <c r="T27" s="260"/>
      <c r="U27" s="260"/>
      <c r="V27" s="260"/>
      <c r="W27" s="260"/>
      <c r="X27" s="260"/>
      <c r="Y27" s="260"/>
      <c r="Z27" s="260"/>
    </row>
    <row r="28" spans="1:26" ht="12.75" customHeight="1">
      <c r="A28" s="269"/>
      <c r="B28" s="270"/>
      <c r="C28" s="271"/>
      <c r="D28" s="271"/>
      <c r="E28" s="260"/>
      <c r="F28" s="260"/>
      <c r="G28" s="260"/>
      <c r="H28" s="260"/>
      <c r="I28" s="260"/>
      <c r="J28" s="260"/>
      <c r="K28" s="260"/>
      <c r="L28" s="260"/>
      <c r="M28" s="260"/>
      <c r="N28" s="260"/>
      <c r="O28" s="260"/>
      <c r="P28" s="260"/>
      <c r="Q28" s="260"/>
      <c r="R28" s="260"/>
      <c r="S28" s="260"/>
      <c r="T28" s="260"/>
      <c r="U28" s="260"/>
      <c r="V28" s="260"/>
      <c r="W28" s="260"/>
      <c r="X28" s="260"/>
      <c r="Y28" s="260"/>
      <c r="Z28" s="260"/>
    </row>
    <row r="29" spans="1:26" ht="12.75" customHeight="1">
      <c r="A29" s="269"/>
      <c r="B29" s="270"/>
      <c r="C29" s="271"/>
      <c r="D29" s="271"/>
      <c r="E29" s="260"/>
      <c r="F29" s="260"/>
      <c r="G29" s="260"/>
      <c r="H29" s="260"/>
      <c r="I29" s="260"/>
      <c r="J29" s="260"/>
      <c r="K29" s="260"/>
      <c r="L29" s="260"/>
      <c r="M29" s="260"/>
      <c r="N29" s="260"/>
      <c r="O29" s="260"/>
      <c r="P29" s="260"/>
      <c r="Q29" s="260"/>
      <c r="R29" s="260"/>
      <c r="S29" s="260"/>
      <c r="T29" s="260"/>
      <c r="U29" s="260"/>
      <c r="V29" s="260"/>
      <c r="W29" s="260"/>
      <c r="X29" s="260"/>
      <c r="Y29" s="260"/>
      <c r="Z29" s="260"/>
    </row>
    <row r="30" spans="1:26" ht="12.75" customHeight="1">
      <c r="A30" s="269"/>
      <c r="B30" s="270"/>
      <c r="C30" s="271"/>
      <c r="D30" s="271"/>
      <c r="E30" s="260"/>
      <c r="F30" s="260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0"/>
      <c r="S30" s="260"/>
      <c r="T30" s="260"/>
      <c r="U30" s="260"/>
      <c r="V30" s="260"/>
      <c r="W30" s="260"/>
      <c r="X30" s="260"/>
      <c r="Y30" s="260"/>
      <c r="Z30" s="260"/>
    </row>
    <row r="31" spans="1:26" ht="12.75" customHeight="1">
      <c r="A31" s="269"/>
      <c r="B31" s="270"/>
      <c r="C31" s="271"/>
      <c r="D31" s="271"/>
      <c r="E31" s="260"/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0"/>
      <c r="U31" s="260"/>
      <c r="V31" s="260"/>
      <c r="W31" s="260"/>
      <c r="X31" s="260"/>
      <c r="Y31" s="260"/>
      <c r="Z31" s="260"/>
    </row>
    <row r="32" spans="1:26" ht="12.75" customHeight="1">
      <c r="A32" s="269"/>
      <c r="B32" s="270"/>
      <c r="C32" s="271"/>
      <c r="D32" s="271"/>
      <c r="E32" s="260"/>
      <c r="F32" s="260"/>
      <c r="G32" s="260"/>
      <c r="H32" s="260"/>
      <c r="I32" s="260"/>
      <c r="J32" s="260"/>
      <c r="K32" s="260"/>
      <c r="L32" s="260"/>
      <c r="M32" s="260"/>
      <c r="N32" s="260"/>
      <c r="O32" s="260"/>
      <c r="P32" s="260"/>
      <c r="Q32" s="260"/>
      <c r="R32" s="260"/>
      <c r="S32" s="260"/>
      <c r="T32" s="260"/>
      <c r="U32" s="260"/>
      <c r="V32" s="260"/>
      <c r="W32" s="260"/>
      <c r="X32" s="260"/>
      <c r="Y32" s="260"/>
      <c r="Z32" s="260"/>
    </row>
    <row r="33" spans="1:26" ht="12.75" customHeight="1">
      <c r="A33" s="269"/>
      <c r="B33" s="270"/>
      <c r="C33" s="271"/>
      <c r="D33" s="271"/>
      <c r="E33" s="260"/>
      <c r="F33" s="260"/>
      <c r="G33" s="260"/>
      <c r="H33" s="260"/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Y33" s="260"/>
      <c r="Z33" s="260"/>
    </row>
    <row r="34" spans="1:26" ht="12.75" customHeight="1">
      <c r="A34" s="269"/>
      <c r="B34" s="270"/>
      <c r="C34" s="271"/>
      <c r="D34" s="271"/>
      <c r="E34" s="260"/>
      <c r="F34" s="260"/>
      <c r="G34" s="260"/>
      <c r="H34" s="260"/>
      <c r="I34" s="260"/>
      <c r="J34" s="260"/>
      <c r="K34" s="260"/>
      <c r="L34" s="260"/>
      <c r="M34" s="260"/>
      <c r="N34" s="260"/>
      <c r="O34" s="260"/>
      <c r="P34" s="260"/>
      <c r="Q34" s="260"/>
      <c r="R34" s="260"/>
      <c r="S34" s="260"/>
      <c r="T34" s="260"/>
      <c r="U34" s="260"/>
      <c r="V34" s="260"/>
      <c r="W34" s="260"/>
      <c r="X34" s="260"/>
      <c r="Y34" s="260"/>
      <c r="Z34" s="260"/>
    </row>
    <row r="35" spans="1:26" ht="12.75" customHeight="1">
      <c r="A35" s="269"/>
      <c r="B35" s="270"/>
      <c r="C35" s="271"/>
      <c r="D35" s="271"/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260"/>
      <c r="U35" s="260"/>
      <c r="V35" s="260"/>
      <c r="W35" s="260"/>
      <c r="X35" s="260"/>
      <c r="Y35" s="260"/>
      <c r="Z35" s="260"/>
    </row>
    <row r="36" spans="1:26" ht="12.75" customHeight="1">
      <c r="A36" s="269"/>
      <c r="B36" s="270"/>
      <c r="C36" s="271"/>
      <c r="D36" s="271"/>
      <c r="E36" s="260"/>
      <c r="F36" s="260"/>
      <c r="G36" s="260"/>
      <c r="H36" s="260"/>
      <c r="I36" s="260"/>
      <c r="J36" s="260"/>
      <c r="K36" s="260"/>
      <c r="L36" s="260"/>
      <c r="M36" s="260"/>
      <c r="N36" s="260"/>
      <c r="O36" s="260"/>
      <c r="P36" s="260"/>
      <c r="Q36" s="260"/>
      <c r="R36" s="260"/>
      <c r="S36" s="260"/>
      <c r="T36" s="260"/>
      <c r="U36" s="260"/>
      <c r="V36" s="260"/>
      <c r="W36" s="260"/>
      <c r="X36" s="260"/>
      <c r="Y36" s="260"/>
      <c r="Z36" s="260"/>
    </row>
    <row r="37" spans="1:26" ht="12.75" customHeight="1">
      <c r="A37" s="269"/>
      <c r="B37" s="270"/>
      <c r="C37" s="271"/>
      <c r="D37" s="271"/>
      <c r="E37" s="260"/>
      <c r="F37" s="260"/>
      <c r="G37" s="260"/>
      <c r="H37" s="260"/>
      <c r="I37" s="260"/>
      <c r="J37" s="260"/>
      <c r="K37" s="260"/>
      <c r="L37" s="260"/>
      <c r="M37" s="260"/>
      <c r="N37" s="260"/>
      <c r="O37" s="260"/>
      <c r="P37" s="260"/>
      <c r="Q37" s="260"/>
      <c r="R37" s="260"/>
      <c r="S37" s="260"/>
      <c r="T37" s="260"/>
      <c r="U37" s="260"/>
      <c r="V37" s="260"/>
      <c r="W37" s="260"/>
      <c r="X37" s="260"/>
      <c r="Y37" s="260"/>
      <c r="Z37" s="260"/>
    </row>
    <row r="38" spans="1:26" ht="12.75" customHeight="1">
      <c r="A38" s="269"/>
      <c r="B38" s="270"/>
      <c r="C38" s="271"/>
      <c r="D38" s="271"/>
      <c r="E38" s="260"/>
      <c r="F38" s="260"/>
      <c r="G38" s="260"/>
      <c r="H38" s="260"/>
      <c r="I38" s="260"/>
      <c r="J38" s="260"/>
      <c r="K38" s="260"/>
      <c r="L38" s="260"/>
      <c r="M38" s="260"/>
      <c r="N38" s="260"/>
      <c r="O38" s="260"/>
      <c r="P38" s="260"/>
      <c r="Q38" s="260"/>
      <c r="R38" s="260"/>
      <c r="S38" s="260"/>
      <c r="T38" s="260"/>
      <c r="U38" s="260"/>
      <c r="V38" s="260"/>
      <c r="W38" s="260"/>
      <c r="X38" s="260"/>
      <c r="Y38" s="260"/>
      <c r="Z38" s="260"/>
    </row>
    <row r="39" spans="1:26" ht="12.75" customHeight="1">
      <c r="A39" s="269"/>
      <c r="B39" s="270"/>
      <c r="C39" s="271"/>
      <c r="D39" s="271"/>
      <c r="E39" s="260"/>
      <c r="F39" s="260"/>
      <c r="G39" s="260"/>
      <c r="H39" s="260"/>
      <c r="I39" s="260"/>
      <c r="J39" s="260"/>
      <c r="K39" s="260"/>
      <c r="L39" s="260"/>
      <c r="M39" s="260"/>
      <c r="N39" s="260"/>
      <c r="O39" s="260"/>
      <c r="P39" s="260"/>
      <c r="Q39" s="260"/>
      <c r="R39" s="260"/>
      <c r="S39" s="260"/>
      <c r="T39" s="260"/>
      <c r="U39" s="260"/>
      <c r="V39" s="260"/>
      <c r="W39" s="260"/>
      <c r="X39" s="260"/>
      <c r="Y39" s="260"/>
      <c r="Z39" s="260"/>
    </row>
    <row r="40" spans="1:26" ht="12.75" customHeight="1">
      <c r="A40" s="269"/>
      <c r="B40" s="270"/>
      <c r="C40" s="271"/>
      <c r="D40" s="271"/>
      <c r="E40" s="260"/>
      <c r="F40" s="260"/>
      <c r="G40" s="260"/>
      <c r="H40" s="260"/>
      <c r="I40" s="260"/>
      <c r="J40" s="260"/>
      <c r="K40" s="260"/>
      <c r="L40" s="260"/>
      <c r="M40" s="260"/>
      <c r="N40" s="260"/>
      <c r="O40" s="260"/>
      <c r="P40" s="260"/>
      <c r="Q40" s="260"/>
      <c r="R40" s="260"/>
      <c r="S40" s="260"/>
      <c r="T40" s="260"/>
      <c r="U40" s="260"/>
      <c r="V40" s="260"/>
      <c r="W40" s="260"/>
      <c r="X40" s="260"/>
      <c r="Y40" s="260"/>
      <c r="Z40" s="260"/>
    </row>
    <row r="41" spans="1:26" ht="12.75" customHeight="1">
      <c r="A41" s="269"/>
      <c r="B41" s="270"/>
      <c r="C41" s="271"/>
      <c r="D41" s="271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0"/>
      <c r="Q41" s="260"/>
      <c r="R41" s="260"/>
      <c r="S41" s="260"/>
      <c r="T41" s="260"/>
      <c r="U41" s="260"/>
      <c r="V41" s="260"/>
      <c r="W41" s="260"/>
      <c r="X41" s="260"/>
      <c r="Y41" s="260"/>
      <c r="Z41" s="260"/>
    </row>
    <row r="42" spans="1:26" ht="12.75" customHeight="1">
      <c r="A42" s="269"/>
      <c r="B42" s="270"/>
      <c r="C42" s="271"/>
      <c r="D42" s="271"/>
      <c r="E42" s="260"/>
      <c r="F42" s="260"/>
      <c r="G42" s="260"/>
      <c r="H42" s="260"/>
      <c r="I42" s="260"/>
      <c r="J42" s="260"/>
      <c r="K42" s="260"/>
      <c r="L42" s="260"/>
      <c r="M42" s="260"/>
      <c r="N42" s="260"/>
      <c r="O42" s="260"/>
      <c r="P42" s="260"/>
      <c r="Q42" s="260"/>
      <c r="R42" s="260"/>
      <c r="S42" s="260"/>
      <c r="T42" s="260"/>
      <c r="U42" s="260"/>
      <c r="V42" s="260"/>
      <c r="W42" s="260"/>
      <c r="X42" s="260"/>
      <c r="Y42" s="260"/>
      <c r="Z42" s="260"/>
    </row>
    <row r="43" spans="1:26" ht="12.75" customHeight="1">
      <c r="A43" s="269"/>
      <c r="B43" s="270"/>
      <c r="C43" s="271"/>
      <c r="D43" s="271"/>
      <c r="E43" s="260"/>
      <c r="F43" s="260"/>
      <c r="G43" s="260"/>
      <c r="H43" s="260"/>
      <c r="I43" s="260"/>
      <c r="J43" s="260"/>
      <c r="K43" s="260"/>
      <c r="L43" s="260"/>
      <c r="M43" s="260"/>
      <c r="N43" s="260"/>
      <c r="O43" s="260"/>
      <c r="P43" s="260"/>
      <c r="Q43" s="260"/>
      <c r="R43" s="260"/>
      <c r="S43" s="260"/>
      <c r="T43" s="260"/>
      <c r="U43" s="260"/>
      <c r="V43" s="260"/>
      <c r="W43" s="260"/>
      <c r="X43" s="260"/>
      <c r="Y43" s="260"/>
      <c r="Z43" s="260"/>
    </row>
    <row r="44" spans="1:26" ht="12.75" customHeight="1">
      <c r="A44" s="269"/>
      <c r="B44" s="270"/>
      <c r="C44" s="271"/>
      <c r="D44" s="271"/>
      <c r="E44" s="260"/>
      <c r="F44" s="260"/>
      <c r="G44" s="260"/>
      <c r="H44" s="260"/>
      <c r="I44" s="260"/>
      <c r="J44" s="260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0"/>
      <c r="Z44" s="260"/>
    </row>
    <row r="45" spans="1:26" ht="12.75" customHeight="1">
      <c r="A45" s="269"/>
      <c r="B45" s="270"/>
      <c r="C45" s="271"/>
      <c r="D45" s="271"/>
      <c r="E45" s="260"/>
      <c r="F45" s="260"/>
      <c r="G45" s="260"/>
      <c r="H45" s="260"/>
      <c r="I45" s="260"/>
      <c r="J45" s="260"/>
      <c r="K45" s="260"/>
      <c r="L45" s="260"/>
      <c r="M45" s="260"/>
      <c r="N45" s="260"/>
      <c r="O45" s="260"/>
      <c r="P45" s="260"/>
      <c r="Q45" s="260"/>
      <c r="R45" s="260"/>
      <c r="S45" s="260"/>
      <c r="T45" s="260"/>
      <c r="U45" s="260"/>
      <c r="V45" s="260"/>
      <c r="W45" s="260"/>
      <c r="X45" s="260"/>
      <c r="Y45" s="260"/>
      <c r="Z45" s="260"/>
    </row>
    <row r="46" spans="1:26" ht="12.75" customHeight="1">
      <c r="A46" s="269"/>
      <c r="B46" s="270"/>
      <c r="C46" s="271"/>
      <c r="D46" s="271"/>
      <c r="E46" s="260"/>
      <c r="F46" s="260"/>
      <c r="G46" s="260"/>
      <c r="H46" s="260"/>
      <c r="I46" s="260"/>
      <c r="J46" s="260"/>
      <c r="K46" s="260"/>
      <c r="L46" s="260"/>
      <c r="M46" s="260"/>
      <c r="N46" s="260"/>
      <c r="O46" s="260"/>
      <c r="P46" s="260"/>
      <c r="Q46" s="260"/>
      <c r="R46" s="260"/>
      <c r="S46" s="260"/>
      <c r="T46" s="260"/>
      <c r="U46" s="260"/>
      <c r="V46" s="260"/>
      <c r="W46" s="260"/>
      <c r="X46" s="260"/>
      <c r="Y46" s="260"/>
      <c r="Z46" s="260"/>
    </row>
    <row r="47" spans="1:26" ht="12.75" customHeight="1">
      <c r="A47" s="269"/>
      <c r="B47" s="270"/>
      <c r="C47" s="271"/>
      <c r="D47" s="271"/>
      <c r="E47" s="260"/>
      <c r="F47" s="260"/>
      <c r="G47" s="260"/>
      <c r="H47" s="260"/>
      <c r="I47" s="260"/>
      <c r="J47" s="260"/>
      <c r="K47" s="260"/>
      <c r="L47" s="260"/>
      <c r="M47" s="260"/>
      <c r="N47" s="260"/>
      <c r="O47" s="260"/>
      <c r="P47" s="260"/>
      <c r="Q47" s="260"/>
      <c r="R47" s="260"/>
      <c r="S47" s="260"/>
      <c r="T47" s="260"/>
      <c r="U47" s="260"/>
      <c r="V47" s="260"/>
      <c r="W47" s="260"/>
      <c r="X47" s="260"/>
      <c r="Y47" s="260"/>
      <c r="Z47" s="260"/>
    </row>
    <row r="48" spans="1:26" ht="12.75" customHeight="1">
      <c r="A48" s="269"/>
      <c r="B48" s="270"/>
      <c r="C48" s="271"/>
      <c r="D48" s="271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60"/>
      <c r="P48" s="260"/>
      <c r="Q48" s="260"/>
      <c r="R48" s="260"/>
      <c r="S48" s="260"/>
      <c r="T48" s="260"/>
      <c r="U48" s="260"/>
      <c r="V48" s="260"/>
      <c r="W48" s="260"/>
      <c r="X48" s="260"/>
      <c r="Y48" s="260"/>
      <c r="Z48" s="260"/>
    </row>
    <row r="49" spans="1:26" ht="12.75" customHeight="1">
      <c r="A49" s="269"/>
      <c r="B49" s="270"/>
      <c r="C49" s="271"/>
      <c r="D49" s="271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  <c r="Y49" s="260"/>
      <c r="Z49" s="260"/>
    </row>
    <row r="50" spans="1:26" ht="12.75" customHeight="1">
      <c r="A50" s="269"/>
      <c r="B50" s="270"/>
      <c r="C50" s="271"/>
      <c r="D50" s="271"/>
      <c r="E50" s="260"/>
      <c r="F50" s="260"/>
      <c r="G50" s="260"/>
      <c r="H50" s="260"/>
      <c r="I50" s="260"/>
      <c r="J50" s="260"/>
      <c r="K50" s="260"/>
      <c r="L50" s="260"/>
      <c r="M50" s="260"/>
      <c r="N50" s="260"/>
      <c r="O50" s="260"/>
      <c r="P50" s="260"/>
      <c r="Q50" s="260"/>
      <c r="R50" s="260"/>
      <c r="S50" s="260"/>
      <c r="T50" s="260"/>
      <c r="U50" s="260"/>
      <c r="V50" s="260"/>
      <c r="W50" s="260"/>
      <c r="X50" s="260"/>
      <c r="Y50" s="260"/>
      <c r="Z50" s="260"/>
    </row>
  </sheetData>
  <mergeCells count="10">
    <mergeCell ref="E19:E20"/>
    <mergeCell ref="E21:E22"/>
    <mergeCell ref="E23:E25"/>
    <mergeCell ref="A1:E1"/>
    <mergeCell ref="A3:E3"/>
    <mergeCell ref="E7:E8"/>
    <mergeCell ref="A9:E9"/>
    <mergeCell ref="E10:E11"/>
    <mergeCell ref="E13:E14"/>
    <mergeCell ref="E17:E18"/>
  </mergeCells>
  <pageMargins left="0.70866141732283472" right="0.70866141732283472" top="0.74803149606299213" bottom="0.74803149606299213" header="0" footer="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50"/>
  <sheetViews>
    <sheetView workbookViewId="0"/>
  </sheetViews>
  <sheetFormatPr defaultColWidth="14.3984375" defaultRowHeight="15" customHeight="1"/>
  <cols>
    <col min="1" max="1" width="5.1328125" customWidth="1"/>
    <col min="2" max="2" width="81.1328125" customWidth="1"/>
    <col min="3" max="3" width="12.265625" hidden="1" customWidth="1"/>
    <col min="4" max="4" width="12.265625" customWidth="1"/>
    <col min="5" max="5" width="15.86328125" customWidth="1"/>
    <col min="6" max="6" width="8.73046875" customWidth="1"/>
    <col min="7" max="7" width="6" customWidth="1"/>
    <col min="8" max="25" width="8.73046875" customWidth="1"/>
  </cols>
  <sheetData>
    <row r="1" spans="1:26" ht="36" customHeight="1">
      <c r="A1" s="436"/>
      <c r="B1" s="408"/>
      <c r="C1" s="408"/>
      <c r="D1" s="408"/>
      <c r="E1" s="40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72" t="s">
        <v>3074</v>
      </c>
      <c r="B2" s="273" t="s">
        <v>3075</v>
      </c>
      <c r="C2" s="274"/>
      <c r="D2" s="274" t="s">
        <v>3076</v>
      </c>
      <c r="E2" s="275" t="s">
        <v>3077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204">
        <v>1</v>
      </c>
      <c r="B3" s="205" t="s">
        <v>3078</v>
      </c>
      <c r="C3" s="276"/>
      <c r="D3" s="276">
        <v>2.6</v>
      </c>
      <c r="E3" s="276">
        <v>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204">
        <v>2</v>
      </c>
      <c r="B4" s="205" t="s">
        <v>3079</v>
      </c>
      <c r="C4" s="276"/>
      <c r="D4" s="276">
        <v>7.5</v>
      </c>
      <c r="E4" s="276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204">
        <v>3</v>
      </c>
      <c r="B5" s="205" t="s">
        <v>3080</v>
      </c>
      <c r="C5" s="276"/>
      <c r="D5" s="276">
        <v>8.5</v>
      </c>
      <c r="E5" s="276">
        <v>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204">
        <v>4</v>
      </c>
      <c r="B6" s="205" t="s">
        <v>3081</v>
      </c>
      <c r="C6" s="276"/>
      <c r="D6" s="276">
        <v>8.5</v>
      </c>
      <c r="E6" s="276">
        <v>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204">
        <v>5</v>
      </c>
      <c r="B7" s="205" t="s">
        <v>3082</v>
      </c>
      <c r="C7" s="276"/>
      <c r="D7" s="276">
        <v>9</v>
      </c>
      <c r="E7" s="276">
        <v>10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204">
        <v>6</v>
      </c>
      <c r="B8" s="205" t="s">
        <v>3083</v>
      </c>
      <c r="C8" s="276"/>
      <c r="D8" s="276">
        <v>14</v>
      </c>
      <c r="E8" s="276">
        <v>15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204">
        <v>7</v>
      </c>
      <c r="B9" s="205" t="s">
        <v>3084</v>
      </c>
      <c r="C9" s="276"/>
      <c r="D9" s="276">
        <v>10</v>
      </c>
      <c r="E9" s="276">
        <v>11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204">
        <v>8</v>
      </c>
      <c r="B10" s="205" t="s">
        <v>3085</v>
      </c>
      <c r="C10" s="276"/>
      <c r="D10" s="276">
        <v>18.5</v>
      </c>
      <c r="E10" s="276">
        <v>20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204">
        <v>9</v>
      </c>
      <c r="B11" s="205" t="s">
        <v>3086</v>
      </c>
      <c r="C11" s="276"/>
      <c r="D11" s="276">
        <v>20</v>
      </c>
      <c r="E11" s="276">
        <v>21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204">
        <v>10</v>
      </c>
      <c r="B12" s="205" t="s">
        <v>3087</v>
      </c>
      <c r="C12" s="276"/>
      <c r="D12" s="276">
        <v>16</v>
      </c>
      <c r="E12" s="276">
        <v>17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204">
        <v>11</v>
      </c>
      <c r="B13" s="205" t="s">
        <v>3088</v>
      </c>
      <c r="C13" s="276"/>
      <c r="D13" s="276">
        <v>18</v>
      </c>
      <c r="E13" s="276">
        <v>19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204">
        <v>12</v>
      </c>
      <c r="B14" s="205" t="s">
        <v>3089</v>
      </c>
      <c r="C14" s="276"/>
      <c r="D14" s="276">
        <v>16.5</v>
      </c>
      <c r="E14" s="276">
        <v>17.5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204">
        <v>13</v>
      </c>
      <c r="B15" s="205" t="s">
        <v>3090</v>
      </c>
      <c r="C15" s="276"/>
      <c r="D15" s="276">
        <v>8</v>
      </c>
      <c r="E15" s="276">
        <v>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204">
        <v>14</v>
      </c>
      <c r="B16" s="205" t="s">
        <v>3091</v>
      </c>
      <c r="C16" s="276"/>
      <c r="D16" s="276">
        <v>17</v>
      </c>
      <c r="E16" s="276">
        <v>18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204"/>
      <c r="B17" s="205"/>
      <c r="C17" s="276"/>
      <c r="D17" s="276"/>
      <c r="E17" s="27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204">
        <v>15</v>
      </c>
      <c r="B18" s="205" t="s">
        <v>3092</v>
      </c>
      <c r="C18" s="276"/>
      <c r="D18" s="276">
        <v>1.1000000000000001</v>
      </c>
      <c r="E18" s="276">
        <v>1.3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204">
        <v>16</v>
      </c>
      <c r="B19" s="205" t="s">
        <v>3093</v>
      </c>
      <c r="C19" s="276"/>
      <c r="D19" s="276">
        <v>1.7</v>
      </c>
      <c r="E19" s="276">
        <v>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204">
        <v>17</v>
      </c>
      <c r="B20" s="205" t="s">
        <v>3094</v>
      </c>
      <c r="C20" s="276"/>
      <c r="D20" s="276">
        <v>7</v>
      </c>
      <c r="E20" s="276">
        <v>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204">
        <v>18</v>
      </c>
      <c r="B21" s="205" t="s">
        <v>3095</v>
      </c>
      <c r="C21" s="276"/>
      <c r="D21" s="276">
        <v>8</v>
      </c>
      <c r="E21" s="276">
        <v>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204">
        <v>19</v>
      </c>
      <c r="B22" s="205" t="s">
        <v>3096</v>
      </c>
      <c r="C22" s="276"/>
      <c r="D22" s="276">
        <v>2.5</v>
      </c>
      <c r="E22" s="276">
        <v>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204"/>
      <c r="B23" s="205"/>
      <c r="C23" s="276"/>
      <c r="D23" s="276"/>
      <c r="E23" s="27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204">
        <v>20</v>
      </c>
      <c r="B24" s="205" t="s">
        <v>3097</v>
      </c>
      <c r="C24" s="276"/>
      <c r="D24" s="276">
        <v>9</v>
      </c>
      <c r="E24" s="276">
        <v>10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204">
        <v>21</v>
      </c>
      <c r="B25" s="205" t="s">
        <v>3098</v>
      </c>
      <c r="C25" s="276"/>
      <c r="D25" s="276">
        <v>10</v>
      </c>
      <c r="E25" s="276">
        <v>11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204">
        <v>22</v>
      </c>
      <c r="B26" s="205" t="s">
        <v>3099</v>
      </c>
      <c r="C26" s="276"/>
      <c r="D26" s="276">
        <v>11</v>
      </c>
      <c r="E26" s="276">
        <v>12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204">
        <v>23</v>
      </c>
      <c r="B27" s="205" t="s">
        <v>3100</v>
      </c>
      <c r="C27" s="276"/>
      <c r="D27" s="276">
        <v>14</v>
      </c>
      <c r="E27" s="276">
        <v>15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204"/>
      <c r="B28" s="203"/>
      <c r="C28" s="277"/>
      <c r="D28" s="277"/>
      <c r="E28" s="20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204">
        <v>24</v>
      </c>
      <c r="B29" s="203" t="s">
        <v>3101</v>
      </c>
      <c r="C29" s="276"/>
      <c r="D29" s="276">
        <v>100</v>
      </c>
      <c r="E29" s="276">
        <v>110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204">
        <v>25</v>
      </c>
      <c r="B30" s="203" t="s">
        <v>3102</v>
      </c>
      <c r="C30" s="276"/>
      <c r="D30" s="276">
        <v>100</v>
      </c>
      <c r="E30" s="276">
        <v>110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204">
        <v>26</v>
      </c>
      <c r="B31" s="205" t="s">
        <v>3103</v>
      </c>
      <c r="C31" s="276"/>
      <c r="D31" s="276">
        <v>120</v>
      </c>
      <c r="E31" s="276">
        <v>130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204">
        <v>27</v>
      </c>
      <c r="B32" s="205" t="s">
        <v>3104</v>
      </c>
      <c r="C32" s="276"/>
      <c r="D32" s="276">
        <v>130</v>
      </c>
      <c r="E32" s="276">
        <v>140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204">
        <v>28</v>
      </c>
      <c r="B33" s="205" t="s">
        <v>3105</v>
      </c>
      <c r="C33" s="276"/>
      <c r="D33" s="276">
        <v>130</v>
      </c>
      <c r="E33" s="276">
        <v>140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204"/>
      <c r="B34" s="203"/>
      <c r="C34" s="277"/>
      <c r="D34" s="277"/>
      <c r="E34" s="20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204">
        <v>29</v>
      </c>
      <c r="B35" s="203" t="s">
        <v>3106</v>
      </c>
      <c r="C35" s="276"/>
      <c r="D35" s="276">
        <v>14</v>
      </c>
      <c r="E35" s="276">
        <v>15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204"/>
      <c r="B36" s="203"/>
      <c r="C36" s="277"/>
      <c r="D36" s="277"/>
      <c r="E36" s="20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204">
        <v>30</v>
      </c>
      <c r="B37" s="203" t="s">
        <v>3107</v>
      </c>
      <c r="C37" s="276"/>
      <c r="D37" s="276">
        <v>175</v>
      </c>
      <c r="E37" s="276">
        <v>195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204">
        <v>31</v>
      </c>
      <c r="B38" s="203" t="s">
        <v>3108</v>
      </c>
      <c r="C38" s="276"/>
      <c r="D38" s="276">
        <v>200</v>
      </c>
      <c r="E38" s="276">
        <v>220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7"/>
      <c r="B39" s="1"/>
      <c r="C39" s="278"/>
      <c r="D39" s="278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7"/>
      <c r="B40" s="1"/>
      <c r="C40" s="278"/>
      <c r="D40" s="278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7"/>
      <c r="B41" s="1"/>
      <c r="C41" s="278"/>
      <c r="D41" s="278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7"/>
      <c r="B42" s="1"/>
      <c r="C42" s="278"/>
      <c r="D42" s="278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7"/>
      <c r="B43" s="1"/>
      <c r="C43" s="278"/>
      <c r="D43" s="278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7"/>
      <c r="B44" s="1"/>
      <c r="C44" s="278"/>
      <c r="D44" s="278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7"/>
      <c r="B45" s="1"/>
      <c r="C45" s="278"/>
      <c r="D45" s="278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7"/>
      <c r="B46" s="1"/>
      <c r="C46" s="278"/>
      <c r="D46" s="278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>
      <c r="A47" s="7"/>
      <c r="B47" s="1"/>
      <c r="C47" s="278"/>
      <c r="D47" s="278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>
      <c r="A48" s="7"/>
      <c r="B48" s="1"/>
      <c r="C48" s="278"/>
      <c r="D48" s="278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>
      <c r="A49" s="7"/>
      <c r="B49" s="1"/>
      <c r="C49" s="278"/>
      <c r="D49" s="278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>
      <c r="A50" s="7"/>
      <c r="B50" s="1"/>
      <c r="C50" s="278"/>
      <c r="D50" s="278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mergeCells count="1">
    <mergeCell ref="A1:E1"/>
  </mergeCells>
  <pageMargins left="0.7" right="0.7" top="0.75" bottom="0.75" header="0" footer="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"/>
  <sheetViews>
    <sheetView workbookViewId="0"/>
  </sheetViews>
  <sheetFormatPr defaultColWidth="14.3984375" defaultRowHeight="15" customHeight="1"/>
  <cols>
    <col min="1" max="1" width="5.1328125" customWidth="1"/>
    <col min="2" max="2" width="92.265625" customWidth="1"/>
    <col min="3" max="3" width="12.265625" hidden="1" customWidth="1"/>
    <col min="4" max="4" width="12.265625" customWidth="1"/>
    <col min="5" max="5" width="15.86328125" customWidth="1"/>
    <col min="6" max="6" width="8.73046875" customWidth="1"/>
    <col min="7" max="7" width="6" customWidth="1"/>
    <col min="8" max="25" width="8.73046875" customWidth="1"/>
  </cols>
  <sheetData>
    <row r="1" spans="1:26" ht="36" customHeight="1">
      <c r="A1" s="438"/>
      <c r="B1" s="408"/>
      <c r="C1" s="408"/>
      <c r="D1" s="408"/>
      <c r="E1" s="40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272" t="s">
        <v>3074</v>
      </c>
      <c r="B2" s="273" t="s">
        <v>3075</v>
      </c>
      <c r="C2" s="274"/>
      <c r="D2" s="274" t="s">
        <v>3076</v>
      </c>
      <c r="E2" s="275" t="s">
        <v>3077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439" t="s">
        <v>3109</v>
      </c>
      <c r="B3" s="403"/>
      <c r="C3" s="403"/>
      <c r="D3" s="403"/>
      <c r="E3" s="44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217">
        <v>1</v>
      </c>
      <c r="B4" s="205" t="s">
        <v>3110</v>
      </c>
      <c r="C4" s="279"/>
      <c r="D4" s="276">
        <v>60</v>
      </c>
      <c r="E4" s="276">
        <v>60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437" t="s">
        <v>3111</v>
      </c>
      <c r="B5" s="408"/>
      <c r="C5" s="408"/>
      <c r="D5" s="408"/>
      <c r="E5" s="40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205">
        <v>2</v>
      </c>
      <c r="B6" s="205" t="s">
        <v>3112</v>
      </c>
      <c r="C6" s="279"/>
      <c r="D6" s="276">
        <v>5</v>
      </c>
      <c r="E6" s="276">
        <v>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205">
        <v>3</v>
      </c>
      <c r="B7" s="205" t="s">
        <v>3113</v>
      </c>
      <c r="C7" s="279"/>
      <c r="D7" s="276">
        <v>6</v>
      </c>
      <c r="E7" s="276">
        <v>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205">
        <v>4</v>
      </c>
      <c r="B8" s="205" t="s">
        <v>3114</v>
      </c>
      <c r="C8" s="279"/>
      <c r="D8" s="276">
        <v>6</v>
      </c>
      <c r="E8" s="276">
        <v>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205">
        <v>5</v>
      </c>
      <c r="B9" s="205" t="s">
        <v>3115</v>
      </c>
      <c r="C9" s="279"/>
      <c r="D9" s="276">
        <v>10</v>
      </c>
      <c r="E9" s="276">
        <v>11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205">
        <v>6</v>
      </c>
      <c r="B10" s="205" t="s">
        <v>3116</v>
      </c>
      <c r="C10" s="279"/>
      <c r="D10" s="276">
        <v>10</v>
      </c>
      <c r="E10" s="276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205">
        <v>7</v>
      </c>
      <c r="B11" s="205" t="s">
        <v>3117</v>
      </c>
      <c r="C11" s="279"/>
      <c r="D11" s="276">
        <v>10</v>
      </c>
      <c r="E11" s="276">
        <v>11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205">
        <v>8</v>
      </c>
      <c r="B12" s="205" t="s">
        <v>3118</v>
      </c>
      <c r="C12" s="279"/>
      <c r="D12" s="276">
        <v>12</v>
      </c>
      <c r="E12" s="276">
        <v>13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205">
        <v>9</v>
      </c>
      <c r="B13" s="205" t="s">
        <v>3119</v>
      </c>
      <c r="C13" s="279"/>
      <c r="D13" s="276">
        <v>16</v>
      </c>
      <c r="E13" s="276">
        <v>18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205">
        <v>10</v>
      </c>
      <c r="B14" s="205" t="s">
        <v>3120</v>
      </c>
      <c r="C14" s="279"/>
      <c r="D14" s="276">
        <v>16</v>
      </c>
      <c r="E14" s="276">
        <v>18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205">
        <v>11</v>
      </c>
      <c r="B15" s="205" t="s">
        <v>3121</v>
      </c>
      <c r="C15" s="279"/>
      <c r="D15" s="276">
        <v>17</v>
      </c>
      <c r="E15" s="276">
        <v>19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205">
        <v>12</v>
      </c>
      <c r="B16" s="205" t="s">
        <v>3122</v>
      </c>
      <c r="C16" s="279"/>
      <c r="D16" s="276">
        <v>17</v>
      </c>
      <c r="E16" s="276">
        <v>19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205">
        <v>13</v>
      </c>
      <c r="B17" s="205" t="s">
        <v>3123</v>
      </c>
      <c r="C17" s="279"/>
      <c r="D17" s="276">
        <v>19</v>
      </c>
      <c r="E17" s="276">
        <v>20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205">
        <v>14</v>
      </c>
      <c r="B18" s="205" t="s">
        <v>3124</v>
      </c>
      <c r="C18" s="279"/>
      <c r="D18" s="276">
        <v>19</v>
      </c>
      <c r="E18" s="276">
        <v>20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205">
        <v>15</v>
      </c>
      <c r="B19" s="205" t="s">
        <v>3125</v>
      </c>
      <c r="C19" s="279"/>
      <c r="D19" s="276">
        <v>20</v>
      </c>
      <c r="E19" s="276">
        <v>21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205">
        <v>16</v>
      </c>
      <c r="B20" s="205" t="s">
        <v>3126</v>
      </c>
      <c r="C20" s="279"/>
      <c r="D20" s="276">
        <v>20</v>
      </c>
      <c r="E20" s="276">
        <v>21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205">
        <v>17</v>
      </c>
      <c r="B21" s="205" t="s">
        <v>3127</v>
      </c>
      <c r="C21" s="279"/>
      <c r="D21" s="276">
        <v>30</v>
      </c>
      <c r="E21" s="276">
        <v>31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205">
        <v>18</v>
      </c>
      <c r="B22" s="205" t="s">
        <v>3128</v>
      </c>
      <c r="C22" s="279"/>
      <c r="D22" s="276">
        <v>37</v>
      </c>
      <c r="E22" s="276">
        <v>38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205">
        <v>19</v>
      </c>
      <c r="B23" s="203" t="s">
        <v>3129</v>
      </c>
      <c r="C23" s="279"/>
      <c r="D23" s="276">
        <v>2</v>
      </c>
      <c r="E23" s="276">
        <v>2.5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205">
        <v>20</v>
      </c>
      <c r="B24" s="239" t="s">
        <v>3130</v>
      </c>
      <c r="C24" s="279"/>
      <c r="D24" s="276">
        <v>3</v>
      </c>
      <c r="E24" s="276">
        <v>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205">
        <v>21</v>
      </c>
      <c r="B25" s="239" t="s">
        <v>3131</v>
      </c>
      <c r="C25" s="279"/>
      <c r="D25" s="276">
        <v>3</v>
      </c>
      <c r="E25" s="276">
        <v>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205">
        <v>22</v>
      </c>
      <c r="B26" s="239" t="s">
        <v>3132</v>
      </c>
      <c r="C26" s="279"/>
      <c r="D26" s="276">
        <v>3</v>
      </c>
      <c r="E26" s="276">
        <v>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437" t="s">
        <v>3133</v>
      </c>
      <c r="B27" s="408"/>
      <c r="C27" s="408"/>
      <c r="D27" s="408"/>
      <c r="E27" s="40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217">
        <v>23</v>
      </c>
      <c r="B28" s="205" t="s">
        <v>3134</v>
      </c>
      <c r="C28" s="279"/>
      <c r="D28" s="276">
        <v>9</v>
      </c>
      <c r="E28" s="276">
        <v>10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217">
        <v>24</v>
      </c>
      <c r="B29" s="205" t="s">
        <v>3135</v>
      </c>
      <c r="C29" s="279"/>
      <c r="D29" s="276">
        <v>14</v>
      </c>
      <c r="E29" s="276">
        <v>15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217">
        <v>25</v>
      </c>
      <c r="B30" s="205" t="s">
        <v>3136</v>
      </c>
      <c r="C30" s="279"/>
      <c r="D30" s="276">
        <v>18</v>
      </c>
      <c r="E30" s="276">
        <v>19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217">
        <v>26</v>
      </c>
      <c r="B31" s="205" t="s">
        <v>3137</v>
      </c>
      <c r="C31" s="279"/>
      <c r="D31" s="276">
        <v>22</v>
      </c>
      <c r="E31" s="276">
        <v>23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217">
        <v>27</v>
      </c>
      <c r="B32" s="205" t="s">
        <v>3138</v>
      </c>
      <c r="C32" s="279"/>
      <c r="D32" s="276">
        <v>25</v>
      </c>
      <c r="E32" s="276">
        <v>26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217">
        <v>28</v>
      </c>
      <c r="B33" s="205" t="s">
        <v>3139</v>
      </c>
      <c r="C33" s="279"/>
      <c r="D33" s="276">
        <v>21</v>
      </c>
      <c r="E33" s="276">
        <v>22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217">
        <v>29</v>
      </c>
      <c r="B34" s="205" t="s">
        <v>3140</v>
      </c>
      <c r="C34" s="279"/>
      <c r="D34" s="276">
        <v>29</v>
      </c>
      <c r="E34" s="276">
        <v>30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217">
        <v>30</v>
      </c>
      <c r="B35" s="239" t="s">
        <v>3141</v>
      </c>
      <c r="C35" s="279"/>
      <c r="D35" s="276">
        <v>24</v>
      </c>
      <c r="E35" s="276">
        <v>25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217">
        <v>31</v>
      </c>
      <c r="B36" s="205" t="s">
        <v>3142</v>
      </c>
      <c r="C36" s="279"/>
      <c r="D36" s="276">
        <v>24</v>
      </c>
      <c r="E36" s="276">
        <v>25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217">
        <v>32</v>
      </c>
      <c r="B37" s="205" t="s">
        <v>3143</v>
      </c>
      <c r="C37" s="279"/>
      <c r="D37" s="276">
        <v>39</v>
      </c>
      <c r="E37" s="276">
        <v>40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217">
        <v>33</v>
      </c>
      <c r="B38" s="205" t="s">
        <v>3144</v>
      </c>
      <c r="C38" s="279"/>
      <c r="D38" s="276">
        <v>39</v>
      </c>
      <c r="E38" s="276">
        <v>40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217">
        <v>34</v>
      </c>
      <c r="B39" s="205" t="s">
        <v>3145</v>
      </c>
      <c r="C39" s="279"/>
      <c r="D39" s="276">
        <v>39</v>
      </c>
      <c r="E39" s="276">
        <v>40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217">
        <v>35</v>
      </c>
      <c r="B40" s="205" t="s">
        <v>3146</v>
      </c>
      <c r="C40" s="279"/>
      <c r="D40" s="276">
        <v>41</v>
      </c>
      <c r="E40" s="276">
        <v>42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217">
        <v>36</v>
      </c>
      <c r="B41" s="205" t="s">
        <v>3147</v>
      </c>
      <c r="C41" s="279"/>
      <c r="D41" s="276">
        <v>41</v>
      </c>
      <c r="E41" s="276">
        <v>42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217">
        <v>37</v>
      </c>
      <c r="B42" s="205" t="s">
        <v>3148</v>
      </c>
      <c r="C42" s="279"/>
      <c r="D42" s="276">
        <v>43</v>
      </c>
      <c r="E42" s="276">
        <v>45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217">
        <v>38</v>
      </c>
      <c r="B43" s="205" t="s">
        <v>3149</v>
      </c>
      <c r="C43" s="279"/>
      <c r="D43" s="276">
        <v>40</v>
      </c>
      <c r="E43" s="276">
        <v>41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217">
        <v>39</v>
      </c>
      <c r="B44" s="205" t="s">
        <v>3150</v>
      </c>
      <c r="C44" s="279"/>
      <c r="D44" s="276">
        <v>40</v>
      </c>
      <c r="E44" s="276">
        <v>41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217">
        <v>40</v>
      </c>
      <c r="B45" s="205" t="s">
        <v>3151</v>
      </c>
      <c r="C45" s="279"/>
      <c r="D45" s="276">
        <v>40</v>
      </c>
      <c r="E45" s="276">
        <v>41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217">
        <v>41</v>
      </c>
      <c r="B46" s="205" t="s">
        <v>3152</v>
      </c>
      <c r="C46" s="279"/>
      <c r="D46" s="276">
        <v>58</v>
      </c>
      <c r="E46" s="276">
        <v>60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>
      <c r="A47" s="217">
        <v>42</v>
      </c>
      <c r="B47" s="205" t="s">
        <v>3153</v>
      </c>
      <c r="C47" s="279"/>
      <c r="D47" s="276">
        <v>43</v>
      </c>
      <c r="E47" s="276">
        <v>45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>
      <c r="A48" s="217">
        <v>43</v>
      </c>
      <c r="B48" s="205" t="s">
        <v>3154</v>
      </c>
      <c r="C48" s="279"/>
      <c r="D48" s="276">
        <v>53</v>
      </c>
      <c r="E48" s="276">
        <v>54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>
      <c r="A49" s="217">
        <v>44</v>
      </c>
      <c r="B49" s="205" t="s">
        <v>3155</v>
      </c>
      <c r="C49" s="279"/>
      <c r="D49" s="276">
        <v>50</v>
      </c>
      <c r="E49" s="276">
        <v>52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>
      <c r="A50" s="217">
        <v>45</v>
      </c>
      <c r="B50" s="205" t="s">
        <v>3156</v>
      </c>
      <c r="C50" s="279"/>
      <c r="D50" s="276">
        <v>55</v>
      </c>
      <c r="E50" s="276">
        <v>56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>
      <c r="A51" s="217">
        <v>46</v>
      </c>
      <c r="B51" s="239" t="s">
        <v>3157</v>
      </c>
      <c r="C51" s="279"/>
      <c r="D51" s="276">
        <v>49</v>
      </c>
      <c r="E51" s="276">
        <v>50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>
      <c r="A52" s="217">
        <v>47</v>
      </c>
      <c r="B52" s="205" t="s">
        <v>3158</v>
      </c>
      <c r="C52" s="279"/>
      <c r="D52" s="276">
        <v>49</v>
      </c>
      <c r="E52" s="276">
        <v>50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>
      <c r="A53" s="217">
        <v>48</v>
      </c>
      <c r="B53" s="205" t="s">
        <v>3159</v>
      </c>
      <c r="C53" s="279"/>
      <c r="D53" s="276">
        <v>51</v>
      </c>
      <c r="E53" s="276">
        <v>52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>
      <c r="A54" s="217">
        <v>49</v>
      </c>
      <c r="B54" s="205" t="s">
        <v>3160</v>
      </c>
      <c r="C54" s="279"/>
      <c r="D54" s="276">
        <v>51</v>
      </c>
      <c r="E54" s="276">
        <v>52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>
      <c r="A55" s="217">
        <v>50</v>
      </c>
      <c r="B55" s="205" t="s">
        <v>3161</v>
      </c>
      <c r="C55" s="279"/>
      <c r="D55" s="276">
        <v>56</v>
      </c>
      <c r="E55" s="276">
        <v>57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>
      <c r="A56" s="217">
        <v>51</v>
      </c>
      <c r="B56" s="205" t="s">
        <v>3162</v>
      </c>
      <c r="C56" s="279"/>
      <c r="D56" s="276">
        <v>66</v>
      </c>
      <c r="E56" s="276">
        <v>68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>
      <c r="A57" s="437" t="s">
        <v>3163</v>
      </c>
      <c r="B57" s="408"/>
      <c r="C57" s="408"/>
      <c r="D57" s="408"/>
      <c r="E57" s="407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>
      <c r="A58" s="217">
        <v>52</v>
      </c>
      <c r="B58" s="205" t="s">
        <v>3164</v>
      </c>
      <c r="C58" s="279"/>
      <c r="D58" s="276">
        <v>11</v>
      </c>
      <c r="E58" s="276">
        <v>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>
      <c r="A59" s="217">
        <v>53</v>
      </c>
      <c r="B59" s="205" t="s">
        <v>3165</v>
      </c>
      <c r="C59" s="279"/>
      <c r="D59" s="276">
        <v>21</v>
      </c>
      <c r="E59" s="276">
        <v>22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>
      <c r="A60" s="217">
        <v>54</v>
      </c>
      <c r="B60" s="205" t="s">
        <v>3166</v>
      </c>
      <c r="C60" s="279"/>
      <c r="D60" s="276">
        <v>24</v>
      </c>
      <c r="E60" s="276">
        <v>25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>
      <c r="A61" s="217">
        <v>55</v>
      </c>
      <c r="B61" s="205" t="s">
        <v>3167</v>
      </c>
      <c r="C61" s="279"/>
      <c r="D61" s="276">
        <v>5</v>
      </c>
      <c r="E61" s="276">
        <v>6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>
      <c r="A62" s="217">
        <v>56</v>
      </c>
      <c r="B62" s="205" t="s">
        <v>3168</v>
      </c>
      <c r="C62" s="279"/>
      <c r="D62" s="276">
        <v>10</v>
      </c>
      <c r="E62" s="276">
        <v>11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>
      <c r="A63" s="437" t="s">
        <v>3169</v>
      </c>
      <c r="B63" s="408"/>
      <c r="C63" s="408"/>
      <c r="D63" s="408"/>
      <c r="E63" s="40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>
      <c r="A64" s="217">
        <v>57</v>
      </c>
      <c r="B64" s="205" t="s">
        <v>3170</v>
      </c>
      <c r="C64" s="279"/>
      <c r="D64" s="276">
        <v>11</v>
      </c>
      <c r="E64" s="276">
        <v>12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>
      <c r="A65" s="217">
        <v>58</v>
      </c>
      <c r="B65" s="205" t="s">
        <v>3171</v>
      </c>
      <c r="C65" s="279"/>
      <c r="D65" s="276">
        <v>11</v>
      </c>
      <c r="E65" s="276">
        <v>12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>
      <c r="A66" s="217">
        <v>59</v>
      </c>
      <c r="B66" s="205" t="s">
        <v>3172</v>
      </c>
      <c r="C66" s="279"/>
      <c r="D66" s="276">
        <v>12</v>
      </c>
      <c r="E66" s="276">
        <v>13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>
      <c r="A67" s="217">
        <v>60</v>
      </c>
      <c r="B67" s="205" t="s">
        <v>3173</v>
      </c>
      <c r="C67" s="279"/>
      <c r="D67" s="276">
        <v>17</v>
      </c>
      <c r="E67" s="276">
        <v>18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>
      <c r="A68" s="217">
        <v>61</v>
      </c>
      <c r="B68" s="205" t="s">
        <v>3174</v>
      </c>
      <c r="C68" s="279"/>
      <c r="D68" s="276">
        <v>18</v>
      </c>
      <c r="E68" s="276">
        <v>19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>
      <c r="A69" s="217">
        <v>62</v>
      </c>
      <c r="B69" s="205" t="s">
        <v>3175</v>
      </c>
      <c r="C69" s="279"/>
      <c r="D69" s="276">
        <v>18</v>
      </c>
      <c r="E69" s="276">
        <v>19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>
      <c r="A70" s="217">
        <v>63</v>
      </c>
      <c r="B70" s="205" t="s">
        <v>3176</v>
      </c>
      <c r="C70" s="279"/>
      <c r="D70" s="276">
        <v>29</v>
      </c>
      <c r="E70" s="276">
        <v>30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>
      <c r="A71" s="217">
        <v>64</v>
      </c>
      <c r="B71" s="205" t="s">
        <v>3177</v>
      </c>
      <c r="C71" s="279"/>
      <c r="D71" s="276">
        <v>29</v>
      </c>
      <c r="E71" s="276">
        <v>30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>
      <c r="A72" s="217">
        <v>65</v>
      </c>
      <c r="B72" s="205" t="s">
        <v>3178</v>
      </c>
      <c r="C72" s="279"/>
      <c r="D72" s="276">
        <v>53</v>
      </c>
      <c r="E72" s="276">
        <v>55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>
      <c r="A73" s="437" t="s">
        <v>3179</v>
      </c>
      <c r="B73" s="408"/>
      <c r="C73" s="408"/>
      <c r="D73" s="408"/>
      <c r="E73" s="40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>
      <c r="A74" s="217">
        <v>66</v>
      </c>
      <c r="B74" s="205" t="s">
        <v>3180</v>
      </c>
      <c r="C74" s="279"/>
      <c r="D74" s="276">
        <v>2</v>
      </c>
      <c r="E74" s="276">
        <v>3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>
      <c r="A75" s="217">
        <v>67</v>
      </c>
      <c r="B75" s="205" t="s">
        <v>3181</v>
      </c>
      <c r="C75" s="279"/>
      <c r="D75" s="276">
        <v>4</v>
      </c>
      <c r="E75" s="276">
        <v>5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>
      <c r="A76" s="217">
        <v>69</v>
      </c>
      <c r="B76" s="205" t="s">
        <v>3182</v>
      </c>
      <c r="C76" s="279"/>
      <c r="D76" s="276">
        <v>8</v>
      </c>
      <c r="E76" s="276">
        <v>10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>
      <c r="A77" s="437" t="s">
        <v>3183</v>
      </c>
      <c r="B77" s="408"/>
      <c r="C77" s="408"/>
      <c r="D77" s="408"/>
      <c r="E77" s="40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>
      <c r="A78" s="217">
        <v>70</v>
      </c>
      <c r="B78" s="205" t="s">
        <v>3184</v>
      </c>
      <c r="C78" s="277"/>
      <c r="D78" s="276">
        <v>13</v>
      </c>
      <c r="E78" s="276">
        <v>14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>
      <c r="A79" s="217">
        <v>71</v>
      </c>
      <c r="B79" s="205" t="s">
        <v>3185</v>
      </c>
      <c r="C79" s="277"/>
      <c r="D79" s="276">
        <v>15</v>
      </c>
      <c r="E79" s="276">
        <v>16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>
      <c r="A80" s="1"/>
      <c r="B80" s="1"/>
      <c r="C80" s="278"/>
      <c r="D80" s="280"/>
      <c r="E80" s="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>
      <c r="A81" s="1"/>
      <c r="B81" s="1"/>
      <c r="C81" s="278"/>
      <c r="D81" s="280"/>
      <c r="E81" s="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>
      <c r="A82" s="1"/>
      <c r="B82" s="1"/>
      <c r="C82" s="278"/>
      <c r="D82" s="280"/>
      <c r="E82" s="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>
      <c r="A83" s="1"/>
      <c r="B83" s="1"/>
      <c r="C83" s="278"/>
      <c r="D83" s="280"/>
      <c r="E83" s="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>
      <c r="A84" s="1"/>
      <c r="B84" s="1"/>
      <c r="C84" s="278"/>
      <c r="D84" s="280"/>
      <c r="E84" s="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>
      <c r="A85" s="1"/>
      <c r="B85" s="1"/>
      <c r="C85" s="278"/>
      <c r="D85" s="280"/>
      <c r="E85" s="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>
      <c r="A86" s="1"/>
      <c r="B86" s="1"/>
      <c r="C86" s="278"/>
      <c r="D86" s="280"/>
      <c r="E86" s="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>
      <c r="A87" s="1"/>
      <c r="B87" s="1"/>
      <c r="C87" s="278"/>
      <c r="D87" s="280"/>
      <c r="E87" s="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>
      <c r="A88" s="1"/>
      <c r="B88" s="1"/>
      <c r="C88" s="278"/>
      <c r="D88" s="280"/>
      <c r="E88" s="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>
      <c r="A89" s="1"/>
      <c r="B89" s="1"/>
      <c r="C89" s="278"/>
      <c r="D89" s="280"/>
      <c r="E89" s="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>
      <c r="A90" s="1"/>
      <c r="B90" s="1"/>
      <c r="C90" s="278"/>
      <c r="D90" s="280"/>
      <c r="E90" s="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customHeight="1">
      <c r="A91" s="1"/>
      <c r="B91" s="1"/>
      <c r="C91" s="278"/>
      <c r="D91" s="280"/>
      <c r="E91" s="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customHeight="1">
      <c r="A92" s="1"/>
      <c r="B92" s="1"/>
      <c r="C92" s="278"/>
      <c r="D92" s="280"/>
      <c r="E92" s="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customHeight="1">
      <c r="A93" s="1"/>
      <c r="B93" s="1"/>
      <c r="C93" s="278"/>
      <c r="D93" s="280"/>
      <c r="E93" s="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customHeight="1">
      <c r="A94" s="1"/>
      <c r="B94" s="1"/>
      <c r="C94" s="278"/>
      <c r="D94" s="280"/>
      <c r="E94" s="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customHeight="1">
      <c r="A95" s="1"/>
      <c r="B95" s="1"/>
      <c r="C95" s="278"/>
      <c r="D95" s="280"/>
      <c r="E95" s="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customHeight="1">
      <c r="A96" s="1"/>
      <c r="B96" s="1"/>
      <c r="C96" s="278"/>
      <c r="D96" s="280"/>
      <c r="E96" s="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customHeight="1">
      <c r="A97" s="1"/>
      <c r="B97" s="1"/>
      <c r="C97" s="278"/>
      <c r="D97" s="280"/>
      <c r="E97" s="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customHeight="1">
      <c r="A98" s="1"/>
      <c r="B98" s="1"/>
      <c r="C98" s="278"/>
      <c r="D98" s="280"/>
      <c r="E98" s="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customHeight="1">
      <c r="A99" s="1"/>
      <c r="B99" s="1"/>
      <c r="C99" s="278"/>
      <c r="D99" s="280"/>
      <c r="E99" s="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customHeight="1">
      <c r="A100" s="1"/>
      <c r="B100" s="1"/>
      <c r="C100" s="278"/>
      <c r="D100" s="280"/>
      <c r="E100" s="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8">
    <mergeCell ref="A63:E63"/>
    <mergeCell ref="A73:E73"/>
    <mergeCell ref="A77:E77"/>
    <mergeCell ref="A1:E1"/>
    <mergeCell ref="A3:E3"/>
    <mergeCell ref="A5:E5"/>
    <mergeCell ref="A27:E27"/>
    <mergeCell ref="A57:E57"/>
  </mergeCells>
  <pageMargins left="0.7" right="0.7" top="0.75" bottom="0.75" header="0" footer="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"/>
  <sheetViews>
    <sheetView workbookViewId="0"/>
  </sheetViews>
  <sheetFormatPr defaultColWidth="14.3984375" defaultRowHeight="15" customHeight="1"/>
  <cols>
    <col min="1" max="1" width="8.73046875" customWidth="1"/>
    <col min="2" max="2" width="13.265625" customWidth="1"/>
    <col min="3" max="3" width="22.265625" customWidth="1"/>
    <col min="4" max="4" width="49.265625" customWidth="1"/>
    <col min="5" max="26" width="8.73046875" customWidth="1"/>
  </cols>
  <sheetData>
    <row r="1" spans="1:26" ht="36" customHeight="1">
      <c r="A1" s="441"/>
      <c r="B1" s="408"/>
      <c r="C1" s="408"/>
      <c r="D1" s="408"/>
      <c r="E1" s="40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206" t="s">
        <v>3186</v>
      </c>
      <c r="B2" s="206" t="s">
        <v>3187</v>
      </c>
      <c r="C2" s="206" t="s">
        <v>3188</v>
      </c>
      <c r="D2" s="207" t="s">
        <v>3189</v>
      </c>
      <c r="E2" s="208">
        <v>43</v>
      </c>
      <c r="F2" s="20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206" t="s">
        <v>3186</v>
      </c>
      <c r="B3" s="206" t="s">
        <v>3187</v>
      </c>
      <c r="C3" s="206" t="s">
        <v>3190</v>
      </c>
      <c r="D3" s="207" t="s">
        <v>3191</v>
      </c>
      <c r="E3" s="208">
        <v>43</v>
      </c>
      <c r="F3" s="20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203" t="s">
        <v>3186</v>
      </c>
      <c r="B4" s="203" t="s">
        <v>3187</v>
      </c>
      <c r="C4" s="203" t="s">
        <v>3192</v>
      </c>
      <c r="D4" s="205" t="s">
        <v>3193</v>
      </c>
      <c r="E4" s="208">
        <v>75</v>
      </c>
      <c r="F4" s="20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203" t="s">
        <v>3186</v>
      </c>
      <c r="B5" s="203" t="s">
        <v>3187</v>
      </c>
      <c r="C5" s="203" t="s">
        <v>3194</v>
      </c>
      <c r="D5" s="205" t="s">
        <v>3195</v>
      </c>
      <c r="E5" s="208">
        <v>75</v>
      </c>
      <c r="F5" s="20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203" t="s">
        <v>3186</v>
      </c>
      <c r="B6" s="203" t="s">
        <v>3187</v>
      </c>
      <c r="C6" s="203" t="s">
        <v>3196</v>
      </c>
      <c r="D6" s="205" t="s">
        <v>3197</v>
      </c>
      <c r="E6" s="208">
        <v>80</v>
      </c>
      <c r="F6" s="20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206" t="s">
        <v>3186</v>
      </c>
      <c r="B7" s="206" t="s">
        <v>3187</v>
      </c>
      <c r="C7" s="206" t="s">
        <v>3198</v>
      </c>
      <c r="D7" s="207" t="s">
        <v>3199</v>
      </c>
      <c r="E7" s="208">
        <v>53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206" t="s">
        <v>3186</v>
      </c>
      <c r="B8" s="206" t="s">
        <v>3187</v>
      </c>
      <c r="C8" s="206" t="s">
        <v>3200</v>
      </c>
      <c r="D8" s="207" t="s">
        <v>3201</v>
      </c>
      <c r="E8" s="208">
        <v>53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203" t="s">
        <v>3186</v>
      </c>
      <c r="B9" s="203" t="s">
        <v>3187</v>
      </c>
      <c r="C9" s="203" t="s">
        <v>3202</v>
      </c>
      <c r="D9" s="205" t="s">
        <v>3203</v>
      </c>
      <c r="E9" s="208">
        <v>90</v>
      </c>
      <c r="F9" s="20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203" t="s">
        <v>3186</v>
      </c>
      <c r="B10" s="203" t="s">
        <v>3187</v>
      </c>
      <c r="C10" s="203" t="s">
        <v>3204</v>
      </c>
      <c r="D10" s="205" t="s">
        <v>3205</v>
      </c>
      <c r="E10" s="208">
        <v>95</v>
      </c>
      <c r="F10" s="20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203" t="s">
        <v>3186</v>
      </c>
      <c r="B11" s="203" t="s">
        <v>3187</v>
      </c>
      <c r="C11" s="203" t="s">
        <v>3206</v>
      </c>
      <c r="D11" s="205" t="s">
        <v>3207</v>
      </c>
      <c r="E11" s="208">
        <v>105</v>
      </c>
      <c r="F11" s="20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203" t="s">
        <v>3186</v>
      </c>
      <c r="B12" s="203" t="s">
        <v>3187</v>
      </c>
      <c r="C12" s="203" t="s">
        <v>3208</v>
      </c>
      <c r="D12" s="205" t="s">
        <v>3209</v>
      </c>
      <c r="E12" s="208">
        <v>110</v>
      </c>
      <c r="F12" s="20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203" t="s">
        <v>3186</v>
      </c>
      <c r="B13" s="203" t="s">
        <v>3187</v>
      </c>
      <c r="C13" s="205" t="s">
        <v>3210</v>
      </c>
      <c r="D13" s="205" t="s">
        <v>3211</v>
      </c>
      <c r="E13" s="208">
        <v>115</v>
      </c>
      <c r="F13" s="20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203" t="s">
        <v>3186</v>
      </c>
      <c r="B14" s="203" t="s">
        <v>3187</v>
      </c>
      <c r="C14" s="203" t="s">
        <v>3212</v>
      </c>
      <c r="D14" s="205" t="s">
        <v>3213</v>
      </c>
      <c r="E14" s="208">
        <v>100</v>
      </c>
      <c r="F14" s="20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203" t="s">
        <v>3186</v>
      </c>
      <c r="B15" s="203" t="s">
        <v>3187</v>
      </c>
      <c r="C15" s="203" t="s">
        <v>3214</v>
      </c>
      <c r="D15" s="205" t="s">
        <v>3215</v>
      </c>
      <c r="E15" s="208">
        <v>105</v>
      </c>
      <c r="F15" s="202" t="s">
        <v>2662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203" t="s">
        <v>3186</v>
      </c>
      <c r="B16" s="203" t="s">
        <v>3187</v>
      </c>
      <c r="C16" s="203" t="s">
        <v>3216</v>
      </c>
      <c r="D16" s="205" t="s">
        <v>3217</v>
      </c>
      <c r="E16" s="208">
        <v>120</v>
      </c>
      <c r="F16" s="20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203" t="s">
        <v>3186</v>
      </c>
      <c r="B17" s="203" t="s">
        <v>3187</v>
      </c>
      <c r="C17" s="203" t="s">
        <v>3218</v>
      </c>
      <c r="D17" s="205" t="s">
        <v>3219</v>
      </c>
      <c r="E17" s="208"/>
      <c r="F17" s="20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203" t="s">
        <v>3186</v>
      </c>
      <c r="B18" s="203" t="s">
        <v>3187</v>
      </c>
      <c r="C18" s="203" t="s">
        <v>3220</v>
      </c>
      <c r="D18" s="205" t="s">
        <v>3221</v>
      </c>
      <c r="E18" s="208">
        <v>160</v>
      </c>
      <c r="F18" s="20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203" t="s">
        <v>3186</v>
      </c>
      <c r="B19" s="203" t="s">
        <v>3187</v>
      </c>
      <c r="C19" s="203" t="s">
        <v>3222</v>
      </c>
      <c r="D19" s="205" t="s">
        <v>3223</v>
      </c>
      <c r="E19" s="208">
        <v>170</v>
      </c>
      <c r="F19" s="20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203" t="s">
        <v>3186</v>
      </c>
      <c r="B20" s="203" t="s">
        <v>3187</v>
      </c>
      <c r="C20" s="203" t="s">
        <v>3224</v>
      </c>
      <c r="D20" s="205" t="s">
        <v>3225</v>
      </c>
      <c r="E20" s="208">
        <v>230</v>
      </c>
      <c r="F20" s="20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203" t="s">
        <v>3186</v>
      </c>
      <c r="B21" s="203" t="s">
        <v>3187</v>
      </c>
      <c r="C21" s="203" t="s">
        <v>3226</v>
      </c>
      <c r="D21" s="205" t="s">
        <v>3227</v>
      </c>
      <c r="E21" s="208">
        <v>240</v>
      </c>
      <c r="F21" s="20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203"/>
      <c r="B22" s="203"/>
      <c r="C22" s="203"/>
      <c r="D22" s="205"/>
      <c r="E22" s="208"/>
      <c r="F22" s="20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203" t="s">
        <v>3186</v>
      </c>
      <c r="B23" s="203" t="s">
        <v>3228</v>
      </c>
      <c r="C23" s="203" t="s">
        <v>3229</v>
      </c>
      <c r="D23" s="205" t="s">
        <v>3230</v>
      </c>
      <c r="E23" s="208">
        <v>40</v>
      </c>
      <c r="F23" s="20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203" t="s">
        <v>3186</v>
      </c>
      <c r="B24" s="203" t="s">
        <v>3228</v>
      </c>
      <c r="C24" s="203" t="s">
        <v>3231</v>
      </c>
      <c r="D24" s="205" t="s">
        <v>3232</v>
      </c>
      <c r="E24" s="208">
        <v>55</v>
      </c>
      <c r="F24" s="20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203" t="s">
        <v>3186</v>
      </c>
      <c r="B25" s="203" t="s">
        <v>3228</v>
      </c>
      <c r="C25" s="203" t="s">
        <v>3233</v>
      </c>
      <c r="D25" s="205" t="s">
        <v>3234</v>
      </c>
      <c r="E25" s="208">
        <v>45</v>
      </c>
      <c r="F25" s="20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203"/>
      <c r="B26" s="203"/>
      <c r="C26" s="203"/>
      <c r="D26" s="205"/>
      <c r="E26" s="208"/>
      <c r="F26" s="20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203" t="s">
        <v>3186</v>
      </c>
      <c r="B27" s="203" t="s">
        <v>3235</v>
      </c>
      <c r="C27" s="203" t="s">
        <v>3236</v>
      </c>
      <c r="D27" s="205" t="s">
        <v>3237</v>
      </c>
      <c r="E27" s="208"/>
      <c r="F27" s="20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203" t="s">
        <v>3186</v>
      </c>
      <c r="B28" s="203" t="s">
        <v>3235</v>
      </c>
      <c r="C28" s="203" t="s">
        <v>3238</v>
      </c>
      <c r="D28" s="205" t="s">
        <v>3239</v>
      </c>
      <c r="E28" s="208"/>
      <c r="F28" s="20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203" t="s">
        <v>3186</v>
      </c>
      <c r="B29" s="203" t="s">
        <v>3235</v>
      </c>
      <c r="C29" s="203" t="s">
        <v>3240</v>
      </c>
      <c r="D29" s="205" t="s">
        <v>3241</v>
      </c>
      <c r="E29" s="208">
        <v>90</v>
      </c>
      <c r="F29" s="20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203" t="s">
        <v>3186</v>
      </c>
      <c r="B30" s="203" t="s">
        <v>3235</v>
      </c>
      <c r="C30" s="203" t="s">
        <v>3242</v>
      </c>
      <c r="D30" s="205" t="s">
        <v>3243</v>
      </c>
      <c r="E30" s="208">
        <v>90</v>
      </c>
      <c r="F30" s="20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203" t="s">
        <v>3186</v>
      </c>
      <c r="B31" s="203" t="s">
        <v>3235</v>
      </c>
      <c r="C31" s="203" t="s">
        <v>3244</v>
      </c>
      <c r="D31" s="205" t="s">
        <v>3245</v>
      </c>
      <c r="E31" s="208">
        <v>85</v>
      </c>
      <c r="F31" s="20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203" t="s">
        <v>3186</v>
      </c>
      <c r="B32" s="203" t="s">
        <v>3235</v>
      </c>
      <c r="C32" s="203" t="s">
        <v>3246</v>
      </c>
      <c r="D32" s="205" t="s">
        <v>3247</v>
      </c>
      <c r="E32" s="208">
        <v>85</v>
      </c>
      <c r="F32" s="20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203" t="s">
        <v>3186</v>
      </c>
      <c r="B33" s="203" t="s">
        <v>3235</v>
      </c>
      <c r="C33" s="203" t="s">
        <v>3248</v>
      </c>
      <c r="D33" s="205" t="s">
        <v>3249</v>
      </c>
      <c r="E33" s="208">
        <v>90</v>
      </c>
      <c r="F33" s="202" t="s">
        <v>2779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203" t="s">
        <v>3186</v>
      </c>
      <c r="B34" s="203" t="s">
        <v>3235</v>
      </c>
      <c r="C34" s="203" t="s">
        <v>3250</v>
      </c>
      <c r="D34" s="205" t="s">
        <v>3251</v>
      </c>
      <c r="E34" s="208">
        <v>90</v>
      </c>
      <c r="F34" s="202" t="s">
        <v>2662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203" t="s">
        <v>3186</v>
      </c>
      <c r="B35" s="203" t="s">
        <v>3235</v>
      </c>
      <c r="C35" s="203" t="s">
        <v>3252</v>
      </c>
      <c r="D35" s="205" t="s">
        <v>3253</v>
      </c>
      <c r="E35" s="208">
        <v>70</v>
      </c>
      <c r="F35" s="20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203" t="s">
        <v>3186</v>
      </c>
      <c r="B36" s="203" t="s">
        <v>3235</v>
      </c>
      <c r="C36" s="203" t="s">
        <v>3254</v>
      </c>
      <c r="D36" s="205" t="s">
        <v>3255</v>
      </c>
      <c r="E36" s="208">
        <v>70</v>
      </c>
      <c r="F36" s="20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203" t="s">
        <v>3186</v>
      </c>
      <c r="B37" s="203" t="s">
        <v>3235</v>
      </c>
      <c r="C37" s="203" t="s">
        <v>3256</v>
      </c>
      <c r="D37" s="205" t="s">
        <v>3257</v>
      </c>
      <c r="E37" s="208">
        <v>24</v>
      </c>
      <c r="F37" s="20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203" t="s">
        <v>3186</v>
      </c>
      <c r="B38" s="203" t="s">
        <v>3235</v>
      </c>
      <c r="C38" s="203" t="s">
        <v>3258</v>
      </c>
      <c r="D38" s="205" t="s">
        <v>3259</v>
      </c>
      <c r="E38" s="208">
        <v>24</v>
      </c>
      <c r="F38" s="202" t="s">
        <v>2779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203" t="s">
        <v>3186</v>
      </c>
      <c r="B39" s="203" t="s">
        <v>3235</v>
      </c>
      <c r="C39" s="203" t="s">
        <v>3260</v>
      </c>
      <c r="D39" s="205" t="s">
        <v>3261</v>
      </c>
      <c r="E39" s="208"/>
      <c r="F39" s="20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203" t="s">
        <v>3186</v>
      </c>
      <c r="B40" s="203" t="s">
        <v>3235</v>
      </c>
      <c r="C40" s="203" t="s">
        <v>3262</v>
      </c>
      <c r="D40" s="205" t="s">
        <v>3263</v>
      </c>
      <c r="E40" s="208"/>
      <c r="F40" s="20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203" t="s">
        <v>3186</v>
      </c>
      <c r="B41" s="203" t="s">
        <v>3235</v>
      </c>
      <c r="C41" s="203" t="s">
        <v>3264</v>
      </c>
      <c r="D41" s="205" t="s">
        <v>3265</v>
      </c>
      <c r="E41" s="208">
        <v>27</v>
      </c>
      <c r="F41" s="20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203" t="s">
        <v>3186</v>
      </c>
      <c r="B42" s="203" t="s">
        <v>3235</v>
      </c>
      <c r="C42" s="203" t="s">
        <v>3266</v>
      </c>
      <c r="D42" s="205" t="s">
        <v>3267</v>
      </c>
      <c r="E42" s="208">
        <v>27</v>
      </c>
      <c r="F42" s="20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203" t="s">
        <v>3186</v>
      </c>
      <c r="B43" s="203" t="s">
        <v>3235</v>
      </c>
      <c r="C43" s="203" t="s">
        <v>3268</v>
      </c>
      <c r="D43" s="205" t="s">
        <v>3269</v>
      </c>
      <c r="E43" s="208">
        <v>30</v>
      </c>
      <c r="F43" s="20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203" t="s">
        <v>3186</v>
      </c>
      <c r="B44" s="203" t="s">
        <v>3235</v>
      </c>
      <c r="C44" s="203" t="s">
        <v>3270</v>
      </c>
      <c r="D44" s="205" t="s">
        <v>3271</v>
      </c>
      <c r="E44" s="208">
        <v>95</v>
      </c>
      <c r="F44" s="20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203" t="s">
        <v>3186</v>
      </c>
      <c r="B45" s="203" t="s">
        <v>3235</v>
      </c>
      <c r="C45" s="203" t="s">
        <v>3272</v>
      </c>
      <c r="D45" s="205" t="s">
        <v>3273</v>
      </c>
      <c r="E45" s="208">
        <v>30</v>
      </c>
      <c r="F45" s="20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203" t="s">
        <v>3186</v>
      </c>
      <c r="B46" s="203" t="s">
        <v>3235</v>
      </c>
      <c r="C46" s="203" t="s">
        <v>3274</v>
      </c>
      <c r="D46" s="205" t="s">
        <v>3275</v>
      </c>
      <c r="E46" s="208">
        <v>95</v>
      </c>
      <c r="F46" s="20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>
      <c r="A47" s="203" t="s">
        <v>3186</v>
      </c>
      <c r="B47" s="203" t="s">
        <v>3235</v>
      </c>
      <c r="C47" s="203" t="s">
        <v>3276</v>
      </c>
      <c r="D47" s="205" t="s">
        <v>3277</v>
      </c>
      <c r="E47" s="208">
        <v>30</v>
      </c>
      <c r="F47" s="20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>
      <c r="A48" s="203" t="s">
        <v>3186</v>
      </c>
      <c r="B48" s="203" t="s">
        <v>3235</v>
      </c>
      <c r="C48" s="203" t="s">
        <v>3278</v>
      </c>
      <c r="D48" s="205" t="s">
        <v>3279</v>
      </c>
      <c r="E48" s="208">
        <v>95</v>
      </c>
      <c r="F48" s="20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>
      <c r="A49" s="203" t="s">
        <v>3186</v>
      </c>
      <c r="B49" s="203" t="s">
        <v>3235</v>
      </c>
      <c r="C49" s="203" t="s">
        <v>3280</v>
      </c>
      <c r="D49" s="205" t="s">
        <v>3281</v>
      </c>
      <c r="E49" s="208">
        <v>30</v>
      </c>
      <c r="F49" s="20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>
      <c r="A50" s="203" t="s">
        <v>3186</v>
      </c>
      <c r="B50" s="203" t="s">
        <v>3235</v>
      </c>
      <c r="C50" s="203" t="s">
        <v>3282</v>
      </c>
      <c r="D50" s="205" t="s">
        <v>3283</v>
      </c>
      <c r="E50" s="208">
        <v>95</v>
      </c>
      <c r="F50" s="20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>
      <c r="A51" s="203" t="s">
        <v>3186</v>
      </c>
      <c r="B51" s="203" t="s">
        <v>3235</v>
      </c>
      <c r="C51" s="203" t="s">
        <v>3284</v>
      </c>
      <c r="D51" s="205" t="s">
        <v>3285</v>
      </c>
      <c r="E51" s="208">
        <v>135</v>
      </c>
      <c r="F51" s="20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>
      <c r="A52" s="203" t="s">
        <v>3186</v>
      </c>
      <c r="B52" s="203" t="s">
        <v>3235</v>
      </c>
      <c r="C52" s="203" t="s">
        <v>3286</v>
      </c>
      <c r="D52" s="205" t="s">
        <v>3287</v>
      </c>
      <c r="E52" s="208">
        <v>135</v>
      </c>
      <c r="F52" s="20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>
      <c r="A53" s="203" t="s">
        <v>3186</v>
      </c>
      <c r="B53" s="203" t="s">
        <v>3235</v>
      </c>
      <c r="C53" s="203" t="s">
        <v>3288</v>
      </c>
      <c r="D53" s="205" t="s">
        <v>3289</v>
      </c>
      <c r="E53" s="208">
        <v>135</v>
      </c>
      <c r="F53" s="20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>
      <c r="A54" s="203" t="s">
        <v>3186</v>
      </c>
      <c r="B54" s="203" t="s">
        <v>3235</v>
      </c>
      <c r="C54" s="203" t="s">
        <v>3290</v>
      </c>
      <c r="D54" s="205" t="s">
        <v>3291</v>
      </c>
      <c r="E54" s="208">
        <v>135</v>
      </c>
      <c r="F54" s="20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>
      <c r="A55" s="203"/>
      <c r="B55" s="203"/>
      <c r="C55" s="203"/>
      <c r="D55" s="205"/>
      <c r="E55" s="208"/>
      <c r="F55" s="20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>
      <c r="A56" s="203" t="s">
        <v>3186</v>
      </c>
      <c r="B56" s="203" t="s">
        <v>3292</v>
      </c>
      <c r="C56" s="203" t="s">
        <v>3293</v>
      </c>
      <c r="D56" s="205" t="s">
        <v>3294</v>
      </c>
      <c r="E56" s="208">
        <v>100</v>
      </c>
      <c r="F56" s="202" t="s">
        <v>2718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>
      <c r="A57" s="203" t="s">
        <v>3186</v>
      </c>
      <c r="B57" s="203" t="s">
        <v>3292</v>
      </c>
      <c r="C57" s="203" t="s">
        <v>3295</v>
      </c>
      <c r="D57" s="205" t="s">
        <v>3296</v>
      </c>
      <c r="E57" s="208">
        <v>100</v>
      </c>
      <c r="F57" s="202" t="s">
        <v>2718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>
      <c r="A58" s="203" t="s">
        <v>3186</v>
      </c>
      <c r="B58" s="203" t="s">
        <v>3292</v>
      </c>
      <c r="C58" s="203" t="s">
        <v>3297</v>
      </c>
      <c r="D58" s="281" t="s">
        <v>3298</v>
      </c>
      <c r="E58" s="208">
        <v>155</v>
      </c>
      <c r="F58" s="20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>
      <c r="A59" s="203" t="s">
        <v>3186</v>
      </c>
      <c r="B59" s="203" t="s">
        <v>3292</v>
      </c>
      <c r="C59" s="203" t="s">
        <v>3299</v>
      </c>
      <c r="D59" s="281" t="s">
        <v>3300</v>
      </c>
      <c r="E59" s="208">
        <v>155</v>
      </c>
      <c r="F59" s="20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>
      <c r="A60" s="203" t="s">
        <v>3186</v>
      </c>
      <c r="B60" s="203" t="s">
        <v>3292</v>
      </c>
      <c r="C60" s="203" t="s">
        <v>3301</v>
      </c>
      <c r="D60" s="281" t="s">
        <v>3302</v>
      </c>
      <c r="E60" s="208">
        <v>170</v>
      </c>
      <c r="F60" s="28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>
      <c r="A61" s="203" t="s">
        <v>3186</v>
      </c>
      <c r="B61" s="203" t="s">
        <v>3292</v>
      </c>
      <c r="C61" s="203" t="s">
        <v>3303</v>
      </c>
      <c r="D61" s="281" t="s">
        <v>3302</v>
      </c>
      <c r="E61" s="208">
        <v>170</v>
      </c>
      <c r="F61" s="282" t="s">
        <v>2977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>
      <c r="A62" s="203" t="s">
        <v>3186</v>
      </c>
      <c r="B62" s="203" t="s">
        <v>3292</v>
      </c>
      <c r="C62" s="203" t="s">
        <v>3304</v>
      </c>
      <c r="D62" s="281" t="s">
        <v>3305</v>
      </c>
      <c r="E62" s="208">
        <v>230</v>
      </c>
      <c r="F62" s="20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>
      <c r="A63" s="203" t="s">
        <v>3186</v>
      </c>
      <c r="B63" s="203" t="s">
        <v>3292</v>
      </c>
      <c r="C63" s="203" t="s">
        <v>3306</v>
      </c>
      <c r="D63" s="281" t="s">
        <v>3307</v>
      </c>
      <c r="E63" s="208">
        <v>230</v>
      </c>
      <c r="F63" s="20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>
      <c r="A64" s="203"/>
      <c r="B64" s="203"/>
      <c r="C64" s="203"/>
      <c r="D64" s="205"/>
      <c r="E64" s="208"/>
      <c r="F64" s="20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>
      <c r="A65" s="203" t="s">
        <v>3186</v>
      </c>
      <c r="B65" s="203" t="s">
        <v>3308</v>
      </c>
      <c r="C65" s="203" t="s">
        <v>3309</v>
      </c>
      <c r="D65" s="205" t="s">
        <v>3310</v>
      </c>
      <c r="E65" s="208">
        <v>120</v>
      </c>
      <c r="F65" s="20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>
      <c r="A66" s="203" t="s">
        <v>3186</v>
      </c>
      <c r="B66" s="203" t="s">
        <v>3308</v>
      </c>
      <c r="C66" s="203" t="s">
        <v>3309</v>
      </c>
      <c r="D66" s="205" t="s">
        <v>3311</v>
      </c>
      <c r="E66" s="208"/>
      <c r="F66" s="20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>
      <c r="A67" s="203" t="s">
        <v>3186</v>
      </c>
      <c r="B67" s="203" t="s">
        <v>3308</v>
      </c>
      <c r="C67" s="203" t="s">
        <v>3312</v>
      </c>
      <c r="D67" s="205" t="s">
        <v>3313</v>
      </c>
      <c r="E67" s="208">
        <v>140</v>
      </c>
      <c r="F67" s="20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>
      <c r="A68" s="203" t="s">
        <v>3186</v>
      </c>
      <c r="B68" s="203" t="s">
        <v>3308</v>
      </c>
      <c r="C68" s="203" t="s">
        <v>3314</v>
      </c>
      <c r="D68" s="205" t="s">
        <v>3315</v>
      </c>
      <c r="E68" s="208">
        <v>140</v>
      </c>
      <c r="F68" s="20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>
      <c r="A69" s="203"/>
      <c r="B69" s="203"/>
      <c r="C69" s="203"/>
      <c r="D69" s="205"/>
      <c r="E69" s="208"/>
      <c r="F69" s="20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>
      <c r="A70" s="203" t="s">
        <v>3186</v>
      </c>
      <c r="B70" s="203" t="s">
        <v>3316</v>
      </c>
      <c r="C70" s="203" t="s">
        <v>3317</v>
      </c>
      <c r="D70" s="205" t="s">
        <v>3318</v>
      </c>
      <c r="E70" s="208">
        <v>60</v>
      </c>
      <c r="F70" s="20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>
      <c r="A71" s="203" t="s">
        <v>3186</v>
      </c>
      <c r="B71" s="203" t="s">
        <v>3316</v>
      </c>
      <c r="C71" s="203" t="s">
        <v>3319</v>
      </c>
      <c r="D71" s="205" t="s">
        <v>3320</v>
      </c>
      <c r="E71" s="208">
        <v>60</v>
      </c>
      <c r="F71" s="20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>
      <c r="A72" s="203" t="s">
        <v>3186</v>
      </c>
      <c r="B72" s="203" t="s">
        <v>3316</v>
      </c>
      <c r="C72" s="203" t="s">
        <v>3321</v>
      </c>
      <c r="D72" s="205" t="s">
        <v>3322</v>
      </c>
      <c r="E72" s="208">
        <v>60</v>
      </c>
      <c r="F72" s="20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>
      <c r="A73" s="1"/>
      <c r="B73" s="1"/>
      <c r="C73" s="1"/>
      <c r="D73" s="1"/>
      <c r="E73" s="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>
      <c r="A74" s="1"/>
      <c r="B74" s="1"/>
      <c r="C74" s="1"/>
      <c r="D74" s="1"/>
      <c r="E74" s="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>
      <c r="A75" s="1"/>
      <c r="B75" s="1"/>
      <c r="C75" s="1"/>
      <c r="D75" s="1"/>
      <c r="E75" s="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>
      <c r="A76" s="1"/>
      <c r="B76" s="1"/>
      <c r="C76" s="1"/>
      <c r="D76" s="1"/>
      <c r="E76" s="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>
      <c r="A77" s="1"/>
      <c r="B77" s="1"/>
      <c r="C77" s="1"/>
      <c r="D77" s="1"/>
      <c r="E77" s="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>
      <c r="A78" s="1"/>
      <c r="B78" s="1"/>
      <c r="C78" s="1"/>
      <c r="D78" s="1"/>
      <c r="E78" s="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>
      <c r="A79" s="1"/>
      <c r="B79" s="1"/>
      <c r="C79" s="1"/>
      <c r="D79" s="1"/>
      <c r="E79" s="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>
      <c r="A80" s="1"/>
      <c r="B80" s="1"/>
      <c r="C80" s="1"/>
      <c r="D80" s="1"/>
      <c r="E80" s="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>
      <c r="A81" s="1"/>
      <c r="B81" s="1"/>
      <c r="C81" s="1"/>
      <c r="D81" s="1"/>
      <c r="E81" s="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>
      <c r="A82" s="1"/>
      <c r="B82" s="1"/>
      <c r="C82" s="1"/>
      <c r="D82" s="1"/>
      <c r="E82" s="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>
      <c r="A83" s="1"/>
      <c r="B83" s="1"/>
      <c r="C83" s="1"/>
      <c r="D83" s="1"/>
      <c r="E83" s="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>
      <c r="A84" s="1"/>
      <c r="B84" s="1"/>
      <c r="C84" s="1"/>
      <c r="D84" s="1"/>
      <c r="E84" s="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>
      <c r="A85" s="1"/>
      <c r="B85" s="1"/>
      <c r="C85" s="1"/>
      <c r="D85" s="1"/>
      <c r="E85" s="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>
      <c r="A86" s="1"/>
      <c r="B86" s="1"/>
      <c r="C86" s="1"/>
      <c r="D86" s="1"/>
      <c r="E86" s="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>
      <c r="A87" s="1"/>
      <c r="B87" s="1"/>
      <c r="C87" s="1"/>
      <c r="D87" s="1"/>
      <c r="E87" s="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>
      <c r="A88" s="1"/>
      <c r="B88" s="1"/>
      <c r="C88" s="1"/>
      <c r="D88" s="1"/>
      <c r="E88" s="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>
      <c r="A89" s="1"/>
      <c r="B89" s="1"/>
      <c r="C89" s="1"/>
      <c r="D89" s="1"/>
      <c r="E89" s="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>
      <c r="A90" s="1"/>
      <c r="B90" s="1"/>
      <c r="C90" s="1"/>
      <c r="D90" s="1"/>
      <c r="E90" s="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customHeight="1">
      <c r="A91" s="1"/>
      <c r="B91" s="1"/>
      <c r="C91" s="1"/>
      <c r="D91" s="1"/>
      <c r="E91" s="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customHeight="1">
      <c r="A92" s="1"/>
      <c r="B92" s="1"/>
      <c r="C92" s="1"/>
      <c r="D92" s="1"/>
      <c r="E92" s="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customHeight="1">
      <c r="A93" s="1"/>
      <c r="B93" s="1"/>
      <c r="C93" s="1"/>
      <c r="D93" s="1"/>
      <c r="E93" s="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customHeight="1">
      <c r="A94" s="1"/>
      <c r="B94" s="1"/>
      <c r="C94" s="1"/>
      <c r="D94" s="1"/>
      <c r="E94" s="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customHeight="1">
      <c r="A95" s="1"/>
      <c r="B95" s="1"/>
      <c r="C95" s="1"/>
      <c r="D95" s="1"/>
      <c r="E95" s="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customHeight="1">
      <c r="A96" s="1"/>
      <c r="B96" s="1"/>
      <c r="C96" s="1"/>
      <c r="D96" s="1"/>
      <c r="E96" s="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customHeight="1">
      <c r="A97" s="1"/>
      <c r="B97" s="1"/>
      <c r="C97" s="1"/>
      <c r="D97" s="1"/>
      <c r="E97" s="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customHeight="1">
      <c r="A98" s="1"/>
      <c r="B98" s="1"/>
      <c r="C98" s="1"/>
      <c r="D98" s="1"/>
      <c r="E98" s="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customHeight="1">
      <c r="A99" s="1"/>
      <c r="B99" s="1"/>
      <c r="C99" s="1"/>
      <c r="D99" s="1"/>
      <c r="E99" s="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customHeight="1">
      <c r="A100" s="1"/>
      <c r="B100" s="1"/>
      <c r="C100" s="1"/>
      <c r="D100" s="1"/>
      <c r="E100" s="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E1"/>
  </mergeCells>
  <pageMargins left="0.7" right="0.7" top="0.75" bottom="0.75" header="0" footer="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50"/>
  <sheetViews>
    <sheetView workbookViewId="0"/>
  </sheetViews>
  <sheetFormatPr defaultColWidth="14.3984375" defaultRowHeight="15" customHeight="1"/>
  <cols>
    <col min="1" max="1" width="14.265625" customWidth="1"/>
    <col min="2" max="2" width="75" customWidth="1"/>
    <col min="3" max="3" width="6.265625" hidden="1" customWidth="1"/>
    <col min="4" max="4" width="8.73046875" customWidth="1"/>
    <col min="5" max="5" width="4.86328125" customWidth="1"/>
    <col min="6" max="6" width="3.86328125" customWidth="1"/>
    <col min="7" max="7" width="50.265625" customWidth="1"/>
    <col min="8" max="25" width="8.73046875" customWidth="1"/>
  </cols>
  <sheetData>
    <row r="1" spans="1:26" ht="36" customHeight="1">
      <c r="A1" s="442" t="str">
        <f ca="1">IFERROR(__xludf.DUMMYFUNCTION("IFERROR(LET(
  angle,     REGEXEXTRACT(B1, ""&lt;([^&gt;]+)&gt;""),
  round,     REGEXEXTRACT(B1,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B1" s="408"/>
      <c r="C1" s="408"/>
      <c r="D1" s="40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283" t="s">
        <v>3323</v>
      </c>
      <c r="B2" s="284" t="s">
        <v>3324</v>
      </c>
      <c r="C2" s="254" t="str">
        <f ca="1">IFERROR(__xludf.DUMMYFUNCTION("IFERROR(LET(
  angle,     REGEXEXTRACT(B2, ""&lt;([^&gt;]+)&gt;""),
  round,     REGEXEXTRACT(B2,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"""")"),"FSP550-51AAC")</f>
        <v>FSP550-51AAC</v>
      </c>
      <c r="D2" s="254">
        <v>33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283" t="s">
        <v>3323</v>
      </c>
      <c r="B3" s="285" t="s">
        <v>3325</v>
      </c>
      <c r="C3" s="254" t="str">
        <f ca="1">IFERROR(__xludf.DUMMYFUNCTION("IFERROR(LET(
  angle,     REGEXEXTRACT(B3, ""&lt;([^&gt;]+)&gt;""),
  round,     REGEXEXTRACT(B3,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"""")"),"FSP650-51AAC")</f>
        <v>FSP650-51AAC</v>
      </c>
      <c r="D3" s="254">
        <v>41</v>
      </c>
      <c r="E3" s="1"/>
      <c r="F3" s="1"/>
      <c r="G3" s="24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283" t="s">
        <v>3323</v>
      </c>
      <c r="B4" s="286" t="s">
        <v>3326</v>
      </c>
      <c r="C4" s="254" t="str">
        <f ca="1">IFERROR(__xludf.DUMMYFUNCTION("IFERROR(LET(
  angle,     REGEXEXTRACT(B4, ""&lt;([^&gt;]+)&gt;""),
  round,     REGEXEXTRACT(B4,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"""")"),"HP2-600")</f>
        <v>HP2-600</v>
      </c>
      <c r="D4" s="254"/>
      <c r="E4" s="1"/>
      <c r="F4" s="1"/>
      <c r="G4" s="24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283" t="s">
        <v>3323</v>
      </c>
      <c r="B5" s="286" t="s">
        <v>3327</v>
      </c>
      <c r="C5" s="254" t="str">
        <f ca="1">IFERROR(__xludf.DUMMYFUNCTION("IFERROR(LET(
  angle,     REGEXEXTRACT(B5, ""&lt;([^&gt;]+)&gt;""),
  round,     REGEXEXTRACT(B5,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"""")"),"HA2-650")</f>
        <v>HA2-650</v>
      </c>
      <c r="D5" s="254"/>
      <c r="E5" s="1"/>
      <c r="F5" s="1"/>
      <c r="G5" s="24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283" t="s">
        <v>3323</v>
      </c>
      <c r="B6" s="287" t="s">
        <v>3328</v>
      </c>
      <c r="C6" s="254" t="str">
        <f ca="1">IFERROR(__xludf.DUMMYFUNCTION("IFERROR(LET(
  angle,     REGEXEXTRACT(B6, ""&lt;([^&gt;]+)&gt;""),
  round,     REGEXEXTRACT(B6,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D6" s="254">
        <v>70</v>
      </c>
      <c r="E6" s="1"/>
      <c r="F6" s="1"/>
      <c r="G6" s="24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283" t="s">
        <v>3323</v>
      </c>
      <c r="B7" s="286" t="s">
        <v>3329</v>
      </c>
      <c r="C7" s="254" t="str">
        <f ca="1">IFERROR(__xludf.DUMMYFUNCTION("IFERROR(LET(
  angle,     REGEXEXTRACT(B7, ""&lt;([^&gt;]+)&gt;""),
  round,     REGEXEXTRACT(B7,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"""")"),"HP2-700")</f>
        <v>HP2-700</v>
      </c>
      <c r="D7" s="254"/>
      <c r="E7" s="1"/>
      <c r="F7" s="1"/>
      <c r="G7" s="24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283" t="s">
        <v>3323</v>
      </c>
      <c r="B8" s="286" t="s">
        <v>3330</v>
      </c>
      <c r="C8" s="254" t="str">
        <f ca="1">IFERROR(__xludf.DUMMYFUNCTION("IFERROR(LET(
  angle,     REGEXEXTRACT(B8, ""&lt;([^&gt;]+)&gt;""),
  round,     REGEXEXTRACT(B8,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"""")"),"HP2-800")</f>
        <v>HP2-800</v>
      </c>
      <c r="D8" s="254">
        <v>80</v>
      </c>
      <c r="E8" s="1"/>
      <c r="F8" s="1"/>
      <c r="G8" s="24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283" t="s">
        <v>3323</v>
      </c>
      <c r="B9" s="287" t="s">
        <v>3331</v>
      </c>
      <c r="C9" s="254" t="s">
        <v>3332</v>
      </c>
      <c r="D9" s="254">
        <v>83</v>
      </c>
      <c r="E9" s="1"/>
      <c r="F9" s="1"/>
      <c r="G9" s="24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283" t="s">
        <v>3323</v>
      </c>
      <c r="B10" s="286" t="s">
        <v>3333</v>
      </c>
      <c r="C10" s="254" t="str">
        <f ca="1">IFERROR(__xludf.DUMMYFUNCTION("IFERROR(LET(
  angle,     REGEXEXTRACT(B10, ""&lt;([^&gt;]+)&gt;""),
  round,     REGEXEXTRACT(B10,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"""")"),"HP2-800M")</f>
        <v>HP2-800M</v>
      </c>
      <c r="D10" s="254"/>
      <c r="E10" s="1"/>
      <c r="F10" s="1"/>
      <c r="G10" s="24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283" t="s">
        <v>3323</v>
      </c>
      <c r="B11" s="286" t="s">
        <v>3334</v>
      </c>
      <c r="C11" s="254" t="str">
        <f ca="1">IFERROR(__xludf.DUMMYFUNCTION("IFERROR(LET(
  angle,     REGEXEXTRACT(B11, ""&lt;([^&gt;]+)&gt;""),
  round,     REGEXEXTRACT(B11,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"""")"),"HA2-850")</f>
        <v>HA2-850</v>
      </c>
      <c r="D11" s="288">
        <v>90</v>
      </c>
      <c r="E11" s="1" t="s">
        <v>1961</v>
      </c>
      <c r="F11" s="1"/>
      <c r="G11" s="24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283" t="s">
        <v>3323</v>
      </c>
      <c r="B12" s="286" t="s">
        <v>3335</v>
      </c>
      <c r="C12" s="254" t="str">
        <f ca="1">IFERROR(__xludf.DUMMYFUNCTION("IFERROR(LET(
  angle,     REGEXEXTRACT(B12, ""&lt;([^&gt;]+)&gt;""),
  round,     REGEXEXTRACT(B12,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"""")"),"SDA2-750")</f>
        <v>SDA2-750</v>
      </c>
      <c r="D12" s="254">
        <v>130</v>
      </c>
      <c r="E12" s="1" t="s">
        <v>1961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283" t="s">
        <v>3323</v>
      </c>
      <c r="B13" s="286" t="s">
        <v>3336</v>
      </c>
      <c r="C13" s="254" t="str">
        <f ca="1">IFERROR(__xludf.DUMMYFUNCTION("IFERROR(LET(
  angle,     REGEXEXTRACT(B13, ""&lt;([^&gt;]+)&gt;""),
  round,     REGEXEXTRACT(B13,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"""")"),"HG2-750")</f>
        <v>HG2-750</v>
      </c>
      <c r="D13" s="254">
        <v>115</v>
      </c>
      <c r="E13" s="1" t="s">
        <v>1961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283" t="s">
        <v>3323</v>
      </c>
      <c r="B14" s="286" t="s">
        <v>3337</v>
      </c>
      <c r="C14" s="254" t="str">
        <f ca="1">IFERROR(__xludf.DUMMYFUNCTION("IFERROR(LET(
  angle,     REGEXEXTRACT(B14, ""&lt;([^&gt;]+)&gt;""),
  round,     REGEXEXTRACT(B14,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"""")"),"HG2-850")</f>
        <v>HG2-850</v>
      </c>
      <c r="D14" s="254">
        <v>140</v>
      </c>
      <c r="E14" s="1" t="s">
        <v>1961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283" t="s">
        <v>3323</v>
      </c>
      <c r="B15" s="286" t="s">
        <v>3338</v>
      </c>
      <c r="C15" s="254" t="str">
        <f ca="1">IFERROR(__xludf.DUMMYFUNCTION("IFERROR(LET(
  angle,     REGEXEXTRACT(B15, ""&lt;([^&gt;]+)&gt;""),
  round,     REGEXEXTRACT(B15,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"""")"),"HG2-850")</f>
        <v>HG2-850</v>
      </c>
      <c r="D15" s="254">
        <v>150</v>
      </c>
      <c r="E15" s="1" t="s">
        <v>1961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283" t="s">
        <v>3323</v>
      </c>
      <c r="B16" s="286" t="s">
        <v>3339</v>
      </c>
      <c r="C16" s="254" t="str">
        <f ca="1">IFERROR(__xludf.DUMMYFUNCTION("IFERROR(LET(
  angle,     REGEXEXTRACT(B16, ""&lt;([^&gt;]+)&gt;""),
  round,     REGEXEXTRACT(B16,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"""")"),"HG2-1000")</f>
        <v>HG2-1000</v>
      </c>
      <c r="D16" s="254">
        <v>170</v>
      </c>
      <c r="E16" s="1" t="s">
        <v>2662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283" t="s">
        <v>3323</v>
      </c>
      <c r="B17" s="286" t="s">
        <v>3340</v>
      </c>
      <c r="C17" s="254" t="str">
        <f ca="1">IFERROR(__xludf.DUMMYFUNCTION("IFERROR(LET(
  angle,     REGEXEXTRACT(B17, ""&lt;([^&gt;]+)&gt;""),
  round,     REGEXEXTRACT(B17,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"""")"),"HG2-1200-G5T")</f>
        <v>HG2-1200-G5T</v>
      </c>
      <c r="D17" s="254">
        <v>195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283" t="s">
        <v>3323</v>
      </c>
      <c r="B18" s="286" t="s">
        <v>3341</v>
      </c>
      <c r="C18" s="254" t="str">
        <f ca="1">IFERROR(__xludf.DUMMYFUNCTION("IFERROR(LET(
  angle,     REGEXEXTRACT(B18, ""&lt;([^&gt;]+)&gt;""),
  round,     REGEXEXTRACT(B18,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"""")"),"HPT2-1000M")</f>
        <v>HPT2-1000M</v>
      </c>
      <c r="D18" s="254">
        <v>210</v>
      </c>
      <c r="E18" s="1" t="s">
        <v>1961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283" t="s">
        <v>3323</v>
      </c>
      <c r="B19" s="287" t="s">
        <v>3342</v>
      </c>
      <c r="C19" s="254" t="s">
        <v>3343</v>
      </c>
      <c r="D19" s="254">
        <v>280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283"/>
      <c r="B20" s="289"/>
      <c r="C20" s="254" t="str">
        <f ca="1">IFERROR(__xludf.DUMMYFUNCTION("IFERROR(LET(
  angle,     REGEXEXTRACT(B20, ""&lt;([^&gt;]+)&gt;""),
  round,     REGEXEXTRACT(B20,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20" s="25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283" t="s">
        <v>3187</v>
      </c>
      <c r="B21" s="290" t="s">
        <v>3344</v>
      </c>
      <c r="C21" s="254" t="str">
        <f ca="1">IFERROR(__xludf.DUMMYFUNCTION("IFERROR(LET(
  angle,     REGEXEXTRACT(B21, ""&lt;([^&gt;]+)&gt;""),
  round,     REGEXEXTRACT(B21,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21" s="254">
        <v>32</v>
      </c>
      <c r="E21" s="1" t="s">
        <v>2718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291" t="s">
        <v>3187</v>
      </c>
      <c r="B22" s="238" t="s">
        <v>3345</v>
      </c>
      <c r="C22" s="254" t="str">
        <f ca="1">IFERROR(__xludf.DUMMYFUNCTION("IFERROR(LET(
  angle,     REGEXEXTRACT(B22, ""&lt;([^&gt;]+)&gt;""),
  round,     REGEXEXTRACT(B22,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22" s="254">
        <v>28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283" t="s">
        <v>3187</v>
      </c>
      <c r="B23" s="289" t="s">
        <v>3346</v>
      </c>
      <c r="C23" s="254" t="str">
        <f ca="1">IFERROR(__xludf.DUMMYFUNCTION("IFERROR(LET(
  angle,     REGEXEXTRACT(B23, ""&lt;([^&gt;]+)&gt;""),
  round,     REGEXEXTRACT(B23,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23" s="254">
        <v>35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291" t="s">
        <v>3187</v>
      </c>
      <c r="B24" s="292" t="s">
        <v>3347</v>
      </c>
      <c r="C24" s="254" t="str">
        <f ca="1">IFERROR(__xludf.DUMMYFUNCTION("IFERROR(LET(
  angle,     REGEXEXTRACT(B24, ""&lt;([^&gt;]+)&gt;""),
  round,     REGEXEXTRACT(B24,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24" s="288">
        <v>32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283" t="s">
        <v>3187</v>
      </c>
      <c r="B25" s="289" t="s">
        <v>3348</v>
      </c>
      <c r="C25" s="254" t="str">
        <f ca="1">IFERROR(__xludf.DUMMYFUNCTION("IFERROR(LET(
  angle,     REGEXEXTRACT(B25, ""&lt;([^&gt;]+)&gt;""),
  round,     REGEXEXTRACT(B25,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25" s="254">
        <v>55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283" t="s">
        <v>3187</v>
      </c>
      <c r="B26" s="289" t="s">
        <v>3349</v>
      </c>
      <c r="C26" s="254" t="str">
        <f ca="1">IFERROR(__xludf.DUMMYFUNCTION("IFERROR(LET(
  angle,     REGEXEXTRACT(B26, ""&lt;([^&gt;]+)&gt;""),
  round,     REGEXEXTRACT(B26,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26" s="254">
        <v>60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283" t="s">
        <v>3187</v>
      </c>
      <c r="B27" s="289" t="s">
        <v>3350</v>
      </c>
      <c r="C27" s="254" t="str">
        <f ca="1">IFERROR(__xludf.DUMMYFUNCTION("IFERROR(LET(
  angle,     REGEXEXTRACT(B27, ""&lt;([^&gt;]+)&gt;""),
  round,     REGEXEXTRACT(B27,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27" s="254">
        <v>63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283" t="s">
        <v>3187</v>
      </c>
      <c r="B28" s="289" t="s">
        <v>3351</v>
      </c>
      <c r="C28" s="254" t="str">
        <f ca="1">IFERROR(__xludf.DUMMYFUNCTION("IFERROR(LET(
  angle,     REGEXEXTRACT(B28, ""&lt;([^&gt;]+)&gt;""),
  round,     REGEXEXTRACT(B28,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"""")"),"S380-BA")</f>
        <v>S380-BA</v>
      </c>
      <c r="D28" s="254">
        <v>65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283" t="s">
        <v>3187</v>
      </c>
      <c r="B29" s="289" t="s">
        <v>3352</v>
      </c>
      <c r="C29" s="254" t="str">
        <f ca="1">IFERROR(__xludf.DUMMYFUNCTION("IFERROR(LET(
  angle,     REGEXEXTRACT(B29, ""&lt;([^&gt;]+)&gt;""),
  round,     REGEXEXTRACT(B29,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"""")"),"S380-WA")</f>
        <v>S380-WA</v>
      </c>
      <c r="D29" s="254">
        <v>65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283" t="s">
        <v>3187</v>
      </c>
      <c r="B30" s="289" t="s">
        <v>3353</v>
      </c>
      <c r="C30" s="254" t="str">
        <f ca="1">IFERROR(__xludf.DUMMYFUNCTION("IFERROR(LET(
  angle,     REGEXEXTRACT(B30, ""&lt;([^&gt;]+)&gt;""),
  round,     REGEXEXTRACT(B30,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30" s="254">
        <v>105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283" t="s">
        <v>3187</v>
      </c>
      <c r="B31" s="289" t="s">
        <v>3354</v>
      </c>
      <c r="C31" s="254" t="str">
        <f ca="1">IFERROR(__xludf.DUMMYFUNCTION("IFERROR(LET(
  angle,     REGEXEXTRACT(B31, ""&lt;([^&gt;]+)&gt;""),
  round,     REGEXEXTRACT(B31,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31" s="254">
        <v>107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283" t="s">
        <v>3187</v>
      </c>
      <c r="B32" s="289" t="s">
        <v>3355</v>
      </c>
      <c r="C32" s="254" t="str">
        <f ca="1">IFERROR(__xludf.DUMMYFUNCTION("IFERROR(LET(
  angle,     REGEXEXTRACT(B32, ""&lt;([^&gt;]+)&gt;""),
  round,     REGEXEXTRACT(B32,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32" s="254">
        <v>120</v>
      </c>
      <c r="E32" s="1" t="s">
        <v>1961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283" t="s">
        <v>3187</v>
      </c>
      <c r="B33" s="289" t="s">
        <v>3356</v>
      </c>
      <c r="C33" s="254" t="str">
        <f ca="1">IFERROR(__xludf.DUMMYFUNCTION("IFERROR(LET(
  angle,     REGEXEXTRACT(B33, ""&lt;([^&gt;]+)&gt;""),
  round,     REGEXEXTRACT(B33,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33" s="254">
        <v>123</v>
      </c>
      <c r="E33" s="1" t="s">
        <v>1961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1"/>
      <c r="B34" s="1"/>
      <c r="C34" s="1" t="str">
        <f ca="1">IFERROR(__xludf.DUMMYFUNCTION("IFERROR(LET(
  angle,     REGEXEXTRACT(B34, ""&lt;([^&gt;]+)&gt;""),
  round,     REGEXEXTRACT(B34,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1"/>
      <c r="B35" s="1"/>
      <c r="C35" s="1" t="str">
        <f ca="1">IFERROR(__xludf.DUMMYFUNCTION("IFERROR(LET(
  angle,     REGEXEXTRACT(B35, ""&lt;([^&gt;]+)&gt;""),
  round,     REGEXEXTRACT(B35,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1"/>
      <c r="B36" s="1"/>
      <c r="C36" s="1" t="str">
        <f ca="1">IFERROR(__xludf.DUMMYFUNCTION("IFERROR(LET(
  angle,     REGEXEXTRACT(B36, ""&lt;([^&gt;]+)&gt;""),
  round,     REGEXEXTRACT(B36,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1"/>
      <c r="B37" s="1"/>
      <c r="C37" s="1" t="str">
        <f ca="1">IFERROR(__xludf.DUMMYFUNCTION("IFERROR(LET(
  angle,     REGEXEXTRACT(B37, ""&lt;([^&gt;]+)&gt;""),
  round,     REGEXEXTRACT(B37,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1"/>
      <c r="B38" s="1"/>
      <c r="C38" s="1" t="str">
        <f ca="1">IFERROR(__xludf.DUMMYFUNCTION("IFERROR(LET(
  angle,     REGEXEXTRACT(B38, ""&lt;([^&gt;]+)&gt;""),
  round,     REGEXEXTRACT(B38,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1"/>
      <c r="B39" s="1"/>
      <c r="C39" s="1" t="str">
        <f ca="1">IFERROR(__xludf.DUMMYFUNCTION("IFERROR(LET(
  angle,     REGEXEXTRACT(B39, ""&lt;([^&gt;]+)&gt;""),
  round,     REGEXEXTRACT(B39,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1"/>
      <c r="B40" s="1"/>
      <c r="C40" s="1" t="str">
        <f ca="1">IFERROR(__xludf.DUMMYFUNCTION("IFERROR(LET(
  angle,     REGEXEXTRACT(B40, ""&lt;([^&gt;]+)&gt;""),
  round,     REGEXEXTRACT(B40,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mergeCells count="1">
    <mergeCell ref="A1:D1"/>
  </mergeCells>
  <pageMargins left="0.7" right="0.7" top="0.75" bottom="0.75" header="0" footer="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70"/>
  <sheetViews>
    <sheetView workbookViewId="0"/>
  </sheetViews>
  <sheetFormatPr defaultColWidth="14.3984375" defaultRowHeight="15" customHeight="1"/>
  <cols>
    <col min="1" max="1" width="25" customWidth="1"/>
    <col min="2" max="2" width="56" customWidth="1"/>
    <col min="3" max="3" width="11" hidden="1" customWidth="1"/>
    <col min="4" max="4" width="72" customWidth="1"/>
    <col min="5" max="6" width="11" customWidth="1"/>
    <col min="7" max="7" width="3.73046875" customWidth="1"/>
    <col min="8" max="26" width="9.1328125" customWidth="1"/>
  </cols>
  <sheetData>
    <row r="1" spans="1:26" ht="36" customHeight="1">
      <c r="A1" s="445"/>
      <c r="B1" s="408"/>
      <c r="C1" s="408"/>
      <c r="D1" s="408"/>
      <c r="E1" s="408"/>
      <c r="F1" s="407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</row>
    <row r="2" spans="1:26" ht="18" customHeight="1">
      <c r="A2" s="294"/>
      <c r="B2" s="254" t="s">
        <v>2852</v>
      </c>
      <c r="C2" s="295"/>
      <c r="D2" s="254" t="s">
        <v>3357</v>
      </c>
      <c r="E2" s="295" t="s">
        <v>3358</v>
      </c>
      <c r="F2" s="295" t="s">
        <v>3359</v>
      </c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  <c r="X2" s="293"/>
      <c r="Y2" s="293"/>
      <c r="Z2" s="293"/>
    </row>
    <row r="3" spans="1:26" ht="18" customHeight="1">
      <c r="A3" s="294" t="s">
        <v>3038</v>
      </c>
      <c r="B3" s="283" t="s">
        <v>3360</v>
      </c>
      <c r="C3" s="295"/>
      <c r="D3" s="446" t="s">
        <v>3361</v>
      </c>
      <c r="E3" s="295">
        <v>35</v>
      </c>
      <c r="F3" s="295">
        <v>35</v>
      </c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</row>
    <row r="4" spans="1:26" ht="18" customHeight="1">
      <c r="A4" s="294" t="s">
        <v>3038</v>
      </c>
      <c r="B4" s="283" t="s">
        <v>3362</v>
      </c>
      <c r="C4" s="295"/>
      <c r="D4" s="429"/>
      <c r="E4" s="295">
        <v>38</v>
      </c>
      <c r="F4" s="295">
        <v>38</v>
      </c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3"/>
      <c r="Z4" s="293"/>
    </row>
    <row r="5" spans="1:26" ht="18" customHeight="1">
      <c r="A5" s="294" t="s">
        <v>3038</v>
      </c>
      <c r="B5" s="283" t="s">
        <v>3363</v>
      </c>
      <c r="C5" s="295"/>
      <c r="D5" s="296" t="s">
        <v>3364</v>
      </c>
      <c r="E5" s="295">
        <v>175</v>
      </c>
      <c r="F5" s="295">
        <v>175</v>
      </c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  <c r="W5" s="293"/>
      <c r="X5" s="293"/>
      <c r="Y5" s="293"/>
      <c r="Z5" s="293"/>
    </row>
    <row r="6" spans="1:26" ht="18" customHeight="1">
      <c r="A6" s="294" t="s">
        <v>3038</v>
      </c>
      <c r="B6" s="283" t="s">
        <v>3365</v>
      </c>
      <c r="C6" s="297"/>
      <c r="D6" s="447" t="s">
        <v>3366</v>
      </c>
      <c r="E6" s="295">
        <v>155</v>
      </c>
      <c r="F6" s="295">
        <v>172</v>
      </c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</row>
    <row r="7" spans="1:26" ht="18" customHeight="1">
      <c r="A7" s="294" t="s">
        <v>3038</v>
      </c>
      <c r="B7" s="283" t="s">
        <v>3367</v>
      </c>
      <c r="C7" s="297"/>
      <c r="D7" s="448"/>
      <c r="E7" s="295">
        <v>170</v>
      </c>
      <c r="F7" s="295">
        <v>170</v>
      </c>
      <c r="G7" s="293"/>
      <c r="H7" s="293"/>
      <c r="I7" s="293"/>
      <c r="J7" s="293"/>
      <c r="K7" s="293"/>
      <c r="L7" s="293"/>
      <c r="M7" s="293"/>
      <c r="N7" s="293"/>
      <c r="O7" s="293"/>
      <c r="P7" s="293"/>
      <c r="Q7" s="293"/>
      <c r="R7" s="293"/>
      <c r="S7" s="293"/>
      <c r="T7" s="293"/>
      <c r="U7" s="293"/>
      <c r="V7" s="293"/>
      <c r="W7" s="293"/>
      <c r="X7" s="293"/>
      <c r="Y7" s="293"/>
      <c r="Z7" s="293"/>
    </row>
    <row r="8" spans="1:26" ht="18" customHeight="1">
      <c r="A8" s="294" t="s">
        <v>3038</v>
      </c>
      <c r="B8" s="283" t="s">
        <v>3368</v>
      </c>
      <c r="C8" s="297"/>
      <c r="D8" s="447" t="s">
        <v>3366</v>
      </c>
      <c r="E8" s="295">
        <v>146</v>
      </c>
      <c r="F8" s="295">
        <v>162</v>
      </c>
      <c r="G8" s="293"/>
      <c r="H8" s="293"/>
      <c r="I8" s="293"/>
      <c r="J8" s="293"/>
      <c r="K8" s="293"/>
      <c r="L8" s="293"/>
      <c r="M8" s="293"/>
      <c r="N8" s="293"/>
      <c r="O8" s="293"/>
      <c r="P8" s="293"/>
      <c r="Q8" s="293"/>
      <c r="R8" s="293"/>
      <c r="S8" s="293"/>
      <c r="T8" s="293"/>
      <c r="U8" s="293"/>
      <c r="V8" s="293"/>
      <c r="W8" s="293"/>
      <c r="X8" s="293"/>
      <c r="Y8" s="293"/>
      <c r="Z8" s="293"/>
    </row>
    <row r="9" spans="1:26" ht="18" customHeight="1">
      <c r="A9" s="294" t="s">
        <v>3038</v>
      </c>
      <c r="B9" s="283" t="s">
        <v>3369</v>
      </c>
      <c r="C9" s="297"/>
      <c r="D9" s="448"/>
      <c r="E9" s="295">
        <v>200</v>
      </c>
      <c r="F9" s="295">
        <v>222</v>
      </c>
      <c r="G9" s="293"/>
      <c r="H9" s="293"/>
      <c r="I9" s="293"/>
      <c r="J9" s="293"/>
      <c r="K9" s="293"/>
      <c r="L9" s="293"/>
      <c r="M9" s="293"/>
      <c r="N9" s="293"/>
      <c r="O9" s="293"/>
      <c r="P9" s="293"/>
      <c r="Q9" s="293"/>
      <c r="R9" s="293"/>
      <c r="S9" s="293"/>
      <c r="T9" s="293"/>
      <c r="U9" s="293"/>
      <c r="V9" s="293"/>
      <c r="W9" s="293"/>
      <c r="X9" s="293"/>
      <c r="Y9" s="293"/>
      <c r="Z9" s="293"/>
    </row>
    <row r="10" spans="1:26" ht="18" customHeight="1">
      <c r="A10" s="294"/>
      <c r="B10" s="283"/>
      <c r="C10" s="295"/>
      <c r="D10" s="298"/>
      <c r="E10" s="295"/>
      <c r="F10" s="295"/>
      <c r="G10" s="293"/>
      <c r="H10" s="293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  <c r="Z10" s="293"/>
    </row>
    <row r="11" spans="1:26" ht="18" customHeight="1">
      <c r="A11" s="294" t="s">
        <v>3370</v>
      </c>
      <c r="B11" s="283" t="s">
        <v>3371</v>
      </c>
      <c r="C11" s="295"/>
      <c r="D11" s="299" t="s">
        <v>3372</v>
      </c>
      <c r="E11" s="295">
        <v>48</v>
      </c>
      <c r="F11" s="295">
        <v>53</v>
      </c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</row>
    <row r="12" spans="1:26" ht="24" customHeight="1">
      <c r="A12" s="294" t="s">
        <v>3370</v>
      </c>
      <c r="B12" s="283" t="s">
        <v>3373</v>
      </c>
      <c r="C12" s="295"/>
      <c r="D12" s="444" t="s">
        <v>3374</v>
      </c>
      <c r="E12" s="295">
        <v>60</v>
      </c>
      <c r="F12" s="295">
        <v>66</v>
      </c>
      <c r="G12" s="293"/>
      <c r="H12" s="293"/>
      <c r="I12" s="293"/>
      <c r="J12" s="293"/>
      <c r="K12" s="293"/>
      <c r="L12" s="293"/>
      <c r="M12" s="293"/>
      <c r="N12" s="293"/>
      <c r="O12" s="293"/>
      <c r="P12" s="293"/>
      <c r="Q12" s="293"/>
      <c r="R12" s="293"/>
      <c r="S12" s="293"/>
      <c r="T12" s="293"/>
      <c r="U12" s="293"/>
      <c r="V12" s="293"/>
      <c r="W12" s="293"/>
      <c r="X12" s="293"/>
      <c r="Y12" s="293"/>
      <c r="Z12" s="293"/>
    </row>
    <row r="13" spans="1:26" ht="24" customHeight="1">
      <c r="A13" s="294" t="s">
        <v>3370</v>
      </c>
      <c r="B13" s="283" t="s">
        <v>3375</v>
      </c>
      <c r="C13" s="295"/>
      <c r="D13" s="429"/>
      <c r="E13" s="295">
        <v>64</v>
      </c>
      <c r="F13" s="295">
        <v>71</v>
      </c>
      <c r="G13" s="293"/>
      <c r="H13" s="293"/>
      <c r="I13" s="293"/>
      <c r="J13" s="293"/>
      <c r="K13" s="293"/>
      <c r="L13" s="293"/>
      <c r="M13" s="293"/>
      <c r="N13" s="293"/>
      <c r="O13" s="293"/>
      <c r="P13" s="293"/>
      <c r="Q13" s="293"/>
      <c r="R13" s="293"/>
      <c r="S13" s="293"/>
      <c r="T13" s="293"/>
      <c r="U13" s="293"/>
      <c r="V13" s="293"/>
      <c r="W13" s="293"/>
      <c r="X13" s="293"/>
      <c r="Y13" s="293"/>
      <c r="Z13" s="293"/>
    </row>
    <row r="14" spans="1:26" ht="18" customHeight="1">
      <c r="A14" s="294" t="s">
        <v>3370</v>
      </c>
      <c r="B14" s="283" t="s">
        <v>3376</v>
      </c>
      <c r="C14" s="295"/>
      <c r="D14" s="444" t="s">
        <v>3377</v>
      </c>
      <c r="E14" s="295">
        <v>95</v>
      </c>
      <c r="F14" s="295">
        <v>105</v>
      </c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</row>
    <row r="15" spans="1:26" ht="18" customHeight="1">
      <c r="A15" s="294" t="s">
        <v>3370</v>
      </c>
      <c r="B15" s="283" t="s">
        <v>3378</v>
      </c>
      <c r="C15" s="295"/>
      <c r="D15" s="429"/>
      <c r="E15" s="295">
        <v>98</v>
      </c>
      <c r="F15" s="295">
        <v>108</v>
      </c>
      <c r="G15" s="293"/>
      <c r="H15" s="293"/>
      <c r="I15" s="293"/>
      <c r="J15" s="293"/>
      <c r="K15" s="293"/>
      <c r="L15" s="293"/>
      <c r="M15" s="293"/>
      <c r="N15" s="293"/>
      <c r="O15" s="293"/>
      <c r="P15" s="293"/>
      <c r="Q15" s="293"/>
      <c r="R15" s="293"/>
      <c r="S15" s="293"/>
      <c r="T15" s="293"/>
      <c r="U15" s="293"/>
      <c r="V15" s="293"/>
      <c r="W15" s="293"/>
      <c r="X15" s="293"/>
      <c r="Y15" s="293"/>
      <c r="Z15" s="293"/>
    </row>
    <row r="16" spans="1:26" ht="18" customHeight="1">
      <c r="A16" s="294" t="s">
        <v>3370</v>
      </c>
      <c r="B16" s="283" t="s">
        <v>3379</v>
      </c>
      <c r="C16" s="295"/>
      <c r="D16" s="299" t="s">
        <v>3380</v>
      </c>
      <c r="E16" s="295">
        <v>95</v>
      </c>
      <c r="F16" s="295">
        <v>105</v>
      </c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</row>
    <row r="17" spans="1:26" ht="18" customHeight="1">
      <c r="A17" s="294" t="s">
        <v>3370</v>
      </c>
      <c r="B17" s="283" t="s">
        <v>3381</v>
      </c>
      <c r="C17" s="295"/>
      <c r="D17" s="300" t="s">
        <v>3382</v>
      </c>
      <c r="E17" s="295">
        <v>235</v>
      </c>
      <c r="F17" s="295">
        <v>261</v>
      </c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293"/>
      <c r="X17" s="293"/>
      <c r="Y17" s="293"/>
      <c r="Z17" s="293"/>
    </row>
    <row r="18" spans="1:26" ht="18" customHeight="1">
      <c r="A18" s="294" t="s">
        <v>3370</v>
      </c>
      <c r="B18" s="283" t="s">
        <v>3383</v>
      </c>
      <c r="C18" s="295"/>
      <c r="D18" s="299" t="s">
        <v>3384</v>
      </c>
      <c r="E18" s="295">
        <v>103</v>
      </c>
      <c r="F18" s="295">
        <v>114</v>
      </c>
      <c r="G18" s="293"/>
      <c r="H18" s="293"/>
      <c r="I18" s="293"/>
      <c r="J18" s="293"/>
      <c r="K18" s="293"/>
      <c r="L18" s="293"/>
      <c r="M18" s="293"/>
      <c r="N18" s="293"/>
      <c r="O18" s="293"/>
      <c r="P18" s="293"/>
      <c r="Q18" s="293"/>
      <c r="R18" s="293"/>
      <c r="S18" s="293"/>
      <c r="T18" s="293"/>
      <c r="U18" s="293"/>
      <c r="V18" s="293"/>
      <c r="W18" s="293"/>
      <c r="X18" s="293"/>
      <c r="Y18" s="293"/>
      <c r="Z18" s="293"/>
    </row>
    <row r="19" spans="1:26" ht="18" customHeight="1">
      <c r="A19" s="294" t="s">
        <v>3370</v>
      </c>
      <c r="B19" s="283" t="s">
        <v>3385</v>
      </c>
      <c r="C19" s="295"/>
      <c r="D19" s="444" t="s">
        <v>3386</v>
      </c>
      <c r="E19" s="295">
        <v>65</v>
      </c>
      <c r="F19" s="295">
        <v>72</v>
      </c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</row>
    <row r="20" spans="1:26" ht="18" customHeight="1">
      <c r="A20" s="294" t="s">
        <v>3370</v>
      </c>
      <c r="B20" s="283" t="s">
        <v>3387</v>
      </c>
      <c r="C20" s="295"/>
      <c r="D20" s="429"/>
      <c r="E20" s="295">
        <v>71</v>
      </c>
      <c r="F20" s="295">
        <v>78</v>
      </c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</row>
    <row r="21" spans="1:26" ht="18" customHeight="1">
      <c r="A21" s="294" t="s">
        <v>3370</v>
      </c>
      <c r="B21" s="283" t="s">
        <v>3388</v>
      </c>
      <c r="C21" s="295"/>
      <c r="D21" s="299" t="s">
        <v>3389</v>
      </c>
      <c r="E21" s="295">
        <v>190</v>
      </c>
      <c r="F21" s="295">
        <v>211</v>
      </c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</row>
    <row r="22" spans="1:26" ht="18" customHeight="1">
      <c r="A22" s="294" t="s">
        <v>3370</v>
      </c>
      <c r="B22" s="283" t="s">
        <v>3390</v>
      </c>
      <c r="C22" s="295"/>
      <c r="D22" s="299" t="s">
        <v>3391</v>
      </c>
      <c r="E22" s="295">
        <v>165</v>
      </c>
      <c r="F22" s="295">
        <v>183</v>
      </c>
      <c r="G22" s="29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3"/>
      <c r="W22" s="293"/>
      <c r="X22" s="293"/>
      <c r="Y22" s="293"/>
      <c r="Z22" s="293"/>
    </row>
    <row r="23" spans="1:26" ht="18" customHeight="1">
      <c r="A23" s="294" t="s">
        <v>3370</v>
      </c>
      <c r="B23" s="283" t="s">
        <v>3392</v>
      </c>
      <c r="C23" s="295"/>
      <c r="D23" s="301" t="s">
        <v>3393</v>
      </c>
      <c r="E23" s="295">
        <v>180</v>
      </c>
      <c r="F23" s="295">
        <v>200</v>
      </c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3"/>
      <c r="R23" s="293"/>
      <c r="S23" s="293"/>
      <c r="T23" s="293"/>
      <c r="U23" s="293"/>
      <c r="V23" s="293"/>
      <c r="W23" s="293"/>
      <c r="X23" s="293"/>
      <c r="Y23" s="293"/>
      <c r="Z23" s="293"/>
    </row>
    <row r="24" spans="1:26" ht="18" customHeight="1">
      <c r="A24" s="294" t="s">
        <v>3370</v>
      </c>
      <c r="B24" s="283" t="s">
        <v>3394</v>
      </c>
      <c r="C24" s="295"/>
      <c r="D24" s="302" t="s">
        <v>3395</v>
      </c>
      <c r="E24" s="295">
        <v>175</v>
      </c>
      <c r="F24" s="295">
        <v>194</v>
      </c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/>
      <c r="R24" s="293"/>
      <c r="S24" s="293"/>
      <c r="T24" s="293"/>
      <c r="U24" s="293"/>
      <c r="V24" s="293"/>
      <c r="W24" s="293"/>
      <c r="X24" s="293"/>
      <c r="Y24" s="293"/>
      <c r="Z24" s="293"/>
    </row>
    <row r="25" spans="1:26" ht="18" customHeight="1">
      <c r="A25" s="294" t="s">
        <v>3370</v>
      </c>
      <c r="B25" s="283" t="s">
        <v>3396</v>
      </c>
      <c r="C25" s="295"/>
      <c r="D25" s="443" t="s">
        <v>3397</v>
      </c>
      <c r="E25" s="295">
        <v>97</v>
      </c>
      <c r="F25" s="295">
        <v>107</v>
      </c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293"/>
      <c r="S25" s="293"/>
      <c r="T25" s="293"/>
      <c r="U25" s="293"/>
      <c r="V25" s="293"/>
      <c r="W25" s="293"/>
      <c r="X25" s="293"/>
      <c r="Y25" s="293"/>
      <c r="Z25" s="293"/>
    </row>
    <row r="26" spans="1:26" ht="18" customHeight="1">
      <c r="A26" s="294" t="s">
        <v>3370</v>
      </c>
      <c r="B26" s="283" t="s">
        <v>3398</v>
      </c>
      <c r="C26" s="295"/>
      <c r="D26" s="428"/>
      <c r="E26" s="295">
        <v>100</v>
      </c>
      <c r="F26" s="295">
        <v>111</v>
      </c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293"/>
      <c r="S26" s="293"/>
      <c r="T26" s="293"/>
      <c r="U26" s="293"/>
      <c r="V26" s="293"/>
      <c r="W26" s="293"/>
      <c r="X26" s="293"/>
      <c r="Y26" s="293"/>
      <c r="Z26" s="293"/>
    </row>
    <row r="27" spans="1:26" ht="18" customHeight="1">
      <c r="A27" s="294" t="s">
        <v>3370</v>
      </c>
      <c r="B27" s="283" t="s">
        <v>3399</v>
      </c>
      <c r="C27" s="295"/>
      <c r="D27" s="428"/>
      <c r="E27" s="295">
        <v>100</v>
      </c>
      <c r="F27" s="295">
        <v>111</v>
      </c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</row>
    <row r="28" spans="1:26" ht="18" customHeight="1">
      <c r="A28" s="294" t="s">
        <v>3370</v>
      </c>
      <c r="B28" s="283" t="s">
        <v>3400</v>
      </c>
      <c r="C28" s="295"/>
      <c r="D28" s="429"/>
      <c r="E28" s="295">
        <v>100</v>
      </c>
      <c r="F28" s="295">
        <v>111</v>
      </c>
      <c r="G28" s="293"/>
      <c r="H28" s="293"/>
      <c r="I28" s="293"/>
      <c r="J28" s="293"/>
      <c r="K28" s="293"/>
      <c r="L28" s="293"/>
      <c r="M28" s="293"/>
      <c r="N28" s="293"/>
      <c r="O28" s="293"/>
      <c r="P28" s="293"/>
      <c r="Q28" s="293"/>
      <c r="R28" s="293"/>
      <c r="S28" s="293"/>
      <c r="T28" s="293"/>
      <c r="U28" s="293"/>
      <c r="V28" s="293"/>
      <c r="W28" s="293"/>
      <c r="X28" s="293"/>
      <c r="Y28" s="293"/>
      <c r="Z28" s="293"/>
    </row>
    <row r="29" spans="1:26" ht="18" customHeight="1">
      <c r="A29" s="294" t="s">
        <v>3370</v>
      </c>
      <c r="B29" s="283" t="s">
        <v>3401</v>
      </c>
      <c r="C29" s="295"/>
      <c r="D29" s="444" t="s">
        <v>3402</v>
      </c>
      <c r="E29" s="295">
        <v>76</v>
      </c>
      <c r="F29" s="295">
        <v>84</v>
      </c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3"/>
      <c r="Z29" s="293"/>
    </row>
    <row r="30" spans="1:26" ht="18" customHeight="1">
      <c r="A30" s="294" t="s">
        <v>3370</v>
      </c>
      <c r="B30" s="283" t="s">
        <v>3403</v>
      </c>
      <c r="C30" s="295"/>
      <c r="D30" s="429"/>
      <c r="E30" s="295">
        <v>76</v>
      </c>
      <c r="F30" s="295">
        <v>84</v>
      </c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</row>
    <row r="31" spans="1:26" ht="24" customHeight="1">
      <c r="A31" s="294" t="s">
        <v>3370</v>
      </c>
      <c r="B31" s="283" t="s">
        <v>3404</v>
      </c>
      <c r="C31" s="295"/>
      <c r="D31" s="444" t="s">
        <v>3405</v>
      </c>
      <c r="E31" s="295">
        <v>104</v>
      </c>
      <c r="F31" s="295">
        <v>115</v>
      </c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</row>
    <row r="32" spans="1:26" ht="24" customHeight="1">
      <c r="A32" s="294" t="s">
        <v>3370</v>
      </c>
      <c r="B32" s="283" t="s">
        <v>3406</v>
      </c>
      <c r="C32" s="295"/>
      <c r="D32" s="429"/>
      <c r="E32" s="295">
        <v>104</v>
      </c>
      <c r="F32" s="295">
        <v>115</v>
      </c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</row>
    <row r="33" spans="1:26" ht="18" customHeight="1">
      <c r="A33" s="294" t="s">
        <v>3370</v>
      </c>
      <c r="B33" s="283" t="s">
        <v>3407</v>
      </c>
      <c r="C33" s="295"/>
      <c r="D33" s="443" t="s">
        <v>3408</v>
      </c>
      <c r="E33" s="295">
        <v>133</v>
      </c>
      <c r="F33" s="295">
        <v>147</v>
      </c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</row>
    <row r="34" spans="1:26" ht="18" customHeight="1">
      <c r="A34" s="294" t="s">
        <v>3370</v>
      </c>
      <c r="B34" s="283" t="s">
        <v>3409</v>
      </c>
      <c r="C34" s="295"/>
      <c r="D34" s="429"/>
      <c r="E34" s="295">
        <v>138</v>
      </c>
      <c r="F34" s="295">
        <v>153</v>
      </c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293"/>
      <c r="V34" s="293"/>
      <c r="W34" s="293"/>
      <c r="X34" s="293"/>
      <c r="Y34" s="293"/>
      <c r="Z34" s="293"/>
    </row>
    <row r="35" spans="1:26" ht="18" customHeight="1">
      <c r="A35" s="294" t="s">
        <v>3370</v>
      </c>
      <c r="B35" s="283" t="s">
        <v>3410</v>
      </c>
      <c r="C35" s="295"/>
      <c r="D35" s="299" t="s">
        <v>3411</v>
      </c>
      <c r="E35" s="295">
        <v>120</v>
      </c>
      <c r="F35" s="295">
        <v>133</v>
      </c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</row>
    <row r="36" spans="1:26" ht="18" customHeight="1">
      <c r="A36" s="294" t="s">
        <v>3370</v>
      </c>
      <c r="B36" s="283" t="s">
        <v>3412</v>
      </c>
      <c r="C36" s="295"/>
      <c r="D36" s="299" t="s">
        <v>3413</v>
      </c>
      <c r="E36" s="295">
        <v>255</v>
      </c>
      <c r="F36" s="295">
        <v>283</v>
      </c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</row>
    <row r="37" spans="1:26" ht="18" customHeight="1">
      <c r="A37" s="294" t="s">
        <v>3370</v>
      </c>
      <c r="B37" s="283" t="s">
        <v>3414</v>
      </c>
      <c r="C37" s="295"/>
      <c r="D37" s="300" t="s">
        <v>3415</v>
      </c>
      <c r="E37" s="295">
        <v>155</v>
      </c>
      <c r="F37" s="295">
        <v>172</v>
      </c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</row>
    <row r="38" spans="1:26" ht="18" customHeight="1">
      <c r="A38" s="294"/>
      <c r="B38" s="1"/>
      <c r="C38" s="303"/>
      <c r="D38" s="293"/>
      <c r="E38" s="295"/>
      <c r="F38" s="295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</row>
    <row r="39" spans="1:26" ht="18" customHeight="1">
      <c r="A39" s="294" t="s">
        <v>3416</v>
      </c>
      <c r="B39" s="294" t="s">
        <v>3417</v>
      </c>
      <c r="C39" s="295"/>
      <c r="D39" s="300" t="s">
        <v>3418</v>
      </c>
      <c r="E39" s="295">
        <v>235</v>
      </c>
      <c r="F39" s="295">
        <v>261</v>
      </c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</row>
    <row r="40" spans="1:26" ht="18" customHeight="1">
      <c r="A40" s="294" t="s">
        <v>3416</v>
      </c>
      <c r="B40" s="294" t="s">
        <v>3419</v>
      </c>
      <c r="C40" s="295"/>
      <c r="D40" s="302" t="s">
        <v>3418</v>
      </c>
      <c r="E40" s="295">
        <v>250</v>
      </c>
      <c r="F40" s="295">
        <v>277</v>
      </c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</row>
    <row r="41" spans="1:26" ht="18" customHeight="1">
      <c r="A41" s="294" t="s">
        <v>3416</v>
      </c>
      <c r="B41" s="294" t="s">
        <v>3420</v>
      </c>
      <c r="C41" s="295"/>
      <c r="D41" s="299" t="s">
        <v>3421</v>
      </c>
      <c r="E41" s="295">
        <v>265</v>
      </c>
      <c r="F41" s="295">
        <v>294</v>
      </c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</row>
    <row r="42" spans="1:26" ht="18" customHeight="1">
      <c r="A42" s="293"/>
      <c r="B42" s="293"/>
      <c r="C42" s="304"/>
      <c r="D42" s="293"/>
      <c r="E42" s="304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</row>
    <row r="43" spans="1:26" ht="18" customHeight="1">
      <c r="A43" s="293"/>
      <c r="B43" s="293"/>
      <c r="C43" s="304"/>
      <c r="D43" s="293"/>
      <c r="E43" s="304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</row>
    <row r="44" spans="1:26" ht="18" customHeight="1">
      <c r="A44" s="293"/>
      <c r="B44" s="293"/>
      <c r="C44" s="304"/>
      <c r="D44" s="293"/>
      <c r="E44" s="304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</row>
    <row r="45" spans="1:26" ht="18" customHeight="1">
      <c r="A45" s="293"/>
      <c r="B45" s="293"/>
      <c r="C45" s="304"/>
      <c r="D45" s="293"/>
      <c r="E45" s="304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</row>
    <row r="46" spans="1:26" ht="18" customHeight="1">
      <c r="A46" s="293"/>
      <c r="B46" s="293"/>
      <c r="C46" s="304"/>
      <c r="D46" s="293"/>
      <c r="E46" s="304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</row>
    <row r="47" spans="1:26" ht="18" customHeight="1">
      <c r="A47" s="293"/>
      <c r="B47" s="293"/>
      <c r="C47" s="304"/>
      <c r="D47" s="293"/>
      <c r="E47" s="304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</row>
    <row r="48" spans="1:26" ht="18" customHeight="1">
      <c r="A48" s="293"/>
      <c r="B48" s="293"/>
      <c r="C48" s="304"/>
      <c r="D48" s="293"/>
      <c r="E48" s="304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</row>
    <row r="49" spans="1:26" ht="18" customHeight="1">
      <c r="A49" s="293"/>
      <c r="B49" s="293"/>
      <c r="C49" s="304"/>
      <c r="D49" s="293"/>
      <c r="E49" s="304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</row>
    <row r="50" spans="1:26" ht="18" customHeight="1">
      <c r="A50" s="293"/>
      <c r="B50" s="293"/>
      <c r="C50" s="304"/>
      <c r="D50" s="293"/>
      <c r="E50" s="304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</row>
    <row r="51" spans="1:26" ht="18" customHeight="1">
      <c r="A51" s="293"/>
      <c r="B51" s="293"/>
      <c r="C51" s="304"/>
      <c r="D51" s="293"/>
      <c r="E51" s="304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</row>
    <row r="52" spans="1:26" ht="18" customHeight="1">
      <c r="A52" s="293"/>
      <c r="B52" s="293"/>
      <c r="C52" s="304"/>
      <c r="D52" s="293"/>
      <c r="E52" s="304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</row>
    <row r="53" spans="1:26" ht="18" customHeight="1">
      <c r="A53" s="293"/>
      <c r="B53" s="293"/>
      <c r="C53" s="304"/>
      <c r="D53" s="293"/>
      <c r="E53" s="304"/>
      <c r="F53" s="293"/>
      <c r="G53" s="293"/>
      <c r="H53" s="293"/>
      <c r="I53" s="293"/>
      <c r="J53" s="293"/>
      <c r="K53" s="293"/>
      <c r="L53" s="293"/>
      <c r="M53" s="293"/>
      <c r="N53" s="293"/>
      <c r="O53" s="293"/>
      <c r="P53" s="293"/>
      <c r="Q53" s="293"/>
      <c r="R53" s="293"/>
      <c r="S53" s="293"/>
      <c r="T53" s="293"/>
      <c r="U53" s="293"/>
      <c r="V53" s="293"/>
      <c r="W53" s="293"/>
      <c r="X53" s="293"/>
      <c r="Y53" s="293"/>
      <c r="Z53" s="293"/>
    </row>
    <row r="54" spans="1:26" ht="18" customHeight="1">
      <c r="A54" s="293"/>
      <c r="B54" s="293"/>
      <c r="C54" s="304"/>
      <c r="D54" s="293"/>
      <c r="E54" s="304"/>
      <c r="F54" s="293"/>
      <c r="G54" s="293"/>
      <c r="H54" s="293"/>
      <c r="I54" s="293"/>
      <c r="J54" s="293"/>
      <c r="K54" s="293"/>
      <c r="L54" s="293"/>
      <c r="M54" s="293"/>
      <c r="N54" s="293"/>
      <c r="O54" s="293"/>
      <c r="P54" s="293"/>
      <c r="Q54" s="293"/>
      <c r="R54" s="293"/>
      <c r="S54" s="293"/>
      <c r="T54" s="293"/>
      <c r="U54" s="293"/>
      <c r="V54" s="293"/>
      <c r="W54" s="293"/>
      <c r="X54" s="293"/>
      <c r="Y54" s="293"/>
      <c r="Z54" s="293"/>
    </row>
    <row r="55" spans="1:26" ht="18" customHeight="1">
      <c r="A55" s="293"/>
      <c r="B55" s="293"/>
      <c r="C55" s="304"/>
      <c r="D55" s="293"/>
      <c r="E55" s="304"/>
      <c r="F55" s="293"/>
      <c r="G55" s="293"/>
      <c r="H55" s="293"/>
      <c r="I55" s="293"/>
      <c r="J55" s="293"/>
      <c r="K55" s="293"/>
      <c r="L55" s="293"/>
      <c r="M55" s="293"/>
      <c r="N55" s="293"/>
      <c r="O55" s="293"/>
      <c r="P55" s="293"/>
      <c r="Q55" s="293"/>
      <c r="R55" s="293"/>
      <c r="S55" s="293"/>
      <c r="T55" s="293"/>
      <c r="U55" s="293"/>
      <c r="V55" s="293"/>
      <c r="W55" s="293"/>
      <c r="X55" s="293"/>
      <c r="Y55" s="293"/>
      <c r="Z55" s="293"/>
    </row>
    <row r="56" spans="1:26" ht="18" customHeight="1">
      <c r="A56" s="293"/>
      <c r="B56" s="293"/>
      <c r="C56" s="304"/>
      <c r="D56" s="293"/>
      <c r="E56" s="304"/>
      <c r="F56" s="293"/>
      <c r="G56" s="293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</row>
    <row r="57" spans="1:26" ht="18" customHeight="1">
      <c r="A57" s="293"/>
      <c r="B57" s="293"/>
      <c r="C57" s="304"/>
      <c r="D57" s="293"/>
      <c r="E57" s="304"/>
      <c r="F57" s="293"/>
      <c r="G57" s="293"/>
      <c r="H57" s="293"/>
      <c r="I57" s="293"/>
      <c r="J57" s="293"/>
      <c r="K57" s="293"/>
      <c r="L57" s="293"/>
      <c r="M57" s="293"/>
      <c r="N57" s="293"/>
      <c r="O57" s="293"/>
      <c r="P57" s="293"/>
      <c r="Q57" s="293"/>
      <c r="R57" s="293"/>
      <c r="S57" s="293"/>
      <c r="T57" s="293"/>
      <c r="U57" s="293"/>
      <c r="V57" s="293"/>
      <c r="W57" s="293"/>
      <c r="X57" s="293"/>
      <c r="Y57" s="293"/>
      <c r="Z57" s="293"/>
    </row>
    <row r="58" spans="1:26" ht="18" customHeight="1">
      <c r="A58" s="293"/>
      <c r="B58" s="293"/>
      <c r="C58" s="304"/>
      <c r="D58" s="293"/>
      <c r="E58" s="304"/>
      <c r="F58" s="293"/>
      <c r="G58" s="293"/>
      <c r="H58" s="293"/>
      <c r="I58" s="293"/>
      <c r="J58" s="293"/>
      <c r="K58" s="293"/>
      <c r="L58" s="293"/>
      <c r="M58" s="293"/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93"/>
      <c r="Y58" s="293"/>
      <c r="Z58" s="293"/>
    </row>
    <row r="59" spans="1:26" ht="18" customHeight="1">
      <c r="A59" s="293"/>
      <c r="B59" s="293"/>
      <c r="C59" s="304"/>
      <c r="D59" s="293"/>
      <c r="E59" s="304"/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</row>
    <row r="60" spans="1:26" ht="18" customHeight="1">
      <c r="A60" s="293"/>
      <c r="B60" s="293"/>
      <c r="C60" s="304"/>
      <c r="D60" s="293"/>
      <c r="E60" s="304"/>
      <c r="F60" s="293"/>
      <c r="G60" s="293"/>
      <c r="H60" s="293"/>
      <c r="I60" s="293"/>
      <c r="J60" s="293"/>
      <c r="K60" s="29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93"/>
      <c r="Y60" s="293"/>
      <c r="Z60" s="293"/>
    </row>
    <row r="61" spans="1:26" ht="18" customHeight="1">
      <c r="A61" s="293"/>
      <c r="B61" s="293"/>
      <c r="C61" s="304"/>
      <c r="D61" s="293"/>
      <c r="E61" s="304"/>
      <c r="F61" s="293"/>
      <c r="G61" s="293"/>
      <c r="H61" s="293"/>
      <c r="I61" s="293"/>
      <c r="J61" s="293"/>
      <c r="K61" s="293"/>
      <c r="L61" s="293"/>
      <c r="M61" s="293"/>
      <c r="N61" s="293"/>
      <c r="O61" s="293"/>
      <c r="P61" s="293"/>
      <c r="Q61" s="293"/>
      <c r="R61" s="293"/>
      <c r="S61" s="293"/>
      <c r="T61" s="293"/>
      <c r="U61" s="293"/>
      <c r="V61" s="293"/>
      <c r="W61" s="293"/>
      <c r="X61" s="293"/>
      <c r="Y61" s="293"/>
      <c r="Z61" s="293"/>
    </row>
    <row r="62" spans="1:26" ht="18" customHeight="1">
      <c r="A62" s="293"/>
      <c r="B62" s="293"/>
      <c r="C62" s="304"/>
      <c r="D62" s="293"/>
      <c r="E62" s="304"/>
      <c r="F62" s="293"/>
      <c r="G62" s="293"/>
      <c r="H62" s="293"/>
      <c r="I62" s="293"/>
      <c r="J62" s="293"/>
      <c r="K62" s="293"/>
      <c r="L62" s="293"/>
      <c r="M62" s="293"/>
      <c r="N62" s="293"/>
      <c r="O62" s="293"/>
      <c r="P62" s="293"/>
      <c r="Q62" s="293"/>
      <c r="R62" s="293"/>
      <c r="S62" s="293"/>
      <c r="T62" s="293"/>
      <c r="U62" s="293"/>
      <c r="V62" s="293"/>
      <c r="W62" s="293"/>
      <c r="X62" s="293"/>
      <c r="Y62" s="293"/>
      <c r="Z62" s="293"/>
    </row>
    <row r="63" spans="1:26" ht="18" customHeight="1">
      <c r="A63" s="293"/>
      <c r="B63" s="293"/>
      <c r="C63" s="304"/>
      <c r="D63" s="293"/>
      <c r="E63" s="304"/>
      <c r="F63" s="293"/>
      <c r="G63" s="293"/>
      <c r="H63" s="293"/>
      <c r="I63" s="293"/>
      <c r="J63" s="293"/>
      <c r="K63" s="293"/>
      <c r="L63" s="293"/>
      <c r="M63" s="293"/>
      <c r="N63" s="293"/>
      <c r="O63" s="293"/>
      <c r="P63" s="293"/>
      <c r="Q63" s="293"/>
      <c r="R63" s="293"/>
      <c r="S63" s="293"/>
      <c r="T63" s="293"/>
      <c r="U63" s="293"/>
      <c r="V63" s="293"/>
      <c r="W63" s="293"/>
      <c r="X63" s="293"/>
      <c r="Y63" s="293"/>
      <c r="Z63" s="293"/>
    </row>
    <row r="64" spans="1:26" ht="18" customHeight="1">
      <c r="A64" s="293"/>
      <c r="B64" s="293"/>
      <c r="C64" s="304"/>
      <c r="D64" s="293"/>
      <c r="E64" s="304"/>
      <c r="F64" s="293"/>
      <c r="G64" s="293"/>
      <c r="H64" s="293"/>
      <c r="I64" s="293"/>
      <c r="J64" s="293"/>
      <c r="K64" s="293"/>
      <c r="L64" s="293"/>
      <c r="M64" s="293"/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93"/>
      <c r="Y64" s="293"/>
      <c r="Z64" s="293"/>
    </row>
    <row r="65" spans="1:26" ht="18" customHeight="1">
      <c r="A65" s="293"/>
      <c r="B65" s="293"/>
      <c r="C65" s="304"/>
      <c r="D65" s="293"/>
      <c r="E65" s="304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93"/>
      <c r="Y65" s="293"/>
      <c r="Z65" s="293"/>
    </row>
    <row r="66" spans="1:26" ht="18" customHeight="1">
      <c r="A66" s="293"/>
      <c r="B66" s="293"/>
      <c r="C66" s="304"/>
      <c r="D66" s="293"/>
      <c r="E66" s="304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93"/>
      <c r="Y66" s="293"/>
      <c r="Z66" s="293"/>
    </row>
    <row r="67" spans="1:26" ht="18" customHeight="1">
      <c r="A67" s="293"/>
      <c r="B67" s="293"/>
      <c r="C67" s="304"/>
      <c r="D67" s="293"/>
      <c r="E67" s="304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3"/>
      <c r="Q67" s="293"/>
      <c r="R67" s="293"/>
      <c r="S67" s="293"/>
      <c r="T67" s="293"/>
      <c r="U67" s="293"/>
      <c r="V67" s="293"/>
      <c r="W67" s="293"/>
      <c r="X67" s="293"/>
      <c r="Y67" s="293"/>
      <c r="Z67" s="293"/>
    </row>
    <row r="68" spans="1:26" ht="18" customHeight="1">
      <c r="A68" s="293"/>
      <c r="B68" s="293"/>
      <c r="C68" s="304"/>
      <c r="D68" s="293"/>
      <c r="E68" s="304"/>
      <c r="F68" s="293"/>
      <c r="G68" s="293"/>
      <c r="H68" s="293"/>
      <c r="I68" s="293"/>
      <c r="J68" s="293"/>
      <c r="K68" s="293"/>
      <c r="L68" s="293"/>
      <c r="M68" s="293"/>
      <c r="N68" s="293"/>
      <c r="O68" s="293"/>
      <c r="P68" s="293"/>
      <c r="Q68" s="293"/>
      <c r="R68" s="293"/>
      <c r="S68" s="293"/>
      <c r="T68" s="293"/>
      <c r="U68" s="293"/>
      <c r="V68" s="293"/>
      <c r="W68" s="293"/>
      <c r="X68" s="293"/>
      <c r="Y68" s="293"/>
      <c r="Z68" s="293"/>
    </row>
    <row r="69" spans="1:26" ht="18" customHeight="1">
      <c r="A69" s="293"/>
      <c r="B69" s="293"/>
      <c r="C69" s="304"/>
      <c r="D69" s="293"/>
      <c r="E69" s="304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</row>
    <row r="70" spans="1:26" ht="18" customHeight="1">
      <c r="A70" s="293"/>
      <c r="B70" s="293"/>
      <c r="C70" s="304"/>
      <c r="D70" s="293"/>
      <c r="E70" s="304"/>
      <c r="F70" s="293"/>
      <c r="G70" s="293"/>
      <c r="H70" s="293"/>
      <c r="I70" s="293"/>
      <c r="J70" s="293"/>
      <c r="K70" s="293"/>
      <c r="L70" s="293"/>
      <c r="M70" s="293"/>
      <c r="N70" s="293"/>
      <c r="O70" s="293"/>
      <c r="P70" s="293"/>
      <c r="Q70" s="293"/>
      <c r="R70" s="293"/>
      <c r="S70" s="293"/>
      <c r="T70" s="293"/>
      <c r="U70" s="293"/>
      <c r="V70" s="293"/>
      <c r="W70" s="293"/>
      <c r="X70" s="293"/>
      <c r="Y70" s="293"/>
      <c r="Z70" s="293"/>
    </row>
  </sheetData>
  <mergeCells count="11">
    <mergeCell ref="D25:D28"/>
    <mergeCell ref="D29:D30"/>
    <mergeCell ref="D31:D32"/>
    <mergeCell ref="D33:D34"/>
    <mergeCell ref="A1:F1"/>
    <mergeCell ref="D3:D4"/>
    <mergeCell ref="D6:D7"/>
    <mergeCell ref="D8:D9"/>
    <mergeCell ref="D12:D13"/>
    <mergeCell ref="D14:D15"/>
    <mergeCell ref="D19:D20"/>
  </mergeCells>
  <hyperlinks>
    <hyperlink ref="D5" r:id="rId1" xr:uid="{00000000-0004-0000-1900-000000000000}"/>
    <hyperlink ref="D11" r:id="rId2" xr:uid="{00000000-0004-0000-1900-000001000000}"/>
    <hyperlink ref="D16" r:id="rId3" xr:uid="{00000000-0004-0000-1900-000002000000}"/>
    <hyperlink ref="D17" r:id="rId4" xr:uid="{00000000-0004-0000-1900-000003000000}"/>
    <hyperlink ref="D18" r:id="rId5" xr:uid="{00000000-0004-0000-1900-000004000000}"/>
    <hyperlink ref="D21" r:id="rId6" xr:uid="{00000000-0004-0000-1900-000005000000}"/>
    <hyperlink ref="D22" r:id="rId7" xr:uid="{00000000-0004-0000-1900-000006000000}"/>
    <hyperlink ref="D23" r:id="rId8" xr:uid="{00000000-0004-0000-1900-000007000000}"/>
    <hyperlink ref="D24" r:id="rId9" xr:uid="{00000000-0004-0000-1900-000008000000}"/>
    <hyperlink ref="D35" r:id="rId10" xr:uid="{00000000-0004-0000-1900-000009000000}"/>
    <hyperlink ref="D36" r:id="rId11" xr:uid="{00000000-0004-0000-1900-00000A000000}"/>
    <hyperlink ref="D37" r:id="rId12" xr:uid="{00000000-0004-0000-1900-00000B000000}"/>
    <hyperlink ref="D39" r:id="rId13" xr:uid="{00000000-0004-0000-1900-00000C000000}"/>
    <hyperlink ref="D40" r:id="rId14" xr:uid="{00000000-0004-0000-1900-00000D000000}"/>
    <hyperlink ref="D41" r:id="rId15" xr:uid="{00000000-0004-0000-1900-00000E000000}"/>
  </hyperlinks>
  <pageMargins left="0.7" right="0.7" top="0.75" bottom="0.75" header="0" footer="0"/>
  <pageSetup orientation="landscape"/>
  <drawing r:id="rId16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80"/>
  <sheetViews>
    <sheetView workbookViewId="0"/>
  </sheetViews>
  <sheetFormatPr defaultColWidth="14.3984375" defaultRowHeight="15" customHeight="1"/>
  <cols>
    <col min="1" max="1" width="16.265625" customWidth="1"/>
    <col min="2" max="2" width="42.265625" customWidth="1"/>
    <col min="3" max="3" width="7.265625" hidden="1" customWidth="1"/>
    <col min="4" max="4" width="7.265625" customWidth="1"/>
    <col min="5" max="25" width="8.73046875" customWidth="1"/>
  </cols>
  <sheetData>
    <row r="1" spans="1:26" ht="36" customHeight="1">
      <c r="A1" s="449"/>
      <c r="B1" s="408"/>
      <c r="C1" s="408"/>
      <c r="D1" s="40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205" t="s">
        <v>2615</v>
      </c>
      <c r="B2" s="305" t="s">
        <v>3422</v>
      </c>
      <c r="C2" s="204"/>
      <c r="D2" s="204">
        <v>44</v>
      </c>
      <c r="E2" s="1" t="s">
        <v>3423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207" t="s">
        <v>2615</v>
      </c>
      <c r="B3" s="306" t="s">
        <v>3424</v>
      </c>
      <c r="C3" s="208"/>
      <c r="D3" s="208">
        <v>33</v>
      </c>
      <c r="E3" s="1" t="s">
        <v>2660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207" t="s">
        <v>2615</v>
      </c>
      <c r="B4" s="307" t="s">
        <v>3425</v>
      </c>
      <c r="C4" s="208"/>
      <c r="D4" s="208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205" t="s">
        <v>2615</v>
      </c>
      <c r="B5" s="305" t="s">
        <v>3426</v>
      </c>
      <c r="C5" s="204"/>
      <c r="D5" s="204">
        <v>52</v>
      </c>
      <c r="E5" s="1" t="s">
        <v>2662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207" t="s">
        <v>2615</v>
      </c>
      <c r="B6" s="306" t="s">
        <v>3427</v>
      </c>
      <c r="C6" s="208"/>
      <c r="D6" s="208">
        <v>43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207" t="s">
        <v>2615</v>
      </c>
      <c r="B7" s="306" t="s">
        <v>3428</v>
      </c>
      <c r="C7" s="208"/>
      <c r="D7" s="208">
        <v>43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207" t="s">
        <v>2615</v>
      </c>
      <c r="B8" s="308" t="s">
        <v>3429</v>
      </c>
      <c r="C8" s="208"/>
      <c r="D8" s="208">
        <v>53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207" t="s">
        <v>2615</v>
      </c>
      <c r="B9" s="308" t="s">
        <v>3430</v>
      </c>
      <c r="C9" s="208"/>
      <c r="D9" s="208">
        <v>53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hidden="1" customHeight="1">
      <c r="A10" s="205" t="s">
        <v>2615</v>
      </c>
      <c r="B10" s="309" t="s">
        <v>3431</v>
      </c>
      <c r="C10" s="204"/>
      <c r="D10" s="20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hidden="1" customHeight="1">
      <c r="A11" s="205" t="s">
        <v>2615</v>
      </c>
      <c r="B11" s="309" t="s">
        <v>3432</v>
      </c>
      <c r="C11" s="204"/>
      <c r="D11" s="20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hidden="1" customHeight="1">
      <c r="A12" s="205" t="s">
        <v>2615</v>
      </c>
      <c r="B12" s="309" t="s">
        <v>3433</v>
      </c>
      <c r="C12" s="204"/>
      <c r="D12" s="20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hidden="1" customHeight="1">
      <c r="A13" s="205" t="s">
        <v>2615</v>
      </c>
      <c r="B13" s="309" t="s">
        <v>3434</v>
      </c>
      <c r="C13" s="204"/>
      <c r="D13" s="20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205" t="s">
        <v>2615</v>
      </c>
      <c r="B14" s="309" t="s">
        <v>3435</v>
      </c>
      <c r="C14" s="204"/>
      <c r="D14" s="204">
        <v>95</v>
      </c>
      <c r="E14" s="1" t="s">
        <v>2662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205" t="s">
        <v>2615</v>
      </c>
      <c r="B15" s="309" t="s">
        <v>3436</v>
      </c>
      <c r="C15" s="204"/>
      <c r="D15" s="204">
        <v>95</v>
      </c>
      <c r="E15" s="1" t="s">
        <v>2779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205" t="s">
        <v>2615</v>
      </c>
      <c r="B16" s="309" t="s">
        <v>3437</v>
      </c>
      <c r="C16" s="204"/>
      <c r="D16" s="20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205" t="s">
        <v>2615</v>
      </c>
      <c r="B17" s="309" t="s">
        <v>3438</v>
      </c>
      <c r="C17" s="204"/>
      <c r="D17" s="20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205" t="s">
        <v>2615</v>
      </c>
      <c r="B18" s="309" t="s">
        <v>3439</v>
      </c>
      <c r="C18" s="204"/>
      <c r="D18" s="204">
        <v>105</v>
      </c>
      <c r="E18" s="1" t="s">
        <v>2977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205" t="s">
        <v>2615</v>
      </c>
      <c r="B19" s="309" t="s">
        <v>3440</v>
      </c>
      <c r="C19" s="204"/>
      <c r="D19" s="204">
        <v>105</v>
      </c>
      <c r="E19" s="1" t="s">
        <v>2660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205" t="s">
        <v>2615</v>
      </c>
      <c r="B20" s="307" t="s">
        <v>3441</v>
      </c>
      <c r="C20" s="204"/>
      <c r="D20" s="204">
        <v>115</v>
      </c>
      <c r="E20" s="1" t="s">
        <v>2783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205" t="s">
        <v>2615</v>
      </c>
      <c r="B21" s="310" t="s">
        <v>3442</v>
      </c>
      <c r="C21" s="204"/>
      <c r="D21" s="204">
        <v>145</v>
      </c>
      <c r="E21" s="1" t="s">
        <v>2660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207" t="s">
        <v>2615</v>
      </c>
      <c r="B22" s="308" t="s">
        <v>3443</v>
      </c>
      <c r="C22" s="208"/>
      <c r="D22" s="208">
        <v>85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207" t="s">
        <v>2615</v>
      </c>
      <c r="B23" s="308" t="s">
        <v>3444</v>
      </c>
      <c r="C23" s="208"/>
      <c r="D23" s="208">
        <v>85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207" t="s">
        <v>2615</v>
      </c>
      <c r="B24" s="308" t="s">
        <v>3445</v>
      </c>
      <c r="C24" s="208"/>
      <c r="D24" s="208">
        <v>105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207" t="s">
        <v>2615</v>
      </c>
      <c r="B25" s="308" t="s">
        <v>3446</v>
      </c>
      <c r="C25" s="208"/>
      <c r="D25" s="208">
        <v>105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207" t="s">
        <v>2615</v>
      </c>
      <c r="B26" s="308" t="s">
        <v>3447</v>
      </c>
      <c r="C26" s="208"/>
      <c r="D26" s="208">
        <v>135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207" t="s">
        <v>2615</v>
      </c>
      <c r="B27" s="308" t="s">
        <v>3448</v>
      </c>
      <c r="C27" s="208"/>
      <c r="D27" s="208">
        <v>135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207" t="s">
        <v>2615</v>
      </c>
      <c r="B28" s="308" t="s">
        <v>3449</v>
      </c>
      <c r="C28" s="208"/>
      <c r="D28" s="208">
        <v>155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207" t="s">
        <v>2615</v>
      </c>
      <c r="B29" s="308" t="s">
        <v>3450</v>
      </c>
      <c r="C29" s="208"/>
      <c r="D29" s="208">
        <v>155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205"/>
      <c r="B30" s="311"/>
      <c r="C30" s="204"/>
      <c r="D30" s="20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207" t="s">
        <v>2752</v>
      </c>
      <c r="B31" s="312" t="s">
        <v>3451</v>
      </c>
      <c r="C31" s="208"/>
      <c r="D31" s="208">
        <v>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207" t="s">
        <v>2752</v>
      </c>
      <c r="B32" s="312" t="s">
        <v>3452</v>
      </c>
      <c r="C32" s="208"/>
      <c r="D32" s="208">
        <v>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207" t="s">
        <v>2752</v>
      </c>
      <c r="B33" s="312" t="s">
        <v>3453</v>
      </c>
      <c r="C33" s="208"/>
      <c r="D33" s="208">
        <v>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205" t="s">
        <v>2752</v>
      </c>
      <c r="B34" s="311" t="s">
        <v>3454</v>
      </c>
      <c r="C34" s="204"/>
      <c r="D34" s="204">
        <v>14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205" t="s">
        <v>2752</v>
      </c>
      <c r="B35" s="311" t="s">
        <v>3455</v>
      </c>
      <c r="C35" s="204"/>
      <c r="D35" s="20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205" t="s">
        <v>2752</v>
      </c>
      <c r="B36" s="311" t="s">
        <v>3456</v>
      </c>
      <c r="C36" s="204"/>
      <c r="D36" s="20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205" t="s">
        <v>2752</v>
      </c>
      <c r="B37" s="311" t="s">
        <v>3457</v>
      </c>
      <c r="C37" s="204"/>
      <c r="D37" s="204">
        <v>22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205" t="s">
        <v>2752</v>
      </c>
      <c r="B38" s="311" t="s">
        <v>3458</v>
      </c>
      <c r="C38" s="204"/>
      <c r="D38" s="204">
        <v>27</v>
      </c>
      <c r="E38" s="1" t="s">
        <v>2662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205" t="s">
        <v>2752</v>
      </c>
      <c r="B39" s="311" t="s">
        <v>3459</v>
      </c>
      <c r="C39" s="204"/>
      <c r="D39" s="204">
        <v>40</v>
      </c>
      <c r="E39" s="1" t="s">
        <v>2977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205" t="s">
        <v>2752</v>
      </c>
      <c r="B40" s="311" t="s">
        <v>3460</v>
      </c>
      <c r="C40" s="204"/>
      <c r="D40" s="204">
        <v>48</v>
      </c>
      <c r="E40" s="1" t="s">
        <v>2660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205" t="s">
        <v>2752</v>
      </c>
      <c r="B41" s="311" t="s">
        <v>3461</v>
      </c>
      <c r="C41" s="204"/>
      <c r="D41" s="204">
        <v>48</v>
      </c>
      <c r="E41" s="1" t="s">
        <v>3462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205" t="s">
        <v>3463</v>
      </c>
      <c r="B42" s="311" t="s">
        <v>3464</v>
      </c>
      <c r="C42" s="204"/>
      <c r="D42" s="20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207" t="s">
        <v>3463</v>
      </c>
      <c r="B43" s="312" t="s">
        <v>3465</v>
      </c>
      <c r="C43" s="208"/>
      <c r="D43" s="208">
        <v>50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205" t="s">
        <v>3463</v>
      </c>
      <c r="B44" s="311" t="s">
        <v>3466</v>
      </c>
      <c r="C44" s="204"/>
      <c r="D44" s="20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205" t="s">
        <v>3463</v>
      </c>
      <c r="B45" s="311" t="s">
        <v>3467</v>
      </c>
      <c r="C45" s="204"/>
      <c r="D45" s="204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205" t="s">
        <v>3463</v>
      </c>
      <c r="B46" s="311" t="s">
        <v>3468</v>
      </c>
      <c r="C46" s="204"/>
      <c r="D46" s="20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>
      <c r="A47" s="205" t="s">
        <v>3463</v>
      </c>
      <c r="B47" s="313" t="s">
        <v>3469</v>
      </c>
      <c r="C47" s="204"/>
      <c r="D47" s="20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>
      <c r="A48" s="205" t="s">
        <v>3463</v>
      </c>
      <c r="B48" s="313" t="s">
        <v>3470</v>
      </c>
      <c r="C48" s="204"/>
      <c r="D48" s="20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>
      <c r="A49" s="205" t="s">
        <v>3463</v>
      </c>
      <c r="B49" s="313" t="s">
        <v>3471</v>
      </c>
      <c r="C49" s="204"/>
      <c r="D49" s="20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>
      <c r="A50" s="207" t="s">
        <v>3463</v>
      </c>
      <c r="B50" s="312" t="s">
        <v>3472</v>
      </c>
      <c r="C50" s="208"/>
      <c r="D50" s="208">
        <v>70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>
      <c r="A51" s="205" t="s">
        <v>3235</v>
      </c>
      <c r="B51" s="314" t="s">
        <v>3473</v>
      </c>
      <c r="C51" s="204"/>
      <c r="D51" s="20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>
      <c r="A52" s="205" t="s">
        <v>3235</v>
      </c>
      <c r="B52" s="314" t="s">
        <v>3474</v>
      </c>
      <c r="C52" s="204"/>
      <c r="D52" s="204">
        <v>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>
      <c r="A53" s="205" t="s">
        <v>3235</v>
      </c>
      <c r="B53" s="314" t="s">
        <v>3475</v>
      </c>
      <c r="C53" s="204"/>
      <c r="D53" s="20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>
      <c r="A54" s="205" t="s">
        <v>3235</v>
      </c>
      <c r="B54" s="314" t="s">
        <v>3476</v>
      </c>
      <c r="C54" s="204"/>
      <c r="D54" s="204">
        <v>5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>
      <c r="A55" s="205" t="s">
        <v>3235</v>
      </c>
      <c r="B55" s="314" t="s">
        <v>3477</v>
      </c>
      <c r="C55" s="204"/>
      <c r="D55" s="20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>
      <c r="A56" s="205" t="s">
        <v>3235</v>
      </c>
      <c r="B56" s="314" t="s">
        <v>3478</v>
      </c>
      <c r="C56" s="204"/>
      <c r="D56" s="20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>
      <c r="A57" s="205" t="s">
        <v>3235</v>
      </c>
      <c r="B57" s="314" t="s">
        <v>3478</v>
      </c>
      <c r="C57" s="204"/>
      <c r="D57" s="20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>
      <c r="A58" s="205" t="s">
        <v>3235</v>
      </c>
      <c r="B58" s="314" t="s">
        <v>3479</v>
      </c>
      <c r="C58" s="204"/>
      <c r="D58" s="204">
        <v>10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>
      <c r="A59" s="205" t="s">
        <v>3235</v>
      </c>
      <c r="B59" s="314" t="s">
        <v>3479</v>
      </c>
      <c r="C59" s="204"/>
      <c r="D59" s="20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>
      <c r="A60" s="205" t="s">
        <v>3235</v>
      </c>
      <c r="B60" s="314" t="s">
        <v>3480</v>
      </c>
      <c r="C60" s="204"/>
      <c r="D60" s="204">
        <v>26</v>
      </c>
      <c r="E60" s="1" t="s">
        <v>2662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>
      <c r="A61" s="205" t="s">
        <v>3235</v>
      </c>
      <c r="B61" s="314" t="s">
        <v>3481</v>
      </c>
      <c r="C61" s="204"/>
      <c r="D61" s="204">
        <v>26</v>
      </c>
      <c r="E61" s="1" t="s">
        <v>2977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>
      <c r="A62" s="205" t="s">
        <v>3235</v>
      </c>
      <c r="B62" s="314" t="s">
        <v>3482</v>
      </c>
      <c r="C62" s="204"/>
      <c r="D62" s="204">
        <v>29</v>
      </c>
      <c r="E62" s="1" t="s">
        <v>2779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>
      <c r="A63" s="205" t="s">
        <v>3235</v>
      </c>
      <c r="B63" s="314" t="s">
        <v>3483</v>
      </c>
      <c r="C63" s="204"/>
      <c r="D63" s="204">
        <v>29</v>
      </c>
      <c r="E63" s="1" t="s">
        <v>2662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>
      <c r="A64" s="205" t="s">
        <v>3235</v>
      </c>
      <c r="B64" s="314" t="s">
        <v>3484</v>
      </c>
      <c r="C64" s="204"/>
      <c r="D64" s="20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>
      <c r="A65" s="205" t="s">
        <v>3235</v>
      </c>
      <c r="B65" s="314" t="s">
        <v>3485</v>
      </c>
      <c r="C65" s="204"/>
      <c r="D65" s="20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>
      <c r="A66" s="1"/>
      <c r="B66" s="1"/>
      <c r="C66" s="7"/>
      <c r="D66" s="7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>
      <c r="A67" s="1"/>
      <c r="B67" s="1"/>
      <c r="C67" s="7"/>
      <c r="D67" s="7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>
      <c r="A68" s="1"/>
      <c r="B68" s="1"/>
      <c r="C68" s="7"/>
      <c r="D68" s="7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>
      <c r="A69" s="1"/>
      <c r="B69" s="1"/>
      <c r="C69" s="7"/>
      <c r="D69" s="7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>
      <c r="A70" s="1"/>
      <c r="B70" s="1"/>
      <c r="C70" s="7"/>
      <c r="D70" s="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>
      <c r="A71" s="1"/>
      <c r="B71" s="1"/>
      <c r="C71" s="7"/>
      <c r="D71" s="7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>
      <c r="A72" s="1"/>
      <c r="B72" s="1"/>
      <c r="C72" s="7"/>
      <c r="D72" s="7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>
      <c r="A73" s="1"/>
      <c r="B73" s="1"/>
      <c r="C73" s="7"/>
      <c r="D73" s="7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>
      <c r="A74" s="1"/>
      <c r="B74" s="1"/>
      <c r="C74" s="7"/>
      <c r="D74" s="7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>
      <c r="A75" s="1"/>
      <c r="B75" s="1"/>
      <c r="C75" s="7"/>
      <c r="D75" s="7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>
      <c r="A76" s="1"/>
      <c r="B76" s="1"/>
      <c r="C76" s="7"/>
      <c r="D76" s="7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>
      <c r="A77" s="1"/>
      <c r="B77" s="1"/>
      <c r="C77" s="7"/>
      <c r="D77" s="7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>
      <c r="A78" s="1"/>
      <c r="B78" s="1"/>
      <c r="C78" s="7"/>
      <c r="D78" s="7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>
      <c r="A79" s="1"/>
      <c r="B79" s="1"/>
      <c r="C79" s="7"/>
      <c r="D79" s="7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>
      <c r="A80" s="1"/>
      <c r="B80" s="1"/>
      <c r="C80" s="7"/>
      <c r="D80" s="7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</sheetData>
  <mergeCells count="1">
    <mergeCell ref="A1:D1"/>
  </mergeCells>
  <hyperlinks>
    <hyperlink ref="B3" r:id="rId1" xr:uid="{00000000-0004-0000-1A00-000000000000}"/>
    <hyperlink ref="B4" r:id="rId2" xr:uid="{00000000-0004-0000-1A00-000001000000}"/>
    <hyperlink ref="B6" r:id="rId3" xr:uid="{00000000-0004-0000-1A00-000002000000}"/>
    <hyperlink ref="B7" r:id="rId4" xr:uid="{00000000-0004-0000-1A00-000003000000}"/>
    <hyperlink ref="B8" r:id="rId5" xr:uid="{00000000-0004-0000-1A00-000004000000}"/>
    <hyperlink ref="B9" r:id="rId6" xr:uid="{00000000-0004-0000-1A00-000005000000}"/>
    <hyperlink ref="B20" r:id="rId7" xr:uid="{00000000-0004-0000-1A00-000006000000}"/>
    <hyperlink ref="B21" r:id="rId8" xr:uid="{00000000-0004-0000-1A00-000007000000}"/>
    <hyperlink ref="B31" r:id="rId9" xr:uid="{00000000-0004-0000-1A00-000008000000}"/>
    <hyperlink ref="B32" r:id="rId10" xr:uid="{00000000-0004-0000-1A00-000009000000}"/>
    <hyperlink ref="B47" r:id="rId11" xr:uid="{00000000-0004-0000-1A00-00000A000000}"/>
    <hyperlink ref="B48" r:id="rId12" xr:uid="{00000000-0004-0000-1A00-00000B000000}"/>
    <hyperlink ref="B49" r:id="rId13" xr:uid="{00000000-0004-0000-1A00-00000C000000}"/>
    <hyperlink ref="B50" r:id="rId14" xr:uid="{00000000-0004-0000-1A00-00000D000000}"/>
  </hyperlinks>
  <pageMargins left="0.7" right="0.7" top="0.75" bottom="0.75" header="0" footer="0"/>
  <pageSetup orientation="landscape"/>
  <drawing r:id="rId1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30"/>
  <sheetViews>
    <sheetView workbookViewId="0"/>
  </sheetViews>
  <sheetFormatPr defaultColWidth="14.3984375" defaultRowHeight="15" customHeight="1"/>
  <cols>
    <col min="1" max="1" width="8.265625" customWidth="1"/>
    <col min="2" max="2" width="10.265625" customWidth="1"/>
    <col min="3" max="3" width="8.73046875" customWidth="1"/>
    <col min="4" max="4" width="82.265625" customWidth="1"/>
    <col min="5" max="5" width="17" hidden="1" customWidth="1"/>
    <col min="6" max="26" width="8.73046875" customWidth="1"/>
  </cols>
  <sheetData>
    <row r="1" spans="1:26" ht="36" customHeight="1">
      <c r="A1" s="445"/>
      <c r="B1" s="408"/>
      <c r="C1" s="408"/>
      <c r="D1" s="408"/>
      <c r="E1" s="407"/>
      <c r="F1" s="54" t="s">
        <v>1</v>
      </c>
      <c r="G1" s="54" t="s">
        <v>3486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59" t="s">
        <v>3487</v>
      </c>
      <c r="B2" s="59" t="s">
        <v>3488</v>
      </c>
      <c r="C2" s="59"/>
      <c r="D2" s="59" t="s">
        <v>3489</v>
      </c>
      <c r="E2" s="59"/>
      <c r="F2" s="53">
        <v>3.5</v>
      </c>
      <c r="G2" s="53">
        <v>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59" t="s">
        <v>3487</v>
      </c>
      <c r="B3" s="59" t="s">
        <v>3490</v>
      </c>
      <c r="C3" s="59"/>
      <c r="D3" s="59" t="s">
        <v>3491</v>
      </c>
      <c r="E3" s="59"/>
      <c r="F3" s="53">
        <v>7</v>
      </c>
      <c r="G3" s="53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59" t="s">
        <v>3487</v>
      </c>
      <c r="B4" s="59" t="s">
        <v>3490</v>
      </c>
      <c r="C4" s="59"/>
      <c r="D4" s="59" t="s">
        <v>3492</v>
      </c>
      <c r="E4" s="59"/>
      <c r="F4" s="53">
        <v>8</v>
      </c>
      <c r="G4" s="53">
        <v>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59" t="s">
        <v>3487</v>
      </c>
      <c r="B5" s="59" t="s">
        <v>3490</v>
      </c>
      <c r="C5" s="59"/>
      <c r="D5" s="59" t="s">
        <v>3493</v>
      </c>
      <c r="E5" s="59"/>
      <c r="F5" s="53">
        <v>11</v>
      </c>
      <c r="G5" s="53">
        <v>12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59" t="s">
        <v>3487</v>
      </c>
      <c r="B6" s="59" t="s">
        <v>3490</v>
      </c>
      <c r="C6" s="59"/>
      <c r="D6" s="59" t="s">
        <v>3494</v>
      </c>
      <c r="E6" s="59"/>
      <c r="F6" s="53">
        <v>13</v>
      </c>
      <c r="G6" s="53">
        <v>14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59" t="s">
        <v>3487</v>
      </c>
      <c r="B7" s="59" t="s">
        <v>3490</v>
      </c>
      <c r="C7" s="59"/>
      <c r="D7" s="59" t="s">
        <v>3495</v>
      </c>
      <c r="E7" s="59"/>
      <c r="F7" s="53">
        <v>22.5</v>
      </c>
      <c r="G7" s="53">
        <v>25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59" t="s">
        <v>3487</v>
      </c>
      <c r="B8" s="59" t="s">
        <v>3496</v>
      </c>
      <c r="C8" s="59"/>
      <c r="D8" s="59" t="s">
        <v>3497</v>
      </c>
      <c r="E8" s="59"/>
      <c r="F8" s="53">
        <v>5.5</v>
      </c>
      <c r="G8" s="53">
        <v>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259" t="s">
        <v>3487</v>
      </c>
      <c r="B9" s="259" t="s">
        <v>3496</v>
      </c>
      <c r="C9" s="259"/>
      <c r="D9" s="259" t="s">
        <v>3498</v>
      </c>
      <c r="E9" s="259"/>
      <c r="F9" s="58">
        <v>7</v>
      </c>
      <c r="G9" s="58">
        <v>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259" t="s">
        <v>3487</v>
      </c>
      <c r="B10" s="259" t="s">
        <v>3496</v>
      </c>
      <c r="C10" s="259"/>
      <c r="D10" s="259" t="s">
        <v>3499</v>
      </c>
      <c r="E10" s="259"/>
      <c r="F10" s="58">
        <v>10</v>
      </c>
      <c r="G10" s="58">
        <v>11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259" t="s">
        <v>3487</v>
      </c>
      <c r="B11" s="259" t="s">
        <v>3496</v>
      </c>
      <c r="C11" s="259"/>
      <c r="D11" s="259" t="s">
        <v>3500</v>
      </c>
      <c r="E11" s="259"/>
      <c r="F11" s="58">
        <v>10</v>
      </c>
      <c r="G11" s="58">
        <v>11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259" t="s">
        <v>3487</v>
      </c>
      <c r="B12" s="259" t="s">
        <v>3501</v>
      </c>
      <c r="C12" s="259"/>
      <c r="D12" s="259" t="s">
        <v>3502</v>
      </c>
      <c r="E12" s="259"/>
      <c r="F12" s="58">
        <v>14</v>
      </c>
      <c r="G12" s="58">
        <v>15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59" t="s">
        <v>3487</v>
      </c>
      <c r="B13" s="59" t="s">
        <v>3501</v>
      </c>
      <c r="C13" s="59"/>
      <c r="D13" s="59" t="s">
        <v>3503</v>
      </c>
      <c r="E13" s="59"/>
      <c r="F13" s="53">
        <v>25</v>
      </c>
      <c r="G13" s="53">
        <v>27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59" t="s">
        <v>3487</v>
      </c>
      <c r="B14" s="59" t="s">
        <v>3496</v>
      </c>
      <c r="C14" s="59"/>
      <c r="D14" s="59" t="s">
        <v>3504</v>
      </c>
      <c r="E14" s="59"/>
      <c r="F14" s="53">
        <v>48</v>
      </c>
      <c r="G14" s="53">
        <v>53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59" t="s">
        <v>3487</v>
      </c>
      <c r="B15" s="59" t="s">
        <v>3505</v>
      </c>
      <c r="C15" s="59"/>
      <c r="D15" s="59" t="s">
        <v>3506</v>
      </c>
      <c r="E15" s="59"/>
      <c r="F15" s="53">
        <v>9</v>
      </c>
      <c r="G15" s="53">
        <v>10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59" t="s">
        <v>3487</v>
      </c>
      <c r="B16" s="59" t="s">
        <v>3505</v>
      </c>
      <c r="C16" s="59"/>
      <c r="D16" s="59" t="s">
        <v>3507</v>
      </c>
      <c r="E16" s="59"/>
      <c r="F16" s="53">
        <v>16</v>
      </c>
      <c r="G16" s="53">
        <v>18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1"/>
      <c r="B17" s="1"/>
      <c r="C17" s="1"/>
      <c r="D17" s="1"/>
      <c r="E17" s="1"/>
      <c r="F17" s="7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1"/>
      <c r="B18" s="1"/>
      <c r="C18" s="1"/>
      <c r="D18" s="1"/>
      <c r="E18" s="1"/>
      <c r="F18" s="7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1"/>
      <c r="B19" s="1"/>
      <c r="C19" s="1"/>
      <c r="D19" s="1"/>
      <c r="E19" s="1"/>
      <c r="F19" s="7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1"/>
      <c r="B20" s="1"/>
      <c r="C20" s="1"/>
      <c r="D20" s="1"/>
      <c r="E20" s="1"/>
      <c r="F20" s="7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1"/>
      <c r="B21" s="1"/>
      <c r="C21" s="1"/>
      <c r="D21" s="1"/>
      <c r="E21" s="1"/>
      <c r="F21" s="7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1"/>
      <c r="B22" s="1"/>
      <c r="C22" s="1"/>
      <c r="D22" s="1"/>
      <c r="E22" s="1"/>
      <c r="F22" s="7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1"/>
      <c r="B23" s="1"/>
      <c r="C23" s="1"/>
      <c r="D23" s="1"/>
      <c r="E23" s="1"/>
      <c r="F23" s="7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1"/>
      <c r="B24" s="1"/>
      <c r="C24" s="1"/>
      <c r="D24" s="1"/>
      <c r="E24" s="1"/>
      <c r="F24" s="7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1"/>
      <c r="B25" s="1"/>
      <c r="C25" s="1"/>
      <c r="D25" s="1"/>
      <c r="E25" s="1"/>
      <c r="F25" s="7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1"/>
      <c r="B26" s="1"/>
      <c r="C26" s="1"/>
      <c r="D26" s="1"/>
      <c r="E26" s="1"/>
      <c r="F26" s="7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1"/>
      <c r="B27" s="1"/>
      <c r="C27" s="1"/>
      <c r="D27" s="1"/>
      <c r="E27" s="1"/>
      <c r="F27" s="7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1"/>
      <c r="B28" s="1"/>
      <c r="C28" s="1"/>
      <c r="D28" s="1"/>
      <c r="E28" s="1"/>
      <c r="F28" s="7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"/>
      <c r="B29" s="1"/>
      <c r="C29" s="1"/>
      <c r="D29" s="1"/>
      <c r="E29" s="1"/>
      <c r="F29" s="7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"/>
      <c r="B30" s="1"/>
      <c r="C30" s="1"/>
      <c r="D30" s="1"/>
      <c r="E30" s="1"/>
      <c r="F30" s="7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1">
    <mergeCell ref="A1:E1"/>
  </mergeCells>
  <pageMargins left="0.7" right="0.7" top="0.75" bottom="0.75" header="0" footer="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53"/>
  <sheetViews>
    <sheetView workbookViewId="0"/>
  </sheetViews>
  <sheetFormatPr defaultColWidth="14.3984375" defaultRowHeight="15" customHeight="1"/>
  <cols>
    <col min="1" max="1" width="42" customWidth="1"/>
    <col min="2" max="3" width="8" customWidth="1"/>
    <col min="4" max="4" width="8" hidden="1" customWidth="1"/>
    <col min="5" max="5" width="41.265625" customWidth="1"/>
    <col min="6" max="26" width="8.86328125" customWidth="1"/>
  </cols>
  <sheetData>
    <row r="1" spans="1:26" ht="42" customHeight="1">
      <c r="A1" s="451"/>
      <c r="B1" s="408"/>
      <c r="C1" s="408"/>
      <c r="D1" s="408"/>
      <c r="E1" s="407"/>
      <c r="F1" s="171" t="s">
        <v>3508</v>
      </c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</row>
    <row r="2" spans="1:26" ht="21" customHeight="1">
      <c r="A2" s="261" t="s">
        <v>2852</v>
      </c>
      <c r="B2" s="262"/>
      <c r="C2" s="262" t="s">
        <v>2854</v>
      </c>
      <c r="D2" s="262" t="s">
        <v>3037</v>
      </c>
      <c r="E2" s="261" t="s">
        <v>2855</v>
      </c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</row>
    <row r="3" spans="1:26" ht="12.75" customHeight="1">
      <c r="A3" s="452" t="s">
        <v>3509</v>
      </c>
      <c r="B3" s="419"/>
      <c r="C3" s="419"/>
      <c r="D3" s="419"/>
      <c r="E3" s="42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</row>
    <row r="4" spans="1:26" ht="41.25" customHeight="1">
      <c r="A4" s="315" t="s">
        <v>3510</v>
      </c>
      <c r="B4" s="316"/>
      <c r="C4" s="317">
        <v>25</v>
      </c>
      <c r="D4" s="318">
        <v>28</v>
      </c>
      <c r="E4" s="453" t="s">
        <v>3511</v>
      </c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</row>
    <row r="5" spans="1:26" ht="41.25" customHeight="1">
      <c r="A5" s="319" t="s">
        <v>3512</v>
      </c>
      <c r="B5" s="320"/>
      <c r="C5" s="266">
        <v>31</v>
      </c>
      <c r="D5" s="268">
        <v>35</v>
      </c>
      <c r="E5" s="454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</row>
    <row r="6" spans="1:26" ht="41.25" customHeight="1">
      <c r="A6" s="321" t="s">
        <v>3513</v>
      </c>
      <c r="B6" s="322"/>
      <c r="C6" s="323">
        <v>37</v>
      </c>
      <c r="D6" s="324">
        <v>42</v>
      </c>
      <c r="E6" s="455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</row>
    <row r="7" spans="1:26" ht="41.25" customHeight="1">
      <c r="A7" s="315" t="s">
        <v>3514</v>
      </c>
      <c r="B7" s="316"/>
      <c r="C7" s="317">
        <v>36</v>
      </c>
      <c r="D7" s="318">
        <v>41</v>
      </c>
      <c r="E7" s="453" t="s">
        <v>3515</v>
      </c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6" ht="41.25" customHeight="1">
      <c r="A8" s="319" t="s">
        <v>3516</v>
      </c>
      <c r="B8" s="320"/>
      <c r="C8" s="266">
        <v>41</v>
      </c>
      <c r="D8" s="268">
        <v>47</v>
      </c>
      <c r="E8" s="454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</row>
    <row r="9" spans="1:26" ht="41.25" customHeight="1">
      <c r="A9" s="321" t="s">
        <v>3517</v>
      </c>
      <c r="B9" s="322"/>
      <c r="C9" s="323">
        <v>60</v>
      </c>
      <c r="D9" s="324">
        <v>70</v>
      </c>
      <c r="E9" s="455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</row>
    <row r="10" spans="1:26" ht="41.25" customHeight="1">
      <c r="A10" s="315" t="s">
        <v>3518</v>
      </c>
      <c r="B10" s="316"/>
      <c r="C10" s="317">
        <v>99</v>
      </c>
      <c r="D10" s="318">
        <v>114</v>
      </c>
      <c r="E10" s="453" t="s">
        <v>3519</v>
      </c>
      <c r="F10" s="219"/>
      <c r="G10" s="219"/>
      <c r="H10" s="219"/>
      <c r="I10" s="219"/>
      <c r="J10" s="219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</row>
    <row r="11" spans="1:26" ht="41.25" customHeight="1">
      <c r="A11" s="319" t="s">
        <v>3520</v>
      </c>
      <c r="B11" s="320"/>
      <c r="C11" s="266">
        <v>115</v>
      </c>
      <c r="D11" s="268">
        <v>132</v>
      </c>
      <c r="E11" s="454"/>
      <c r="F11" s="219"/>
      <c r="G11" s="219"/>
      <c r="H11" s="219"/>
      <c r="I11" s="219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</row>
    <row r="12" spans="1:26" ht="41.25" customHeight="1">
      <c r="A12" s="321" t="s">
        <v>3521</v>
      </c>
      <c r="B12" s="322"/>
      <c r="C12" s="323">
        <v>120</v>
      </c>
      <c r="D12" s="324">
        <v>138</v>
      </c>
      <c r="E12" s="455"/>
      <c r="F12" s="219"/>
      <c r="G12" s="219"/>
      <c r="H12" s="219"/>
      <c r="I12" s="219"/>
      <c r="J12" s="219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</row>
    <row r="13" spans="1:26" ht="12.75" customHeight="1">
      <c r="A13" s="450" t="s">
        <v>3522</v>
      </c>
      <c r="B13" s="416"/>
      <c r="C13" s="416"/>
      <c r="D13" s="416"/>
      <c r="E13" s="417"/>
      <c r="F13" s="219"/>
      <c r="G13" s="219"/>
      <c r="H13" s="219"/>
      <c r="I13" s="219"/>
      <c r="J13" s="219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</row>
    <row r="14" spans="1:26" ht="132" customHeight="1">
      <c r="A14" s="263" t="s">
        <v>3523</v>
      </c>
      <c r="B14" s="268"/>
      <c r="C14" s="266">
        <v>75</v>
      </c>
      <c r="D14" s="268">
        <v>84</v>
      </c>
      <c r="E14" s="427" t="s">
        <v>3524</v>
      </c>
      <c r="F14" s="325"/>
      <c r="G14" s="325"/>
      <c r="H14" s="325"/>
      <c r="I14" s="325"/>
      <c r="J14" s="325"/>
      <c r="K14" s="325"/>
      <c r="L14" s="325"/>
      <c r="M14" s="325"/>
      <c r="N14" s="325"/>
      <c r="O14" s="325"/>
      <c r="P14" s="325"/>
      <c r="Q14" s="325"/>
      <c r="R14" s="325"/>
      <c r="S14" s="325"/>
      <c r="T14" s="325"/>
      <c r="U14" s="325"/>
      <c r="V14" s="325"/>
      <c r="W14" s="325"/>
      <c r="X14" s="325"/>
      <c r="Y14" s="325"/>
      <c r="Z14" s="325"/>
    </row>
    <row r="15" spans="1:26" ht="132" customHeight="1">
      <c r="A15" s="263" t="s">
        <v>3525</v>
      </c>
      <c r="B15" s="268"/>
      <c r="C15" s="266">
        <v>78</v>
      </c>
      <c r="D15" s="268">
        <v>88</v>
      </c>
      <c r="E15" s="429"/>
      <c r="F15" s="325"/>
      <c r="G15" s="325"/>
      <c r="H15" s="325"/>
      <c r="I15" s="325"/>
      <c r="J15" s="325"/>
      <c r="K15" s="325"/>
      <c r="L15" s="325"/>
      <c r="M15" s="325"/>
      <c r="N15" s="325"/>
      <c r="O15" s="325"/>
      <c r="P15" s="325"/>
      <c r="Q15" s="325"/>
      <c r="R15" s="325"/>
      <c r="S15" s="325"/>
      <c r="T15" s="325"/>
      <c r="U15" s="325"/>
      <c r="V15" s="325"/>
      <c r="W15" s="325"/>
      <c r="X15" s="325"/>
      <c r="Y15" s="325"/>
      <c r="Z15" s="325"/>
    </row>
    <row r="16" spans="1:26" ht="136.5" customHeight="1">
      <c r="A16" s="263" t="s">
        <v>3526</v>
      </c>
      <c r="B16" s="268"/>
      <c r="C16" s="266">
        <v>160</v>
      </c>
      <c r="D16" s="268">
        <v>186</v>
      </c>
      <c r="E16" s="227" t="s">
        <v>3527</v>
      </c>
      <c r="F16" s="325"/>
      <c r="G16" s="325"/>
      <c r="H16" s="325"/>
      <c r="I16" s="325"/>
      <c r="J16" s="325"/>
      <c r="K16" s="325"/>
      <c r="L16" s="325"/>
      <c r="M16" s="325"/>
      <c r="N16" s="325"/>
      <c r="O16" s="325"/>
      <c r="P16" s="325"/>
      <c r="Q16" s="325"/>
      <c r="R16" s="325"/>
      <c r="S16" s="325"/>
      <c r="T16" s="325"/>
      <c r="U16" s="325"/>
      <c r="V16" s="325"/>
      <c r="W16" s="325"/>
      <c r="X16" s="325"/>
      <c r="Y16" s="325"/>
      <c r="Z16" s="325"/>
    </row>
    <row r="17" spans="1:26" ht="12.75" customHeight="1">
      <c r="A17" s="456" t="s">
        <v>3528</v>
      </c>
      <c r="B17" s="408"/>
      <c r="C17" s="408"/>
      <c r="D17" s="408"/>
      <c r="E17" s="407"/>
      <c r="F17" s="219"/>
      <c r="G17" s="219"/>
      <c r="H17" s="219"/>
      <c r="I17" s="219"/>
      <c r="J17" s="219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</row>
    <row r="18" spans="1:26" ht="132" customHeight="1">
      <c r="A18" s="263" t="s">
        <v>3529</v>
      </c>
      <c r="B18" s="268"/>
      <c r="C18" s="266">
        <v>29</v>
      </c>
      <c r="D18" s="268">
        <v>33</v>
      </c>
      <c r="E18" s="227" t="s">
        <v>3530</v>
      </c>
      <c r="F18" s="325"/>
      <c r="G18" s="325"/>
      <c r="H18" s="325"/>
      <c r="I18" s="325"/>
      <c r="J18" s="325"/>
      <c r="K18" s="325"/>
      <c r="L18" s="325"/>
      <c r="M18" s="325"/>
      <c r="N18" s="325"/>
      <c r="O18" s="325"/>
      <c r="P18" s="325"/>
      <c r="Q18" s="325"/>
      <c r="R18" s="325"/>
      <c r="S18" s="325"/>
      <c r="T18" s="325"/>
      <c r="U18" s="325"/>
      <c r="V18" s="325"/>
      <c r="W18" s="325"/>
      <c r="X18" s="325"/>
      <c r="Y18" s="325"/>
      <c r="Z18" s="325"/>
    </row>
    <row r="19" spans="1:26" ht="132" customHeight="1">
      <c r="A19" s="263" t="s">
        <v>3531</v>
      </c>
      <c r="B19" s="268"/>
      <c r="C19" s="266">
        <v>30</v>
      </c>
      <c r="D19" s="268">
        <v>34</v>
      </c>
      <c r="E19" s="227" t="s">
        <v>3532</v>
      </c>
      <c r="F19" s="325"/>
      <c r="G19" s="325"/>
      <c r="H19" s="325"/>
      <c r="I19" s="325"/>
      <c r="J19" s="325"/>
      <c r="K19" s="325"/>
      <c r="L19" s="325"/>
      <c r="M19" s="325"/>
      <c r="N19" s="325"/>
      <c r="O19" s="325"/>
      <c r="P19" s="325"/>
      <c r="Q19" s="325"/>
      <c r="R19" s="325"/>
      <c r="S19" s="325"/>
      <c r="T19" s="325"/>
      <c r="U19" s="325"/>
      <c r="V19" s="325"/>
      <c r="W19" s="325"/>
      <c r="X19" s="325"/>
      <c r="Y19" s="325"/>
      <c r="Z19" s="325"/>
    </row>
    <row r="20" spans="1:26" ht="132" customHeight="1">
      <c r="A20" s="263" t="s">
        <v>3533</v>
      </c>
      <c r="B20" s="268"/>
      <c r="C20" s="266">
        <v>31</v>
      </c>
      <c r="D20" s="268">
        <v>35</v>
      </c>
      <c r="E20" s="227" t="s">
        <v>3534</v>
      </c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</row>
    <row r="21" spans="1:26" ht="132" customHeight="1">
      <c r="A21" s="263" t="s">
        <v>3535</v>
      </c>
      <c r="B21" s="268"/>
      <c r="C21" s="266">
        <v>36</v>
      </c>
      <c r="D21" s="268">
        <v>41</v>
      </c>
      <c r="E21" s="227" t="s">
        <v>3536</v>
      </c>
      <c r="F21" s="325"/>
      <c r="G21" s="325"/>
      <c r="H21" s="325"/>
      <c r="I21" s="325"/>
      <c r="J21" s="325"/>
      <c r="K21" s="325"/>
      <c r="L21" s="325"/>
      <c r="M21" s="325"/>
      <c r="N21" s="325"/>
      <c r="O21" s="325"/>
      <c r="P21" s="325"/>
      <c r="Q21" s="325"/>
      <c r="R21" s="325"/>
      <c r="S21" s="325"/>
      <c r="T21" s="325"/>
      <c r="U21" s="325"/>
      <c r="V21" s="325"/>
      <c r="W21" s="325"/>
      <c r="X21" s="325"/>
      <c r="Y21" s="325"/>
      <c r="Z21" s="325"/>
    </row>
    <row r="22" spans="1:26" ht="12.75" customHeight="1">
      <c r="A22" s="456" t="s">
        <v>3537</v>
      </c>
      <c r="B22" s="408"/>
      <c r="C22" s="408"/>
      <c r="D22" s="408"/>
      <c r="E22" s="407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</row>
    <row r="23" spans="1:26" ht="60" customHeight="1">
      <c r="A23" s="263" t="s">
        <v>3538</v>
      </c>
      <c r="B23" s="268"/>
      <c r="C23" s="266">
        <v>4</v>
      </c>
      <c r="D23" s="268">
        <v>3.6</v>
      </c>
      <c r="E23" s="227" t="s">
        <v>3539</v>
      </c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5"/>
      <c r="W23" s="325"/>
      <c r="X23" s="325"/>
      <c r="Y23" s="325"/>
      <c r="Z23" s="325"/>
    </row>
    <row r="24" spans="1:26" ht="12.75" customHeight="1">
      <c r="A24" s="456" t="s">
        <v>3540</v>
      </c>
      <c r="B24" s="408"/>
      <c r="C24" s="408"/>
      <c r="D24" s="408"/>
      <c r="E24" s="407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</row>
    <row r="25" spans="1:26" ht="27.75" customHeight="1">
      <c r="A25" s="263" t="s">
        <v>3541</v>
      </c>
      <c r="B25" s="268"/>
      <c r="C25" s="266">
        <v>42</v>
      </c>
      <c r="D25" s="268">
        <v>47</v>
      </c>
      <c r="E25" s="427" t="s">
        <v>3542</v>
      </c>
      <c r="F25" s="325"/>
      <c r="G25" s="325"/>
      <c r="H25" s="325"/>
      <c r="I25" s="325"/>
      <c r="J25" s="325"/>
      <c r="K25" s="325"/>
      <c r="L25" s="325"/>
      <c r="M25" s="325"/>
      <c r="N25" s="325"/>
      <c r="O25" s="325"/>
      <c r="P25" s="325"/>
      <c r="Q25" s="325"/>
      <c r="R25" s="325"/>
      <c r="S25" s="325"/>
      <c r="T25" s="325"/>
      <c r="U25" s="325"/>
      <c r="V25" s="325"/>
      <c r="W25" s="325"/>
      <c r="X25" s="325"/>
      <c r="Y25" s="325"/>
      <c r="Z25" s="325"/>
    </row>
    <row r="26" spans="1:26" ht="30" customHeight="1">
      <c r="A26" s="263" t="s">
        <v>3543</v>
      </c>
      <c r="B26" s="268"/>
      <c r="C26" s="266">
        <v>44</v>
      </c>
      <c r="D26" s="268">
        <v>51</v>
      </c>
      <c r="E26" s="429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325"/>
      <c r="S26" s="325"/>
      <c r="T26" s="325"/>
      <c r="U26" s="325"/>
      <c r="V26" s="325"/>
      <c r="W26" s="325"/>
      <c r="X26" s="325"/>
      <c r="Y26" s="325"/>
      <c r="Z26" s="325"/>
    </row>
    <row r="27" spans="1:26" ht="12.75" customHeight="1">
      <c r="A27" s="456" t="s">
        <v>3544</v>
      </c>
      <c r="B27" s="408"/>
      <c r="C27" s="408"/>
      <c r="D27" s="408"/>
      <c r="E27" s="407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</row>
    <row r="28" spans="1:26" ht="45" customHeight="1">
      <c r="A28" s="263" t="s">
        <v>3545</v>
      </c>
      <c r="B28" s="268"/>
      <c r="C28" s="266">
        <v>18</v>
      </c>
      <c r="D28" s="268">
        <v>20</v>
      </c>
      <c r="E28" s="227" t="s">
        <v>3546</v>
      </c>
      <c r="F28" s="325"/>
      <c r="G28" s="325"/>
      <c r="H28" s="325"/>
      <c r="I28" s="325"/>
      <c r="J28" s="325"/>
      <c r="K28" s="325"/>
      <c r="L28" s="325"/>
      <c r="M28" s="325"/>
      <c r="N28" s="325"/>
      <c r="O28" s="325"/>
      <c r="P28" s="325"/>
      <c r="Q28" s="325"/>
      <c r="R28" s="325"/>
      <c r="S28" s="325"/>
      <c r="T28" s="325"/>
      <c r="U28" s="325"/>
      <c r="V28" s="325"/>
      <c r="W28" s="325"/>
      <c r="X28" s="325"/>
      <c r="Y28" s="325"/>
      <c r="Z28" s="325"/>
    </row>
    <row r="29" spans="1:26" ht="45" customHeight="1">
      <c r="A29" s="263" t="s">
        <v>3547</v>
      </c>
      <c r="B29" s="268"/>
      <c r="C29" s="266">
        <v>18</v>
      </c>
      <c r="D29" s="268">
        <v>20</v>
      </c>
      <c r="E29" s="227" t="s">
        <v>3548</v>
      </c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V29" s="325"/>
      <c r="W29" s="325"/>
      <c r="X29" s="325"/>
      <c r="Y29" s="325"/>
      <c r="Z29" s="325"/>
    </row>
    <row r="30" spans="1:26" ht="45" customHeight="1">
      <c r="A30" s="263" t="s">
        <v>3549</v>
      </c>
      <c r="B30" s="268"/>
      <c r="C30" s="266">
        <v>19</v>
      </c>
      <c r="D30" s="268">
        <v>21</v>
      </c>
      <c r="E30" s="227" t="s">
        <v>3548</v>
      </c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V30" s="325"/>
      <c r="W30" s="325"/>
      <c r="X30" s="325"/>
      <c r="Y30" s="325"/>
      <c r="Z30" s="325"/>
    </row>
    <row r="31" spans="1:26" ht="45" customHeight="1">
      <c r="A31" s="263" t="s">
        <v>3550</v>
      </c>
      <c r="B31" s="268"/>
      <c r="C31" s="266">
        <v>30</v>
      </c>
      <c r="D31" s="268">
        <v>34</v>
      </c>
      <c r="E31" s="227" t="s">
        <v>3551</v>
      </c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V31" s="325"/>
      <c r="W31" s="325"/>
      <c r="X31" s="325"/>
      <c r="Y31" s="325"/>
      <c r="Z31" s="325"/>
    </row>
    <row r="32" spans="1:26" ht="45" customHeight="1">
      <c r="A32" s="263" t="s">
        <v>3552</v>
      </c>
      <c r="B32" s="268"/>
      <c r="C32" s="266">
        <v>31</v>
      </c>
      <c r="D32" s="268">
        <v>35</v>
      </c>
      <c r="E32" s="227" t="s">
        <v>3553</v>
      </c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V32" s="325"/>
      <c r="W32" s="325"/>
      <c r="X32" s="325"/>
      <c r="Y32" s="325"/>
      <c r="Z32" s="325"/>
    </row>
    <row r="33" spans="1:26" ht="12.75" customHeight="1">
      <c r="A33" s="219"/>
      <c r="B33" s="270"/>
      <c r="C33" s="271"/>
      <c r="D33" s="270"/>
      <c r="E33" s="326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</row>
    <row r="34" spans="1:26" ht="12.75" customHeight="1">
      <c r="A34" s="219"/>
      <c r="B34" s="270"/>
      <c r="C34" s="271"/>
      <c r="D34" s="270"/>
      <c r="E34" s="326"/>
      <c r="F34" s="219"/>
      <c r="G34" s="219"/>
      <c r="H34" s="219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</row>
    <row r="35" spans="1:26" ht="12.75" customHeight="1">
      <c r="A35" s="219"/>
      <c r="B35" s="270"/>
      <c r="C35" s="271"/>
      <c r="D35" s="270"/>
      <c r="E35" s="326"/>
      <c r="F35" s="219"/>
      <c r="G35" s="219"/>
      <c r="H35" s="2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</row>
    <row r="36" spans="1:26" ht="12.75" customHeight="1">
      <c r="A36" s="219"/>
      <c r="B36" s="270"/>
      <c r="C36" s="271"/>
      <c r="D36" s="270"/>
      <c r="E36" s="326"/>
      <c r="F36" s="219"/>
      <c r="G36" s="219"/>
      <c r="H36" s="21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</row>
    <row r="37" spans="1:26" ht="12.75" customHeight="1">
      <c r="A37" s="219"/>
      <c r="B37" s="270"/>
      <c r="C37" s="271"/>
      <c r="D37" s="270"/>
      <c r="E37" s="326"/>
      <c r="F37" s="219"/>
      <c r="G37" s="219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</row>
    <row r="38" spans="1:26" ht="12.75" customHeight="1">
      <c r="A38" s="219"/>
      <c r="B38" s="270"/>
      <c r="C38" s="271"/>
      <c r="D38" s="270"/>
      <c r="E38" s="326"/>
      <c r="F38" s="219"/>
      <c r="G38" s="219"/>
      <c r="H38" s="219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</row>
    <row r="39" spans="1:26" ht="12.75" customHeight="1">
      <c r="A39" s="219"/>
      <c r="B39" s="270"/>
      <c r="C39" s="271"/>
      <c r="D39" s="270"/>
      <c r="E39" s="326"/>
      <c r="F39" s="219"/>
      <c r="G39" s="219"/>
      <c r="H39" s="21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</row>
    <row r="40" spans="1:26" ht="12.75" customHeight="1">
      <c r="A40" s="219"/>
      <c r="B40" s="270"/>
      <c r="C40" s="271"/>
      <c r="D40" s="270"/>
      <c r="E40" s="326"/>
      <c r="F40" s="219"/>
      <c r="G40" s="219"/>
      <c r="H40" s="219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</row>
    <row r="41" spans="1:26" ht="12.75" customHeight="1">
      <c r="A41" s="219"/>
      <c r="B41" s="270"/>
      <c r="C41" s="271"/>
      <c r="D41" s="270"/>
      <c r="E41" s="326"/>
      <c r="F41" s="219"/>
      <c r="G41" s="219"/>
      <c r="H41" s="21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</row>
    <row r="42" spans="1:26" ht="12.75" customHeight="1">
      <c r="A42" s="219"/>
      <c r="B42" s="270"/>
      <c r="C42" s="271"/>
      <c r="D42" s="270"/>
      <c r="E42" s="326"/>
      <c r="F42" s="219"/>
      <c r="G42" s="219"/>
      <c r="H42" s="219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</row>
    <row r="43" spans="1:26" ht="12.75" customHeight="1">
      <c r="A43" s="219"/>
      <c r="B43" s="270"/>
      <c r="C43" s="271"/>
      <c r="D43" s="270"/>
      <c r="E43" s="326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</row>
    <row r="44" spans="1:26" ht="12.75" customHeight="1">
      <c r="A44" s="219"/>
      <c r="B44" s="270"/>
      <c r="C44" s="271"/>
      <c r="D44" s="270"/>
      <c r="E44" s="326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</row>
    <row r="45" spans="1:26" ht="12.75" customHeight="1">
      <c r="A45" s="219"/>
      <c r="B45" s="270"/>
      <c r="C45" s="271"/>
      <c r="D45" s="270"/>
      <c r="E45" s="326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</row>
    <row r="46" spans="1:26" ht="12.75" customHeight="1">
      <c r="A46" s="219"/>
      <c r="B46" s="270"/>
      <c r="C46" s="271"/>
      <c r="D46" s="270"/>
      <c r="E46" s="326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</row>
    <row r="47" spans="1:26" ht="12.75" customHeight="1">
      <c r="A47" s="219"/>
      <c r="B47" s="270"/>
      <c r="C47" s="271"/>
      <c r="D47" s="270"/>
      <c r="E47" s="326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</row>
    <row r="48" spans="1:26" ht="12.75" customHeight="1">
      <c r="A48" s="219"/>
      <c r="B48" s="270"/>
      <c r="C48" s="271"/>
      <c r="D48" s="270"/>
      <c r="E48" s="326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</row>
    <row r="49" spans="1:26" ht="12.75" customHeight="1">
      <c r="A49" s="219"/>
      <c r="B49" s="270"/>
      <c r="C49" s="271"/>
      <c r="D49" s="270"/>
      <c r="E49" s="326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</row>
    <row r="50" spans="1:26" ht="12.75" customHeight="1">
      <c r="A50" s="219"/>
      <c r="B50" s="270"/>
      <c r="C50" s="271"/>
      <c r="D50" s="270"/>
      <c r="E50" s="326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</row>
    <row r="51" spans="1:26" ht="15.75" customHeight="1"/>
    <row r="52" spans="1:26" ht="15.75" customHeight="1"/>
    <row r="53" spans="1:26" ht="15.75" customHeight="1"/>
  </sheetData>
  <mergeCells count="12">
    <mergeCell ref="A17:E17"/>
    <mergeCell ref="A22:E22"/>
    <mergeCell ref="A24:E24"/>
    <mergeCell ref="E25:E26"/>
    <mergeCell ref="A27:E27"/>
    <mergeCell ref="A13:E13"/>
    <mergeCell ref="E14:E15"/>
    <mergeCell ref="A1:E1"/>
    <mergeCell ref="A3:E3"/>
    <mergeCell ref="E4:E6"/>
    <mergeCell ref="E7:E9"/>
    <mergeCell ref="E10:E12"/>
  </mergeCells>
  <pageMargins left="0.7" right="0.7" top="0.75" bottom="0.75" header="0" footer="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50"/>
  <sheetViews>
    <sheetView workbookViewId="0"/>
  </sheetViews>
  <sheetFormatPr defaultColWidth="14.3984375" defaultRowHeight="15" customHeight="1"/>
  <cols>
    <col min="1" max="1" width="56.265625" customWidth="1"/>
    <col min="2" max="2" width="10.86328125" hidden="1" customWidth="1"/>
    <col min="3" max="3" width="10.86328125" customWidth="1"/>
    <col min="4" max="4" width="7" customWidth="1"/>
    <col min="5" max="24" width="9.1328125" customWidth="1"/>
  </cols>
  <sheetData>
    <row r="1" spans="1:26" ht="18" customHeight="1">
      <c r="A1" s="457" t="s">
        <v>3554</v>
      </c>
      <c r="B1" s="408"/>
      <c r="C1" s="408"/>
      <c r="D1" s="40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  <c r="Z1" s="327"/>
    </row>
    <row r="2" spans="1:26" ht="18" customHeight="1">
      <c r="A2" s="217" t="s">
        <v>3555</v>
      </c>
      <c r="B2" s="53" t="str">
        <f ca="1">IFERROR(__xludf.DUMMYFUNCTION("IFERROR(LET(
  angle,     REGEXEXTRACT(A1, ""&lt;([^&gt;]+)&gt;""),
  round,     REGEXEXTRACT(A1,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2" s="53">
        <v>260</v>
      </c>
      <c r="D2" s="328" t="s">
        <v>3556</v>
      </c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</row>
    <row r="3" spans="1:26" ht="18" customHeight="1">
      <c r="A3" s="217" t="s">
        <v>3557</v>
      </c>
      <c r="B3" s="53" t="str">
        <f ca="1">IFERROR(__xludf.DUMMYFUNCTION("IFERROR(LET(
  angle,     REGEXEXTRACT(A2, ""&lt;([^&gt;]+)&gt;""),
  round,     REGEXEXTRACT(A2,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3" s="53">
        <v>215</v>
      </c>
      <c r="D3" s="328" t="s">
        <v>3556</v>
      </c>
      <c r="E3" s="329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  <c r="Z3" s="329"/>
    </row>
    <row r="4" spans="1:26" ht="18" customHeight="1">
      <c r="A4" s="217" t="s">
        <v>3558</v>
      </c>
      <c r="B4" s="53" t="str">
        <f ca="1">IFERROR(__xludf.DUMMYFUNCTION("IFERROR(LET(
  angle,     REGEXEXTRACT(A3, ""&lt;([^&gt;]+)&gt;""),
  round,     REGEXEXTRACT(A3,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4" s="53">
        <v>300</v>
      </c>
      <c r="D4" s="328" t="s">
        <v>3556</v>
      </c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  <c r="W4" s="329"/>
      <c r="X4" s="329"/>
      <c r="Y4" s="329"/>
      <c r="Z4" s="329"/>
    </row>
    <row r="5" spans="1:26" ht="18" customHeight="1">
      <c r="A5" s="330" t="s">
        <v>3033</v>
      </c>
      <c r="B5" s="53" t="str">
        <f ca="1">IFERROR(__xludf.DUMMYFUNCTION("IFERROR(LET(
  angle,     REGEXEXTRACT(A4, ""&lt;([^&gt;]+)&gt;""),
  round,     REGEXEXTRACT(A4,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5" s="53">
        <v>225</v>
      </c>
      <c r="D5" s="331" t="s">
        <v>3556</v>
      </c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</row>
    <row r="6" spans="1:26" ht="18" customHeight="1">
      <c r="A6" s="330" t="s">
        <v>3559</v>
      </c>
      <c r="B6" s="53" t="str">
        <f ca="1">IFERROR(__xludf.DUMMYFUNCTION("IFERROR(LET(
  angle,     REGEXEXTRACT(A5, ""&lt;([^&gt;]+)&gt;""),
  round,     REGEXEXTRACT(A5,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6" s="53">
        <v>225</v>
      </c>
      <c r="D6" s="331" t="s">
        <v>3556</v>
      </c>
      <c r="E6" s="329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</row>
    <row r="7" spans="1:26" ht="18" customHeight="1">
      <c r="A7" s="330" t="s">
        <v>3034</v>
      </c>
      <c r="B7" s="53" t="str">
        <f ca="1">IFERROR(__xludf.DUMMYFUNCTION("IFERROR(LET(
  angle,     REGEXEXTRACT(A6, ""&lt;([^&gt;]+)&gt;""),
  round,     REGEXEXTRACT(A6,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7" s="53">
        <v>225</v>
      </c>
      <c r="D7" s="331" t="s">
        <v>3556</v>
      </c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</row>
    <row r="8" spans="1:26" ht="18" customHeight="1">
      <c r="A8" s="217" t="s">
        <v>2943</v>
      </c>
      <c r="B8" s="53" t="str">
        <f ca="1">IFERROR(__xludf.DUMMYFUNCTION("IFERROR(LET(
  angle,     REGEXEXTRACT(A7, ""&lt;([^&gt;]+)&gt;""),
  round,     REGEXEXTRACT(A7,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8" s="58">
        <v>175</v>
      </c>
      <c r="D8" s="328"/>
      <c r="E8" s="329"/>
      <c r="F8" s="329"/>
      <c r="G8" s="329"/>
      <c r="H8" s="329"/>
      <c r="I8" s="329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  <c r="W8" s="329"/>
      <c r="X8" s="329"/>
      <c r="Y8" s="329"/>
      <c r="Z8" s="329"/>
    </row>
    <row r="9" spans="1:26" ht="18" customHeight="1">
      <c r="A9" s="217" t="s">
        <v>2945</v>
      </c>
      <c r="B9" s="53" t="str">
        <f ca="1">IFERROR(__xludf.DUMMYFUNCTION("IFERROR(LET(
  angle,     REGEXEXTRACT(A8, ""&lt;([^&gt;]+)&gt;""),
  round,     REGEXEXTRACT(A8,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"""")"),"GC-P132-N-F2-158")</f>
        <v>GC-P132-N-F2-158</v>
      </c>
      <c r="C9" s="58">
        <v>175</v>
      </c>
      <c r="D9" s="328"/>
      <c r="E9" s="329"/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29"/>
      <c r="Q9" s="329"/>
      <c r="R9" s="329"/>
      <c r="S9" s="329"/>
      <c r="T9" s="329"/>
      <c r="U9" s="329"/>
      <c r="V9" s="329"/>
      <c r="W9" s="329"/>
      <c r="X9" s="329"/>
      <c r="Y9" s="329"/>
      <c r="Z9" s="329"/>
    </row>
    <row r="10" spans="1:26" ht="18" customHeight="1">
      <c r="A10" s="217" t="s">
        <v>2947</v>
      </c>
      <c r="B10" s="53" t="str">
        <f ca="1">IFERROR(__xludf.DUMMYFUNCTION("IFERROR(LET(
  angle,     REGEXEXTRACT(A9, ""&lt;([^&gt;]+)&gt;""),
  round,     REGEXEXTRACT(A9,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"""")"),"GC-P132-NW-F2-158")</f>
        <v>GC-P132-NW-F2-158</v>
      </c>
      <c r="C10" s="58">
        <v>175</v>
      </c>
      <c r="D10" s="328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29"/>
      <c r="Q10" s="329"/>
      <c r="R10" s="329"/>
      <c r="S10" s="329"/>
      <c r="T10" s="329"/>
      <c r="U10" s="329"/>
      <c r="V10" s="329"/>
      <c r="W10" s="329"/>
      <c r="X10" s="329"/>
      <c r="Y10" s="329"/>
      <c r="Z10" s="329"/>
    </row>
    <row r="11" spans="1:26" ht="18" customHeight="1">
      <c r="A11" s="217" t="s">
        <v>2949</v>
      </c>
      <c r="B11" s="53" t="str">
        <f ca="1">IFERROR(__xludf.DUMMYFUNCTION("IFERROR(LET(
  angle,     REGEXEXTRACT(A10, ""&lt;([^&gt;]+)&gt;""),
  round,     REGEXEXTRACT(A10,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"""")"),"GC-P132-RN-F2-158")</f>
        <v>GC-P132-RN-F2-158</v>
      </c>
      <c r="C11" s="58">
        <v>230</v>
      </c>
      <c r="D11" s="328"/>
      <c r="E11" s="329"/>
      <c r="F11" s="329"/>
      <c r="G11" s="329"/>
      <c r="H11" s="329"/>
      <c r="I11" s="329"/>
      <c r="J11" s="329"/>
      <c r="K11" s="1"/>
      <c r="L11" s="329"/>
      <c r="M11" s="329"/>
      <c r="N11" s="329"/>
      <c r="O11" s="329"/>
      <c r="P11" s="329"/>
      <c r="Q11" s="329"/>
      <c r="R11" s="329"/>
      <c r="S11" s="329"/>
      <c r="T11" s="329"/>
      <c r="U11" s="329"/>
      <c r="V11" s="329"/>
      <c r="W11" s="329"/>
      <c r="X11" s="329"/>
      <c r="Y11" s="329"/>
      <c r="Z11" s="329"/>
    </row>
    <row r="12" spans="1:26" ht="18" customHeight="1">
      <c r="A12" s="217" t="s">
        <v>2951</v>
      </c>
      <c r="B12" s="53" t="str">
        <f ca="1">IFERROR(__xludf.DUMMYFUNCTION("IFERROR(LET(
  angle,     REGEXEXTRACT(A11, ""&lt;([^&gt;]+)&gt;""),
  round,     REGEXEXTRACT(A11,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"""")"),"GC-G001-NR-B2-423")</f>
        <v>GC-G001-NR-B2-423</v>
      </c>
      <c r="C12" s="58">
        <v>230</v>
      </c>
      <c r="D12" s="332"/>
      <c r="E12" s="329"/>
      <c r="F12" s="329"/>
      <c r="G12" s="329"/>
      <c r="H12" s="329"/>
      <c r="I12" s="329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  <c r="W12" s="329"/>
      <c r="X12" s="329"/>
      <c r="Y12" s="329"/>
      <c r="Z12" s="329"/>
    </row>
    <row r="13" spans="1:26" ht="18" customHeight="1">
      <c r="A13" s="217" t="s">
        <v>2953</v>
      </c>
      <c r="B13" s="53" t="str">
        <f ca="1">IFERROR(__xludf.DUMMYFUNCTION("IFERROR(LET(
  angle,     REGEXEXTRACT(A12, ""&lt;([^&gt;]+)&gt;""),
  round,     REGEXEXTRACT(A12,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"""")"),"GC-G001-NB-B2-423")</f>
        <v>GC-G001-NB-B2-423</v>
      </c>
      <c r="C13" s="58">
        <v>230</v>
      </c>
      <c r="D13" s="333"/>
      <c r="E13" s="329"/>
      <c r="F13" s="329"/>
      <c r="G13" s="329"/>
      <c r="H13" s="329"/>
      <c r="I13" s="329"/>
      <c r="J13" s="329"/>
      <c r="K13" s="329"/>
      <c r="L13" s="329"/>
      <c r="M13" s="329"/>
      <c r="N13" s="329"/>
      <c r="O13" s="329"/>
      <c r="P13" s="329"/>
      <c r="Q13" s="329"/>
      <c r="R13" s="329"/>
      <c r="S13" s="329"/>
      <c r="T13" s="329"/>
      <c r="U13" s="329"/>
      <c r="V13" s="329"/>
      <c r="W13" s="329"/>
      <c r="X13" s="329"/>
      <c r="Y13" s="329"/>
      <c r="Z13" s="329"/>
    </row>
    <row r="14" spans="1:26" ht="18" customHeight="1">
      <c r="A14" s="217" t="s">
        <v>2955</v>
      </c>
      <c r="B14" s="53" t="str">
        <f ca="1">IFERROR(__xludf.DUMMYFUNCTION("IFERROR(LET(
  angle,     REGEXEXTRACT(A13, ""&lt;([^&gt;]+)&gt;""),
  round,     REGEXEXTRACT(A13,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"""")"),"GC-G001-NW-B2-423")</f>
        <v>GC-G001-NW-B2-423</v>
      </c>
      <c r="C14" s="58"/>
      <c r="D14" s="333"/>
      <c r="E14" s="329"/>
      <c r="F14" s="329"/>
      <c r="G14" s="329"/>
      <c r="H14" s="329"/>
      <c r="I14" s="329"/>
      <c r="J14" s="329"/>
      <c r="K14" s="329"/>
      <c r="L14" s="329"/>
      <c r="M14" s="329"/>
      <c r="N14" s="329"/>
      <c r="O14" s="329"/>
      <c r="P14" s="329"/>
      <c r="Q14" s="329"/>
      <c r="R14" s="329"/>
      <c r="S14" s="329"/>
      <c r="T14" s="329"/>
      <c r="U14" s="329"/>
      <c r="V14" s="329"/>
      <c r="W14" s="329"/>
      <c r="X14" s="329"/>
      <c r="Y14" s="329"/>
      <c r="Z14" s="329"/>
    </row>
    <row r="15" spans="1:26" ht="18" customHeight="1">
      <c r="A15" s="217" t="s">
        <v>2957</v>
      </c>
      <c r="B15" s="53" t="str">
        <f ca="1">IFERROR(__xludf.DUMMYFUNCTION("IFERROR(LET(
  angle,     REGEXEXTRACT(A14, ""&lt;([^&gt;]+)&gt;""),
  round,     REGEXEXTRACT(A14,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"""")"),"DMC-I238S-N-N1-A1")</f>
        <v>DMC-I238S-N-N1-A1</v>
      </c>
      <c r="C15" s="58">
        <v>330</v>
      </c>
      <c r="D15" s="333"/>
      <c r="E15" s="329"/>
      <c r="F15" s="329"/>
      <c r="G15" s="329"/>
      <c r="H15" s="329"/>
      <c r="I15" s="329"/>
      <c r="J15" s="329"/>
      <c r="K15" s="329"/>
      <c r="L15" s="329"/>
      <c r="M15" s="329"/>
      <c r="N15" s="329"/>
      <c r="O15" s="329"/>
      <c r="P15" s="329"/>
      <c r="Q15" s="329"/>
      <c r="R15" s="329"/>
      <c r="S15" s="329"/>
      <c r="T15" s="329"/>
      <c r="U15" s="329"/>
      <c r="V15" s="329"/>
      <c r="W15" s="329"/>
      <c r="X15" s="329"/>
      <c r="Y15" s="329"/>
      <c r="Z15" s="329"/>
    </row>
    <row r="16" spans="1:26" ht="18" customHeight="1">
      <c r="A16" s="217" t="s">
        <v>2959</v>
      </c>
      <c r="B16" s="53" t="str">
        <f ca="1">IFERROR(__xludf.DUMMYFUNCTION("IFERROR(LET(
  angle,     REGEXEXTRACT(A15, ""&lt;([^&gt;]+)&gt;""),
  round,     REGEXEXTRACT(A15,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"""")"),"DMC-I238S-R-A1")</f>
        <v>DMC-I238S-R-A1</v>
      </c>
      <c r="C16" s="58">
        <v>330</v>
      </c>
      <c r="D16" s="333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29"/>
      <c r="Q16" s="329"/>
      <c r="R16" s="329"/>
      <c r="S16" s="329"/>
      <c r="T16" s="329"/>
      <c r="U16" s="329"/>
      <c r="V16" s="329"/>
      <c r="W16" s="329"/>
      <c r="X16" s="329"/>
      <c r="Y16" s="329"/>
      <c r="Z16" s="329"/>
    </row>
    <row r="17" spans="1:26" ht="18" customHeight="1">
      <c r="A17" s="217" t="s">
        <v>3560</v>
      </c>
      <c r="B17" s="53" t="str">
        <f ca="1">IFERROR(__xludf.DUMMYFUNCTION("IFERROR(LET(
  angle,     REGEXEXTRACT(A16, ""&lt;([^&gt;]+)&gt;""),
  round,     REGEXEXTRACT(A16,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"""")"),"DMC-I238S-WN-A1")</f>
        <v>DMC-I238S-WN-A1</v>
      </c>
      <c r="C17" s="58">
        <v>330</v>
      </c>
      <c r="D17" s="333"/>
      <c r="E17" s="329"/>
      <c r="F17" s="329"/>
      <c r="G17" s="329"/>
      <c r="H17" s="329"/>
      <c r="I17" s="329"/>
      <c r="J17" s="329"/>
      <c r="K17" s="329"/>
      <c r="L17" s="329"/>
      <c r="M17" s="329"/>
      <c r="N17" s="329"/>
      <c r="O17" s="329"/>
      <c r="P17" s="329"/>
      <c r="Q17" s="329"/>
      <c r="R17" s="329"/>
      <c r="S17" s="329"/>
      <c r="T17" s="329"/>
      <c r="U17" s="329"/>
      <c r="V17" s="329"/>
      <c r="W17" s="329"/>
      <c r="X17" s="329"/>
      <c r="Y17" s="329"/>
      <c r="Z17" s="329"/>
    </row>
    <row r="18" spans="1:26" ht="18" customHeight="1">
      <c r="A18" s="217" t="s">
        <v>3561</v>
      </c>
      <c r="B18" s="53" t="str">
        <f ca="1">IFERROR(__xludf.DUMMYFUNCTION("IFERROR(LET(
  angle,     REGEXEXTRACT(A17, ""&lt;([^&gt;]+)&gt;""),
  round,     REGEXEXTRACT(A17,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"""")"),"DMC-I239S-NF-A1")</f>
        <v>DMC-I239S-NF-A1</v>
      </c>
      <c r="C18" s="58">
        <v>330</v>
      </c>
      <c r="D18" s="333"/>
      <c r="E18" s="329"/>
      <c r="F18" s="329"/>
      <c r="G18" s="329"/>
      <c r="H18" s="329"/>
      <c r="I18" s="329"/>
      <c r="J18" s="329"/>
      <c r="K18" s="329"/>
      <c r="L18" s="329"/>
      <c r="M18" s="329"/>
      <c r="N18" s="329"/>
      <c r="O18" s="329"/>
      <c r="P18" s="329"/>
      <c r="Q18" s="329"/>
      <c r="R18" s="329"/>
      <c r="S18" s="329"/>
      <c r="T18" s="329"/>
      <c r="U18" s="329"/>
      <c r="V18" s="329"/>
      <c r="W18" s="329"/>
      <c r="X18" s="329"/>
      <c r="Y18" s="329"/>
      <c r="Z18" s="329"/>
    </row>
    <row r="19" spans="1:26" ht="18" customHeight="1">
      <c r="A19" s="217" t="s">
        <v>2965</v>
      </c>
      <c r="B19" s="53" t="str">
        <f ca="1">IFERROR(__xludf.DUMMYFUNCTION("IFERROR(LET(
  angle,     REGEXEXTRACT(A18, ""&lt;([^&gt;]+)&gt;""),
  round,     REGEXEXTRACT(A18,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"""")"),"DMC-I239S-V-A1")</f>
        <v>DMC-I239S-V-A1</v>
      </c>
      <c r="C19" s="58">
        <v>300</v>
      </c>
      <c r="D19" s="333"/>
      <c r="E19" s="329"/>
      <c r="F19" s="329"/>
      <c r="G19" s="329"/>
      <c r="H19" s="329"/>
      <c r="I19" s="329"/>
      <c r="J19" s="329"/>
      <c r="K19" s="329"/>
      <c r="L19" s="329"/>
      <c r="M19" s="329"/>
      <c r="N19" s="329"/>
      <c r="O19" s="329"/>
      <c r="P19" s="329"/>
      <c r="Q19" s="329"/>
      <c r="R19" s="329"/>
      <c r="S19" s="329"/>
      <c r="T19" s="329"/>
      <c r="U19" s="329"/>
      <c r="V19" s="329"/>
      <c r="W19" s="329"/>
      <c r="X19" s="329"/>
      <c r="Y19" s="329"/>
      <c r="Z19" s="329"/>
    </row>
    <row r="20" spans="1:26" ht="18" customHeight="1">
      <c r="A20" s="217" t="s">
        <v>2967</v>
      </c>
      <c r="B20" s="53" t="str">
        <f ca="1">IFERROR(__xludf.DUMMYFUNCTION("IFERROR(LET(
  angle,     REGEXEXTRACT(A19, ""&lt;([^&gt;]+)&gt;""),
  round,     REGEXEXTRACT(A19,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0" s="58">
        <v>300</v>
      </c>
      <c r="D20" s="333"/>
      <c r="E20" s="329"/>
      <c r="F20" s="329"/>
      <c r="G20" s="329"/>
      <c r="H20" s="329"/>
      <c r="I20" s="329"/>
      <c r="J20" s="329"/>
      <c r="K20" s="329"/>
      <c r="L20" s="329"/>
      <c r="M20" s="329"/>
      <c r="N20" s="329"/>
      <c r="O20" s="329"/>
      <c r="P20" s="329"/>
      <c r="Q20" s="329"/>
      <c r="R20" s="329"/>
      <c r="S20" s="329"/>
      <c r="T20" s="329"/>
      <c r="U20" s="329"/>
      <c r="V20" s="329"/>
      <c r="W20" s="329"/>
      <c r="X20" s="329"/>
      <c r="Y20" s="329"/>
      <c r="Z20" s="329"/>
    </row>
    <row r="21" spans="1:26" ht="18" customHeight="1">
      <c r="A21" s="217" t="s">
        <v>2969</v>
      </c>
      <c r="B21" s="53" t="str">
        <f ca="1">IFERROR(__xludf.DUMMYFUNCTION("IFERROR(LET(
  angle,     REGEXEXTRACT(A20, ""&lt;([^&gt;]+)&gt;""),
  round,     REGEXEXTRACT(A20,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1" s="58">
        <v>300</v>
      </c>
      <c r="D21" s="333"/>
      <c r="E21" s="329"/>
      <c r="F21" s="329"/>
      <c r="G21" s="329"/>
      <c r="H21" s="329"/>
      <c r="I21" s="329"/>
      <c r="J21" s="329"/>
      <c r="K21" s="329"/>
      <c r="L21" s="329"/>
      <c r="M21" s="329"/>
      <c r="N21" s="329"/>
      <c r="O21" s="329"/>
      <c r="P21" s="329"/>
      <c r="Q21" s="329"/>
      <c r="R21" s="329"/>
      <c r="S21" s="329"/>
      <c r="T21" s="329"/>
      <c r="U21" s="329"/>
      <c r="V21" s="329"/>
      <c r="W21" s="329"/>
      <c r="X21" s="329"/>
      <c r="Y21" s="329"/>
      <c r="Z21" s="329"/>
    </row>
    <row r="22" spans="1:26" ht="18" customHeight="1">
      <c r="A22" s="217" t="s">
        <v>2971</v>
      </c>
      <c r="B22" s="53" t="str">
        <f ca="1">IFERROR(__xludf.DUMMYFUNCTION("IFERROR(LET(
  angle,     REGEXEXTRACT(A21, ""&lt;([^&gt;]+)&gt;""),
  round,     REGEXEXTRACT(A21,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2" s="58">
        <v>300</v>
      </c>
      <c r="D22" s="333"/>
      <c r="E22" s="329"/>
      <c r="F22" s="329"/>
      <c r="G22" s="329"/>
      <c r="H22" s="329"/>
      <c r="I22" s="329"/>
      <c r="J22" s="329"/>
      <c r="K22" s="329"/>
      <c r="L22" s="329"/>
      <c r="M22" s="329"/>
      <c r="N22" s="329"/>
      <c r="O22" s="329"/>
      <c r="P22" s="329"/>
      <c r="Q22" s="329"/>
      <c r="R22" s="329"/>
      <c r="S22" s="329"/>
      <c r="T22" s="329"/>
      <c r="U22" s="329"/>
      <c r="V22" s="329"/>
      <c r="W22" s="329"/>
      <c r="X22" s="329"/>
      <c r="Y22" s="329"/>
      <c r="Z22" s="329"/>
    </row>
    <row r="23" spans="1:26" ht="18" customHeight="1">
      <c r="A23" s="217" t="s">
        <v>3562</v>
      </c>
      <c r="B23" s="53" t="str">
        <f ca="1">IFERROR(__xludf.DUMMYFUNCTION("IFERROR(LET(
  angle,     REGEXEXTRACT(A22, ""&lt;([^&gt;]+)&gt;""),
  round,     REGEXEXTRACT(A22,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3" s="58">
        <v>300</v>
      </c>
      <c r="D23" s="333"/>
      <c r="E23" s="329"/>
      <c r="F23" s="329"/>
      <c r="G23" s="329"/>
      <c r="H23" s="329"/>
      <c r="I23" s="329"/>
      <c r="J23" s="329"/>
      <c r="K23" s="329"/>
      <c r="L23" s="329"/>
      <c r="M23" s="329"/>
      <c r="N23" s="329"/>
      <c r="O23" s="329"/>
      <c r="P23" s="329"/>
      <c r="Q23" s="329"/>
      <c r="R23" s="329"/>
      <c r="S23" s="329"/>
      <c r="T23" s="329"/>
      <c r="U23" s="329"/>
      <c r="V23" s="329"/>
      <c r="W23" s="329"/>
      <c r="X23" s="329"/>
      <c r="Y23" s="329"/>
      <c r="Z23" s="329"/>
    </row>
    <row r="24" spans="1:26" ht="18" customHeight="1">
      <c r="A24" s="329"/>
      <c r="B24" s="329"/>
      <c r="C24" s="329"/>
      <c r="D24" s="329"/>
      <c r="E24" s="329"/>
      <c r="F24" s="329"/>
      <c r="G24" s="329"/>
      <c r="H24" s="329"/>
      <c r="I24" s="329"/>
      <c r="J24" s="329"/>
      <c r="K24" s="329"/>
      <c r="L24" s="329"/>
      <c r="M24" s="329"/>
      <c r="N24" s="329"/>
      <c r="O24" s="329"/>
      <c r="P24" s="329"/>
      <c r="Q24" s="329"/>
      <c r="R24" s="329"/>
      <c r="S24" s="329"/>
      <c r="T24" s="329"/>
      <c r="U24" s="329"/>
      <c r="V24" s="329"/>
      <c r="W24" s="329"/>
      <c r="X24" s="329"/>
      <c r="Y24" s="329"/>
      <c r="Z24" s="329"/>
    </row>
    <row r="25" spans="1:26" ht="18" customHeight="1">
      <c r="A25" s="329"/>
      <c r="B25" s="329"/>
      <c r="C25" s="329"/>
      <c r="D25" s="329"/>
      <c r="E25" s="329"/>
      <c r="F25" s="329"/>
      <c r="G25" s="329"/>
      <c r="H25" s="329"/>
      <c r="I25" s="329"/>
      <c r="J25" s="329"/>
      <c r="K25" s="329"/>
      <c r="L25" s="329"/>
      <c r="M25" s="329"/>
      <c r="N25" s="329"/>
      <c r="O25" s="329"/>
      <c r="P25" s="329"/>
      <c r="Q25" s="329"/>
      <c r="R25" s="329"/>
      <c r="S25" s="329"/>
      <c r="T25" s="329"/>
      <c r="U25" s="329"/>
      <c r="V25" s="329"/>
      <c r="W25" s="329"/>
      <c r="X25" s="329"/>
      <c r="Y25" s="329"/>
      <c r="Z25" s="329"/>
    </row>
    <row r="26" spans="1:26" ht="18" customHeight="1">
      <c r="A26" s="329"/>
      <c r="B26" s="329"/>
      <c r="C26" s="329"/>
      <c r="D26" s="329"/>
      <c r="E26" s="329"/>
      <c r="F26" s="329"/>
      <c r="G26" s="329"/>
      <c r="H26" s="329"/>
      <c r="I26" s="329"/>
      <c r="J26" s="329"/>
      <c r="K26" s="329"/>
      <c r="L26" s="329"/>
      <c r="M26" s="329"/>
      <c r="N26" s="329"/>
      <c r="O26" s="329"/>
      <c r="P26" s="329"/>
      <c r="Q26" s="329"/>
      <c r="R26" s="329"/>
      <c r="S26" s="329"/>
      <c r="T26" s="329"/>
      <c r="U26" s="329"/>
      <c r="V26" s="329"/>
      <c r="W26" s="329"/>
      <c r="X26" s="329"/>
      <c r="Y26" s="329"/>
      <c r="Z26" s="329"/>
    </row>
    <row r="27" spans="1:26" ht="18" customHeight="1">
      <c r="A27" s="329"/>
      <c r="B27" s="329"/>
      <c r="C27" s="329"/>
      <c r="D27" s="329"/>
      <c r="E27" s="329"/>
      <c r="F27" s="329"/>
      <c r="G27" s="329"/>
      <c r="H27" s="329"/>
      <c r="I27" s="329"/>
      <c r="J27" s="329"/>
      <c r="K27" s="329"/>
      <c r="L27" s="329"/>
      <c r="M27" s="329"/>
      <c r="N27" s="329"/>
      <c r="O27" s="329"/>
      <c r="P27" s="329"/>
      <c r="Q27" s="329"/>
      <c r="R27" s="329"/>
      <c r="S27" s="329"/>
      <c r="T27" s="329"/>
      <c r="U27" s="329"/>
      <c r="V27" s="329"/>
      <c r="W27" s="329"/>
      <c r="X27" s="329"/>
      <c r="Y27" s="329"/>
      <c r="Z27" s="329"/>
    </row>
    <row r="28" spans="1:26" ht="18" customHeight="1">
      <c r="A28" s="329"/>
      <c r="B28" s="329"/>
      <c r="C28" s="329"/>
      <c r="D28" s="329"/>
      <c r="E28" s="329"/>
      <c r="F28" s="329"/>
      <c r="G28" s="329"/>
      <c r="H28" s="329"/>
      <c r="I28" s="329"/>
      <c r="J28" s="329"/>
      <c r="K28" s="329"/>
      <c r="L28" s="329"/>
      <c r="M28" s="329"/>
      <c r="N28" s="329"/>
      <c r="O28" s="329"/>
      <c r="P28" s="329"/>
      <c r="Q28" s="329"/>
      <c r="R28" s="329"/>
      <c r="S28" s="329"/>
      <c r="T28" s="329"/>
      <c r="U28" s="329"/>
      <c r="V28" s="329"/>
      <c r="W28" s="329"/>
      <c r="X28" s="329"/>
      <c r="Y28" s="329"/>
      <c r="Z28" s="329"/>
    </row>
    <row r="29" spans="1:26" ht="18" customHeight="1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V29" s="329"/>
      <c r="W29" s="329"/>
      <c r="X29" s="329"/>
      <c r="Y29" s="329"/>
      <c r="Z29" s="329"/>
    </row>
    <row r="30" spans="1:26" ht="18" customHeight="1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V30" s="329"/>
      <c r="W30" s="329"/>
      <c r="X30" s="329"/>
      <c r="Y30" s="329"/>
      <c r="Z30" s="329"/>
    </row>
    <row r="31" spans="1:26" ht="18" customHeight="1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V31" s="329"/>
      <c r="W31" s="329"/>
      <c r="X31" s="329"/>
      <c r="Y31" s="329"/>
      <c r="Z31" s="329"/>
    </row>
    <row r="32" spans="1:26" ht="18" customHeight="1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V32" s="329"/>
      <c r="W32" s="329"/>
      <c r="X32" s="329"/>
      <c r="Y32" s="329"/>
      <c r="Z32" s="329"/>
    </row>
    <row r="33" spans="1:26" ht="18" customHeight="1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V33" s="329"/>
      <c r="W33" s="329"/>
      <c r="X33" s="329"/>
      <c r="Y33" s="329"/>
      <c r="Z33" s="329"/>
    </row>
    <row r="34" spans="1:26" ht="18" customHeight="1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V34" s="329"/>
      <c r="W34" s="329"/>
      <c r="X34" s="329"/>
      <c r="Y34" s="329"/>
      <c r="Z34" s="329"/>
    </row>
    <row r="35" spans="1:26" ht="18" customHeight="1">
      <c r="A35" s="329"/>
      <c r="B35" s="329"/>
      <c r="C35" s="329"/>
      <c r="D35" s="329"/>
      <c r="E35" s="329"/>
      <c r="F35" s="329"/>
      <c r="G35" s="329"/>
      <c r="H35" s="329"/>
      <c r="I35" s="329"/>
      <c r="J35" s="329"/>
      <c r="K35" s="329"/>
      <c r="L35" s="329"/>
      <c r="M35" s="329"/>
      <c r="N35" s="329"/>
      <c r="O35" s="329"/>
      <c r="P35" s="329"/>
      <c r="Q35" s="329"/>
      <c r="R35" s="329"/>
      <c r="S35" s="329"/>
      <c r="T35" s="329"/>
      <c r="U35" s="329"/>
      <c r="V35" s="329"/>
      <c r="W35" s="329"/>
      <c r="X35" s="329"/>
      <c r="Y35" s="329"/>
      <c r="Z35" s="329"/>
    </row>
    <row r="36" spans="1:26" ht="18" customHeight="1">
      <c r="A36" s="329"/>
      <c r="B36" s="329"/>
      <c r="C36" s="329"/>
      <c r="D36" s="329"/>
      <c r="E36" s="329"/>
      <c r="F36" s="329"/>
      <c r="G36" s="329"/>
      <c r="H36" s="329"/>
      <c r="I36" s="329"/>
      <c r="J36" s="329"/>
      <c r="K36" s="329"/>
      <c r="L36" s="329"/>
      <c r="M36" s="329"/>
      <c r="N36" s="329"/>
      <c r="O36" s="329"/>
      <c r="P36" s="329"/>
      <c r="Q36" s="329"/>
      <c r="R36" s="329"/>
      <c r="S36" s="329"/>
      <c r="T36" s="329"/>
      <c r="U36" s="329"/>
      <c r="V36" s="329"/>
      <c r="W36" s="329"/>
      <c r="X36" s="329"/>
      <c r="Y36" s="329"/>
      <c r="Z36" s="329"/>
    </row>
    <row r="37" spans="1:26" ht="18" customHeight="1">
      <c r="A37" s="329"/>
      <c r="B37" s="329"/>
      <c r="C37" s="329"/>
      <c r="D37" s="329"/>
      <c r="E37" s="329"/>
      <c r="F37" s="329"/>
      <c r="G37" s="329"/>
      <c r="H37" s="329"/>
      <c r="I37" s="329"/>
      <c r="J37" s="329"/>
      <c r="K37" s="329"/>
      <c r="L37" s="329"/>
      <c r="M37" s="329"/>
      <c r="N37" s="329"/>
      <c r="O37" s="329"/>
      <c r="P37" s="329"/>
      <c r="Q37" s="329"/>
      <c r="R37" s="329"/>
      <c r="S37" s="329"/>
      <c r="T37" s="329"/>
      <c r="U37" s="329"/>
      <c r="V37" s="329"/>
      <c r="W37" s="329"/>
      <c r="X37" s="329"/>
      <c r="Y37" s="329"/>
      <c r="Z37" s="329"/>
    </row>
    <row r="38" spans="1:26" ht="18" customHeight="1">
      <c r="A38" s="329"/>
      <c r="B38" s="329"/>
      <c r="C38" s="329"/>
      <c r="D38" s="329"/>
      <c r="E38" s="329"/>
      <c r="F38" s="329"/>
      <c r="G38" s="329"/>
      <c r="H38" s="329"/>
      <c r="I38" s="329"/>
      <c r="J38" s="329"/>
      <c r="K38" s="329"/>
      <c r="L38" s="329"/>
      <c r="M38" s="329"/>
      <c r="N38" s="329"/>
      <c r="O38" s="329"/>
      <c r="P38" s="329"/>
      <c r="Q38" s="329"/>
      <c r="R38" s="329"/>
      <c r="S38" s="329"/>
      <c r="T38" s="329"/>
      <c r="U38" s="329"/>
      <c r="V38" s="329"/>
      <c r="W38" s="329"/>
      <c r="X38" s="329"/>
      <c r="Y38" s="329"/>
      <c r="Z38" s="329"/>
    </row>
    <row r="39" spans="1:26" ht="18" customHeight="1">
      <c r="A39" s="329"/>
      <c r="B39" s="329"/>
      <c r="C39" s="329"/>
      <c r="D39" s="329"/>
      <c r="E39" s="329"/>
      <c r="F39" s="329"/>
      <c r="G39" s="329"/>
      <c r="H39" s="329"/>
      <c r="I39" s="329"/>
      <c r="J39" s="329"/>
      <c r="K39" s="329"/>
      <c r="L39" s="329"/>
      <c r="M39" s="329"/>
      <c r="N39" s="329"/>
      <c r="O39" s="329"/>
      <c r="P39" s="329"/>
      <c r="Q39" s="329"/>
      <c r="R39" s="329"/>
      <c r="S39" s="329"/>
      <c r="T39" s="329"/>
      <c r="U39" s="329"/>
      <c r="V39" s="329"/>
      <c r="W39" s="329"/>
      <c r="X39" s="329"/>
      <c r="Y39" s="329"/>
      <c r="Z39" s="329"/>
    </row>
    <row r="40" spans="1:26" ht="18" customHeight="1">
      <c r="A40" s="329"/>
      <c r="B40" s="329"/>
      <c r="C40" s="329"/>
      <c r="D40" s="329"/>
      <c r="E40" s="329"/>
      <c r="F40" s="329"/>
      <c r="G40" s="329"/>
      <c r="H40" s="329"/>
      <c r="I40" s="329"/>
      <c r="J40" s="329"/>
      <c r="K40" s="329"/>
      <c r="L40" s="329"/>
      <c r="M40" s="329"/>
      <c r="N40" s="329"/>
      <c r="O40" s="329"/>
      <c r="P40" s="329"/>
      <c r="Q40" s="329"/>
      <c r="R40" s="329"/>
      <c r="S40" s="329"/>
      <c r="T40" s="329"/>
      <c r="U40" s="329"/>
      <c r="V40" s="329"/>
      <c r="W40" s="329"/>
      <c r="X40" s="329"/>
      <c r="Y40" s="329"/>
      <c r="Z40" s="329"/>
    </row>
    <row r="41" spans="1:26" ht="18" customHeight="1">
      <c r="A41" s="329"/>
      <c r="B41" s="329"/>
      <c r="C41" s="329"/>
      <c r="D41" s="329"/>
      <c r="E41" s="329"/>
      <c r="F41" s="329"/>
      <c r="G41" s="329"/>
      <c r="H41" s="329"/>
      <c r="I41" s="329"/>
      <c r="J41" s="329"/>
      <c r="K41" s="329"/>
      <c r="L41" s="329"/>
      <c r="M41" s="329"/>
      <c r="N41" s="329"/>
      <c r="O41" s="329"/>
      <c r="P41" s="329"/>
      <c r="Q41" s="329"/>
      <c r="R41" s="329"/>
      <c r="S41" s="329"/>
      <c r="T41" s="329"/>
      <c r="U41" s="329"/>
      <c r="V41" s="329"/>
      <c r="W41" s="329"/>
      <c r="X41" s="329"/>
      <c r="Y41" s="329"/>
      <c r="Z41" s="329"/>
    </row>
    <row r="42" spans="1:26" ht="18" customHeight="1">
      <c r="A42" s="329"/>
      <c r="B42" s="329"/>
      <c r="C42" s="329"/>
      <c r="D42" s="32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29"/>
      <c r="U42" s="329"/>
      <c r="V42" s="329"/>
      <c r="W42" s="329"/>
      <c r="X42" s="329"/>
      <c r="Y42" s="329"/>
      <c r="Z42" s="329"/>
    </row>
    <row r="43" spans="1:26" ht="18" customHeight="1">
      <c r="A43" s="329"/>
      <c r="B43" s="329"/>
      <c r="C43" s="329"/>
      <c r="D43" s="329"/>
      <c r="E43" s="329"/>
      <c r="F43" s="329"/>
      <c r="G43" s="329"/>
      <c r="H43" s="329"/>
      <c r="I43" s="329"/>
      <c r="J43" s="329"/>
      <c r="K43" s="329"/>
      <c r="L43" s="329"/>
      <c r="M43" s="329"/>
      <c r="N43" s="329"/>
      <c r="O43" s="329"/>
      <c r="P43" s="329"/>
      <c r="Q43" s="329"/>
      <c r="R43" s="329"/>
      <c r="S43" s="329"/>
      <c r="T43" s="329"/>
      <c r="U43" s="329"/>
      <c r="V43" s="329"/>
      <c r="W43" s="329"/>
      <c r="X43" s="329"/>
      <c r="Y43" s="329"/>
      <c r="Z43" s="329"/>
    </row>
    <row r="44" spans="1:26" ht="18" customHeight="1">
      <c r="A44" s="329"/>
      <c r="B44" s="329"/>
      <c r="C44" s="329"/>
      <c r="D44" s="329"/>
      <c r="E44" s="329"/>
      <c r="F44" s="329"/>
      <c r="G44" s="329"/>
      <c r="H44" s="329"/>
      <c r="I44" s="329"/>
      <c r="J44" s="329"/>
      <c r="K44" s="329"/>
      <c r="L44" s="329"/>
      <c r="M44" s="329"/>
      <c r="N44" s="329"/>
      <c r="O44" s="329"/>
      <c r="P44" s="329"/>
      <c r="Q44" s="329"/>
      <c r="R44" s="329"/>
      <c r="S44" s="329"/>
      <c r="T44" s="329"/>
      <c r="U44" s="329"/>
      <c r="V44" s="329"/>
      <c r="W44" s="329"/>
      <c r="X44" s="329"/>
      <c r="Y44" s="329"/>
      <c r="Z44" s="329"/>
    </row>
    <row r="45" spans="1:26" ht="18" customHeight="1">
      <c r="A45" s="329"/>
      <c r="B45" s="329"/>
      <c r="C45" s="329"/>
      <c r="D45" s="329"/>
      <c r="E45" s="329"/>
      <c r="F45" s="329"/>
      <c r="G45" s="329"/>
      <c r="H45" s="329"/>
      <c r="I45" s="329"/>
      <c r="J45" s="329"/>
      <c r="K45" s="329"/>
      <c r="L45" s="329"/>
      <c r="M45" s="329"/>
      <c r="N45" s="329"/>
      <c r="O45" s="329"/>
      <c r="P45" s="329"/>
      <c r="Q45" s="329"/>
      <c r="R45" s="329"/>
      <c r="S45" s="329"/>
      <c r="T45" s="329"/>
      <c r="U45" s="329"/>
      <c r="V45" s="329"/>
      <c r="W45" s="329"/>
      <c r="X45" s="329"/>
      <c r="Y45" s="329"/>
      <c r="Z45" s="329"/>
    </row>
    <row r="46" spans="1:26" ht="18" customHeight="1">
      <c r="A46" s="329"/>
      <c r="B46" s="329"/>
      <c r="C46" s="329"/>
      <c r="D46" s="329"/>
      <c r="E46" s="329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9"/>
      <c r="Q46" s="329"/>
      <c r="R46" s="329"/>
      <c r="S46" s="329"/>
      <c r="T46" s="329"/>
      <c r="U46" s="329"/>
      <c r="V46" s="329"/>
      <c r="W46" s="329"/>
      <c r="X46" s="329"/>
      <c r="Y46" s="329"/>
      <c r="Z46" s="329"/>
    </row>
    <row r="47" spans="1:26" ht="18" customHeight="1">
      <c r="A47" s="329"/>
      <c r="B47" s="329"/>
      <c r="C47" s="329"/>
      <c r="D47" s="329"/>
      <c r="E47" s="329"/>
      <c r="F47" s="329"/>
      <c r="G47" s="329"/>
      <c r="H47" s="329"/>
      <c r="I47" s="329"/>
      <c r="J47" s="329"/>
      <c r="K47" s="329"/>
      <c r="L47" s="329"/>
      <c r="M47" s="329"/>
      <c r="N47" s="329"/>
      <c r="O47" s="329"/>
      <c r="P47" s="329"/>
      <c r="Q47" s="329"/>
      <c r="R47" s="329"/>
      <c r="S47" s="329"/>
      <c r="T47" s="329"/>
      <c r="U47" s="329"/>
      <c r="V47" s="329"/>
      <c r="W47" s="329"/>
      <c r="X47" s="329"/>
      <c r="Y47" s="329"/>
      <c r="Z47" s="329"/>
    </row>
    <row r="48" spans="1:26" ht="18" customHeight="1">
      <c r="A48" s="329"/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  <c r="W48" s="329"/>
      <c r="X48" s="329"/>
      <c r="Y48" s="329"/>
      <c r="Z48" s="329"/>
    </row>
    <row r="49" spans="1:26" ht="18" customHeight="1">
      <c r="A49" s="329"/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  <c r="W49" s="329"/>
      <c r="X49" s="329"/>
      <c r="Y49" s="329"/>
      <c r="Z49" s="329"/>
    </row>
    <row r="50" spans="1:26" ht="18" customHeight="1">
      <c r="A50" s="329"/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29"/>
      <c r="Y50" s="329"/>
      <c r="Z50" s="329"/>
    </row>
  </sheetData>
  <mergeCells count="1">
    <mergeCell ref="A1:D1"/>
  </mergeCells>
  <hyperlinks>
    <hyperlink ref="D2" r:id="rId1" xr:uid="{00000000-0004-0000-1D00-000000000000}"/>
    <hyperlink ref="D3" r:id="rId2" xr:uid="{00000000-0004-0000-1D00-000001000000}"/>
    <hyperlink ref="D4" r:id="rId3" xr:uid="{00000000-0004-0000-1D00-000002000000}"/>
    <hyperlink ref="D5" r:id="rId4" xr:uid="{00000000-0004-0000-1D00-000003000000}"/>
    <hyperlink ref="D6" r:id="rId5" xr:uid="{00000000-0004-0000-1D00-000004000000}"/>
    <hyperlink ref="D7" r:id="rId6" xr:uid="{00000000-0004-0000-1D00-000005000000}"/>
    <hyperlink ref="D12" r:id="rId7" display="https://www.dxracer.com/products/gaming-chairs/prince?sku=GC/LPF132LTC/NW" xr:uid="{00000000-0004-0000-1D00-000006000000}"/>
  </hyperlinks>
  <pageMargins left="0.7" right="0.7" top="0.75" bottom="0.75" header="0" footer="0"/>
  <pageSetup orientation="landscape"/>
  <drawing r:id="rId8"/>
  <legacyDrawing r:id="rId9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50"/>
  <sheetViews>
    <sheetView workbookViewId="0"/>
  </sheetViews>
  <sheetFormatPr defaultColWidth="14.3984375" defaultRowHeight="15" customHeight="1"/>
  <cols>
    <col min="1" max="1" width="18.1328125" customWidth="1"/>
    <col min="2" max="2" width="47.1328125" customWidth="1"/>
    <col min="3" max="3" width="14.73046875" hidden="1" customWidth="1"/>
    <col min="4" max="4" width="100.265625" customWidth="1"/>
    <col min="5" max="6" width="14.73046875" customWidth="1"/>
    <col min="7" max="7" width="3.73046875" customWidth="1"/>
    <col min="8" max="26" width="9.1328125" customWidth="1"/>
  </cols>
  <sheetData>
    <row r="1" spans="1:26" ht="42" customHeight="1">
      <c r="A1" s="432"/>
      <c r="B1" s="408"/>
      <c r="C1" s="408"/>
      <c r="D1" s="408"/>
      <c r="E1" s="408"/>
      <c r="F1" s="407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</row>
    <row r="2" spans="1:26" ht="18" customHeight="1">
      <c r="A2" s="294"/>
      <c r="B2" s="254" t="s">
        <v>2852</v>
      </c>
      <c r="C2" s="295"/>
      <c r="D2" s="254" t="s">
        <v>3357</v>
      </c>
      <c r="E2" s="295" t="s">
        <v>3358</v>
      </c>
      <c r="F2" s="295" t="s">
        <v>3563</v>
      </c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  <c r="X2" s="293"/>
      <c r="Y2" s="293"/>
      <c r="Z2" s="293"/>
    </row>
    <row r="3" spans="1:26" ht="18" customHeight="1">
      <c r="A3" s="294" t="s">
        <v>3038</v>
      </c>
      <c r="B3" s="283" t="s">
        <v>3564</v>
      </c>
      <c r="C3" s="295"/>
      <c r="D3" s="446" t="s">
        <v>3565</v>
      </c>
      <c r="E3" s="295">
        <v>33</v>
      </c>
      <c r="F3" s="295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</row>
    <row r="4" spans="1:26" ht="18" customHeight="1">
      <c r="A4" s="294" t="s">
        <v>3038</v>
      </c>
      <c r="B4" s="283" t="s">
        <v>3566</v>
      </c>
      <c r="C4" s="295"/>
      <c r="D4" s="429"/>
      <c r="E4" s="295">
        <v>40</v>
      </c>
      <c r="F4" s="295">
        <v>41</v>
      </c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3"/>
      <c r="Z4" s="293"/>
    </row>
    <row r="5" spans="1:26" ht="18" customHeight="1">
      <c r="A5" s="294" t="s">
        <v>3038</v>
      </c>
      <c r="B5" s="283" t="s">
        <v>3567</v>
      </c>
      <c r="C5" s="295"/>
      <c r="D5" s="296" t="s">
        <v>3568</v>
      </c>
      <c r="E5" s="295">
        <v>185</v>
      </c>
      <c r="F5" s="295">
        <v>188</v>
      </c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  <c r="W5" s="293"/>
      <c r="X5" s="293"/>
      <c r="Y5" s="293"/>
      <c r="Z5" s="293"/>
    </row>
    <row r="6" spans="1:26" ht="18" customHeight="1">
      <c r="A6" s="294"/>
      <c r="B6" s="283"/>
      <c r="C6" s="295"/>
      <c r="D6" s="298"/>
      <c r="E6" s="295"/>
      <c r="F6" s="295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</row>
    <row r="7" spans="1:26" ht="18" customHeight="1">
      <c r="A7" s="294" t="s">
        <v>3569</v>
      </c>
      <c r="B7" s="283" t="s">
        <v>3570</v>
      </c>
      <c r="C7" s="295" t="s">
        <v>3571</v>
      </c>
      <c r="D7" s="334" t="s">
        <v>3572</v>
      </c>
      <c r="E7" s="295">
        <v>93</v>
      </c>
      <c r="F7" s="295">
        <v>95</v>
      </c>
      <c r="G7" s="293"/>
      <c r="H7" s="293"/>
      <c r="I7" s="293"/>
      <c r="J7" s="293"/>
      <c r="K7" s="293"/>
      <c r="L7" s="293"/>
      <c r="M7" s="293"/>
      <c r="N7" s="293"/>
      <c r="O7" s="293"/>
      <c r="P7" s="293"/>
      <c r="Q7" s="293"/>
      <c r="R7" s="293"/>
      <c r="S7" s="293"/>
      <c r="T7" s="293"/>
      <c r="U7" s="293"/>
      <c r="V7" s="293"/>
      <c r="W7" s="293"/>
      <c r="X7" s="293"/>
      <c r="Y7" s="293"/>
      <c r="Z7" s="293"/>
    </row>
    <row r="8" spans="1:26" ht="18" customHeight="1">
      <c r="A8" s="294" t="s">
        <v>3573</v>
      </c>
      <c r="B8" s="335" t="s">
        <v>3574</v>
      </c>
      <c r="C8" s="295" t="s">
        <v>3575</v>
      </c>
      <c r="D8" s="336" t="s">
        <v>3576</v>
      </c>
      <c r="E8" s="458">
        <v>1140</v>
      </c>
      <c r="F8" s="407"/>
      <c r="G8" s="293"/>
      <c r="H8" s="293"/>
      <c r="I8" s="293"/>
      <c r="J8" s="293"/>
      <c r="K8" s="293"/>
      <c r="L8" s="293"/>
      <c r="M8" s="293"/>
      <c r="N8" s="293"/>
      <c r="O8" s="293"/>
      <c r="P8" s="293"/>
      <c r="Q8" s="293"/>
      <c r="R8" s="293"/>
      <c r="S8" s="293"/>
      <c r="T8" s="293"/>
      <c r="U8" s="293"/>
      <c r="V8" s="293"/>
      <c r="W8" s="293"/>
      <c r="X8" s="293"/>
      <c r="Y8" s="293"/>
      <c r="Z8" s="293"/>
    </row>
    <row r="9" spans="1:26" ht="30" customHeight="1">
      <c r="A9" s="294" t="s">
        <v>3370</v>
      </c>
      <c r="B9" s="283" t="s">
        <v>3577</v>
      </c>
      <c r="C9" s="295" t="s">
        <v>3578</v>
      </c>
      <c r="D9" s="334" t="s">
        <v>3579</v>
      </c>
      <c r="E9" s="458">
        <v>420</v>
      </c>
      <c r="F9" s="407"/>
      <c r="G9" s="293"/>
      <c r="H9" s="293"/>
      <c r="I9" s="293"/>
      <c r="J9" s="293"/>
      <c r="K9" s="293"/>
      <c r="L9" s="293"/>
      <c r="M9" s="293"/>
      <c r="N9" s="293"/>
      <c r="O9" s="293"/>
      <c r="P9" s="293"/>
      <c r="Q9" s="293"/>
      <c r="R9" s="293"/>
      <c r="S9" s="293"/>
      <c r="T9" s="293"/>
      <c r="U9" s="293"/>
      <c r="V9" s="293"/>
      <c r="W9" s="293"/>
      <c r="X9" s="293"/>
      <c r="Y9" s="293"/>
      <c r="Z9" s="293"/>
    </row>
    <row r="10" spans="1:26" ht="30" customHeight="1">
      <c r="A10" s="294" t="s">
        <v>3370</v>
      </c>
      <c r="B10" s="283" t="s">
        <v>3580</v>
      </c>
      <c r="C10" s="295" t="s">
        <v>3581</v>
      </c>
      <c r="D10" s="334" t="s">
        <v>3582</v>
      </c>
      <c r="E10" s="458">
        <v>300</v>
      </c>
      <c r="F10" s="407"/>
      <c r="G10" s="293"/>
      <c r="H10" s="293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  <c r="Z10" s="293"/>
    </row>
    <row r="11" spans="1:26" ht="18" customHeight="1">
      <c r="A11" s="294" t="s">
        <v>3370</v>
      </c>
      <c r="B11" s="283" t="s">
        <v>3583</v>
      </c>
      <c r="C11" s="295" t="s">
        <v>3584</v>
      </c>
      <c r="D11" s="334" t="s">
        <v>3585</v>
      </c>
      <c r="E11" s="458">
        <v>160</v>
      </c>
      <c r="F11" s="407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</row>
    <row r="12" spans="1:26" ht="18" customHeight="1">
      <c r="A12" s="294" t="s">
        <v>3370</v>
      </c>
      <c r="B12" s="283" t="s">
        <v>3586</v>
      </c>
      <c r="C12" s="295" t="s">
        <v>3587</v>
      </c>
      <c r="D12" s="447" t="s">
        <v>3588</v>
      </c>
      <c r="E12" s="295">
        <v>96</v>
      </c>
      <c r="F12" s="295">
        <v>100</v>
      </c>
      <c r="G12" s="293"/>
      <c r="H12" s="293"/>
      <c r="I12" s="293"/>
      <c r="J12" s="293"/>
      <c r="K12" s="293"/>
      <c r="L12" s="293"/>
      <c r="M12" s="293"/>
      <c r="N12" s="293"/>
      <c r="O12" s="293"/>
      <c r="P12" s="293"/>
      <c r="Q12" s="293"/>
      <c r="R12" s="293"/>
      <c r="S12" s="293"/>
      <c r="T12" s="293"/>
      <c r="U12" s="293"/>
      <c r="V12" s="293"/>
      <c r="W12" s="293"/>
      <c r="X12" s="293"/>
      <c r="Y12" s="293"/>
      <c r="Z12" s="293"/>
    </row>
    <row r="13" spans="1:26" ht="18" customHeight="1">
      <c r="A13" s="294" t="s">
        <v>3370</v>
      </c>
      <c r="B13" s="283" t="s">
        <v>3589</v>
      </c>
      <c r="C13" s="295" t="s">
        <v>3590</v>
      </c>
      <c r="D13" s="429"/>
      <c r="E13" s="295">
        <v>96</v>
      </c>
      <c r="F13" s="295">
        <v>100</v>
      </c>
      <c r="G13" s="293"/>
      <c r="H13" s="293"/>
      <c r="I13" s="293"/>
      <c r="J13" s="293"/>
      <c r="K13" s="293"/>
      <c r="L13" s="293"/>
      <c r="M13" s="293"/>
      <c r="N13" s="293"/>
      <c r="O13" s="293"/>
      <c r="P13" s="293"/>
      <c r="Q13" s="293"/>
      <c r="R13" s="293"/>
      <c r="S13" s="293"/>
      <c r="T13" s="293"/>
      <c r="U13" s="293"/>
      <c r="V13" s="293"/>
      <c r="W13" s="293"/>
      <c r="X13" s="293"/>
      <c r="Y13" s="293"/>
      <c r="Z13" s="293"/>
    </row>
    <row r="14" spans="1:26" ht="18" customHeight="1">
      <c r="A14" s="294" t="s">
        <v>3370</v>
      </c>
      <c r="B14" s="283" t="s">
        <v>3591</v>
      </c>
      <c r="C14" s="295" t="s">
        <v>3592</v>
      </c>
      <c r="D14" s="447" t="s">
        <v>3593</v>
      </c>
      <c r="E14" s="295">
        <v>73</v>
      </c>
      <c r="F14" s="295">
        <v>76</v>
      </c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</row>
    <row r="15" spans="1:26" ht="18" customHeight="1">
      <c r="A15" s="294" t="s">
        <v>3370</v>
      </c>
      <c r="B15" s="283" t="s">
        <v>3594</v>
      </c>
      <c r="C15" s="295" t="s">
        <v>3595</v>
      </c>
      <c r="D15" s="429"/>
      <c r="E15" s="295">
        <v>73</v>
      </c>
      <c r="F15" s="295">
        <v>76</v>
      </c>
      <c r="G15" s="293"/>
      <c r="H15" s="293"/>
      <c r="I15" s="293"/>
      <c r="J15" s="293"/>
      <c r="K15" s="293"/>
      <c r="L15" s="293"/>
      <c r="M15" s="293"/>
      <c r="N15" s="293"/>
      <c r="O15" s="293"/>
      <c r="P15" s="293"/>
      <c r="Q15" s="293"/>
      <c r="R15" s="293"/>
      <c r="S15" s="293"/>
      <c r="T15" s="293"/>
      <c r="U15" s="293"/>
      <c r="V15" s="293"/>
      <c r="W15" s="293"/>
      <c r="X15" s="293"/>
      <c r="Y15" s="293"/>
      <c r="Z15" s="293"/>
    </row>
    <row r="16" spans="1:26" ht="18" customHeight="1">
      <c r="A16" s="294" t="s">
        <v>3370</v>
      </c>
      <c r="B16" s="283" t="s">
        <v>3596</v>
      </c>
      <c r="C16" s="295" t="s">
        <v>3597</v>
      </c>
      <c r="D16" s="447" t="s">
        <v>3598</v>
      </c>
      <c r="E16" s="295">
        <v>69</v>
      </c>
      <c r="F16" s="295">
        <v>73</v>
      </c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</row>
    <row r="17" spans="1:26" ht="18" customHeight="1">
      <c r="A17" s="294" t="s">
        <v>3370</v>
      </c>
      <c r="B17" s="335" t="s">
        <v>3599</v>
      </c>
      <c r="C17" s="295" t="s">
        <v>3600</v>
      </c>
      <c r="D17" s="429"/>
      <c r="E17" s="295">
        <v>79</v>
      </c>
      <c r="F17" s="295">
        <v>82</v>
      </c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293"/>
      <c r="X17" s="293"/>
      <c r="Y17" s="293"/>
      <c r="Z17" s="293"/>
    </row>
    <row r="18" spans="1:26" ht="18" customHeight="1">
      <c r="A18" s="294" t="s">
        <v>3370</v>
      </c>
      <c r="B18" s="283" t="s">
        <v>3601</v>
      </c>
      <c r="C18" s="295" t="s">
        <v>3602</v>
      </c>
      <c r="D18" s="337" t="s">
        <v>3603</v>
      </c>
      <c r="E18" s="295">
        <v>53</v>
      </c>
      <c r="F18" s="295">
        <v>55</v>
      </c>
      <c r="G18" s="293"/>
      <c r="H18" s="293"/>
      <c r="I18" s="293"/>
      <c r="J18" s="293"/>
      <c r="K18" s="293"/>
      <c r="L18" s="293"/>
      <c r="M18" s="293"/>
      <c r="N18" s="293"/>
      <c r="O18" s="293"/>
      <c r="P18" s="293"/>
      <c r="Q18" s="293"/>
      <c r="R18" s="293"/>
      <c r="S18" s="293"/>
      <c r="T18" s="293"/>
      <c r="U18" s="293"/>
      <c r="V18" s="293"/>
      <c r="W18" s="293"/>
      <c r="X18" s="293"/>
      <c r="Y18" s="293"/>
      <c r="Z18" s="293"/>
    </row>
    <row r="19" spans="1:26" ht="18" customHeight="1">
      <c r="A19" s="294"/>
      <c r="B19" s="283"/>
      <c r="C19" s="295"/>
      <c r="D19" s="338"/>
      <c r="E19" s="295"/>
      <c r="F19" s="295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</row>
    <row r="20" spans="1:26" ht="18" customHeight="1">
      <c r="A20" s="294" t="s">
        <v>3604</v>
      </c>
      <c r="B20" s="283" t="s">
        <v>3605</v>
      </c>
      <c r="C20" s="295" t="s">
        <v>3606</v>
      </c>
      <c r="D20" s="336" t="s">
        <v>3607</v>
      </c>
      <c r="E20" s="295">
        <v>36</v>
      </c>
      <c r="F20" s="295">
        <v>36</v>
      </c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</row>
    <row r="21" spans="1:26" ht="18" customHeight="1">
      <c r="A21" s="294"/>
      <c r="B21" s="283"/>
      <c r="C21" s="295"/>
      <c r="D21" s="298"/>
      <c r="E21" s="295"/>
      <c r="F21" s="295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</row>
    <row r="22" spans="1:26" ht="18" customHeight="1">
      <c r="A22" s="294" t="s">
        <v>3608</v>
      </c>
      <c r="B22" s="283" t="s">
        <v>3609</v>
      </c>
      <c r="C22" s="295" t="s">
        <v>3610</v>
      </c>
      <c r="D22" s="298" t="s">
        <v>3611</v>
      </c>
      <c r="E22" s="295">
        <v>45</v>
      </c>
      <c r="F22" s="295">
        <v>45</v>
      </c>
      <c r="G22" s="29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3"/>
      <c r="W22" s="293"/>
      <c r="X22" s="293"/>
      <c r="Y22" s="293"/>
      <c r="Z22" s="293"/>
    </row>
    <row r="23" spans="1:26" ht="18" customHeight="1">
      <c r="A23" s="293"/>
      <c r="B23" s="293"/>
      <c r="C23" s="304"/>
      <c r="D23" s="293"/>
      <c r="E23" s="304"/>
      <c r="F23" s="293"/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3"/>
      <c r="R23" s="293"/>
      <c r="S23" s="293"/>
      <c r="T23" s="293"/>
      <c r="U23" s="293"/>
      <c r="V23" s="293"/>
      <c r="W23" s="293"/>
      <c r="X23" s="293"/>
      <c r="Y23" s="293"/>
      <c r="Z23" s="293"/>
    </row>
    <row r="24" spans="1:26" ht="18" customHeight="1">
      <c r="A24" s="293"/>
      <c r="B24" s="293"/>
      <c r="C24" s="304"/>
      <c r="D24" s="293"/>
      <c r="E24" s="304"/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/>
      <c r="R24" s="293"/>
      <c r="S24" s="293"/>
      <c r="T24" s="293"/>
      <c r="U24" s="293"/>
      <c r="V24" s="293"/>
      <c r="W24" s="293"/>
      <c r="X24" s="293"/>
      <c r="Y24" s="293"/>
      <c r="Z24" s="293"/>
    </row>
    <row r="25" spans="1:26" ht="18" customHeight="1">
      <c r="A25" s="293"/>
      <c r="B25" s="293"/>
      <c r="C25" s="304"/>
      <c r="D25" s="293"/>
      <c r="E25" s="304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293"/>
      <c r="S25" s="293"/>
      <c r="T25" s="293"/>
      <c r="U25" s="293"/>
      <c r="V25" s="293"/>
      <c r="W25" s="293"/>
      <c r="X25" s="293"/>
      <c r="Y25" s="293"/>
      <c r="Z25" s="293"/>
    </row>
    <row r="26" spans="1:26" ht="18" customHeight="1">
      <c r="A26" s="293"/>
      <c r="B26" s="293"/>
      <c r="C26" s="304"/>
      <c r="D26" s="293"/>
      <c r="E26" s="304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293"/>
      <c r="S26" s="293"/>
      <c r="T26" s="293"/>
      <c r="U26" s="293"/>
      <c r="V26" s="293"/>
      <c r="W26" s="293"/>
      <c r="X26" s="293"/>
      <c r="Y26" s="293"/>
      <c r="Z26" s="293"/>
    </row>
    <row r="27" spans="1:26" ht="18" customHeight="1">
      <c r="A27" s="293"/>
      <c r="B27" s="293"/>
      <c r="C27" s="304"/>
      <c r="D27" s="293"/>
      <c r="E27" s="304"/>
      <c r="F27" s="293"/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</row>
    <row r="28" spans="1:26" ht="18" customHeight="1">
      <c r="A28" s="1"/>
      <c r="B28" s="1"/>
      <c r="C28" s="1"/>
      <c r="D28" s="1"/>
      <c r="E28" s="1"/>
      <c r="F28" s="1"/>
      <c r="G28" s="293"/>
      <c r="H28" s="293"/>
      <c r="I28" s="293"/>
      <c r="J28" s="293"/>
      <c r="K28" s="293"/>
      <c r="L28" s="293"/>
      <c r="M28" s="293"/>
      <c r="N28" s="293"/>
      <c r="O28" s="293"/>
      <c r="P28" s="293"/>
      <c r="Q28" s="293"/>
      <c r="R28" s="293"/>
      <c r="S28" s="293"/>
      <c r="T28" s="293"/>
      <c r="U28" s="293"/>
      <c r="V28" s="293"/>
      <c r="W28" s="293"/>
      <c r="X28" s="293"/>
      <c r="Y28" s="293"/>
      <c r="Z28" s="293"/>
    </row>
    <row r="29" spans="1:26" ht="18" customHeight="1">
      <c r="A29" s="293"/>
      <c r="B29" s="293"/>
      <c r="C29" s="304"/>
      <c r="D29" s="293"/>
      <c r="E29" s="304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3"/>
      <c r="Z29" s="293"/>
    </row>
    <row r="30" spans="1:26" ht="18" customHeight="1">
      <c r="A30" s="293"/>
      <c r="B30" s="293"/>
      <c r="C30" s="304"/>
      <c r="D30" s="293"/>
      <c r="E30" s="304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</row>
    <row r="31" spans="1:26" ht="18" customHeight="1">
      <c r="A31" s="293"/>
      <c r="B31" s="293"/>
      <c r="C31" s="304"/>
      <c r="D31" s="293"/>
      <c r="E31" s="304"/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</row>
    <row r="32" spans="1:26" ht="18" customHeight="1">
      <c r="A32" s="293"/>
      <c r="B32" s="293"/>
      <c r="C32" s="304"/>
      <c r="D32" s="293"/>
      <c r="E32" s="304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</row>
    <row r="33" spans="1:26" ht="18" customHeight="1">
      <c r="A33" s="293"/>
      <c r="B33" s="293"/>
      <c r="C33" s="304"/>
      <c r="D33" s="293"/>
      <c r="E33" s="304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</row>
    <row r="34" spans="1:26" ht="18" customHeight="1">
      <c r="A34" s="293"/>
      <c r="B34" s="293"/>
      <c r="C34" s="304"/>
      <c r="D34" s="293"/>
      <c r="E34" s="304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293"/>
      <c r="V34" s="293"/>
      <c r="W34" s="293"/>
      <c r="X34" s="293"/>
      <c r="Y34" s="293"/>
      <c r="Z34" s="293"/>
    </row>
    <row r="35" spans="1:26" ht="18" customHeight="1">
      <c r="A35" s="293"/>
      <c r="B35" s="293"/>
      <c r="C35" s="304"/>
      <c r="D35" s="293"/>
      <c r="E35" s="304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</row>
    <row r="36" spans="1:26" ht="18" customHeight="1">
      <c r="A36" s="293"/>
      <c r="B36" s="293"/>
      <c r="C36" s="304"/>
      <c r="D36" s="293"/>
      <c r="E36" s="304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</row>
    <row r="37" spans="1:26" ht="18" customHeight="1">
      <c r="A37" s="293"/>
      <c r="B37" s="293"/>
      <c r="C37" s="304"/>
      <c r="D37" s="293"/>
      <c r="E37" s="304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</row>
    <row r="38" spans="1:26" ht="18" customHeight="1">
      <c r="A38" s="293"/>
      <c r="B38" s="293"/>
      <c r="C38" s="304"/>
      <c r="D38" s="293"/>
      <c r="E38" s="304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</row>
    <row r="39" spans="1:26" ht="18" customHeight="1">
      <c r="A39" s="293"/>
      <c r="B39" s="293"/>
      <c r="C39" s="304"/>
      <c r="D39" s="293"/>
      <c r="E39" s="304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</row>
    <row r="40" spans="1:26" ht="18" customHeight="1">
      <c r="A40" s="293"/>
      <c r="B40" s="293"/>
      <c r="C40" s="304"/>
      <c r="D40" s="293"/>
      <c r="E40" s="304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</row>
    <row r="41" spans="1:26" ht="18" customHeight="1">
      <c r="A41" s="293"/>
      <c r="B41" s="293"/>
      <c r="C41" s="304"/>
      <c r="D41" s="293"/>
      <c r="E41" s="304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</row>
    <row r="42" spans="1:26" ht="18" customHeight="1">
      <c r="A42" s="293"/>
      <c r="B42" s="293"/>
      <c r="C42" s="304"/>
      <c r="D42" s="293"/>
      <c r="E42" s="304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</row>
    <row r="43" spans="1:26" ht="18" customHeight="1">
      <c r="A43" s="293"/>
      <c r="B43" s="293" t="s">
        <v>3612</v>
      </c>
      <c r="C43" s="304"/>
      <c r="D43" s="293"/>
      <c r="E43" s="304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</row>
    <row r="44" spans="1:26" ht="18" customHeight="1">
      <c r="A44" s="293"/>
      <c r="B44" s="293"/>
      <c r="C44" s="304"/>
      <c r="D44" s="293"/>
      <c r="E44" s="304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</row>
    <row r="45" spans="1:26" ht="18" customHeight="1">
      <c r="A45" s="293"/>
      <c r="B45" s="293"/>
      <c r="C45" s="304"/>
      <c r="D45" s="293"/>
      <c r="E45" s="304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</row>
    <row r="46" spans="1:26" ht="18" customHeight="1">
      <c r="A46" s="293"/>
      <c r="B46" s="293"/>
      <c r="C46" s="304"/>
      <c r="D46" s="293"/>
      <c r="E46" s="304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</row>
    <row r="47" spans="1:26" ht="18" customHeight="1">
      <c r="A47" s="293"/>
      <c r="B47" s="293"/>
      <c r="C47" s="304"/>
      <c r="D47" s="293"/>
      <c r="E47" s="304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</row>
    <row r="48" spans="1:26" ht="18" customHeight="1">
      <c r="A48" s="293"/>
      <c r="B48" s="293"/>
      <c r="C48" s="304"/>
      <c r="D48" s="293"/>
      <c r="E48" s="304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</row>
    <row r="49" spans="1:26" ht="18" customHeight="1">
      <c r="A49" s="293"/>
      <c r="B49" s="293"/>
      <c r="C49" s="304"/>
      <c r="D49" s="293"/>
      <c r="E49" s="304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</row>
    <row r="50" spans="1:26" ht="18" customHeight="1">
      <c r="A50" s="293"/>
      <c r="B50" s="293"/>
      <c r="C50" s="304"/>
      <c r="D50" s="293"/>
      <c r="E50" s="304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</row>
  </sheetData>
  <mergeCells count="9">
    <mergeCell ref="D14:D15"/>
    <mergeCell ref="D16:D17"/>
    <mergeCell ref="A1:F1"/>
    <mergeCell ref="D3:D4"/>
    <mergeCell ref="E8:F8"/>
    <mergeCell ref="E9:F9"/>
    <mergeCell ref="E10:F10"/>
    <mergeCell ref="E11:F11"/>
    <mergeCell ref="D12:D13"/>
  </mergeCells>
  <hyperlinks>
    <hyperlink ref="D5" r:id="rId1" xr:uid="{00000000-0004-0000-1E00-000000000000}"/>
    <hyperlink ref="D7" r:id="rId2" xr:uid="{00000000-0004-0000-1E00-000001000000}"/>
    <hyperlink ref="D9" r:id="rId3" xr:uid="{00000000-0004-0000-1E00-000002000000}"/>
    <hyperlink ref="D10" r:id="rId4" xr:uid="{00000000-0004-0000-1E00-000003000000}"/>
    <hyperlink ref="D11" r:id="rId5" xr:uid="{00000000-0004-0000-1E00-000004000000}"/>
  </hyperlinks>
  <pageMargins left="0.7" right="0.7" top="0.75" bottom="0.75" header="0" footer="0"/>
  <pageSetup orientation="landscape"/>
  <drawing r:id="rId6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E140"/>
  <sheetViews>
    <sheetView workbookViewId="0"/>
  </sheetViews>
  <sheetFormatPr defaultColWidth="14.3984375" defaultRowHeight="15" customHeight="1"/>
  <cols>
    <col min="1" max="1" width="5.1328125" customWidth="1"/>
    <col min="2" max="2" width="100.86328125" customWidth="1"/>
    <col min="3" max="3" width="0.265625" customWidth="1"/>
    <col min="4" max="4" width="12.265625" customWidth="1"/>
    <col min="5" max="5" width="15.86328125" customWidth="1"/>
    <col min="6" max="6" width="28.86328125" customWidth="1"/>
  </cols>
  <sheetData>
    <row r="1" spans="1:5" ht="84" customHeight="1">
      <c r="A1" s="460" t="s">
        <v>3613</v>
      </c>
      <c r="B1" s="461"/>
      <c r="C1" s="461"/>
      <c r="D1" s="461"/>
      <c r="E1" s="461"/>
    </row>
    <row r="2" spans="1:5" ht="14.25" customHeight="1">
      <c r="A2" s="339" t="s">
        <v>3074</v>
      </c>
      <c r="B2" s="340" t="s">
        <v>3075</v>
      </c>
      <c r="C2" s="340"/>
      <c r="D2" s="341" t="s">
        <v>3076</v>
      </c>
      <c r="E2" s="342" t="s">
        <v>3077</v>
      </c>
    </row>
    <row r="3" spans="1:5" ht="14.25" customHeight="1">
      <c r="A3" s="462" t="s">
        <v>3133</v>
      </c>
      <c r="B3" s="463"/>
      <c r="C3" s="463"/>
      <c r="D3" s="463"/>
      <c r="E3" s="464"/>
    </row>
    <row r="4" spans="1:5" ht="14.25" customHeight="1">
      <c r="A4" s="343">
        <v>1</v>
      </c>
      <c r="B4" s="344" t="s">
        <v>3614</v>
      </c>
      <c r="C4" s="344"/>
      <c r="D4" s="345">
        <v>17</v>
      </c>
      <c r="E4" s="345">
        <v>19</v>
      </c>
    </row>
    <row r="5" spans="1:5" ht="14.25" customHeight="1">
      <c r="A5" s="343">
        <v>2</v>
      </c>
      <c r="B5" s="344" t="s">
        <v>3615</v>
      </c>
      <c r="C5" s="344"/>
      <c r="D5" s="345">
        <v>18</v>
      </c>
      <c r="E5" s="345">
        <v>20</v>
      </c>
    </row>
    <row r="6" spans="1:5" ht="14.25" customHeight="1">
      <c r="A6" s="343">
        <v>3</v>
      </c>
      <c r="B6" s="344" t="s">
        <v>3616</v>
      </c>
      <c r="C6" s="344"/>
      <c r="D6" s="345">
        <v>18</v>
      </c>
      <c r="E6" s="345">
        <v>20</v>
      </c>
    </row>
    <row r="7" spans="1:5" ht="14.25" customHeight="1">
      <c r="A7" s="343">
        <v>4</v>
      </c>
      <c r="B7" s="344" t="s">
        <v>3617</v>
      </c>
      <c r="C7" s="344"/>
      <c r="D7" s="345">
        <v>18</v>
      </c>
      <c r="E7" s="345">
        <v>20</v>
      </c>
    </row>
    <row r="8" spans="1:5" ht="14.25" customHeight="1">
      <c r="A8" s="343">
        <v>5</v>
      </c>
      <c r="B8" s="344" t="s">
        <v>3618</v>
      </c>
      <c r="C8" s="344"/>
      <c r="D8" s="345">
        <v>19</v>
      </c>
      <c r="E8" s="345">
        <v>21</v>
      </c>
    </row>
    <row r="9" spans="1:5" ht="14.25" customHeight="1">
      <c r="A9" s="343">
        <v>6</v>
      </c>
      <c r="B9" s="344" t="s">
        <v>3619</v>
      </c>
      <c r="C9" s="344"/>
      <c r="D9" s="345">
        <v>21</v>
      </c>
      <c r="E9" s="345">
        <v>23</v>
      </c>
    </row>
    <row r="10" spans="1:5" ht="14.25" customHeight="1">
      <c r="A10" s="343">
        <v>7</v>
      </c>
      <c r="B10" s="346" t="s">
        <v>3620</v>
      </c>
      <c r="C10" s="346"/>
      <c r="D10" s="345">
        <v>26</v>
      </c>
      <c r="E10" s="345">
        <v>28</v>
      </c>
    </row>
    <row r="11" spans="1:5" ht="14.25" customHeight="1">
      <c r="A11" s="343">
        <v>8</v>
      </c>
      <c r="B11" s="344" t="s">
        <v>3621</v>
      </c>
      <c r="C11" s="344"/>
      <c r="D11" s="345">
        <v>19</v>
      </c>
      <c r="E11" s="345">
        <v>21</v>
      </c>
    </row>
    <row r="12" spans="1:5" ht="14.25" customHeight="1">
      <c r="A12" s="343">
        <v>9</v>
      </c>
      <c r="B12" s="346" t="s">
        <v>3622</v>
      </c>
      <c r="C12" s="346"/>
      <c r="D12" s="345">
        <v>25</v>
      </c>
      <c r="E12" s="345">
        <v>27</v>
      </c>
    </row>
    <row r="13" spans="1:5" ht="14.25" customHeight="1">
      <c r="A13" s="343">
        <v>10</v>
      </c>
      <c r="B13" s="344" t="s">
        <v>3623</v>
      </c>
      <c r="C13" s="344"/>
      <c r="D13" s="345">
        <v>31</v>
      </c>
      <c r="E13" s="345">
        <v>33</v>
      </c>
    </row>
    <row r="14" spans="1:5" ht="14.25" customHeight="1">
      <c r="A14" s="343">
        <v>11</v>
      </c>
      <c r="B14" s="344" t="s">
        <v>3624</v>
      </c>
      <c r="C14" s="344"/>
      <c r="D14" s="345">
        <v>33</v>
      </c>
      <c r="E14" s="345">
        <v>35</v>
      </c>
    </row>
    <row r="15" spans="1:5" ht="14.25" customHeight="1">
      <c r="A15" s="343">
        <v>12</v>
      </c>
      <c r="B15" s="344" t="s">
        <v>3625</v>
      </c>
      <c r="C15" s="344"/>
      <c r="D15" s="345">
        <v>33</v>
      </c>
      <c r="E15" s="345">
        <v>35</v>
      </c>
    </row>
    <row r="16" spans="1:5" ht="14.25" customHeight="1">
      <c r="A16" s="343">
        <v>13</v>
      </c>
      <c r="B16" s="346" t="s">
        <v>3626</v>
      </c>
      <c r="C16" s="346"/>
      <c r="D16" s="345">
        <v>21</v>
      </c>
      <c r="E16" s="345">
        <v>23</v>
      </c>
    </row>
    <row r="17" spans="1:5" ht="14.25" customHeight="1">
      <c r="A17" s="343">
        <v>14</v>
      </c>
      <c r="B17" s="344" t="s">
        <v>3627</v>
      </c>
      <c r="C17" s="344"/>
      <c r="D17" s="345">
        <v>33</v>
      </c>
      <c r="E17" s="345">
        <v>35</v>
      </c>
    </row>
    <row r="18" spans="1:5" ht="14.25" customHeight="1">
      <c r="A18" s="343">
        <v>15</v>
      </c>
      <c r="B18" s="346" t="s">
        <v>3628</v>
      </c>
      <c r="C18" s="346"/>
      <c r="D18" s="345">
        <v>35</v>
      </c>
      <c r="E18" s="345">
        <v>37</v>
      </c>
    </row>
    <row r="19" spans="1:5" ht="14.25" customHeight="1">
      <c r="A19" s="343">
        <v>16</v>
      </c>
      <c r="B19" s="346" t="s">
        <v>3629</v>
      </c>
      <c r="C19" s="346"/>
      <c r="D19" s="345">
        <v>36</v>
      </c>
      <c r="E19" s="345">
        <v>38</v>
      </c>
    </row>
    <row r="20" spans="1:5" ht="14.25" customHeight="1">
      <c r="A20" s="343">
        <v>17</v>
      </c>
      <c r="B20" s="344" t="s">
        <v>3630</v>
      </c>
      <c r="C20" s="344"/>
      <c r="D20" s="345">
        <v>36</v>
      </c>
      <c r="E20" s="345">
        <v>38</v>
      </c>
    </row>
    <row r="21" spans="1:5" ht="14.25" customHeight="1">
      <c r="A21" s="343">
        <v>18</v>
      </c>
      <c r="B21" s="346" t="s">
        <v>3631</v>
      </c>
      <c r="C21" s="346"/>
      <c r="D21" s="345">
        <v>38</v>
      </c>
      <c r="E21" s="345">
        <v>40</v>
      </c>
    </row>
    <row r="22" spans="1:5" ht="14.25" customHeight="1">
      <c r="A22" s="343">
        <v>19</v>
      </c>
      <c r="B22" s="344" t="s">
        <v>3632</v>
      </c>
      <c r="C22" s="344"/>
      <c r="D22" s="345">
        <v>41</v>
      </c>
      <c r="E22" s="345">
        <v>43</v>
      </c>
    </row>
    <row r="23" spans="1:5" ht="14.25" customHeight="1">
      <c r="A23" s="343">
        <v>20</v>
      </c>
      <c r="B23" s="346" t="s">
        <v>3633</v>
      </c>
      <c r="C23" s="346"/>
      <c r="D23" s="345">
        <v>41</v>
      </c>
      <c r="E23" s="345">
        <v>43</v>
      </c>
    </row>
    <row r="24" spans="1:5" ht="14.25" customHeight="1">
      <c r="A24" s="343">
        <v>21</v>
      </c>
      <c r="B24" s="346" t="s">
        <v>3634</v>
      </c>
      <c r="C24" s="346"/>
      <c r="D24" s="345">
        <v>41</v>
      </c>
      <c r="E24" s="345">
        <v>43</v>
      </c>
    </row>
    <row r="25" spans="1:5" ht="14.25" customHeight="1">
      <c r="A25" s="343">
        <v>22</v>
      </c>
      <c r="B25" s="346" t="s">
        <v>3635</v>
      </c>
      <c r="C25" s="346"/>
      <c r="D25" s="345">
        <v>46</v>
      </c>
      <c r="E25" s="345">
        <v>48</v>
      </c>
    </row>
    <row r="26" spans="1:5" ht="14.25" customHeight="1">
      <c r="A26" s="343">
        <v>23</v>
      </c>
      <c r="B26" s="346" t="s">
        <v>3636</v>
      </c>
      <c r="C26" s="346"/>
      <c r="D26" s="345">
        <v>46</v>
      </c>
      <c r="E26" s="345">
        <v>48</v>
      </c>
    </row>
    <row r="27" spans="1:5" ht="14.25" customHeight="1">
      <c r="A27" s="343">
        <v>24</v>
      </c>
      <c r="B27" s="346" t="s">
        <v>3637</v>
      </c>
      <c r="C27" s="346"/>
      <c r="D27" s="345">
        <v>48</v>
      </c>
      <c r="E27" s="345">
        <v>50</v>
      </c>
    </row>
    <row r="28" spans="1:5" ht="14.25" customHeight="1">
      <c r="A28" s="343">
        <v>25</v>
      </c>
      <c r="B28" s="346" t="s">
        <v>3638</v>
      </c>
      <c r="C28" s="346"/>
      <c r="D28" s="345">
        <v>50</v>
      </c>
      <c r="E28" s="345">
        <v>52</v>
      </c>
    </row>
    <row r="29" spans="1:5" ht="14.25" customHeight="1">
      <c r="A29" s="459" t="s">
        <v>3111</v>
      </c>
      <c r="B29" s="408"/>
      <c r="C29" s="408"/>
      <c r="D29" s="408"/>
      <c r="E29" s="407"/>
    </row>
    <row r="30" spans="1:5" ht="14.25" customHeight="1">
      <c r="A30" s="343">
        <v>26</v>
      </c>
      <c r="B30" s="347" t="s">
        <v>3639</v>
      </c>
      <c r="C30" s="347"/>
      <c r="D30" s="345">
        <v>10</v>
      </c>
      <c r="E30" s="345">
        <v>12</v>
      </c>
    </row>
    <row r="31" spans="1:5" ht="14.25" customHeight="1">
      <c r="A31" s="343">
        <v>27</v>
      </c>
      <c r="B31" s="344" t="s">
        <v>3640</v>
      </c>
      <c r="C31" s="344"/>
      <c r="D31" s="345">
        <v>11</v>
      </c>
      <c r="E31" s="345">
        <v>13</v>
      </c>
    </row>
    <row r="32" spans="1:5" ht="14.25" customHeight="1">
      <c r="A32" s="343">
        <v>28</v>
      </c>
      <c r="B32" s="344" t="s">
        <v>3641</v>
      </c>
      <c r="C32" s="344"/>
      <c r="D32" s="345">
        <v>13</v>
      </c>
      <c r="E32" s="345">
        <v>15</v>
      </c>
    </row>
    <row r="33" spans="1:5" ht="14.25" customHeight="1">
      <c r="A33" s="343">
        <v>29</v>
      </c>
      <c r="B33" s="344" t="s">
        <v>3642</v>
      </c>
      <c r="C33" s="344"/>
      <c r="D33" s="345">
        <v>13</v>
      </c>
      <c r="E33" s="345">
        <v>15</v>
      </c>
    </row>
    <row r="34" spans="1:5" ht="14.25" customHeight="1">
      <c r="A34" s="343">
        <v>30</v>
      </c>
      <c r="B34" s="344" t="s">
        <v>3643</v>
      </c>
      <c r="C34" s="344"/>
      <c r="D34" s="345">
        <v>13</v>
      </c>
      <c r="E34" s="345">
        <v>15</v>
      </c>
    </row>
    <row r="35" spans="1:5" ht="14.25" customHeight="1">
      <c r="A35" s="343">
        <v>31</v>
      </c>
      <c r="B35" s="344" t="s">
        <v>3644</v>
      </c>
      <c r="C35" s="344"/>
      <c r="D35" s="345">
        <v>13</v>
      </c>
      <c r="E35" s="345">
        <v>15</v>
      </c>
    </row>
    <row r="36" spans="1:5" ht="14.25" customHeight="1">
      <c r="A36" s="343">
        <v>32</v>
      </c>
      <c r="B36" s="344" t="s">
        <v>3645</v>
      </c>
      <c r="C36" s="344"/>
      <c r="D36" s="345">
        <v>14</v>
      </c>
      <c r="E36" s="345">
        <v>16</v>
      </c>
    </row>
    <row r="37" spans="1:5" ht="14.25" customHeight="1">
      <c r="A37" s="343">
        <v>33</v>
      </c>
      <c r="B37" s="347" t="s">
        <v>3646</v>
      </c>
      <c r="C37" s="347"/>
      <c r="D37" s="345">
        <v>15</v>
      </c>
      <c r="E37" s="345">
        <v>17</v>
      </c>
    </row>
    <row r="38" spans="1:5" ht="14.25" customHeight="1">
      <c r="A38" s="343">
        <v>34</v>
      </c>
      <c r="B38" s="344" t="s">
        <v>3647</v>
      </c>
      <c r="C38" s="344"/>
      <c r="D38" s="345">
        <v>16</v>
      </c>
      <c r="E38" s="345">
        <v>18</v>
      </c>
    </row>
    <row r="39" spans="1:5" ht="14.25" customHeight="1">
      <c r="A39" s="343">
        <v>35</v>
      </c>
      <c r="B39" s="347" t="s">
        <v>3648</v>
      </c>
      <c r="C39" s="347"/>
      <c r="D39" s="345">
        <v>11</v>
      </c>
      <c r="E39" s="345">
        <v>13</v>
      </c>
    </row>
    <row r="40" spans="1:5" ht="14.25" customHeight="1">
      <c r="A40" s="343">
        <v>36</v>
      </c>
      <c r="B40" s="347" t="s">
        <v>3649</v>
      </c>
      <c r="C40" s="347"/>
      <c r="D40" s="345">
        <v>12</v>
      </c>
      <c r="E40" s="345">
        <v>14</v>
      </c>
    </row>
    <row r="41" spans="1:5" ht="14.25" customHeight="1">
      <c r="A41" s="343">
        <v>37</v>
      </c>
      <c r="B41" s="347" t="s">
        <v>3650</v>
      </c>
      <c r="C41" s="347"/>
      <c r="D41" s="345">
        <v>16</v>
      </c>
      <c r="E41" s="345">
        <v>18</v>
      </c>
    </row>
    <row r="42" spans="1:5" ht="14.25" customHeight="1">
      <c r="A42" s="343">
        <v>38</v>
      </c>
      <c r="B42" s="347" t="s">
        <v>3651</v>
      </c>
      <c r="C42" s="347"/>
      <c r="D42" s="345">
        <v>16</v>
      </c>
      <c r="E42" s="345">
        <v>18</v>
      </c>
    </row>
    <row r="43" spans="1:5" ht="14.25" customHeight="1">
      <c r="A43" s="343">
        <v>39</v>
      </c>
      <c r="B43" s="347" t="s">
        <v>3652</v>
      </c>
      <c r="C43" s="347"/>
      <c r="D43" s="345">
        <v>18</v>
      </c>
      <c r="E43" s="345">
        <v>20</v>
      </c>
    </row>
    <row r="44" spans="1:5" ht="14.25" customHeight="1">
      <c r="A44" s="343">
        <v>40</v>
      </c>
      <c r="B44" s="344" t="s">
        <v>3653</v>
      </c>
      <c r="C44" s="344"/>
      <c r="D44" s="345">
        <v>18</v>
      </c>
      <c r="E44" s="345">
        <v>20</v>
      </c>
    </row>
    <row r="45" spans="1:5" ht="14.25" customHeight="1">
      <c r="A45" s="343">
        <v>41</v>
      </c>
      <c r="B45" s="344" t="s">
        <v>3654</v>
      </c>
      <c r="C45" s="344"/>
      <c r="D45" s="345">
        <v>18</v>
      </c>
      <c r="E45" s="345">
        <v>20</v>
      </c>
    </row>
    <row r="46" spans="1:5" ht="14.25" customHeight="1">
      <c r="A46" s="343">
        <v>42</v>
      </c>
      <c r="B46" s="344" t="s">
        <v>3655</v>
      </c>
      <c r="C46" s="344"/>
      <c r="D46" s="345">
        <v>19</v>
      </c>
      <c r="E46" s="345">
        <v>21</v>
      </c>
    </row>
    <row r="47" spans="1:5" ht="14.25" customHeight="1">
      <c r="A47" s="343">
        <v>43</v>
      </c>
      <c r="B47" s="344" t="s">
        <v>3656</v>
      </c>
      <c r="C47" s="344"/>
      <c r="D47" s="345">
        <v>21</v>
      </c>
      <c r="E47" s="345">
        <v>23</v>
      </c>
    </row>
    <row r="48" spans="1:5" ht="14.25" customHeight="1">
      <c r="A48" s="343">
        <v>44</v>
      </c>
      <c r="B48" s="344" t="s">
        <v>3657</v>
      </c>
      <c r="C48" s="344"/>
      <c r="D48" s="345">
        <v>21</v>
      </c>
      <c r="E48" s="345">
        <v>23</v>
      </c>
    </row>
    <row r="49" spans="1:5" ht="14.25" customHeight="1">
      <c r="A49" s="343">
        <v>45</v>
      </c>
      <c r="B49" s="347" t="s">
        <v>3658</v>
      </c>
      <c r="C49" s="347"/>
      <c r="D49" s="345">
        <v>23</v>
      </c>
      <c r="E49" s="345">
        <v>25</v>
      </c>
    </row>
    <row r="50" spans="1:5" ht="14.25" customHeight="1">
      <c r="A50" s="343">
        <v>46</v>
      </c>
      <c r="B50" s="346" t="s">
        <v>3659</v>
      </c>
      <c r="C50" s="346"/>
      <c r="D50" s="345">
        <v>25</v>
      </c>
      <c r="E50" s="345">
        <v>27</v>
      </c>
    </row>
    <row r="51" spans="1:5" ht="14.25" customHeight="1">
      <c r="A51" s="343">
        <v>47</v>
      </c>
      <c r="B51" s="344" t="s">
        <v>3660</v>
      </c>
      <c r="C51" s="344"/>
      <c r="D51" s="345">
        <v>26</v>
      </c>
      <c r="E51" s="345">
        <v>28</v>
      </c>
    </row>
    <row r="52" spans="1:5" ht="14.25" customHeight="1">
      <c r="A52" s="343">
        <v>48</v>
      </c>
      <c r="B52" s="347" t="s">
        <v>3661</v>
      </c>
      <c r="C52" s="347"/>
      <c r="D52" s="345">
        <v>28</v>
      </c>
      <c r="E52" s="345">
        <v>30</v>
      </c>
    </row>
    <row r="53" spans="1:5" ht="14.25" customHeight="1">
      <c r="A53" s="343">
        <v>49</v>
      </c>
      <c r="B53" s="347" t="s">
        <v>3662</v>
      </c>
      <c r="C53" s="347"/>
      <c r="D53" s="345">
        <v>38</v>
      </c>
      <c r="E53" s="345">
        <v>40</v>
      </c>
    </row>
    <row r="54" spans="1:5" ht="14.25" customHeight="1">
      <c r="A54" s="343">
        <v>50</v>
      </c>
      <c r="B54" s="205" t="s">
        <v>3663</v>
      </c>
      <c r="C54" s="205"/>
      <c r="D54" s="345">
        <v>38</v>
      </c>
      <c r="E54" s="345">
        <v>40</v>
      </c>
    </row>
    <row r="55" spans="1:5" ht="14.25" customHeight="1">
      <c r="A55" s="459" t="s">
        <v>3169</v>
      </c>
      <c r="B55" s="408"/>
      <c r="C55" s="408"/>
      <c r="D55" s="408"/>
      <c r="E55" s="407"/>
    </row>
    <row r="56" spans="1:5" ht="14.25" customHeight="1">
      <c r="A56" s="343">
        <v>51</v>
      </c>
      <c r="B56" s="344" t="s">
        <v>3664</v>
      </c>
      <c r="C56" s="344"/>
      <c r="D56" s="345">
        <v>6</v>
      </c>
      <c r="E56" s="345">
        <v>7</v>
      </c>
    </row>
    <row r="57" spans="1:5" ht="14.25" customHeight="1">
      <c r="A57" s="343">
        <v>52</v>
      </c>
      <c r="B57" s="344" t="s">
        <v>3665</v>
      </c>
      <c r="C57" s="344"/>
      <c r="D57" s="345">
        <v>15</v>
      </c>
      <c r="E57" s="345">
        <v>16</v>
      </c>
    </row>
    <row r="58" spans="1:5" ht="14.25" customHeight="1">
      <c r="A58" s="343">
        <v>53</v>
      </c>
      <c r="B58" s="346" t="s">
        <v>3666</v>
      </c>
      <c r="C58" s="346"/>
      <c r="D58" s="345">
        <v>16</v>
      </c>
      <c r="E58" s="345">
        <v>18</v>
      </c>
    </row>
    <row r="59" spans="1:5" ht="14.25" customHeight="1">
      <c r="A59" s="343">
        <v>54</v>
      </c>
      <c r="B59" s="346" t="s">
        <v>3667</v>
      </c>
      <c r="C59" s="346"/>
      <c r="D59" s="345">
        <v>33</v>
      </c>
      <c r="E59" s="345">
        <v>35</v>
      </c>
    </row>
    <row r="60" spans="1:5" ht="14.25" customHeight="1">
      <c r="A60" s="343">
        <v>55</v>
      </c>
      <c r="B60" s="346" t="s">
        <v>3668</v>
      </c>
      <c r="C60" s="346"/>
      <c r="D60" s="345">
        <v>43</v>
      </c>
      <c r="E60" s="345">
        <v>45</v>
      </c>
    </row>
    <row r="61" spans="1:5" ht="14.25" customHeight="1">
      <c r="A61" s="343">
        <v>56</v>
      </c>
      <c r="B61" s="346" t="s">
        <v>3669</v>
      </c>
      <c r="C61" s="346"/>
      <c r="D61" s="345">
        <v>23</v>
      </c>
      <c r="E61" s="345">
        <v>25</v>
      </c>
    </row>
    <row r="62" spans="1:5" ht="14.25" customHeight="1">
      <c r="A62" s="343">
        <v>57</v>
      </c>
      <c r="B62" s="346" t="s">
        <v>3670</v>
      </c>
      <c r="C62" s="346"/>
      <c r="D62" s="345">
        <v>23</v>
      </c>
      <c r="E62" s="345">
        <v>25</v>
      </c>
    </row>
    <row r="63" spans="1:5" ht="14.25" customHeight="1">
      <c r="A63" s="343">
        <v>58</v>
      </c>
      <c r="B63" s="346" t="s">
        <v>3671</v>
      </c>
      <c r="C63" s="346"/>
      <c r="D63" s="345">
        <v>26</v>
      </c>
      <c r="E63" s="345">
        <v>28</v>
      </c>
    </row>
    <row r="64" spans="1:5" ht="14.25" customHeight="1">
      <c r="A64" s="343">
        <v>59</v>
      </c>
      <c r="B64" s="346" t="s">
        <v>3672</v>
      </c>
      <c r="C64" s="346"/>
      <c r="D64" s="345">
        <v>26</v>
      </c>
      <c r="E64" s="345">
        <v>28</v>
      </c>
    </row>
    <row r="65" spans="1:5" ht="14.25" customHeight="1">
      <c r="A65" s="343">
        <v>60</v>
      </c>
      <c r="B65" s="346" t="s">
        <v>3673</v>
      </c>
      <c r="C65" s="346"/>
      <c r="D65" s="345">
        <v>33</v>
      </c>
      <c r="E65" s="345">
        <v>35</v>
      </c>
    </row>
    <row r="66" spans="1:5" ht="14.25" customHeight="1">
      <c r="A66" s="343">
        <v>61</v>
      </c>
      <c r="B66" s="346" t="s">
        <v>3674</v>
      </c>
      <c r="C66" s="346"/>
      <c r="D66" s="345">
        <v>38</v>
      </c>
      <c r="E66" s="345">
        <v>40</v>
      </c>
    </row>
    <row r="67" spans="1:5" ht="14.25" customHeight="1">
      <c r="A67" s="343">
        <v>62</v>
      </c>
      <c r="B67" s="346" t="s">
        <v>3675</v>
      </c>
      <c r="C67" s="346"/>
      <c r="D67" s="345">
        <v>38</v>
      </c>
      <c r="E67" s="345">
        <v>40</v>
      </c>
    </row>
    <row r="68" spans="1:5" ht="14.25" customHeight="1">
      <c r="A68" s="343">
        <v>63</v>
      </c>
      <c r="B68" s="344" t="s">
        <v>3676</v>
      </c>
      <c r="C68" s="344"/>
      <c r="D68" s="345">
        <v>14</v>
      </c>
      <c r="E68" s="345">
        <v>15</v>
      </c>
    </row>
    <row r="69" spans="1:5" ht="14.25" customHeight="1">
      <c r="A69" s="459" t="s">
        <v>3179</v>
      </c>
      <c r="B69" s="408"/>
      <c r="C69" s="408"/>
      <c r="D69" s="408"/>
      <c r="E69" s="407"/>
    </row>
    <row r="70" spans="1:5" ht="14.25" customHeight="1">
      <c r="A70" s="343">
        <v>64</v>
      </c>
      <c r="B70" s="348" t="s">
        <v>3677</v>
      </c>
      <c r="C70" s="348"/>
      <c r="D70" s="345">
        <v>11</v>
      </c>
      <c r="E70" s="345">
        <v>12</v>
      </c>
    </row>
    <row r="71" spans="1:5" ht="14.25" customHeight="1">
      <c r="A71" s="343">
        <v>65</v>
      </c>
      <c r="B71" s="346" t="s">
        <v>3678</v>
      </c>
      <c r="C71" s="346"/>
      <c r="D71" s="345">
        <v>4</v>
      </c>
      <c r="E71" s="345">
        <v>5</v>
      </c>
    </row>
    <row r="72" spans="1:5" ht="14.25" customHeight="1">
      <c r="A72" s="343">
        <v>66</v>
      </c>
      <c r="B72" s="346" t="s">
        <v>3679</v>
      </c>
      <c r="C72" s="346"/>
      <c r="D72" s="345">
        <v>4</v>
      </c>
      <c r="E72" s="345">
        <v>5</v>
      </c>
    </row>
    <row r="73" spans="1:5" ht="14.25" customHeight="1">
      <c r="A73" s="343">
        <v>67</v>
      </c>
      <c r="B73" s="346" t="s">
        <v>3680</v>
      </c>
      <c r="C73" s="346"/>
      <c r="D73" s="345">
        <v>5</v>
      </c>
      <c r="E73" s="345">
        <v>6</v>
      </c>
    </row>
    <row r="74" spans="1:5" ht="14.25" customHeight="1">
      <c r="A74" s="343">
        <v>68</v>
      </c>
      <c r="B74" s="347" t="s">
        <v>3681</v>
      </c>
      <c r="C74" s="347"/>
      <c r="D74" s="345">
        <v>7</v>
      </c>
      <c r="E74" s="345">
        <v>8</v>
      </c>
    </row>
    <row r="75" spans="1:5" ht="14.25" customHeight="1">
      <c r="A75" s="343">
        <v>69</v>
      </c>
      <c r="B75" s="346" t="s">
        <v>3682</v>
      </c>
      <c r="C75" s="346"/>
      <c r="D75" s="345">
        <v>12</v>
      </c>
      <c r="E75" s="345">
        <v>13</v>
      </c>
    </row>
    <row r="76" spans="1:5" ht="14.25" customHeight="1">
      <c r="A76" s="343">
        <v>70</v>
      </c>
      <c r="B76" s="346" t="s">
        <v>3683</v>
      </c>
      <c r="C76" s="346"/>
      <c r="D76" s="345">
        <v>12</v>
      </c>
      <c r="E76" s="345">
        <v>13</v>
      </c>
    </row>
    <row r="77" spans="1:5" ht="14.25" customHeight="1">
      <c r="A77" s="343">
        <v>71</v>
      </c>
      <c r="B77" s="346" t="s">
        <v>3684</v>
      </c>
      <c r="C77" s="346"/>
      <c r="D77" s="345">
        <v>12</v>
      </c>
      <c r="E77" s="345">
        <v>13</v>
      </c>
    </row>
    <row r="78" spans="1:5" ht="14.25" customHeight="1">
      <c r="A78" s="343">
        <v>72</v>
      </c>
      <c r="B78" s="346" t="s">
        <v>3685</v>
      </c>
      <c r="C78" s="346"/>
      <c r="D78" s="345">
        <v>17</v>
      </c>
      <c r="E78" s="345">
        <v>18</v>
      </c>
    </row>
    <row r="79" spans="1:5" ht="14.25" customHeight="1">
      <c r="A79" s="459" t="s">
        <v>3183</v>
      </c>
      <c r="B79" s="408"/>
      <c r="C79" s="408"/>
      <c r="D79" s="408"/>
      <c r="E79" s="407"/>
    </row>
    <row r="80" spans="1:5" ht="14.25" customHeight="1">
      <c r="A80" s="343">
        <v>73</v>
      </c>
      <c r="B80" s="349" t="s">
        <v>3686</v>
      </c>
      <c r="C80" s="349"/>
      <c r="D80" s="345">
        <v>9</v>
      </c>
      <c r="E80" s="345">
        <v>10</v>
      </c>
    </row>
    <row r="81" spans="1:5" ht="14.25" customHeight="1">
      <c r="A81" s="343">
        <v>74</v>
      </c>
      <c r="B81" s="348" t="s">
        <v>3687</v>
      </c>
      <c r="C81" s="348"/>
      <c r="D81" s="345">
        <v>18</v>
      </c>
      <c r="E81" s="345">
        <v>20</v>
      </c>
    </row>
    <row r="82" spans="1:5" ht="14.25" customHeight="1">
      <c r="A82" s="343">
        <v>75</v>
      </c>
      <c r="B82" s="349" t="s">
        <v>3688</v>
      </c>
      <c r="C82" s="349"/>
      <c r="D82" s="345">
        <v>18</v>
      </c>
      <c r="E82" s="345">
        <v>20</v>
      </c>
    </row>
    <row r="83" spans="1:5" ht="14.25" customHeight="1">
      <c r="A83" s="343">
        <v>76</v>
      </c>
      <c r="B83" s="349" t="s">
        <v>3689</v>
      </c>
      <c r="C83" s="349"/>
      <c r="D83" s="345">
        <v>23</v>
      </c>
      <c r="E83" s="345">
        <v>25</v>
      </c>
    </row>
    <row r="84" spans="1:5" ht="14.25" customHeight="1">
      <c r="A84" s="343">
        <v>77</v>
      </c>
      <c r="B84" s="349" t="s">
        <v>3690</v>
      </c>
      <c r="C84" s="349"/>
      <c r="D84" s="345">
        <v>28</v>
      </c>
      <c r="E84" s="345">
        <v>30</v>
      </c>
    </row>
    <row r="85" spans="1:5" ht="14.25" customHeight="1">
      <c r="A85" s="343">
        <v>78</v>
      </c>
      <c r="B85" s="349" t="s">
        <v>3691</v>
      </c>
      <c r="C85" s="349"/>
      <c r="D85" s="345">
        <v>41</v>
      </c>
      <c r="E85" s="345">
        <v>43</v>
      </c>
    </row>
    <row r="86" spans="1:5" ht="14.25" customHeight="1">
      <c r="A86" s="459" t="s">
        <v>3692</v>
      </c>
      <c r="B86" s="408"/>
      <c r="C86" s="408"/>
      <c r="D86" s="408"/>
      <c r="E86" s="407"/>
    </row>
    <row r="87" spans="1:5" ht="14.25" customHeight="1">
      <c r="A87" s="343">
        <v>79</v>
      </c>
      <c r="B87" s="349" t="s">
        <v>3693</v>
      </c>
      <c r="C87" s="349"/>
      <c r="D87" s="345">
        <v>37</v>
      </c>
      <c r="E87" s="345">
        <v>38</v>
      </c>
    </row>
    <row r="88" spans="1:5" ht="14.25" customHeight="1">
      <c r="A88" s="343">
        <v>80</v>
      </c>
      <c r="B88" s="349" t="s">
        <v>3694</v>
      </c>
      <c r="C88" s="349"/>
      <c r="D88" s="345">
        <v>40</v>
      </c>
      <c r="E88" s="345">
        <v>41</v>
      </c>
    </row>
    <row r="89" spans="1:5" ht="14.25" customHeight="1">
      <c r="A89" s="343">
        <v>81</v>
      </c>
      <c r="B89" s="349" t="s">
        <v>3695</v>
      </c>
      <c r="C89" s="349"/>
      <c r="D89" s="345">
        <v>58</v>
      </c>
      <c r="E89" s="345">
        <v>59</v>
      </c>
    </row>
    <row r="90" spans="1:5" ht="14.25" customHeight="1">
      <c r="A90" s="343">
        <v>82</v>
      </c>
      <c r="B90" s="349" t="s">
        <v>3696</v>
      </c>
      <c r="C90" s="349"/>
      <c r="D90" s="345">
        <v>67</v>
      </c>
      <c r="E90" s="345">
        <v>68</v>
      </c>
    </row>
    <row r="91" spans="1:5" ht="14.25" customHeight="1">
      <c r="A91" s="459" t="s">
        <v>3697</v>
      </c>
      <c r="B91" s="408"/>
      <c r="C91" s="408"/>
      <c r="D91" s="408"/>
      <c r="E91" s="407"/>
    </row>
    <row r="92" spans="1:5" ht="14.25" customHeight="1">
      <c r="A92" s="343">
        <v>83</v>
      </c>
      <c r="B92" s="349" t="s">
        <v>3698</v>
      </c>
      <c r="C92" s="349"/>
      <c r="D92" s="345">
        <v>23</v>
      </c>
      <c r="E92" s="345">
        <v>25</v>
      </c>
    </row>
    <row r="93" spans="1:5" ht="14.25" customHeight="1">
      <c r="A93" s="459" t="s">
        <v>3699</v>
      </c>
      <c r="B93" s="408"/>
      <c r="C93" s="408"/>
      <c r="D93" s="408"/>
      <c r="E93" s="407"/>
    </row>
    <row r="94" spans="1:5" ht="14.25" customHeight="1">
      <c r="A94" s="343">
        <v>84</v>
      </c>
      <c r="B94" s="350" t="s">
        <v>3700</v>
      </c>
      <c r="C94" s="350"/>
      <c r="D94" s="345">
        <v>25</v>
      </c>
      <c r="E94" s="345">
        <v>26</v>
      </c>
    </row>
    <row r="95" spans="1:5" ht="14.25" customHeight="1">
      <c r="A95" s="343">
        <v>85</v>
      </c>
      <c r="B95" s="351" t="s">
        <v>3701</v>
      </c>
      <c r="C95" s="351"/>
      <c r="D95" s="345">
        <v>24</v>
      </c>
      <c r="E95" s="345">
        <v>25</v>
      </c>
    </row>
    <row r="96" spans="1:5" ht="34.5" customHeight="1">
      <c r="A96" s="343">
        <v>86</v>
      </c>
      <c r="B96" s="352" t="s">
        <v>3702</v>
      </c>
      <c r="C96" s="352"/>
      <c r="D96" s="345"/>
      <c r="E96" s="345">
        <v>50</v>
      </c>
    </row>
    <row r="97" spans="1:5" ht="14.25" customHeight="1">
      <c r="A97" s="459" t="s">
        <v>3703</v>
      </c>
      <c r="B97" s="408"/>
      <c r="C97" s="408"/>
      <c r="D97" s="408"/>
      <c r="E97" s="407"/>
    </row>
    <row r="98" spans="1:5" ht="14.25" customHeight="1">
      <c r="A98" s="343">
        <v>87</v>
      </c>
      <c r="B98" s="349" t="s">
        <v>3704</v>
      </c>
      <c r="C98" s="349"/>
      <c r="D98" s="353">
        <v>24</v>
      </c>
      <c r="E98" s="353">
        <v>25</v>
      </c>
    </row>
    <row r="99" spans="1:5" ht="14.25" customHeight="1">
      <c r="A99" s="343">
        <v>88</v>
      </c>
      <c r="B99" s="349" t="s">
        <v>3705</v>
      </c>
      <c r="C99" s="349"/>
      <c r="D99" s="353">
        <v>48</v>
      </c>
      <c r="E99" s="353">
        <v>50</v>
      </c>
    </row>
    <row r="100" spans="1:5" ht="14.25" customHeight="1">
      <c r="A100" s="343">
        <v>89</v>
      </c>
      <c r="B100" s="349" t="s">
        <v>3706</v>
      </c>
      <c r="C100" s="349"/>
      <c r="D100" s="353">
        <v>51</v>
      </c>
      <c r="E100" s="353">
        <v>53</v>
      </c>
    </row>
    <row r="101" spans="1:5" ht="14.25" customHeight="1">
      <c r="A101" s="343">
        <v>90</v>
      </c>
      <c r="B101" s="344" t="s">
        <v>3707</v>
      </c>
      <c r="C101" s="354"/>
      <c r="D101" s="355">
        <v>53</v>
      </c>
      <c r="E101" s="356">
        <v>55</v>
      </c>
    </row>
    <row r="102" spans="1:5" ht="14.25" customHeight="1">
      <c r="A102" s="459" t="s">
        <v>3708</v>
      </c>
      <c r="B102" s="408"/>
      <c r="C102" s="408"/>
      <c r="D102" s="408"/>
      <c r="E102" s="407"/>
    </row>
    <row r="103" spans="1:5" ht="14.25" customHeight="1">
      <c r="A103" s="343">
        <v>91</v>
      </c>
      <c r="B103" s="349" t="s">
        <v>3709</v>
      </c>
      <c r="C103" s="349"/>
      <c r="D103" s="353">
        <v>34</v>
      </c>
      <c r="E103" s="353">
        <v>35</v>
      </c>
    </row>
    <row r="104" spans="1:5" ht="14.25" customHeight="1">
      <c r="A104" s="343">
        <v>92</v>
      </c>
      <c r="B104" s="349" t="s">
        <v>3710</v>
      </c>
      <c r="C104" s="349"/>
      <c r="D104" s="353">
        <v>39</v>
      </c>
      <c r="E104" s="353">
        <v>40</v>
      </c>
    </row>
    <row r="105" spans="1:5" ht="14.25" customHeight="1">
      <c r="A105" s="343">
        <v>93</v>
      </c>
      <c r="B105" s="349" t="s">
        <v>3711</v>
      </c>
      <c r="C105" s="349"/>
      <c r="D105" s="353">
        <v>32</v>
      </c>
      <c r="E105" s="353">
        <v>33</v>
      </c>
    </row>
    <row r="106" spans="1:5" ht="14.25" customHeight="1">
      <c r="D106" s="355"/>
    </row>
    <row r="107" spans="1:5" ht="14.25" customHeight="1">
      <c r="D107" s="355"/>
    </row>
    <row r="108" spans="1:5" ht="14.25" customHeight="1">
      <c r="D108" s="355"/>
    </row>
    <row r="109" spans="1:5" ht="14.25" customHeight="1">
      <c r="D109" s="355"/>
    </row>
    <row r="110" spans="1:5" ht="14.25" customHeight="1">
      <c r="D110" s="355"/>
    </row>
    <row r="111" spans="1:5" ht="14.25" customHeight="1">
      <c r="D111" s="355"/>
    </row>
    <row r="112" spans="1:5" ht="14.25" customHeight="1">
      <c r="D112" s="355"/>
    </row>
    <row r="113" spans="4:4" ht="14.25" customHeight="1">
      <c r="D113" s="355"/>
    </row>
    <row r="114" spans="4:4" ht="14.25" customHeight="1">
      <c r="D114" s="355"/>
    </row>
    <row r="115" spans="4:4" ht="14.25" customHeight="1">
      <c r="D115" s="355"/>
    </row>
    <row r="116" spans="4:4" ht="14.25" customHeight="1">
      <c r="D116" s="355"/>
    </row>
    <row r="117" spans="4:4" ht="14.25" customHeight="1">
      <c r="D117" s="355"/>
    </row>
    <row r="118" spans="4:4" ht="14.25" customHeight="1">
      <c r="D118" s="355"/>
    </row>
    <row r="119" spans="4:4" ht="14.25" customHeight="1">
      <c r="D119" s="355"/>
    </row>
    <row r="120" spans="4:4" ht="14.25" customHeight="1">
      <c r="D120" s="355"/>
    </row>
    <row r="121" spans="4:4" ht="14.25" customHeight="1">
      <c r="D121" s="355"/>
    </row>
    <row r="122" spans="4:4" ht="14.25" customHeight="1">
      <c r="D122" s="355"/>
    </row>
    <row r="123" spans="4:4" ht="14.25" customHeight="1">
      <c r="D123" s="355"/>
    </row>
    <row r="124" spans="4:4" ht="14.25" customHeight="1">
      <c r="D124" s="355"/>
    </row>
    <row r="125" spans="4:4" ht="14.25" customHeight="1">
      <c r="D125" s="355"/>
    </row>
    <row r="126" spans="4:4" ht="14.25" customHeight="1">
      <c r="D126" s="355"/>
    </row>
    <row r="127" spans="4:4" ht="14.25" customHeight="1">
      <c r="D127" s="355"/>
    </row>
    <row r="128" spans="4:4" ht="14.25" customHeight="1">
      <c r="D128" s="355"/>
    </row>
    <row r="129" spans="4:4" ht="14.25" customHeight="1">
      <c r="D129" s="355"/>
    </row>
    <row r="130" spans="4:4" ht="14.25" customHeight="1">
      <c r="D130" s="355"/>
    </row>
    <row r="131" spans="4:4" ht="14.25" customHeight="1">
      <c r="D131" s="355"/>
    </row>
    <row r="132" spans="4:4" ht="14.25" customHeight="1">
      <c r="D132" s="355"/>
    </row>
    <row r="133" spans="4:4" ht="14.25" customHeight="1">
      <c r="D133" s="355"/>
    </row>
    <row r="134" spans="4:4" ht="14.25" customHeight="1">
      <c r="D134" s="355"/>
    </row>
    <row r="135" spans="4:4" ht="14.25" customHeight="1">
      <c r="D135" s="355"/>
    </row>
    <row r="136" spans="4:4" ht="14.25" customHeight="1">
      <c r="D136" s="355"/>
    </row>
    <row r="137" spans="4:4" ht="14.25" customHeight="1">
      <c r="D137" s="355"/>
    </row>
    <row r="138" spans="4:4" ht="14.25" customHeight="1">
      <c r="D138" s="355"/>
    </row>
    <row r="139" spans="4:4" ht="14.25" customHeight="1">
      <c r="D139" s="355"/>
    </row>
    <row r="140" spans="4:4" ht="14.25" customHeight="1">
      <c r="D140" s="355"/>
    </row>
  </sheetData>
  <mergeCells count="11">
    <mergeCell ref="A91:E91"/>
    <mergeCell ref="A93:E93"/>
    <mergeCell ref="A97:E97"/>
    <mergeCell ref="A102:E102"/>
    <mergeCell ref="A1:E1"/>
    <mergeCell ref="A3:E3"/>
    <mergeCell ref="A29:E29"/>
    <mergeCell ref="A55:E55"/>
    <mergeCell ref="A69:E69"/>
    <mergeCell ref="A79:E79"/>
    <mergeCell ref="A86:E86"/>
  </mergeCells>
  <pageMargins left="0.70866141732283472" right="0.70866141732283472" top="0.74803149606299213" bottom="0.74803149606299213" header="0" footer="0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Z50"/>
  <sheetViews>
    <sheetView workbookViewId="0"/>
  </sheetViews>
  <sheetFormatPr defaultColWidth="14.3984375" defaultRowHeight="15" customHeight="1"/>
  <cols>
    <col min="1" max="1" width="9.265625" customWidth="1"/>
    <col min="2" max="2" width="16.265625" customWidth="1"/>
    <col min="3" max="3" width="39.86328125" customWidth="1"/>
    <col min="4" max="4" width="8.86328125" hidden="1" customWidth="1"/>
    <col min="5" max="5" width="8.86328125" customWidth="1"/>
    <col min="6" max="6" width="5.265625" hidden="1" customWidth="1"/>
    <col min="7" max="26" width="8.86328125" customWidth="1"/>
  </cols>
  <sheetData>
    <row r="1" spans="1:26" ht="36" customHeight="1">
      <c r="A1" s="432"/>
      <c r="B1" s="408"/>
      <c r="C1" s="408"/>
      <c r="D1" s="408"/>
      <c r="E1" s="407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59"/>
      <c r="B2" s="59"/>
      <c r="C2" s="52" t="s">
        <v>2852</v>
      </c>
      <c r="D2" s="59"/>
      <c r="E2" s="54" t="s">
        <v>3712</v>
      </c>
      <c r="F2" s="3" t="s">
        <v>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59" t="s">
        <v>3713</v>
      </c>
      <c r="B3" s="59" t="s">
        <v>3714</v>
      </c>
      <c r="C3" s="59" t="s">
        <v>3715</v>
      </c>
      <c r="D3" s="59"/>
      <c r="E3" s="5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59" t="s">
        <v>3713</v>
      </c>
      <c r="B4" s="59" t="s">
        <v>3714</v>
      </c>
      <c r="C4" s="59" t="s">
        <v>3716</v>
      </c>
      <c r="D4" s="59"/>
      <c r="E4" s="53"/>
      <c r="F4" s="3">
        <v>10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59" t="s">
        <v>3713</v>
      </c>
      <c r="B5" s="59" t="s">
        <v>3714</v>
      </c>
      <c r="C5" s="59" t="s">
        <v>3717</v>
      </c>
      <c r="D5" s="59"/>
      <c r="E5" s="53">
        <v>46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59" t="s">
        <v>3713</v>
      </c>
      <c r="B6" s="59" t="s">
        <v>3718</v>
      </c>
      <c r="C6" s="59" t="s">
        <v>3719</v>
      </c>
      <c r="D6" s="59"/>
      <c r="E6" s="53">
        <v>25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59"/>
      <c r="B7" s="59"/>
      <c r="C7" s="59"/>
      <c r="D7" s="59"/>
      <c r="E7" s="53"/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59" t="s">
        <v>3713</v>
      </c>
      <c r="B8" s="59" t="s">
        <v>2522</v>
      </c>
      <c r="C8" s="59" t="s">
        <v>3720</v>
      </c>
      <c r="D8" s="59"/>
      <c r="E8" s="53"/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59" t="s">
        <v>3713</v>
      </c>
      <c r="B9" s="59" t="s">
        <v>2522</v>
      </c>
      <c r="C9" s="59" t="s">
        <v>3721</v>
      </c>
      <c r="D9" s="59"/>
      <c r="E9" s="53">
        <v>15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59" t="s">
        <v>3713</v>
      </c>
      <c r="B10" s="59" t="s">
        <v>2522</v>
      </c>
      <c r="C10" s="59" t="s">
        <v>3722</v>
      </c>
      <c r="D10" s="59"/>
      <c r="E10" s="53"/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59"/>
      <c r="B11" s="59"/>
      <c r="C11" s="59"/>
      <c r="D11" s="59"/>
      <c r="E11" s="53"/>
      <c r="F11" s="3">
        <v>55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59" t="s">
        <v>3713</v>
      </c>
      <c r="B12" s="59" t="s">
        <v>3187</v>
      </c>
      <c r="C12" s="59" t="s">
        <v>3723</v>
      </c>
      <c r="D12" s="59"/>
      <c r="E12" s="53"/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59" t="s">
        <v>3713</v>
      </c>
      <c r="B13" s="59" t="s">
        <v>3187</v>
      </c>
      <c r="C13" s="59" t="s">
        <v>3724</v>
      </c>
      <c r="D13" s="59"/>
      <c r="E13" s="53"/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259" t="s">
        <v>3713</v>
      </c>
      <c r="B14" s="259" t="s">
        <v>3187</v>
      </c>
      <c r="C14" s="259" t="s">
        <v>3725</v>
      </c>
      <c r="D14" s="259"/>
      <c r="E14" s="58">
        <v>70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59" t="s">
        <v>3713</v>
      </c>
      <c r="B15" s="59" t="s">
        <v>3187</v>
      </c>
      <c r="C15" s="59" t="s">
        <v>3726</v>
      </c>
      <c r="D15" s="259"/>
      <c r="E15" s="58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59" t="s">
        <v>3713</v>
      </c>
      <c r="B16" s="59" t="s">
        <v>3187</v>
      </c>
      <c r="C16" s="59" t="s">
        <v>3727</v>
      </c>
      <c r="D16" s="59"/>
      <c r="E16" s="5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59" t="s">
        <v>3713</v>
      </c>
      <c r="B17" s="59" t="s">
        <v>3187</v>
      </c>
      <c r="C17" s="59" t="s">
        <v>3728</v>
      </c>
      <c r="D17" s="59"/>
      <c r="E17" s="53">
        <v>99</v>
      </c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59" t="s">
        <v>3713</v>
      </c>
      <c r="B18" s="59" t="s">
        <v>3187</v>
      </c>
      <c r="C18" s="59" t="s">
        <v>3729</v>
      </c>
      <c r="D18" s="59"/>
      <c r="E18" s="53">
        <v>99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59" t="s">
        <v>3713</v>
      </c>
      <c r="B19" s="59" t="s">
        <v>3187</v>
      </c>
      <c r="C19" s="59" t="s">
        <v>3730</v>
      </c>
      <c r="D19" s="59"/>
      <c r="E19" s="5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59"/>
      <c r="B20" s="59"/>
      <c r="C20" s="59"/>
      <c r="D20" s="59"/>
      <c r="E20" s="5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59" t="s">
        <v>3713</v>
      </c>
      <c r="B21" s="59" t="s">
        <v>3731</v>
      </c>
      <c r="C21" s="203" t="s">
        <v>3732</v>
      </c>
      <c r="D21" s="59"/>
      <c r="E21" s="53">
        <v>220</v>
      </c>
      <c r="F21" s="3">
        <v>50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59" t="s">
        <v>3713</v>
      </c>
      <c r="B22" s="59" t="s">
        <v>3731</v>
      </c>
      <c r="C22" s="203" t="s">
        <v>3733</v>
      </c>
      <c r="D22" s="59"/>
      <c r="E22" s="53">
        <v>220</v>
      </c>
      <c r="F22" s="3">
        <v>33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59" t="s">
        <v>3713</v>
      </c>
      <c r="B23" s="59" t="s">
        <v>3731</v>
      </c>
      <c r="C23" s="203" t="s">
        <v>3734</v>
      </c>
      <c r="D23" s="59"/>
      <c r="E23" s="53">
        <v>220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59" t="s">
        <v>3713</v>
      </c>
      <c r="B24" s="59" t="s">
        <v>3731</v>
      </c>
      <c r="C24" s="203" t="s">
        <v>3735</v>
      </c>
      <c r="D24" s="203"/>
      <c r="E24" s="204">
        <v>180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59" t="s">
        <v>3713</v>
      </c>
      <c r="B25" s="59" t="s">
        <v>3731</v>
      </c>
      <c r="C25" s="203" t="s">
        <v>3736</v>
      </c>
      <c r="D25" s="203"/>
      <c r="E25" s="204">
        <v>240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1"/>
      <c r="B26" s="1"/>
      <c r="C26" s="1"/>
      <c r="D26" s="1"/>
      <c r="E26" s="7"/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1"/>
      <c r="B27" s="1"/>
      <c r="C27" s="1"/>
      <c r="D27" s="1"/>
      <c r="E27" s="7"/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1"/>
      <c r="B28" s="1"/>
      <c r="C28" s="1"/>
      <c r="D28" s="1"/>
      <c r="E28" s="7"/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"/>
      <c r="B29" s="1"/>
      <c r="C29" s="1"/>
      <c r="D29" s="1"/>
      <c r="E29" s="7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"/>
      <c r="B30" s="1"/>
      <c r="C30" s="1"/>
      <c r="D30" s="1"/>
      <c r="E30" s="7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1"/>
      <c r="B31" s="1"/>
      <c r="C31" s="1"/>
      <c r="D31" s="1"/>
      <c r="E31" s="7"/>
      <c r="F31" s="3">
        <v>170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1"/>
      <c r="B32" s="1"/>
      <c r="C32" s="1"/>
      <c r="D32" s="1"/>
      <c r="E32" s="7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1"/>
      <c r="B33" s="1"/>
      <c r="C33" s="1"/>
      <c r="D33" s="1"/>
      <c r="E33" s="7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1"/>
      <c r="B34" s="1"/>
      <c r="C34" s="1"/>
      <c r="D34" s="1"/>
      <c r="E34" s="7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1"/>
      <c r="B35" s="1"/>
      <c r="C35" s="1"/>
      <c r="D35" s="1"/>
      <c r="E35" s="7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1"/>
      <c r="B36" s="1"/>
      <c r="C36" s="1"/>
      <c r="D36" s="1"/>
      <c r="E36" s="7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1"/>
      <c r="B37" s="1"/>
      <c r="C37" s="1"/>
      <c r="D37" s="1"/>
      <c r="E37" s="7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1"/>
      <c r="B38" s="1"/>
      <c r="C38" s="1"/>
      <c r="D38" s="1"/>
      <c r="E38" s="7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1"/>
      <c r="B39" s="1"/>
      <c r="C39" s="1"/>
      <c r="D39" s="1"/>
      <c r="E39" s="7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1"/>
      <c r="B40" s="1"/>
      <c r="C40" s="1"/>
      <c r="D40" s="1"/>
      <c r="E40" s="7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1"/>
      <c r="B41" s="1"/>
      <c r="C41" s="1"/>
      <c r="D41" s="1"/>
      <c r="E41" s="7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1"/>
      <c r="B42" s="1"/>
      <c r="C42" s="1"/>
      <c r="D42" s="1"/>
      <c r="E42" s="7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1"/>
      <c r="B43" s="1"/>
      <c r="C43" s="1"/>
      <c r="D43" s="1"/>
      <c r="E43" s="7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1"/>
      <c r="B44" s="1"/>
      <c r="C44" s="1"/>
      <c r="D44" s="1"/>
      <c r="E44" s="7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1"/>
      <c r="B45" s="1"/>
      <c r="C45" s="1"/>
      <c r="D45" s="1"/>
      <c r="E45" s="7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1"/>
      <c r="B46" s="1"/>
      <c r="C46" s="1"/>
      <c r="D46" s="1"/>
      <c r="E46" s="7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>
      <c r="A47" s="1"/>
      <c r="B47" s="1"/>
      <c r="C47" s="1"/>
      <c r="D47" s="1"/>
      <c r="E47" s="7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>
      <c r="A48" s="1"/>
      <c r="B48" s="1"/>
      <c r="C48" s="1"/>
      <c r="D48" s="1"/>
      <c r="E48" s="7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>
      <c r="A49" s="1"/>
      <c r="B49" s="1"/>
      <c r="C49" s="1"/>
      <c r="D49" s="1"/>
      <c r="E49" s="7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>
      <c r="A50" s="1"/>
      <c r="B50" s="1"/>
      <c r="C50" s="1"/>
      <c r="D50" s="1"/>
      <c r="E50" s="7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mergeCells count="1">
    <mergeCell ref="A1:E1"/>
  </mergeCells>
  <pageMargins left="0.7" right="0.7" top="0.75" bottom="0.75" header="0" footer="0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Z50"/>
  <sheetViews>
    <sheetView workbookViewId="0"/>
  </sheetViews>
  <sheetFormatPr defaultColWidth="14.3984375" defaultRowHeight="15" customHeight="1"/>
  <cols>
    <col min="1" max="1" width="27.86328125" customWidth="1"/>
    <col min="2" max="2" width="15.265625" customWidth="1"/>
    <col min="3" max="3" width="7.265625" hidden="1" customWidth="1"/>
    <col min="4" max="4" width="98.73046875" customWidth="1"/>
    <col min="5" max="5" width="7.265625" customWidth="1"/>
    <col min="6" max="25" width="9" customWidth="1"/>
  </cols>
  <sheetData>
    <row r="1" spans="1:26" ht="36" customHeight="1">
      <c r="A1" s="432"/>
      <c r="B1" s="408"/>
      <c r="C1" s="408"/>
      <c r="D1" s="408"/>
      <c r="E1" s="407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</row>
    <row r="2" spans="1:26" ht="18" customHeight="1">
      <c r="A2" s="294"/>
      <c r="B2" s="254" t="s">
        <v>2852</v>
      </c>
      <c r="C2" s="295"/>
      <c r="D2" s="254" t="s">
        <v>3357</v>
      </c>
      <c r="E2" s="295" t="s">
        <v>2854</v>
      </c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</row>
    <row r="3" spans="1:26" ht="18" customHeight="1">
      <c r="A3" s="294" t="s">
        <v>3737</v>
      </c>
      <c r="B3" s="283" t="s">
        <v>3738</v>
      </c>
      <c r="C3" s="297"/>
      <c r="D3" s="357" t="s">
        <v>3739</v>
      </c>
      <c r="E3" s="295">
        <v>87</v>
      </c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</row>
    <row r="4" spans="1:26" ht="18" customHeight="1">
      <c r="A4" s="294" t="s">
        <v>3737</v>
      </c>
      <c r="B4" s="283" t="s">
        <v>3738</v>
      </c>
      <c r="C4" s="297"/>
      <c r="D4" s="357" t="s">
        <v>3739</v>
      </c>
      <c r="E4" s="295">
        <v>87</v>
      </c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</row>
    <row r="5" spans="1:26" ht="18" customHeight="1">
      <c r="A5" s="294" t="s">
        <v>3737</v>
      </c>
      <c r="B5" s="283" t="s">
        <v>3740</v>
      </c>
      <c r="C5" s="358"/>
      <c r="D5" s="359" t="s">
        <v>3741</v>
      </c>
      <c r="E5" s="295">
        <v>64</v>
      </c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</row>
    <row r="6" spans="1:26" ht="18" customHeight="1">
      <c r="A6" s="294" t="s">
        <v>3737</v>
      </c>
      <c r="B6" s="283" t="s">
        <v>3742</v>
      </c>
      <c r="C6" s="295"/>
      <c r="D6" s="296" t="s">
        <v>3743</v>
      </c>
      <c r="E6" s="295">
        <v>134</v>
      </c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</row>
    <row r="7" spans="1:26" ht="18" customHeight="1">
      <c r="A7" s="294" t="s">
        <v>3737</v>
      </c>
      <c r="B7" s="283" t="s">
        <v>3744</v>
      </c>
      <c r="C7" s="295"/>
      <c r="D7" s="296" t="s">
        <v>3745</v>
      </c>
      <c r="E7" s="295">
        <v>196</v>
      </c>
      <c r="F7" s="219"/>
      <c r="G7" s="219"/>
      <c r="H7" s="219"/>
      <c r="I7" s="1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6" ht="18" customHeight="1">
      <c r="A8" s="294" t="s">
        <v>3737</v>
      </c>
      <c r="B8" s="283" t="s">
        <v>3746</v>
      </c>
      <c r="C8" s="295"/>
      <c r="D8" s="334" t="s">
        <v>3747</v>
      </c>
      <c r="E8" s="295">
        <v>215</v>
      </c>
      <c r="F8" s="219"/>
      <c r="G8" s="219"/>
      <c r="H8" s="219"/>
      <c r="I8" s="1"/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</row>
    <row r="9" spans="1:26" ht="18" customHeight="1">
      <c r="A9" s="294"/>
      <c r="B9" s="283"/>
      <c r="C9" s="295"/>
      <c r="D9" s="360"/>
      <c r="E9" s="295"/>
      <c r="F9" s="219"/>
      <c r="G9" s="1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</row>
    <row r="10" spans="1:26" ht="18" customHeight="1">
      <c r="A10" s="294" t="s">
        <v>3748</v>
      </c>
      <c r="B10" s="283" t="s">
        <v>3749</v>
      </c>
      <c r="C10" s="295"/>
      <c r="D10" s="334" t="s">
        <v>3750</v>
      </c>
      <c r="E10" s="295">
        <v>49</v>
      </c>
      <c r="F10" s="219"/>
      <c r="G10" s="1"/>
      <c r="H10" s="219"/>
      <c r="I10" s="219"/>
      <c r="J10" s="219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</row>
    <row r="11" spans="1:26" ht="18" customHeight="1">
      <c r="A11" s="294" t="s">
        <v>3748</v>
      </c>
      <c r="B11" s="283" t="s">
        <v>3751</v>
      </c>
      <c r="C11" s="295"/>
      <c r="D11" s="296" t="s">
        <v>3752</v>
      </c>
      <c r="E11" s="295">
        <v>56</v>
      </c>
      <c r="F11" s="219"/>
      <c r="G11" s="219"/>
      <c r="H11" s="219"/>
      <c r="I11" s="219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</row>
    <row r="12" spans="1:26" ht="18" customHeight="1">
      <c r="A12" s="294" t="s">
        <v>3748</v>
      </c>
      <c r="B12" s="283" t="s">
        <v>3753</v>
      </c>
      <c r="C12" s="295"/>
      <c r="D12" s="296" t="s">
        <v>3754</v>
      </c>
      <c r="E12" s="295">
        <v>54</v>
      </c>
      <c r="F12" s="219"/>
      <c r="G12" s="219"/>
      <c r="H12" s="219"/>
      <c r="I12" s="219"/>
      <c r="J12" s="219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</row>
    <row r="13" spans="1:26" ht="18" customHeight="1">
      <c r="A13" s="294" t="s">
        <v>3748</v>
      </c>
      <c r="B13" s="283" t="s">
        <v>3755</v>
      </c>
      <c r="C13" s="295"/>
      <c r="D13" s="296" t="s">
        <v>3756</v>
      </c>
      <c r="E13" s="295">
        <v>63</v>
      </c>
      <c r="F13" s="219"/>
      <c r="G13" s="219"/>
      <c r="H13" s="219"/>
      <c r="I13" s="219"/>
      <c r="J13" s="219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</row>
    <row r="14" spans="1:26" ht="18" customHeight="1">
      <c r="A14" s="294" t="s">
        <v>3748</v>
      </c>
      <c r="B14" s="283" t="s">
        <v>3757</v>
      </c>
      <c r="C14" s="295"/>
      <c r="D14" s="296" t="s">
        <v>3758</v>
      </c>
      <c r="E14" s="295">
        <v>67</v>
      </c>
      <c r="F14" s="219"/>
      <c r="G14" s="219"/>
      <c r="H14" s="219"/>
      <c r="I14" s="219"/>
      <c r="J14" s="219"/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19"/>
    </row>
    <row r="15" spans="1:26" ht="18" customHeight="1">
      <c r="A15" s="294" t="s">
        <v>3748</v>
      </c>
      <c r="B15" s="283" t="s">
        <v>3759</v>
      </c>
      <c r="C15" s="295"/>
      <c r="D15" s="296" t="s">
        <v>3760</v>
      </c>
      <c r="E15" s="295">
        <v>75</v>
      </c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</row>
    <row r="16" spans="1:26" ht="18" customHeight="1">
      <c r="A16" s="294"/>
      <c r="B16" s="335"/>
      <c r="C16" s="295"/>
      <c r="D16" s="298"/>
      <c r="E16" s="295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</row>
    <row r="17" spans="1:26" ht="18" customHeight="1">
      <c r="A17" s="294" t="s">
        <v>3761</v>
      </c>
      <c r="B17" s="283" t="s">
        <v>3762</v>
      </c>
      <c r="C17" s="295"/>
      <c r="D17" s="296" t="s">
        <v>3763</v>
      </c>
      <c r="E17" s="295">
        <v>98</v>
      </c>
      <c r="F17" s="219"/>
      <c r="G17" s="219"/>
      <c r="H17" s="219"/>
      <c r="I17" s="219"/>
      <c r="J17" s="219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</row>
    <row r="18" spans="1:26" ht="18" customHeight="1">
      <c r="A18" s="294"/>
      <c r="B18" s="283"/>
      <c r="C18" s="295"/>
      <c r="D18" s="298"/>
      <c r="E18" s="295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</row>
    <row r="19" spans="1:26" ht="18" customHeight="1">
      <c r="A19" s="294" t="s">
        <v>3764</v>
      </c>
      <c r="B19" s="283" t="s">
        <v>3765</v>
      </c>
      <c r="C19" s="295"/>
      <c r="D19" s="298" t="s">
        <v>3766</v>
      </c>
      <c r="E19" s="295">
        <v>52</v>
      </c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</row>
    <row r="20" spans="1:26" ht="18" customHeight="1">
      <c r="A20" s="294" t="s">
        <v>3764</v>
      </c>
      <c r="B20" s="283" t="s">
        <v>3767</v>
      </c>
      <c r="C20" s="295"/>
      <c r="D20" s="296" t="s">
        <v>3768</v>
      </c>
      <c r="E20" s="295">
        <v>149</v>
      </c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</row>
    <row r="21" spans="1:26" ht="18" customHeight="1">
      <c r="A21" s="294" t="s">
        <v>3764</v>
      </c>
      <c r="B21" s="283" t="s">
        <v>3769</v>
      </c>
      <c r="C21" s="295"/>
      <c r="D21" s="296" t="s">
        <v>3770</v>
      </c>
      <c r="E21" s="295">
        <v>323</v>
      </c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</row>
    <row r="22" spans="1:26" ht="18" customHeight="1">
      <c r="A22" s="294"/>
      <c r="B22" s="283"/>
      <c r="C22" s="295"/>
      <c r="D22" s="298"/>
      <c r="E22" s="295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</row>
    <row r="23" spans="1:26" ht="18" customHeight="1">
      <c r="A23" s="294" t="s">
        <v>3771</v>
      </c>
      <c r="B23" s="283" t="s">
        <v>3772</v>
      </c>
      <c r="C23" s="295"/>
      <c r="D23" s="296" t="s">
        <v>3739</v>
      </c>
      <c r="E23" s="295">
        <v>201</v>
      </c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</row>
    <row r="24" spans="1:26" ht="18" customHeight="1">
      <c r="A24" s="294" t="s">
        <v>3771</v>
      </c>
      <c r="B24" s="335" t="s">
        <v>3773</v>
      </c>
      <c r="C24" s="295"/>
      <c r="D24" s="296" t="s">
        <v>3774</v>
      </c>
      <c r="E24" s="295">
        <v>223</v>
      </c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</row>
    <row r="25" spans="1:26" ht="18" customHeight="1">
      <c r="A25" s="269"/>
      <c r="B25" s="270"/>
      <c r="C25" s="361"/>
      <c r="D25" s="270"/>
      <c r="E25" s="361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</row>
    <row r="26" spans="1:26" ht="18" customHeight="1">
      <c r="A26" s="219"/>
      <c r="B26" s="270"/>
      <c r="C26" s="362"/>
      <c r="D26" s="270"/>
      <c r="E26" s="362"/>
      <c r="F26" s="362"/>
      <c r="G26" s="362"/>
      <c r="H26" s="362"/>
      <c r="I26" s="362"/>
      <c r="J26" s="362"/>
      <c r="K26" s="362"/>
      <c r="L26" s="362"/>
      <c r="M26" s="362"/>
      <c r="N26" s="362"/>
      <c r="O26" s="362"/>
      <c r="P26" s="362"/>
      <c r="Q26" s="362"/>
      <c r="R26" s="362"/>
      <c r="S26" s="362"/>
      <c r="T26" s="362"/>
      <c r="U26" s="362"/>
      <c r="V26" s="362"/>
      <c r="W26" s="362"/>
      <c r="X26" s="362"/>
      <c r="Y26" s="362"/>
      <c r="Z26" s="362"/>
    </row>
    <row r="27" spans="1:26" ht="18" customHeight="1">
      <c r="A27" s="219"/>
      <c r="B27" s="1"/>
      <c r="C27" s="362"/>
      <c r="D27" s="363"/>
      <c r="E27" s="362"/>
      <c r="F27" s="362"/>
      <c r="G27" s="362"/>
      <c r="H27" s="362"/>
      <c r="I27" s="362"/>
      <c r="J27" s="362"/>
      <c r="K27" s="362"/>
      <c r="L27" s="362"/>
      <c r="M27" s="362"/>
      <c r="N27" s="362"/>
      <c r="O27" s="362"/>
      <c r="P27" s="362"/>
      <c r="Q27" s="362"/>
      <c r="R27" s="362"/>
      <c r="S27" s="362"/>
      <c r="T27" s="362"/>
      <c r="U27" s="362"/>
      <c r="V27" s="362"/>
      <c r="W27" s="362"/>
      <c r="X27" s="362"/>
      <c r="Y27" s="362"/>
      <c r="Z27" s="362"/>
    </row>
    <row r="28" spans="1:26" ht="18" customHeight="1">
      <c r="A28" s="219"/>
      <c r="B28" s="364"/>
      <c r="C28" s="362"/>
      <c r="D28" s="364"/>
      <c r="E28" s="362"/>
      <c r="F28" s="362"/>
      <c r="G28" s="362"/>
      <c r="H28" s="362"/>
      <c r="I28" s="362"/>
      <c r="J28" s="362"/>
      <c r="K28" s="362"/>
      <c r="L28" s="362"/>
      <c r="M28" s="362"/>
      <c r="N28" s="362"/>
      <c r="O28" s="362"/>
      <c r="P28" s="362"/>
      <c r="Q28" s="362"/>
      <c r="R28" s="362"/>
      <c r="S28" s="362"/>
      <c r="T28" s="362"/>
      <c r="U28" s="362"/>
      <c r="V28" s="362"/>
      <c r="W28" s="362"/>
      <c r="X28" s="362"/>
      <c r="Y28" s="362"/>
      <c r="Z28" s="362"/>
    </row>
    <row r="29" spans="1:26" ht="18" customHeight="1">
      <c r="A29" s="219"/>
      <c r="B29" s="364"/>
      <c r="C29" s="362"/>
      <c r="D29" s="364"/>
      <c r="E29" s="362"/>
      <c r="F29" s="362"/>
      <c r="G29" s="362"/>
      <c r="H29" s="362"/>
      <c r="I29" s="362"/>
      <c r="J29" s="362"/>
      <c r="K29" s="362"/>
      <c r="L29" s="362"/>
      <c r="M29" s="362"/>
      <c r="N29" s="362"/>
      <c r="O29" s="362"/>
      <c r="P29" s="362"/>
      <c r="Q29" s="362"/>
      <c r="R29" s="362"/>
      <c r="S29" s="362"/>
      <c r="T29" s="362"/>
      <c r="U29" s="362"/>
      <c r="V29" s="362"/>
      <c r="W29" s="362"/>
      <c r="X29" s="362"/>
      <c r="Y29" s="362"/>
      <c r="Z29" s="362"/>
    </row>
    <row r="30" spans="1:26" ht="18" customHeight="1">
      <c r="A30" s="219"/>
      <c r="B30" s="270"/>
      <c r="C30" s="326"/>
      <c r="D30" s="270"/>
      <c r="E30" s="326"/>
      <c r="F30" s="219"/>
      <c r="G30" s="219"/>
      <c r="H30" s="219"/>
      <c r="I30" s="219"/>
      <c r="J30" s="219"/>
      <c r="K30" s="219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</row>
    <row r="31" spans="1:26" ht="18" customHeight="1">
      <c r="A31" s="219"/>
      <c r="B31" s="270"/>
      <c r="C31" s="326"/>
      <c r="D31" s="270"/>
      <c r="E31" s="326"/>
      <c r="F31" s="219"/>
      <c r="G31" s="219"/>
      <c r="H31" s="219"/>
      <c r="I31" s="219"/>
      <c r="J31" s="219"/>
      <c r="K31" s="219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</row>
    <row r="32" spans="1:26" ht="18" customHeight="1">
      <c r="A32" s="219"/>
      <c r="B32" s="270"/>
      <c r="C32" s="326"/>
      <c r="D32" s="270"/>
      <c r="E32" s="326"/>
      <c r="F32" s="219"/>
      <c r="G32" s="219"/>
      <c r="H32" s="219"/>
      <c r="I32" s="219"/>
      <c r="J32" s="219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</row>
    <row r="33" spans="1:26" ht="18" customHeight="1">
      <c r="A33" s="219"/>
      <c r="B33" s="270"/>
      <c r="C33" s="326"/>
      <c r="D33" s="270"/>
      <c r="E33" s="326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</row>
    <row r="34" spans="1:26" ht="18" customHeight="1">
      <c r="A34" s="219"/>
      <c r="B34" s="270"/>
      <c r="C34" s="326"/>
      <c r="D34" s="270"/>
      <c r="E34" s="326"/>
      <c r="F34" s="219"/>
      <c r="G34" s="219"/>
      <c r="H34" s="219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</row>
    <row r="35" spans="1:26" ht="18" customHeight="1">
      <c r="A35" s="219"/>
      <c r="B35" s="270"/>
      <c r="C35" s="326"/>
      <c r="D35" s="270"/>
      <c r="E35" s="326"/>
      <c r="F35" s="219"/>
      <c r="G35" s="219"/>
      <c r="H35" s="2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</row>
    <row r="36" spans="1:26" ht="18" customHeight="1">
      <c r="A36" s="219"/>
      <c r="B36" s="270"/>
      <c r="C36" s="326"/>
      <c r="D36" s="270"/>
      <c r="E36" s="326"/>
      <c r="F36" s="219"/>
      <c r="G36" s="219"/>
      <c r="H36" s="21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</row>
    <row r="37" spans="1:26" ht="18" customHeight="1">
      <c r="A37" s="219"/>
      <c r="B37" s="270"/>
      <c r="C37" s="326"/>
      <c r="D37" s="270"/>
      <c r="E37" s="326"/>
      <c r="F37" s="219"/>
      <c r="G37" s="219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</row>
    <row r="38" spans="1:26" ht="18" customHeight="1">
      <c r="A38" s="219"/>
      <c r="B38" s="270"/>
      <c r="C38" s="326"/>
      <c r="D38" s="270"/>
      <c r="E38" s="326"/>
      <c r="F38" s="219"/>
      <c r="G38" s="219"/>
      <c r="H38" s="219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</row>
    <row r="39" spans="1:26" ht="18" customHeight="1">
      <c r="A39" s="219"/>
      <c r="B39" s="270"/>
      <c r="C39" s="326"/>
      <c r="D39" s="270"/>
      <c r="E39" s="326"/>
      <c r="F39" s="219"/>
      <c r="G39" s="219"/>
      <c r="H39" s="21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</row>
    <row r="40" spans="1:26" ht="18" customHeight="1">
      <c r="A40" s="219"/>
      <c r="B40" s="270"/>
      <c r="C40" s="326"/>
      <c r="D40" s="270"/>
      <c r="E40" s="326"/>
      <c r="F40" s="219"/>
      <c r="G40" s="219"/>
      <c r="H40" s="219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</row>
    <row r="41" spans="1:26" ht="18" customHeight="1">
      <c r="A41" s="219"/>
      <c r="B41" s="270"/>
      <c r="C41" s="326"/>
      <c r="D41" s="270"/>
      <c r="E41" s="326"/>
      <c r="F41" s="219"/>
      <c r="G41" s="219"/>
      <c r="H41" s="21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</row>
    <row r="42" spans="1:26" ht="18" customHeight="1">
      <c r="A42" s="219"/>
      <c r="B42" s="270"/>
      <c r="C42" s="326"/>
      <c r="D42" s="270"/>
      <c r="E42" s="326"/>
      <c r="F42" s="219"/>
      <c r="G42" s="219"/>
      <c r="H42" s="219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</row>
    <row r="43" spans="1:26" ht="18" customHeight="1">
      <c r="A43" s="219"/>
      <c r="B43" s="270"/>
      <c r="C43" s="326"/>
      <c r="D43" s="270"/>
      <c r="E43" s="326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</row>
    <row r="44" spans="1:26" ht="18" customHeight="1">
      <c r="A44" s="219"/>
      <c r="B44" s="270"/>
      <c r="C44" s="326"/>
      <c r="D44" s="270"/>
      <c r="E44" s="326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</row>
    <row r="45" spans="1:26" ht="18" customHeight="1">
      <c r="A45" s="219"/>
      <c r="B45" s="270"/>
      <c r="C45" s="326"/>
      <c r="D45" s="270"/>
      <c r="E45" s="326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</row>
    <row r="46" spans="1:26" ht="18" customHeight="1">
      <c r="A46" s="219"/>
      <c r="B46" s="270"/>
      <c r="C46" s="326"/>
      <c r="D46" s="270"/>
      <c r="E46" s="326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</row>
    <row r="47" spans="1:26" ht="18" customHeight="1">
      <c r="A47" s="219"/>
      <c r="B47" s="270"/>
      <c r="C47" s="326"/>
      <c r="D47" s="270"/>
      <c r="E47" s="326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</row>
    <row r="48" spans="1:26" ht="18" customHeight="1">
      <c r="A48" s="219"/>
      <c r="B48" s="270"/>
      <c r="C48" s="326"/>
      <c r="D48" s="270"/>
      <c r="E48" s="326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</row>
    <row r="49" spans="1:26" ht="18" customHeight="1">
      <c r="A49" s="219"/>
      <c r="B49" s="270"/>
      <c r="C49" s="326"/>
      <c r="D49" s="270"/>
      <c r="E49" s="326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</row>
    <row r="50" spans="1:26" ht="18" customHeight="1">
      <c r="A50" s="219"/>
      <c r="B50" s="270"/>
      <c r="C50" s="326"/>
      <c r="D50" s="270"/>
      <c r="E50" s="326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</row>
  </sheetData>
  <mergeCells count="1">
    <mergeCell ref="A1:E1"/>
  </mergeCells>
  <hyperlinks>
    <hyperlink ref="D6" r:id="rId1" xr:uid="{00000000-0004-0000-2100-000000000000}"/>
    <hyperlink ref="D7" r:id="rId2" xr:uid="{00000000-0004-0000-2100-000001000000}"/>
    <hyperlink ref="D10" r:id="rId3" xr:uid="{00000000-0004-0000-2100-000002000000}"/>
    <hyperlink ref="D11" r:id="rId4" xr:uid="{00000000-0004-0000-2100-000003000000}"/>
    <hyperlink ref="D12" r:id="rId5" xr:uid="{00000000-0004-0000-2100-000004000000}"/>
    <hyperlink ref="D13" r:id="rId6" xr:uid="{00000000-0004-0000-2100-000005000000}"/>
    <hyperlink ref="D14" r:id="rId7" xr:uid="{00000000-0004-0000-2100-000006000000}"/>
    <hyperlink ref="D15" r:id="rId8" xr:uid="{00000000-0004-0000-2100-000007000000}"/>
    <hyperlink ref="D17" r:id="rId9" xr:uid="{00000000-0004-0000-2100-000008000000}"/>
    <hyperlink ref="D20" r:id="rId10" xr:uid="{00000000-0004-0000-2100-000009000000}"/>
    <hyperlink ref="D21" r:id="rId11" xr:uid="{00000000-0004-0000-2100-00000A000000}"/>
    <hyperlink ref="D23" r:id="rId12" xr:uid="{00000000-0004-0000-2100-00000B000000}"/>
    <hyperlink ref="D24" r:id="rId13" xr:uid="{00000000-0004-0000-2100-00000C000000}"/>
  </hyperlinks>
  <pageMargins left="0.70866141732283472" right="0.70866141732283472" top="0.74803149606299213" bottom="0.74803149606299213" header="0" footer="0"/>
  <pageSetup paperSize="9" orientation="portrait"/>
  <drawing r:id="rId14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Z100"/>
  <sheetViews>
    <sheetView workbookViewId="0"/>
  </sheetViews>
  <sheetFormatPr defaultColWidth="14.3984375" defaultRowHeight="15" customHeight="1"/>
  <cols>
    <col min="1" max="1" width="44" customWidth="1"/>
    <col min="2" max="2" width="21.265625" customWidth="1"/>
    <col min="3" max="3" width="16" hidden="1" customWidth="1"/>
    <col min="4" max="4" width="116.265625" customWidth="1"/>
    <col min="5" max="5" width="7.1328125" customWidth="1"/>
    <col min="6" max="6" width="4.73046875" customWidth="1"/>
    <col min="7" max="7" width="3.73046875" customWidth="1"/>
    <col min="8" max="25" width="9.1328125" customWidth="1"/>
  </cols>
  <sheetData>
    <row r="1" spans="1:26" ht="35.25" customHeight="1">
      <c r="A1" s="449"/>
      <c r="B1" s="408"/>
      <c r="C1" s="408"/>
      <c r="D1" s="408"/>
      <c r="E1" s="407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</row>
    <row r="2" spans="1:26" ht="18" customHeight="1">
      <c r="A2" s="283"/>
      <c r="B2" s="254" t="s">
        <v>2852</v>
      </c>
      <c r="C2" s="254"/>
      <c r="D2" s="254" t="s">
        <v>3357</v>
      </c>
      <c r="E2" s="295" t="s">
        <v>2854</v>
      </c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  <c r="X2" s="293"/>
      <c r="Y2" s="293"/>
      <c r="Z2" s="293"/>
    </row>
    <row r="3" spans="1:26" ht="18" customHeight="1">
      <c r="A3" s="283" t="s">
        <v>3775</v>
      </c>
      <c r="B3" s="283" t="s">
        <v>3776</v>
      </c>
      <c r="C3" s="283"/>
      <c r="D3" s="365" t="s">
        <v>3777</v>
      </c>
      <c r="E3" s="295">
        <v>99</v>
      </c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</row>
    <row r="4" spans="1:26" ht="18" customHeight="1">
      <c r="A4" s="283" t="s">
        <v>3775</v>
      </c>
      <c r="B4" s="283" t="s">
        <v>3778</v>
      </c>
      <c r="C4" s="283"/>
      <c r="D4" s="366" t="s">
        <v>3779</v>
      </c>
      <c r="E4" s="295">
        <v>148</v>
      </c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3"/>
      <c r="Z4" s="293"/>
    </row>
    <row r="5" spans="1:26" ht="18" customHeight="1">
      <c r="A5" s="283"/>
      <c r="B5" s="283"/>
      <c r="C5" s="283"/>
      <c r="D5" s="367"/>
      <c r="E5" s="295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  <c r="W5" s="293"/>
      <c r="X5" s="293"/>
      <c r="Y5" s="293"/>
      <c r="Z5" s="293"/>
    </row>
    <row r="6" spans="1:26" ht="18" customHeight="1">
      <c r="A6" s="283" t="s">
        <v>3780</v>
      </c>
      <c r="B6" s="283" t="s">
        <v>3781</v>
      </c>
      <c r="C6" s="283"/>
      <c r="D6" s="366" t="s">
        <v>3782</v>
      </c>
      <c r="E6" s="295">
        <v>134</v>
      </c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</row>
    <row r="7" spans="1:26" ht="18" customHeight="1">
      <c r="A7" s="283" t="s">
        <v>3780</v>
      </c>
      <c r="B7" s="283" t="s">
        <v>3783</v>
      </c>
      <c r="C7" s="283"/>
      <c r="D7" s="368" t="s">
        <v>3784</v>
      </c>
      <c r="E7" s="295">
        <v>269</v>
      </c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93"/>
      <c r="Q7" s="293"/>
      <c r="R7" s="293"/>
      <c r="S7" s="293"/>
      <c r="T7" s="293"/>
      <c r="U7" s="293"/>
      <c r="V7" s="293"/>
      <c r="W7" s="293"/>
      <c r="X7" s="293"/>
      <c r="Y7" s="293"/>
      <c r="Z7" s="293"/>
    </row>
    <row r="8" spans="1:26" ht="18" customHeight="1">
      <c r="A8" s="283"/>
      <c r="B8" s="283"/>
      <c r="C8" s="283"/>
      <c r="D8" s="367"/>
      <c r="E8" s="295"/>
      <c r="F8" s="293"/>
      <c r="G8" s="293"/>
      <c r="H8" s="293"/>
      <c r="I8" s="293"/>
      <c r="J8" s="293"/>
      <c r="K8" s="293"/>
      <c r="L8" s="293"/>
      <c r="M8" s="293"/>
      <c r="N8" s="293"/>
      <c r="O8" s="293"/>
      <c r="P8" s="293"/>
      <c r="Q8" s="293"/>
      <c r="R8" s="293"/>
      <c r="S8" s="293"/>
      <c r="T8" s="293"/>
      <c r="U8" s="293"/>
      <c r="V8" s="293"/>
      <c r="W8" s="293"/>
      <c r="X8" s="293"/>
      <c r="Y8" s="293"/>
      <c r="Z8" s="293"/>
    </row>
    <row r="9" spans="1:26" ht="18" customHeight="1">
      <c r="A9" s="283" t="s">
        <v>3737</v>
      </c>
      <c r="B9" s="283" t="s">
        <v>3785</v>
      </c>
      <c r="C9" s="283"/>
      <c r="D9" s="366" t="s">
        <v>3786</v>
      </c>
      <c r="E9" s="295">
        <v>14</v>
      </c>
      <c r="F9" s="293"/>
      <c r="G9" s="293"/>
      <c r="H9" s="293"/>
      <c r="I9" s="293"/>
      <c r="J9" s="293"/>
      <c r="K9" s="293"/>
      <c r="L9" s="293"/>
      <c r="M9" s="293"/>
      <c r="N9" s="293"/>
      <c r="O9" s="293"/>
      <c r="P9" s="293"/>
      <c r="Q9" s="293"/>
      <c r="R9" s="293"/>
      <c r="S9" s="293"/>
      <c r="T9" s="293"/>
      <c r="U9" s="293"/>
      <c r="V9" s="293"/>
      <c r="W9" s="293"/>
      <c r="X9" s="293"/>
      <c r="Y9" s="293"/>
      <c r="Z9" s="293"/>
    </row>
    <row r="10" spans="1:26" ht="18" customHeight="1">
      <c r="A10" s="283" t="s">
        <v>3737</v>
      </c>
      <c r="B10" s="283" t="s">
        <v>3787</v>
      </c>
      <c r="C10" s="283"/>
      <c r="D10" s="366" t="s">
        <v>3788</v>
      </c>
      <c r="E10" s="295">
        <v>17</v>
      </c>
      <c r="F10" s="293"/>
      <c r="G10" s="293"/>
      <c r="H10" s="293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  <c r="Z10" s="293"/>
    </row>
    <row r="11" spans="1:26" ht="18" customHeight="1">
      <c r="A11" s="283" t="s">
        <v>3737</v>
      </c>
      <c r="B11" s="283" t="s">
        <v>3789</v>
      </c>
      <c r="C11" s="283"/>
      <c r="D11" s="366" t="s">
        <v>3790</v>
      </c>
      <c r="E11" s="295">
        <v>33</v>
      </c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</row>
    <row r="12" spans="1:26" ht="18" customHeight="1">
      <c r="A12" s="283" t="s">
        <v>3737</v>
      </c>
      <c r="B12" s="283" t="s">
        <v>3791</v>
      </c>
      <c r="C12" s="283"/>
      <c r="D12" s="366" t="s">
        <v>3792</v>
      </c>
      <c r="E12" s="295">
        <v>100</v>
      </c>
      <c r="F12" s="293"/>
      <c r="G12" s="293"/>
      <c r="H12" s="293"/>
      <c r="I12" s="293"/>
      <c r="J12" s="293"/>
      <c r="K12" s="293"/>
      <c r="L12" s="293"/>
      <c r="M12" s="293"/>
      <c r="N12" s="293"/>
      <c r="O12" s="293"/>
      <c r="P12" s="293"/>
      <c r="Q12" s="293"/>
      <c r="R12" s="293"/>
      <c r="S12" s="293"/>
      <c r="T12" s="293"/>
      <c r="U12" s="293"/>
      <c r="V12" s="293"/>
      <c r="W12" s="293"/>
      <c r="X12" s="293"/>
      <c r="Y12" s="293"/>
      <c r="Z12" s="293"/>
    </row>
    <row r="13" spans="1:26" ht="18" customHeight="1">
      <c r="A13" s="283" t="s">
        <v>3737</v>
      </c>
      <c r="B13" s="283" t="s">
        <v>3793</v>
      </c>
      <c r="C13" s="283"/>
      <c r="D13" s="369" t="s">
        <v>3794</v>
      </c>
      <c r="E13" s="295">
        <v>123</v>
      </c>
      <c r="F13" s="293"/>
      <c r="G13" s="293"/>
      <c r="H13" s="293"/>
      <c r="I13" s="293"/>
      <c r="J13" s="293"/>
      <c r="K13" s="293"/>
      <c r="L13" s="293"/>
      <c r="M13" s="293"/>
      <c r="N13" s="293"/>
      <c r="O13" s="293"/>
      <c r="P13" s="293"/>
      <c r="Q13" s="293"/>
      <c r="R13" s="293"/>
      <c r="S13" s="293"/>
      <c r="T13" s="293"/>
      <c r="U13" s="293"/>
      <c r="V13" s="293"/>
      <c r="W13" s="293"/>
      <c r="X13" s="293"/>
      <c r="Y13" s="293"/>
      <c r="Z13" s="293"/>
    </row>
    <row r="14" spans="1:26" ht="18" customHeight="1">
      <c r="A14" s="283" t="s">
        <v>3737</v>
      </c>
      <c r="B14" s="283" t="s">
        <v>3795</v>
      </c>
      <c r="C14" s="283"/>
      <c r="D14" s="369" t="s">
        <v>3794</v>
      </c>
      <c r="E14" s="295">
        <v>123</v>
      </c>
      <c r="F14" s="293"/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</row>
    <row r="15" spans="1:26" ht="18" customHeight="1">
      <c r="A15" s="283" t="s">
        <v>3737</v>
      </c>
      <c r="B15" s="283" t="s">
        <v>3796</v>
      </c>
      <c r="C15" s="283"/>
      <c r="D15" s="369" t="s">
        <v>3794</v>
      </c>
      <c r="E15" s="295">
        <v>123</v>
      </c>
      <c r="F15" s="293"/>
      <c r="G15" s="293"/>
      <c r="H15" s="293"/>
      <c r="I15" s="293"/>
      <c r="J15" s="293"/>
      <c r="K15" s="293"/>
      <c r="L15" s="293"/>
      <c r="M15" s="293"/>
      <c r="N15" s="293"/>
      <c r="O15" s="293"/>
      <c r="P15" s="293"/>
      <c r="Q15" s="293"/>
      <c r="R15" s="293"/>
      <c r="S15" s="293"/>
      <c r="T15" s="293"/>
      <c r="U15" s="293"/>
      <c r="V15" s="293"/>
      <c r="W15" s="293"/>
      <c r="X15" s="293"/>
      <c r="Y15" s="293"/>
      <c r="Z15" s="293"/>
    </row>
    <row r="16" spans="1:26" ht="18" customHeight="1">
      <c r="A16" s="283" t="s">
        <v>3737</v>
      </c>
      <c r="B16" s="283" t="s">
        <v>3797</v>
      </c>
      <c r="C16" s="283"/>
      <c r="D16" s="369" t="s">
        <v>3798</v>
      </c>
      <c r="E16" s="295">
        <v>77</v>
      </c>
      <c r="F16" s="293"/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</row>
    <row r="17" spans="1:26" ht="18" customHeight="1">
      <c r="A17" s="283" t="s">
        <v>3737</v>
      </c>
      <c r="B17" s="283" t="s">
        <v>3799</v>
      </c>
      <c r="C17" s="283"/>
      <c r="D17" s="369" t="s">
        <v>3798</v>
      </c>
      <c r="E17" s="295">
        <v>77</v>
      </c>
      <c r="F17" s="293"/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293"/>
      <c r="X17" s="293"/>
      <c r="Y17" s="293"/>
      <c r="Z17" s="293"/>
    </row>
    <row r="18" spans="1:26" ht="18" customHeight="1">
      <c r="A18" s="283" t="s">
        <v>3737</v>
      </c>
      <c r="B18" s="283" t="s">
        <v>3800</v>
      </c>
      <c r="C18" s="283"/>
      <c r="D18" s="365" t="s">
        <v>3801</v>
      </c>
      <c r="E18" s="295">
        <v>177</v>
      </c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370"/>
      <c r="Q18" s="370"/>
      <c r="R18" s="370"/>
      <c r="S18" s="370"/>
      <c r="T18" s="370"/>
      <c r="U18" s="370"/>
      <c r="V18" s="370"/>
      <c r="W18" s="370"/>
      <c r="X18" s="370"/>
      <c r="Y18" s="370"/>
      <c r="Z18" s="370"/>
    </row>
    <row r="19" spans="1:26" ht="18" customHeight="1">
      <c r="A19" s="283" t="s">
        <v>3737</v>
      </c>
      <c r="B19" s="283" t="s">
        <v>3802</v>
      </c>
      <c r="C19" s="283"/>
      <c r="D19" s="366" t="s">
        <v>3803</v>
      </c>
      <c r="E19" s="295">
        <v>61</v>
      </c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</row>
    <row r="20" spans="1:26" ht="18" customHeight="1">
      <c r="A20" s="283" t="s">
        <v>3737</v>
      </c>
      <c r="B20" s="283" t="s">
        <v>3804</v>
      </c>
      <c r="C20" s="283"/>
      <c r="D20" s="366" t="s">
        <v>3805</v>
      </c>
      <c r="E20" s="295">
        <v>88</v>
      </c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</row>
    <row r="21" spans="1:26" ht="18" customHeight="1">
      <c r="A21" s="283" t="s">
        <v>3737</v>
      </c>
      <c r="B21" s="283" t="s">
        <v>3806</v>
      </c>
      <c r="C21" s="283"/>
      <c r="D21" s="366" t="s">
        <v>3807</v>
      </c>
      <c r="E21" s="295">
        <v>91</v>
      </c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</row>
    <row r="22" spans="1:26" ht="18" customHeight="1">
      <c r="A22" s="283" t="s">
        <v>3737</v>
      </c>
      <c r="B22" s="283" t="s">
        <v>3808</v>
      </c>
      <c r="C22" s="283"/>
      <c r="D22" s="365" t="s">
        <v>3809</v>
      </c>
      <c r="E22" s="295">
        <v>142</v>
      </c>
      <c r="F22" s="293"/>
      <c r="G22" s="29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3"/>
      <c r="W22" s="293"/>
      <c r="X22" s="293"/>
      <c r="Y22" s="293"/>
      <c r="Z22" s="293"/>
    </row>
    <row r="23" spans="1:26" ht="18" customHeight="1">
      <c r="A23" s="283" t="s">
        <v>3737</v>
      </c>
      <c r="B23" s="283" t="s">
        <v>3810</v>
      </c>
      <c r="C23" s="283"/>
      <c r="D23" s="366" t="s">
        <v>3811</v>
      </c>
      <c r="E23" s="295">
        <v>107</v>
      </c>
      <c r="F23" s="293"/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3"/>
      <c r="R23" s="293"/>
      <c r="S23" s="293"/>
      <c r="T23" s="293"/>
      <c r="U23" s="293"/>
      <c r="V23" s="293"/>
      <c r="W23" s="293"/>
      <c r="X23" s="293"/>
      <c r="Y23" s="293"/>
      <c r="Z23" s="293"/>
    </row>
    <row r="24" spans="1:26" ht="18" customHeight="1">
      <c r="A24" s="283" t="s">
        <v>3737</v>
      </c>
      <c r="B24" s="283" t="s">
        <v>3812</v>
      </c>
      <c r="C24" s="283"/>
      <c r="D24" s="365" t="s">
        <v>3813</v>
      </c>
      <c r="E24" s="295">
        <v>119</v>
      </c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/>
      <c r="R24" s="293"/>
      <c r="S24" s="293"/>
      <c r="T24" s="293"/>
      <c r="U24" s="293"/>
      <c r="V24" s="293"/>
      <c r="W24" s="293"/>
      <c r="X24" s="293"/>
      <c r="Y24" s="293"/>
      <c r="Z24" s="293"/>
    </row>
    <row r="25" spans="1:26" ht="18" customHeight="1">
      <c r="A25" s="283" t="s">
        <v>3737</v>
      </c>
      <c r="B25" s="283" t="s">
        <v>3814</v>
      </c>
      <c r="C25" s="283"/>
      <c r="D25" s="366" t="s">
        <v>3811</v>
      </c>
      <c r="E25" s="295">
        <v>125</v>
      </c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293"/>
      <c r="S25" s="293"/>
      <c r="T25" s="293"/>
      <c r="U25" s="293"/>
      <c r="V25" s="293"/>
      <c r="W25" s="293"/>
      <c r="X25" s="293"/>
      <c r="Y25" s="293"/>
      <c r="Z25" s="293"/>
    </row>
    <row r="26" spans="1:26" ht="18" customHeight="1">
      <c r="A26" s="283" t="s">
        <v>3737</v>
      </c>
      <c r="B26" s="283" t="s">
        <v>3815</v>
      </c>
      <c r="C26" s="283"/>
      <c r="D26" s="366" t="s">
        <v>3816</v>
      </c>
      <c r="E26" s="295">
        <v>94</v>
      </c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293"/>
      <c r="S26" s="293"/>
      <c r="T26" s="293"/>
      <c r="U26" s="293"/>
      <c r="V26" s="293"/>
      <c r="W26" s="293"/>
      <c r="X26" s="293"/>
      <c r="Y26" s="293"/>
      <c r="Z26" s="293"/>
    </row>
    <row r="27" spans="1:26" ht="18" customHeight="1">
      <c r="A27" s="283" t="s">
        <v>3737</v>
      </c>
      <c r="B27" s="283" t="s">
        <v>3817</v>
      </c>
      <c r="C27" s="283"/>
      <c r="D27" s="366" t="s">
        <v>3818</v>
      </c>
      <c r="E27" s="295">
        <v>148</v>
      </c>
      <c r="F27" s="293"/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</row>
    <row r="28" spans="1:26" ht="18" customHeight="1">
      <c r="A28" s="283" t="s">
        <v>3819</v>
      </c>
      <c r="B28" s="283" t="s">
        <v>3820</v>
      </c>
      <c r="C28" s="283"/>
      <c r="D28" s="366" t="s">
        <v>3821</v>
      </c>
      <c r="E28" s="295">
        <v>292</v>
      </c>
      <c r="F28" s="293"/>
      <c r="G28" s="293"/>
      <c r="H28" s="293"/>
      <c r="I28" s="293"/>
      <c r="J28" s="293"/>
      <c r="K28" s="293"/>
      <c r="L28" s="293"/>
      <c r="M28" s="293"/>
      <c r="N28" s="293"/>
      <c r="O28" s="293"/>
      <c r="P28" s="293"/>
      <c r="Q28" s="293"/>
      <c r="R28" s="293"/>
      <c r="S28" s="293"/>
      <c r="T28" s="293"/>
      <c r="U28" s="293"/>
      <c r="V28" s="293"/>
      <c r="W28" s="293"/>
      <c r="X28" s="293"/>
      <c r="Y28" s="293"/>
      <c r="Z28" s="293"/>
    </row>
    <row r="29" spans="1:26" ht="18" customHeight="1">
      <c r="A29" s="283" t="s">
        <v>3737</v>
      </c>
      <c r="B29" s="283" t="s">
        <v>3822</v>
      </c>
      <c r="C29" s="283"/>
      <c r="D29" s="366" t="s">
        <v>3823</v>
      </c>
      <c r="E29" s="295">
        <v>230</v>
      </c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3"/>
      <c r="Z29" s="293"/>
    </row>
    <row r="30" spans="1:26" ht="18" customHeight="1">
      <c r="A30" s="283" t="s">
        <v>3737</v>
      </c>
      <c r="B30" s="283" t="s">
        <v>3824</v>
      </c>
      <c r="C30" s="283"/>
      <c r="D30" s="366" t="s">
        <v>3825</v>
      </c>
      <c r="E30" s="295">
        <v>304</v>
      </c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</row>
    <row r="31" spans="1:26" ht="18" customHeight="1">
      <c r="A31" s="283" t="s">
        <v>3737</v>
      </c>
      <c r="B31" s="283" t="s">
        <v>3826</v>
      </c>
      <c r="C31" s="283"/>
      <c r="D31" s="366" t="s">
        <v>3827</v>
      </c>
      <c r="E31" s="295">
        <v>200</v>
      </c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</row>
    <row r="32" spans="1:26" ht="18" customHeight="1">
      <c r="A32" s="283" t="s">
        <v>3737</v>
      </c>
      <c r="B32" s="283" t="s">
        <v>3828</v>
      </c>
      <c r="C32" s="283"/>
      <c r="D32" s="366" t="s">
        <v>3829</v>
      </c>
      <c r="E32" s="295">
        <v>300</v>
      </c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</row>
    <row r="33" spans="1:26" ht="18" customHeight="1">
      <c r="A33" s="283" t="s">
        <v>3737</v>
      </c>
      <c r="B33" s="283" t="s">
        <v>3830</v>
      </c>
      <c r="C33" s="283"/>
      <c r="D33" s="366" t="s">
        <v>3831</v>
      </c>
      <c r="E33" s="295">
        <v>378</v>
      </c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</row>
    <row r="34" spans="1:26" ht="18" customHeight="1">
      <c r="A34" s="283" t="s">
        <v>3737</v>
      </c>
      <c r="B34" s="283" t="s">
        <v>3832</v>
      </c>
      <c r="C34" s="283"/>
      <c r="D34" s="365" t="s">
        <v>3833</v>
      </c>
      <c r="E34" s="295">
        <v>567</v>
      </c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293"/>
      <c r="V34" s="293"/>
      <c r="W34" s="293"/>
      <c r="X34" s="293"/>
      <c r="Y34" s="293"/>
      <c r="Z34" s="293"/>
    </row>
    <row r="35" spans="1:26" ht="18" customHeight="1">
      <c r="A35" s="283"/>
      <c r="B35" s="283"/>
      <c r="C35" s="283"/>
      <c r="D35" s="367"/>
      <c r="E35" s="295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</row>
    <row r="36" spans="1:26" ht="18" customHeight="1">
      <c r="A36" s="283" t="s">
        <v>3748</v>
      </c>
      <c r="B36" s="283" t="s">
        <v>3834</v>
      </c>
      <c r="C36" s="283"/>
      <c r="D36" s="366" t="s">
        <v>3835</v>
      </c>
      <c r="E36" s="295">
        <v>61</v>
      </c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</row>
    <row r="37" spans="1:26" ht="18" customHeight="1">
      <c r="A37" s="283" t="s">
        <v>3748</v>
      </c>
      <c r="B37" s="283" t="s">
        <v>3836</v>
      </c>
      <c r="C37" s="283"/>
      <c r="D37" s="366" t="s">
        <v>3837</v>
      </c>
      <c r="E37" s="295">
        <v>304</v>
      </c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</row>
    <row r="38" spans="1:26" ht="18" customHeight="1">
      <c r="A38" s="283"/>
      <c r="B38" s="283"/>
      <c r="C38" s="283"/>
      <c r="D38" s="367"/>
      <c r="E38" s="295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</row>
    <row r="39" spans="1:26" ht="18" customHeight="1">
      <c r="A39" s="283" t="s">
        <v>3838</v>
      </c>
      <c r="B39" s="283" t="s">
        <v>3839</v>
      </c>
      <c r="C39" s="283"/>
      <c r="D39" s="366" t="s">
        <v>3840</v>
      </c>
      <c r="E39" s="295">
        <v>169</v>
      </c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</row>
    <row r="40" spans="1:26" ht="18" customHeight="1">
      <c r="A40" s="283"/>
      <c r="B40" s="283"/>
      <c r="C40" s="283"/>
      <c r="D40" s="367"/>
      <c r="E40" s="295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</row>
    <row r="41" spans="1:26" ht="18" customHeight="1">
      <c r="A41" s="283" t="s">
        <v>3841</v>
      </c>
      <c r="B41" s="283" t="s">
        <v>3842</v>
      </c>
      <c r="C41" s="283"/>
      <c r="D41" s="366" t="s">
        <v>3843</v>
      </c>
      <c r="E41" s="295">
        <v>34</v>
      </c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</row>
    <row r="42" spans="1:26" ht="18" customHeight="1">
      <c r="A42" s="283" t="s">
        <v>3841</v>
      </c>
      <c r="B42" s="283" t="s">
        <v>3844</v>
      </c>
      <c r="C42" s="283"/>
      <c r="D42" s="365" t="s">
        <v>3845</v>
      </c>
      <c r="E42" s="295">
        <v>40</v>
      </c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</row>
    <row r="43" spans="1:26" ht="18" customHeight="1">
      <c r="A43" s="283" t="s">
        <v>3841</v>
      </c>
      <c r="B43" s="283" t="s">
        <v>3846</v>
      </c>
      <c r="C43" s="283"/>
      <c r="D43" s="366" t="s">
        <v>3847</v>
      </c>
      <c r="E43" s="295">
        <v>44</v>
      </c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</row>
    <row r="44" spans="1:26" ht="18" customHeight="1">
      <c r="A44" s="283" t="s">
        <v>3841</v>
      </c>
      <c r="B44" s="283" t="s">
        <v>3848</v>
      </c>
      <c r="C44" s="283"/>
      <c r="D44" s="366" t="s">
        <v>3849</v>
      </c>
      <c r="E44" s="295">
        <v>48</v>
      </c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</row>
    <row r="45" spans="1:26" ht="18" customHeight="1">
      <c r="A45" s="283" t="s">
        <v>3841</v>
      </c>
      <c r="B45" s="283" t="s">
        <v>3850</v>
      </c>
      <c r="C45" s="283"/>
      <c r="D45" s="366" t="s">
        <v>3851</v>
      </c>
      <c r="E45" s="295">
        <v>64</v>
      </c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</row>
    <row r="46" spans="1:26" ht="18" customHeight="1">
      <c r="A46" s="283" t="s">
        <v>3841</v>
      </c>
      <c r="B46" s="283" t="s">
        <v>3852</v>
      </c>
      <c r="C46" s="283"/>
      <c r="D46" s="366" t="s">
        <v>3853</v>
      </c>
      <c r="E46" s="295">
        <v>107</v>
      </c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</row>
    <row r="47" spans="1:26" ht="18" customHeight="1">
      <c r="A47" s="283"/>
      <c r="B47" s="283"/>
      <c r="C47" s="283"/>
      <c r="D47" s="367"/>
      <c r="E47" s="295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</row>
    <row r="48" spans="1:26" ht="18" customHeight="1">
      <c r="A48" s="283" t="s">
        <v>3854</v>
      </c>
      <c r="B48" s="283" t="s">
        <v>3855</v>
      </c>
      <c r="C48" s="283"/>
      <c r="D48" s="365" t="s">
        <v>3856</v>
      </c>
      <c r="E48" s="295">
        <v>115</v>
      </c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</row>
    <row r="49" spans="1:26" ht="18" customHeight="1">
      <c r="A49" s="283" t="s">
        <v>3854</v>
      </c>
      <c r="B49" s="283" t="s">
        <v>3857</v>
      </c>
      <c r="C49" s="283"/>
      <c r="D49" s="365" t="s">
        <v>3858</v>
      </c>
      <c r="E49" s="295">
        <v>119</v>
      </c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</row>
    <row r="50" spans="1:26" ht="18" customHeight="1">
      <c r="A50" s="283"/>
      <c r="B50" s="283"/>
      <c r="C50" s="283"/>
      <c r="D50" s="367"/>
      <c r="E50" s="295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</row>
    <row r="51" spans="1:26" ht="18" customHeight="1">
      <c r="A51" s="283" t="s">
        <v>3859</v>
      </c>
      <c r="B51" s="283" t="s">
        <v>3860</v>
      </c>
      <c r="C51" s="283"/>
      <c r="D51" s="365" t="s">
        <v>3861</v>
      </c>
      <c r="E51" s="295">
        <v>15</v>
      </c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</row>
    <row r="52" spans="1:26" ht="18" customHeight="1">
      <c r="A52" s="283" t="s">
        <v>3859</v>
      </c>
      <c r="B52" s="283" t="s">
        <v>3862</v>
      </c>
      <c r="C52" s="283"/>
      <c r="D52" s="366" t="s">
        <v>3863</v>
      </c>
      <c r="E52" s="295">
        <v>134</v>
      </c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</row>
    <row r="53" spans="1:26" ht="18" customHeight="1">
      <c r="A53" s="283"/>
      <c r="B53" s="283"/>
      <c r="C53" s="283"/>
      <c r="D53" s="367"/>
      <c r="E53" s="295"/>
      <c r="F53" s="293"/>
      <c r="G53" s="293"/>
      <c r="H53" s="293"/>
      <c r="I53" s="293"/>
      <c r="J53" s="293"/>
      <c r="K53" s="293"/>
      <c r="L53" s="293"/>
      <c r="M53" s="293"/>
      <c r="N53" s="293"/>
      <c r="O53" s="293"/>
      <c r="P53" s="293"/>
      <c r="Q53" s="293"/>
      <c r="R53" s="293"/>
      <c r="S53" s="293"/>
      <c r="T53" s="293"/>
      <c r="U53" s="293"/>
      <c r="V53" s="293"/>
      <c r="W53" s="293"/>
      <c r="X53" s="293"/>
      <c r="Y53" s="293"/>
      <c r="Z53" s="293"/>
    </row>
    <row r="54" spans="1:26" ht="18" customHeight="1">
      <c r="A54" s="283" t="s">
        <v>3864</v>
      </c>
      <c r="B54" s="283" t="s">
        <v>3865</v>
      </c>
      <c r="C54" s="283"/>
      <c r="D54" s="366" t="s">
        <v>3866</v>
      </c>
      <c r="E54" s="295">
        <v>11</v>
      </c>
      <c r="F54" s="293"/>
      <c r="G54" s="293"/>
      <c r="H54" s="293"/>
      <c r="I54" s="293"/>
      <c r="J54" s="293"/>
      <c r="K54" s="293"/>
      <c r="L54" s="293"/>
      <c r="M54" s="293"/>
      <c r="N54" s="293"/>
      <c r="O54" s="293"/>
      <c r="P54" s="293"/>
      <c r="Q54" s="293"/>
      <c r="R54" s="293"/>
      <c r="S54" s="293"/>
      <c r="T54" s="293"/>
      <c r="U54" s="293"/>
      <c r="V54" s="293"/>
      <c r="W54" s="293"/>
      <c r="X54" s="293"/>
      <c r="Y54" s="293"/>
      <c r="Z54" s="293"/>
    </row>
    <row r="55" spans="1:26" ht="18" customHeight="1">
      <c r="A55" s="283" t="s">
        <v>3864</v>
      </c>
      <c r="B55" s="283" t="s">
        <v>3867</v>
      </c>
      <c r="C55" s="283"/>
      <c r="D55" s="366" t="s">
        <v>3868</v>
      </c>
      <c r="E55" s="295">
        <v>15</v>
      </c>
      <c r="F55" s="293"/>
      <c r="G55" s="293"/>
      <c r="H55" s="293"/>
      <c r="I55" s="293"/>
      <c r="J55" s="293"/>
      <c r="K55" s="293"/>
      <c r="L55" s="293"/>
      <c r="M55" s="293"/>
      <c r="N55" s="293"/>
      <c r="O55" s="293"/>
      <c r="P55" s="293"/>
      <c r="Q55" s="293"/>
      <c r="R55" s="293"/>
      <c r="S55" s="293"/>
      <c r="T55" s="293"/>
      <c r="U55" s="293"/>
      <c r="V55" s="293"/>
      <c r="W55" s="293"/>
      <c r="X55" s="293"/>
      <c r="Y55" s="293"/>
      <c r="Z55" s="293"/>
    </row>
    <row r="56" spans="1:26" ht="18" customHeight="1">
      <c r="A56" s="283" t="s">
        <v>3864</v>
      </c>
      <c r="B56" s="283" t="s">
        <v>3869</v>
      </c>
      <c r="C56" s="283"/>
      <c r="D56" s="365" t="s">
        <v>3870</v>
      </c>
      <c r="E56" s="295">
        <v>19</v>
      </c>
      <c r="F56" s="293"/>
      <c r="G56" s="293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</row>
    <row r="57" spans="1:26" ht="18" customHeight="1">
      <c r="A57" s="283"/>
      <c r="B57" s="283"/>
      <c r="C57" s="283"/>
      <c r="D57" s="367"/>
      <c r="E57" s="295"/>
      <c r="F57" s="293"/>
      <c r="G57" s="293"/>
      <c r="H57" s="293"/>
      <c r="I57" s="293"/>
      <c r="J57" s="293"/>
      <c r="K57" s="293"/>
      <c r="L57" s="293"/>
      <c r="M57" s="293"/>
      <c r="N57" s="293"/>
      <c r="O57" s="293"/>
      <c r="P57" s="293"/>
      <c r="Q57" s="293"/>
      <c r="R57" s="293"/>
      <c r="S57" s="293"/>
      <c r="T57" s="293"/>
      <c r="U57" s="293"/>
      <c r="V57" s="293"/>
      <c r="W57" s="293"/>
      <c r="X57" s="293"/>
      <c r="Y57" s="293"/>
      <c r="Z57" s="293"/>
    </row>
    <row r="58" spans="1:26" ht="18" customHeight="1">
      <c r="A58" s="283" t="s">
        <v>3871</v>
      </c>
      <c r="B58" s="283" t="s">
        <v>3872</v>
      </c>
      <c r="C58" s="283"/>
      <c r="D58" s="371" t="s">
        <v>3873</v>
      </c>
      <c r="E58" s="295">
        <v>37</v>
      </c>
      <c r="F58" s="293"/>
      <c r="G58" s="293"/>
      <c r="H58" s="293"/>
      <c r="I58" s="293"/>
      <c r="J58" s="293"/>
      <c r="K58" s="293"/>
      <c r="L58" s="293"/>
      <c r="M58" s="293"/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93"/>
      <c r="Y58" s="293"/>
      <c r="Z58" s="293"/>
    </row>
    <row r="59" spans="1:26" ht="18" customHeight="1">
      <c r="A59" s="283" t="s">
        <v>3871</v>
      </c>
      <c r="B59" s="283" t="s">
        <v>3874</v>
      </c>
      <c r="C59" s="283"/>
      <c r="D59" s="371" t="s">
        <v>3873</v>
      </c>
      <c r="E59" s="295">
        <v>37</v>
      </c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</row>
    <row r="60" spans="1:26" ht="18" customHeight="1">
      <c r="A60" s="283" t="s">
        <v>3871</v>
      </c>
      <c r="B60" s="283" t="s">
        <v>3875</v>
      </c>
      <c r="C60" s="283"/>
      <c r="D60" s="372" t="s">
        <v>3876</v>
      </c>
      <c r="E60" s="295">
        <v>49</v>
      </c>
      <c r="F60" s="293"/>
      <c r="G60" s="293"/>
      <c r="H60" s="293"/>
      <c r="I60" s="293"/>
      <c r="J60" s="293"/>
      <c r="K60" s="29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93"/>
      <c r="Y60" s="293"/>
      <c r="Z60" s="293"/>
    </row>
    <row r="61" spans="1:26" ht="18" customHeight="1">
      <c r="A61" s="283"/>
      <c r="B61" s="283"/>
      <c r="C61" s="283"/>
      <c r="D61" s="367"/>
      <c r="E61" s="295"/>
      <c r="F61" s="293"/>
      <c r="G61" s="293"/>
      <c r="H61" s="293"/>
      <c r="I61" s="293"/>
      <c r="J61" s="293"/>
      <c r="K61" s="293"/>
      <c r="L61" s="293"/>
      <c r="M61" s="293"/>
      <c r="N61" s="293"/>
      <c r="O61" s="293"/>
      <c r="P61" s="293"/>
      <c r="Q61" s="293"/>
      <c r="R61" s="293"/>
      <c r="S61" s="293"/>
      <c r="T61" s="293"/>
      <c r="U61" s="293"/>
      <c r="V61" s="293"/>
      <c r="W61" s="293"/>
      <c r="X61" s="293"/>
      <c r="Y61" s="293"/>
      <c r="Z61" s="293"/>
    </row>
    <row r="62" spans="1:26" ht="18" customHeight="1">
      <c r="A62" s="283" t="s">
        <v>3877</v>
      </c>
      <c r="B62" s="283" t="s">
        <v>3878</v>
      </c>
      <c r="C62" s="283"/>
      <c r="D62" s="369" t="s">
        <v>3879</v>
      </c>
      <c r="E62" s="295">
        <v>26</v>
      </c>
      <c r="F62" s="293"/>
      <c r="G62" s="293"/>
      <c r="H62" s="293"/>
      <c r="I62" s="293"/>
      <c r="J62" s="293"/>
      <c r="K62" s="293"/>
      <c r="L62" s="293"/>
      <c r="M62" s="293"/>
      <c r="N62" s="293"/>
      <c r="O62" s="293"/>
      <c r="P62" s="293"/>
      <c r="Q62" s="293"/>
      <c r="R62" s="293"/>
      <c r="S62" s="293"/>
      <c r="T62" s="293"/>
      <c r="U62" s="293"/>
      <c r="V62" s="293"/>
      <c r="W62" s="293"/>
      <c r="X62" s="293"/>
      <c r="Y62" s="293"/>
      <c r="Z62" s="293"/>
    </row>
    <row r="63" spans="1:26" ht="18" customHeight="1">
      <c r="A63" s="283" t="s">
        <v>3877</v>
      </c>
      <c r="B63" s="283" t="s">
        <v>3880</v>
      </c>
      <c r="C63" s="283"/>
      <c r="D63" s="369" t="s">
        <v>3879</v>
      </c>
      <c r="E63" s="295">
        <v>26</v>
      </c>
      <c r="F63" s="293"/>
      <c r="G63" s="293"/>
      <c r="H63" s="293"/>
      <c r="I63" s="293"/>
      <c r="J63" s="293"/>
      <c r="K63" s="293"/>
      <c r="L63" s="293"/>
      <c r="M63" s="293"/>
      <c r="N63" s="293"/>
      <c r="O63" s="293"/>
      <c r="P63" s="293"/>
      <c r="Q63" s="293"/>
      <c r="R63" s="293"/>
      <c r="S63" s="293"/>
      <c r="T63" s="293"/>
      <c r="U63" s="293"/>
      <c r="V63" s="293"/>
      <c r="W63" s="293"/>
      <c r="X63" s="293"/>
      <c r="Y63" s="293"/>
      <c r="Z63" s="293"/>
    </row>
    <row r="64" spans="1:26" ht="18" customHeight="1">
      <c r="A64" s="283" t="s">
        <v>3877</v>
      </c>
      <c r="B64" s="283" t="s">
        <v>3881</v>
      </c>
      <c r="C64" s="283"/>
      <c r="D64" s="369" t="s">
        <v>3879</v>
      </c>
      <c r="E64" s="295">
        <v>26</v>
      </c>
      <c r="F64" s="293"/>
      <c r="G64" s="293"/>
      <c r="H64" s="293"/>
      <c r="I64" s="293"/>
      <c r="J64" s="293"/>
      <c r="K64" s="293"/>
      <c r="L64" s="293"/>
      <c r="M64" s="293"/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93"/>
      <c r="Y64" s="293"/>
      <c r="Z64" s="293"/>
    </row>
    <row r="65" spans="1:26" ht="18" customHeight="1">
      <c r="A65" s="283" t="s">
        <v>3877</v>
      </c>
      <c r="B65" s="283" t="s">
        <v>3882</v>
      </c>
      <c r="C65" s="283"/>
      <c r="D65" s="365" t="s">
        <v>3883</v>
      </c>
      <c r="E65" s="295">
        <v>59</v>
      </c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93"/>
      <c r="Y65" s="293"/>
      <c r="Z65" s="293"/>
    </row>
    <row r="66" spans="1:26" ht="18" customHeight="1">
      <c r="A66" s="283"/>
      <c r="B66" s="283"/>
      <c r="C66" s="283"/>
      <c r="D66" s="367"/>
      <c r="E66" s="295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93"/>
      <c r="Y66" s="293"/>
      <c r="Z66" s="293"/>
    </row>
    <row r="67" spans="1:26" ht="18" customHeight="1">
      <c r="A67" s="283" t="s">
        <v>3884</v>
      </c>
      <c r="B67" s="283" t="s">
        <v>3885</v>
      </c>
      <c r="C67" s="283"/>
      <c r="D67" s="367" t="s">
        <v>3886</v>
      </c>
      <c r="E67" s="295">
        <v>22</v>
      </c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3"/>
      <c r="Q67" s="293"/>
      <c r="R67" s="293"/>
      <c r="S67" s="293"/>
      <c r="T67" s="293"/>
      <c r="U67" s="293"/>
      <c r="V67" s="293"/>
      <c r="W67" s="293"/>
      <c r="X67" s="293"/>
      <c r="Y67" s="293"/>
      <c r="Z67" s="293"/>
    </row>
    <row r="68" spans="1:26" ht="18" customHeight="1">
      <c r="A68" s="283" t="s">
        <v>3884</v>
      </c>
      <c r="B68" s="283" t="s">
        <v>3887</v>
      </c>
      <c r="C68" s="283"/>
      <c r="D68" s="366" t="s">
        <v>3888</v>
      </c>
      <c r="E68" s="295">
        <v>80</v>
      </c>
      <c r="F68" s="293"/>
      <c r="G68" s="293"/>
      <c r="H68" s="293"/>
      <c r="I68" s="293"/>
      <c r="J68" s="293"/>
      <c r="K68" s="293"/>
      <c r="L68" s="293"/>
      <c r="M68" s="293"/>
      <c r="N68" s="293"/>
      <c r="O68" s="293"/>
      <c r="P68" s="293"/>
      <c r="Q68" s="293"/>
      <c r="R68" s="293"/>
      <c r="S68" s="293"/>
      <c r="T68" s="293"/>
      <c r="U68" s="293"/>
      <c r="V68" s="293"/>
      <c r="W68" s="293"/>
      <c r="X68" s="293"/>
      <c r="Y68" s="293"/>
      <c r="Z68" s="293"/>
    </row>
    <row r="69" spans="1:26" ht="18" customHeight="1">
      <c r="A69" s="283" t="s">
        <v>3884</v>
      </c>
      <c r="B69" s="283" t="s">
        <v>3889</v>
      </c>
      <c r="C69" s="283"/>
      <c r="D69" s="371" t="s">
        <v>3890</v>
      </c>
      <c r="E69" s="295">
        <v>32</v>
      </c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</row>
    <row r="70" spans="1:26" ht="18" customHeight="1">
      <c r="A70" s="283" t="s">
        <v>3884</v>
      </c>
      <c r="B70" s="283" t="s">
        <v>3891</v>
      </c>
      <c r="C70" s="283"/>
      <c r="D70" s="371" t="s">
        <v>3890</v>
      </c>
      <c r="E70" s="295">
        <v>32</v>
      </c>
      <c r="F70" s="293"/>
      <c r="G70" s="293"/>
      <c r="H70" s="293"/>
      <c r="I70" s="293"/>
      <c r="J70" s="293"/>
      <c r="K70" s="293"/>
      <c r="L70" s="293"/>
      <c r="M70" s="293"/>
      <c r="N70" s="293"/>
      <c r="O70" s="293"/>
      <c r="P70" s="293"/>
      <c r="Q70" s="293"/>
      <c r="R70" s="293"/>
      <c r="S70" s="293"/>
      <c r="T70" s="293"/>
      <c r="U70" s="293"/>
      <c r="V70" s="293"/>
      <c r="W70" s="293"/>
      <c r="X70" s="293"/>
      <c r="Y70" s="293"/>
      <c r="Z70" s="293"/>
    </row>
    <row r="71" spans="1:26" ht="18" customHeight="1">
      <c r="A71" s="283" t="s">
        <v>3884</v>
      </c>
      <c r="B71" s="283" t="s">
        <v>3892</v>
      </c>
      <c r="C71" s="283"/>
      <c r="D71" s="366" t="s">
        <v>3893</v>
      </c>
      <c r="E71" s="295">
        <v>88</v>
      </c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3"/>
      <c r="Q71" s="293"/>
      <c r="R71" s="293"/>
      <c r="S71" s="293"/>
      <c r="T71" s="293"/>
      <c r="U71" s="293"/>
      <c r="V71" s="293"/>
      <c r="W71" s="293"/>
      <c r="X71" s="293"/>
      <c r="Y71" s="293"/>
      <c r="Z71" s="293"/>
    </row>
    <row r="72" spans="1:26" ht="18" customHeight="1">
      <c r="A72" s="283" t="s">
        <v>3884</v>
      </c>
      <c r="B72" s="283" t="s">
        <v>3894</v>
      </c>
      <c r="C72" s="283"/>
      <c r="D72" s="365" t="s">
        <v>3895</v>
      </c>
      <c r="E72" s="295">
        <v>107</v>
      </c>
      <c r="F72" s="293"/>
      <c r="G72" s="293"/>
      <c r="H72" s="293"/>
      <c r="I72" s="293"/>
      <c r="J72" s="293"/>
      <c r="K72" s="293"/>
      <c r="L72" s="293"/>
      <c r="M72" s="293"/>
      <c r="N72" s="293"/>
      <c r="O72" s="293"/>
      <c r="P72" s="293"/>
      <c r="Q72" s="293"/>
      <c r="R72" s="293"/>
      <c r="S72" s="293"/>
      <c r="T72" s="293"/>
      <c r="U72" s="293"/>
      <c r="V72" s="293"/>
      <c r="W72" s="293"/>
      <c r="X72" s="293"/>
      <c r="Y72" s="293"/>
      <c r="Z72" s="293"/>
    </row>
    <row r="73" spans="1:26" ht="18" customHeight="1">
      <c r="A73" s="283"/>
      <c r="B73" s="283"/>
      <c r="C73" s="283"/>
      <c r="D73" s="367"/>
      <c r="E73" s="295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3"/>
      <c r="Q73" s="293"/>
      <c r="R73" s="293"/>
      <c r="S73" s="293"/>
      <c r="T73" s="293"/>
      <c r="U73" s="293"/>
      <c r="V73" s="293"/>
      <c r="W73" s="293"/>
      <c r="X73" s="293"/>
      <c r="Y73" s="293"/>
      <c r="Z73" s="293"/>
    </row>
    <row r="74" spans="1:26" ht="18" customHeight="1">
      <c r="A74" s="283" t="s">
        <v>3896</v>
      </c>
      <c r="B74" s="283" t="s">
        <v>3897</v>
      </c>
      <c r="C74" s="283"/>
      <c r="D74" s="366" t="s">
        <v>3898</v>
      </c>
      <c r="E74" s="295">
        <v>30</v>
      </c>
      <c r="F74" s="293"/>
      <c r="G74" s="293"/>
      <c r="H74" s="293"/>
      <c r="I74" s="293"/>
      <c r="J74" s="293"/>
      <c r="K74" s="293"/>
      <c r="L74" s="293"/>
      <c r="M74" s="293"/>
      <c r="N74" s="293"/>
      <c r="O74" s="293"/>
      <c r="P74" s="293"/>
      <c r="Q74" s="293"/>
      <c r="R74" s="293"/>
      <c r="S74" s="293"/>
      <c r="T74" s="293"/>
      <c r="U74" s="293"/>
      <c r="V74" s="293"/>
      <c r="W74" s="293"/>
      <c r="X74" s="293"/>
      <c r="Y74" s="293"/>
      <c r="Z74" s="293"/>
    </row>
    <row r="75" spans="1:26" ht="30" customHeight="1">
      <c r="A75" s="283" t="s">
        <v>3896</v>
      </c>
      <c r="B75" s="283" t="s">
        <v>3899</v>
      </c>
      <c r="C75" s="283"/>
      <c r="D75" s="371" t="s">
        <v>3900</v>
      </c>
      <c r="E75" s="295">
        <v>41</v>
      </c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93"/>
      <c r="W75" s="293"/>
      <c r="X75" s="293"/>
      <c r="Y75" s="293"/>
      <c r="Z75" s="293"/>
    </row>
    <row r="76" spans="1:26" ht="30" customHeight="1">
      <c r="A76" s="283" t="s">
        <v>3896</v>
      </c>
      <c r="B76" s="283" t="s">
        <v>3901</v>
      </c>
      <c r="C76" s="283"/>
      <c r="D76" s="371" t="s">
        <v>3900</v>
      </c>
      <c r="E76" s="295">
        <v>41</v>
      </c>
      <c r="F76" s="293"/>
      <c r="G76" s="293"/>
      <c r="H76" s="293"/>
      <c r="I76" s="293"/>
      <c r="J76" s="293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</row>
    <row r="77" spans="1:26" ht="18" customHeight="1">
      <c r="A77" s="283" t="s">
        <v>3896</v>
      </c>
      <c r="B77" s="283" t="s">
        <v>3902</v>
      </c>
      <c r="C77" s="283"/>
      <c r="D77" s="369" t="s">
        <v>3903</v>
      </c>
      <c r="E77" s="295">
        <v>27</v>
      </c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3"/>
      <c r="Q77" s="293"/>
      <c r="R77" s="293"/>
      <c r="S77" s="293"/>
      <c r="T77" s="293"/>
      <c r="U77" s="293"/>
      <c r="V77" s="293"/>
      <c r="W77" s="293"/>
      <c r="X77" s="293"/>
      <c r="Y77" s="293"/>
      <c r="Z77" s="293"/>
    </row>
    <row r="78" spans="1:26" ht="18" customHeight="1">
      <c r="A78" s="283" t="s">
        <v>3896</v>
      </c>
      <c r="B78" s="283" t="s">
        <v>3904</v>
      </c>
      <c r="C78" s="283"/>
      <c r="D78" s="369" t="s">
        <v>3903</v>
      </c>
      <c r="E78" s="295">
        <v>27</v>
      </c>
      <c r="F78" s="293"/>
      <c r="G78" s="293"/>
      <c r="H78" s="293"/>
      <c r="I78" s="293"/>
      <c r="J78" s="293"/>
      <c r="K78" s="293"/>
      <c r="L78" s="293"/>
      <c r="M78" s="293"/>
      <c r="N78" s="293"/>
      <c r="O78" s="293"/>
      <c r="P78" s="293"/>
      <c r="Q78" s="293"/>
      <c r="R78" s="293"/>
      <c r="S78" s="293"/>
      <c r="T78" s="293"/>
      <c r="U78" s="293"/>
      <c r="V78" s="293"/>
      <c r="W78" s="293"/>
      <c r="X78" s="293"/>
      <c r="Y78" s="293"/>
      <c r="Z78" s="293"/>
    </row>
    <row r="79" spans="1:26" ht="18" customHeight="1">
      <c r="A79" s="283" t="s">
        <v>3896</v>
      </c>
      <c r="B79" s="283" t="s">
        <v>3905</v>
      </c>
      <c r="C79" s="283"/>
      <c r="D79" s="365" t="s">
        <v>3906</v>
      </c>
      <c r="E79" s="295">
        <v>37</v>
      </c>
      <c r="F79" s="293"/>
      <c r="G79" s="293"/>
      <c r="H79" s="293"/>
      <c r="I79" s="293"/>
      <c r="J79" s="293"/>
      <c r="K79" s="293"/>
      <c r="L79" s="293"/>
      <c r="M79" s="293"/>
      <c r="N79" s="293"/>
      <c r="O79" s="293"/>
      <c r="P79" s="293"/>
      <c r="Q79" s="293"/>
      <c r="R79" s="293"/>
      <c r="S79" s="293"/>
      <c r="T79" s="293"/>
      <c r="U79" s="293"/>
      <c r="V79" s="293"/>
      <c r="W79" s="293"/>
      <c r="X79" s="293"/>
      <c r="Y79" s="293"/>
      <c r="Z79" s="293"/>
    </row>
    <row r="80" spans="1:26" ht="18" customHeight="1">
      <c r="A80" s="283" t="s">
        <v>3896</v>
      </c>
      <c r="B80" s="283" t="s">
        <v>3907</v>
      </c>
      <c r="C80" s="283"/>
      <c r="D80" s="371" t="s">
        <v>3908</v>
      </c>
      <c r="E80" s="295">
        <v>57</v>
      </c>
      <c r="F80" s="293"/>
      <c r="G80" s="293"/>
      <c r="H80" s="293"/>
      <c r="I80" s="293"/>
      <c r="J80" s="293"/>
      <c r="K80" s="293"/>
      <c r="L80" s="293"/>
      <c r="M80" s="293"/>
      <c r="N80" s="293"/>
      <c r="O80" s="293"/>
      <c r="P80" s="293"/>
      <c r="Q80" s="293"/>
      <c r="R80" s="293"/>
      <c r="S80" s="293"/>
      <c r="T80" s="293"/>
      <c r="U80" s="293"/>
      <c r="V80" s="293"/>
      <c r="W80" s="293"/>
      <c r="X80" s="293"/>
      <c r="Y80" s="293"/>
      <c r="Z80" s="293"/>
    </row>
    <row r="81" spans="1:26" ht="18" customHeight="1">
      <c r="A81" s="283" t="s">
        <v>3896</v>
      </c>
      <c r="B81" s="283" t="s">
        <v>3909</v>
      </c>
      <c r="C81" s="283"/>
      <c r="D81" s="371" t="s">
        <v>3908</v>
      </c>
      <c r="E81" s="295">
        <v>57</v>
      </c>
      <c r="F81" s="293"/>
      <c r="G81" s="293"/>
      <c r="H81" s="293"/>
      <c r="I81" s="293"/>
      <c r="J81" s="293"/>
      <c r="K81" s="293"/>
      <c r="L81" s="293"/>
      <c r="M81" s="293"/>
      <c r="N81" s="293"/>
      <c r="O81" s="293"/>
      <c r="P81" s="293"/>
      <c r="Q81" s="293"/>
      <c r="R81" s="293"/>
      <c r="S81" s="293"/>
      <c r="T81" s="293"/>
      <c r="U81" s="293"/>
      <c r="V81" s="293"/>
      <c r="W81" s="293"/>
      <c r="X81" s="293"/>
      <c r="Y81" s="293"/>
      <c r="Z81" s="293"/>
    </row>
    <row r="82" spans="1:26" ht="18" customHeight="1">
      <c r="A82" s="283" t="s">
        <v>3896</v>
      </c>
      <c r="B82" s="283" t="s">
        <v>3910</v>
      </c>
      <c r="C82" s="283"/>
      <c r="D82" s="365" t="s">
        <v>3911</v>
      </c>
      <c r="E82" s="295">
        <v>42</v>
      </c>
      <c r="F82" s="293"/>
      <c r="G82" s="293"/>
      <c r="H82" s="293"/>
      <c r="I82" s="293"/>
      <c r="J82" s="293"/>
      <c r="K82" s="293"/>
      <c r="L82" s="293"/>
      <c r="M82" s="293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</row>
    <row r="83" spans="1:26" ht="18" customHeight="1">
      <c r="A83" s="283" t="s">
        <v>3896</v>
      </c>
      <c r="B83" s="283" t="s">
        <v>3912</v>
      </c>
      <c r="C83" s="283"/>
      <c r="D83" s="365" t="s">
        <v>3913</v>
      </c>
      <c r="E83" s="295">
        <v>88</v>
      </c>
      <c r="F83" s="293"/>
      <c r="G83" s="293"/>
      <c r="H83" s="293"/>
      <c r="I83" s="293"/>
      <c r="J83" s="293"/>
      <c r="K83" s="293"/>
      <c r="L83" s="293"/>
      <c r="M83" s="293"/>
      <c r="N83" s="293"/>
      <c r="O83" s="293"/>
      <c r="P83" s="293"/>
      <c r="Q83" s="293"/>
      <c r="R83" s="293"/>
      <c r="S83" s="293"/>
      <c r="T83" s="293"/>
      <c r="U83" s="293"/>
      <c r="V83" s="293"/>
      <c r="W83" s="293"/>
      <c r="X83" s="293"/>
      <c r="Y83" s="293"/>
      <c r="Z83" s="293"/>
    </row>
    <row r="84" spans="1:26" ht="18" customHeight="1">
      <c r="A84" s="283" t="s">
        <v>3896</v>
      </c>
      <c r="B84" s="283" t="s">
        <v>3914</v>
      </c>
      <c r="C84" s="283"/>
      <c r="D84" s="371" t="s">
        <v>3915</v>
      </c>
      <c r="E84" s="295">
        <v>106</v>
      </c>
      <c r="F84" s="293"/>
      <c r="G84" s="293"/>
      <c r="H84" s="293"/>
      <c r="I84" s="293"/>
      <c r="J84" s="293"/>
      <c r="K84" s="293"/>
      <c r="L84" s="293"/>
      <c r="M84" s="293"/>
      <c r="N84" s="293"/>
      <c r="O84" s="293"/>
      <c r="P84" s="293"/>
      <c r="Q84" s="293"/>
      <c r="R84" s="293"/>
      <c r="S84" s="293"/>
      <c r="T84" s="293"/>
      <c r="U84" s="293"/>
      <c r="V84" s="293"/>
      <c r="W84" s="293"/>
      <c r="X84" s="293"/>
      <c r="Y84" s="293"/>
      <c r="Z84" s="293"/>
    </row>
    <row r="85" spans="1:26" ht="18" customHeight="1">
      <c r="A85" s="283" t="s">
        <v>3896</v>
      </c>
      <c r="B85" s="283" t="s">
        <v>3916</v>
      </c>
      <c r="C85" s="283"/>
      <c r="D85" s="371" t="s">
        <v>3915</v>
      </c>
      <c r="E85" s="295">
        <v>106</v>
      </c>
      <c r="F85" s="293"/>
      <c r="G85" s="293"/>
      <c r="H85" s="293"/>
      <c r="I85" s="293"/>
      <c r="J85" s="293"/>
      <c r="K85" s="293"/>
      <c r="L85" s="293"/>
      <c r="M85" s="293"/>
      <c r="N85" s="293"/>
      <c r="O85" s="293"/>
      <c r="P85" s="293"/>
      <c r="Q85" s="293"/>
      <c r="R85" s="293"/>
      <c r="S85" s="293"/>
      <c r="T85" s="293"/>
      <c r="U85" s="293"/>
      <c r="V85" s="293"/>
      <c r="W85" s="293"/>
      <c r="X85" s="293"/>
      <c r="Y85" s="293"/>
      <c r="Z85" s="293"/>
    </row>
    <row r="86" spans="1:26" ht="18" customHeight="1">
      <c r="A86" s="283" t="s">
        <v>3896</v>
      </c>
      <c r="B86" s="283" t="s">
        <v>3917</v>
      </c>
      <c r="C86" s="283"/>
      <c r="D86" s="366" t="s">
        <v>3918</v>
      </c>
      <c r="E86" s="295">
        <v>207</v>
      </c>
      <c r="F86" s="293"/>
      <c r="G86" s="293"/>
      <c r="H86" s="293"/>
      <c r="I86" s="293"/>
      <c r="J86" s="293"/>
      <c r="K86" s="293"/>
      <c r="L86" s="293"/>
      <c r="M86" s="293"/>
      <c r="N86" s="293"/>
      <c r="O86" s="293"/>
      <c r="P86" s="293"/>
      <c r="Q86" s="293"/>
      <c r="R86" s="293"/>
      <c r="S86" s="293"/>
      <c r="T86" s="293"/>
      <c r="U86" s="293"/>
      <c r="V86" s="293"/>
      <c r="W86" s="293"/>
      <c r="X86" s="293"/>
      <c r="Y86" s="293"/>
      <c r="Z86" s="293"/>
    </row>
    <row r="87" spans="1:26" ht="18" customHeight="1">
      <c r="A87" s="283"/>
      <c r="B87" s="283"/>
      <c r="C87" s="283"/>
      <c r="D87" s="367"/>
      <c r="E87" s="295"/>
      <c r="F87" s="293"/>
      <c r="G87" s="293"/>
      <c r="H87" s="293"/>
      <c r="I87" s="293"/>
      <c r="J87" s="293"/>
      <c r="K87" s="293"/>
      <c r="L87" s="293"/>
      <c r="M87" s="293"/>
      <c r="N87" s="293"/>
      <c r="O87" s="293"/>
      <c r="P87" s="293"/>
      <c r="Q87" s="293"/>
      <c r="R87" s="293"/>
      <c r="S87" s="293"/>
      <c r="T87" s="293"/>
      <c r="U87" s="293"/>
      <c r="V87" s="293"/>
      <c r="W87" s="293"/>
      <c r="X87" s="293"/>
      <c r="Y87" s="293"/>
      <c r="Z87" s="293"/>
    </row>
    <row r="88" spans="1:26" ht="18" customHeight="1">
      <c r="A88" s="283" t="s">
        <v>1994</v>
      </c>
      <c r="B88" s="283" t="s">
        <v>3919</v>
      </c>
      <c r="C88" s="283"/>
      <c r="D88" s="366" t="s">
        <v>3920</v>
      </c>
      <c r="E88" s="295">
        <v>162</v>
      </c>
      <c r="F88" s="293"/>
      <c r="G88" s="293"/>
      <c r="H88" s="293"/>
      <c r="I88" s="293"/>
      <c r="J88" s="293"/>
      <c r="K88" s="293"/>
      <c r="L88" s="293"/>
      <c r="M88" s="293"/>
      <c r="N88" s="293"/>
      <c r="O88" s="293"/>
      <c r="P88" s="293"/>
      <c r="Q88" s="293"/>
      <c r="R88" s="293"/>
      <c r="S88" s="293"/>
      <c r="T88" s="293"/>
      <c r="U88" s="293"/>
      <c r="V88" s="293"/>
      <c r="W88" s="293"/>
      <c r="X88" s="293"/>
      <c r="Y88" s="293"/>
      <c r="Z88" s="293"/>
    </row>
    <row r="89" spans="1:26" ht="18" customHeight="1">
      <c r="A89" s="370"/>
      <c r="B89" s="293"/>
      <c r="C89" s="293"/>
      <c r="D89" s="293"/>
      <c r="E89" s="373"/>
      <c r="F89" s="293"/>
      <c r="G89" s="293"/>
      <c r="H89" s="293"/>
      <c r="I89" s="293"/>
      <c r="J89" s="293"/>
      <c r="K89" s="293"/>
      <c r="L89" s="293"/>
      <c r="M89" s="293"/>
      <c r="N89" s="293"/>
      <c r="O89" s="293"/>
      <c r="P89" s="293"/>
      <c r="Q89" s="293"/>
      <c r="R89" s="293"/>
      <c r="S89" s="293"/>
      <c r="T89" s="293"/>
      <c r="U89" s="293"/>
      <c r="V89" s="293"/>
      <c r="W89" s="293"/>
      <c r="X89" s="293"/>
      <c r="Y89" s="293"/>
      <c r="Z89" s="293"/>
    </row>
    <row r="90" spans="1:26" ht="18" customHeight="1">
      <c r="A90" s="370"/>
      <c r="B90" s="293"/>
      <c r="C90" s="293"/>
      <c r="D90" s="293"/>
      <c r="E90" s="373"/>
      <c r="F90" s="293"/>
      <c r="G90" s="293"/>
      <c r="H90" s="293"/>
      <c r="I90" s="293"/>
      <c r="J90" s="293"/>
      <c r="K90" s="293"/>
      <c r="L90" s="293"/>
      <c r="M90" s="293"/>
      <c r="N90" s="293"/>
      <c r="O90" s="293"/>
      <c r="P90" s="293"/>
      <c r="Q90" s="293"/>
      <c r="R90" s="293"/>
      <c r="S90" s="293"/>
      <c r="T90" s="293"/>
      <c r="U90" s="293"/>
      <c r="V90" s="293"/>
      <c r="W90" s="293"/>
      <c r="X90" s="293"/>
      <c r="Y90" s="293"/>
      <c r="Z90" s="293"/>
    </row>
    <row r="91" spans="1:26" ht="18" customHeight="1">
      <c r="A91" s="370"/>
      <c r="B91" s="293"/>
      <c r="C91" s="293"/>
      <c r="D91" s="293"/>
      <c r="E91" s="373"/>
      <c r="F91" s="293"/>
      <c r="G91" s="293"/>
      <c r="H91" s="293"/>
      <c r="I91" s="293"/>
      <c r="J91" s="293"/>
      <c r="K91" s="293"/>
      <c r="L91" s="293"/>
      <c r="M91" s="293"/>
      <c r="N91" s="293"/>
      <c r="O91" s="293"/>
      <c r="P91" s="293"/>
      <c r="Q91" s="293"/>
      <c r="R91" s="293"/>
      <c r="S91" s="293"/>
      <c r="T91" s="293"/>
      <c r="U91" s="293"/>
      <c r="V91" s="293"/>
      <c r="W91" s="293"/>
      <c r="X91" s="293"/>
      <c r="Y91" s="293"/>
      <c r="Z91" s="293"/>
    </row>
    <row r="92" spans="1:26" ht="18" customHeight="1">
      <c r="A92" s="370"/>
      <c r="B92" s="293"/>
      <c r="C92" s="293"/>
      <c r="D92" s="293"/>
      <c r="E92" s="37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</row>
    <row r="93" spans="1:26" ht="18" customHeight="1">
      <c r="A93" s="370"/>
      <c r="B93" s="293"/>
      <c r="C93" s="293"/>
      <c r="D93" s="293"/>
      <c r="E93" s="37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</row>
    <row r="94" spans="1:26" ht="18" customHeight="1">
      <c r="A94" s="370"/>
      <c r="B94" s="293"/>
      <c r="C94" s="293"/>
      <c r="D94" s="293"/>
      <c r="E94" s="373"/>
      <c r="F94" s="293"/>
      <c r="G94" s="293"/>
      <c r="H94" s="293"/>
      <c r="I94" s="293"/>
      <c r="J94" s="293"/>
      <c r="K94" s="293"/>
      <c r="L94" s="293"/>
      <c r="M94" s="293"/>
      <c r="N94" s="293"/>
      <c r="O94" s="293"/>
      <c r="P94" s="293"/>
      <c r="Q94" s="293"/>
      <c r="R94" s="293"/>
      <c r="S94" s="293"/>
      <c r="T94" s="293"/>
      <c r="U94" s="293"/>
      <c r="V94" s="293"/>
      <c r="W94" s="293"/>
      <c r="X94" s="293"/>
      <c r="Y94" s="293"/>
      <c r="Z94" s="293"/>
    </row>
    <row r="95" spans="1:26" ht="18" customHeight="1">
      <c r="A95" s="370"/>
      <c r="B95" s="293"/>
      <c r="C95" s="293"/>
      <c r="D95" s="293"/>
      <c r="E95" s="373"/>
      <c r="F95" s="293"/>
      <c r="G95" s="293"/>
      <c r="H95" s="293"/>
      <c r="I95" s="293"/>
      <c r="J95" s="293"/>
      <c r="K95" s="293"/>
      <c r="L95" s="293"/>
      <c r="M95" s="293"/>
      <c r="N95" s="293"/>
      <c r="O95" s="293"/>
      <c r="P95" s="293"/>
      <c r="Q95" s="293"/>
      <c r="R95" s="293"/>
      <c r="S95" s="293"/>
      <c r="T95" s="293"/>
      <c r="U95" s="293"/>
      <c r="V95" s="293"/>
      <c r="W95" s="293"/>
      <c r="X95" s="293"/>
      <c r="Y95" s="293"/>
      <c r="Z95" s="293"/>
    </row>
    <row r="96" spans="1:26" ht="18" customHeight="1">
      <c r="A96" s="370"/>
      <c r="B96" s="293"/>
      <c r="C96" s="293"/>
      <c r="D96" s="293"/>
      <c r="E96" s="373"/>
      <c r="F96" s="293"/>
      <c r="G96" s="293"/>
      <c r="H96" s="293"/>
      <c r="I96" s="293"/>
      <c r="J96" s="293"/>
      <c r="K96" s="293"/>
      <c r="L96" s="293"/>
      <c r="M96" s="293"/>
      <c r="N96" s="293"/>
      <c r="O96" s="293"/>
      <c r="P96" s="293"/>
      <c r="Q96" s="293"/>
      <c r="R96" s="293"/>
      <c r="S96" s="293"/>
      <c r="T96" s="293"/>
      <c r="U96" s="293"/>
      <c r="V96" s="293"/>
      <c r="W96" s="293"/>
      <c r="X96" s="293"/>
      <c r="Y96" s="293"/>
      <c r="Z96" s="293"/>
    </row>
    <row r="97" spans="1:26" ht="18" customHeight="1">
      <c r="A97" s="370"/>
      <c r="B97" s="293"/>
      <c r="C97" s="293"/>
      <c r="D97" s="293"/>
      <c r="E97" s="373"/>
      <c r="F97" s="293"/>
      <c r="G97" s="293"/>
      <c r="H97" s="293"/>
      <c r="I97" s="293"/>
      <c r="J97" s="293"/>
      <c r="K97" s="293"/>
      <c r="L97" s="293"/>
      <c r="M97" s="293"/>
      <c r="N97" s="293"/>
      <c r="O97" s="293"/>
      <c r="P97" s="293"/>
      <c r="Q97" s="293"/>
      <c r="R97" s="293"/>
      <c r="S97" s="293"/>
      <c r="T97" s="293"/>
      <c r="U97" s="293"/>
      <c r="V97" s="293"/>
      <c r="W97" s="293"/>
      <c r="X97" s="293"/>
      <c r="Y97" s="293"/>
      <c r="Z97" s="293"/>
    </row>
    <row r="98" spans="1:26" ht="18" customHeight="1">
      <c r="A98" s="370"/>
      <c r="B98" s="293"/>
      <c r="C98" s="293"/>
      <c r="D98" s="293"/>
      <c r="E98" s="373"/>
      <c r="F98" s="293"/>
      <c r="G98" s="293"/>
      <c r="H98" s="293"/>
      <c r="I98" s="293"/>
      <c r="J98" s="293"/>
      <c r="K98" s="293"/>
      <c r="L98" s="293"/>
      <c r="M98" s="293"/>
      <c r="N98" s="293"/>
      <c r="O98" s="293"/>
      <c r="P98" s="293"/>
      <c r="Q98" s="293"/>
      <c r="R98" s="293"/>
      <c r="S98" s="293"/>
      <c r="T98" s="293"/>
      <c r="U98" s="293"/>
      <c r="V98" s="293"/>
      <c r="W98" s="293"/>
      <c r="X98" s="293"/>
      <c r="Y98" s="293"/>
      <c r="Z98" s="293"/>
    </row>
    <row r="99" spans="1:26" ht="18" customHeight="1">
      <c r="A99" s="370"/>
      <c r="B99" s="293"/>
      <c r="C99" s="293"/>
      <c r="D99" s="293"/>
      <c r="E99" s="373"/>
      <c r="F99" s="293"/>
      <c r="G99" s="293"/>
      <c r="H99" s="293"/>
      <c r="I99" s="293"/>
      <c r="J99" s="293"/>
      <c r="K99" s="293"/>
      <c r="L99" s="293"/>
      <c r="M99" s="293"/>
      <c r="N99" s="293"/>
      <c r="O99" s="293"/>
      <c r="P99" s="293"/>
      <c r="Q99" s="293"/>
      <c r="R99" s="293"/>
      <c r="S99" s="293"/>
      <c r="T99" s="293"/>
      <c r="U99" s="293"/>
      <c r="V99" s="293"/>
      <c r="W99" s="293"/>
      <c r="X99" s="293"/>
      <c r="Y99" s="293"/>
      <c r="Z99" s="293"/>
    </row>
    <row r="100" spans="1:26" ht="18" customHeight="1">
      <c r="A100" s="370"/>
      <c r="B100" s="293"/>
      <c r="C100" s="293"/>
      <c r="D100" s="293"/>
      <c r="E100" s="373"/>
      <c r="F100" s="293"/>
      <c r="G100" s="293"/>
      <c r="H100" s="293"/>
      <c r="I100" s="293"/>
      <c r="J100" s="293"/>
      <c r="K100" s="293"/>
      <c r="L100" s="293"/>
      <c r="M100" s="293"/>
      <c r="N100" s="293"/>
      <c r="O100" s="293"/>
      <c r="P100" s="293"/>
      <c r="Q100" s="293"/>
      <c r="R100" s="293"/>
      <c r="S100" s="293"/>
      <c r="T100" s="293"/>
      <c r="U100" s="293"/>
      <c r="V100" s="293"/>
      <c r="W100" s="293"/>
      <c r="X100" s="293"/>
      <c r="Y100" s="293"/>
      <c r="Z100" s="293"/>
    </row>
  </sheetData>
  <mergeCells count="1">
    <mergeCell ref="A1:E1"/>
  </mergeCells>
  <hyperlinks>
    <hyperlink ref="D4" r:id="rId1" xr:uid="{00000000-0004-0000-2200-000000000000}"/>
    <hyperlink ref="D6" r:id="rId2" xr:uid="{00000000-0004-0000-2200-000001000000}"/>
    <hyperlink ref="D9" r:id="rId3" xr:uid="{00000000-0004-0000-2200-000002000000}"/>
    <hyperlink ref="D10" r:id="rId4" xr:uid="{00000000-0004-0000-2200-000003000000}"/>
    <hyperlink ref="D11" r:id="rId5" xr:uid="{00000000-0004-0000-2200-000004000000}"/>
    <hyperlink ref="D12" r:id="rId6" xr:uid="{00000000-0004-0000-2200-000005000000}"/>
    <hyperlink ref="D13" r:id="rId7" xr:uid="{00000000-0004-0000-2200-000006000000}"/>
    <hyperlink ref="D16" r:id="rId8" xr:uid="{00000000-0004-0000-2200-000007000000}"/>
    <hyperlink ref="D17" r:id="rId9" xr:uid="{00000000-0004-0000-2200-000008000000}"/>
    <hyperlink ref="D18" r:id="rId10" xr:uid="{00000000-0004-0000-2200-000009000000}"/>
    <hyperlink ref="D19" r:id="rId11" xr:uid="{00000000-0004-0000-2200-00000A000000}"/>
    <hyperlink ref="D20" r:id="rId12" xr:uid="{00000000-0004-0000-2200-00000B000000}"/>
    <hyperlink ref="D21" r:id="rId13" xr:uid="{00000000-0004-0000-2200-00000C000000}"/>
    <hyperlink ref="D22" r:id="rId14" xr:uid="{00000000-0004-0000-2200-00000D000000}"/>
    <hyperlink ref="D23" r:id="rId15" xr:uid="{00000000-0004-0000-2200-00000E000000}"/>
    <hyperlink ref="D24" r:id="rId16" xr:uid="{00000000-0004-0000-2200-00000F000000}"/>
    <hyperlink ref="D25" r:id="rId17" xr:uid="{00000000-0004-0000-2200-000010000000}"/>
    <hyperlink ref="D26" r:id="rId18" xr:uid="{00000000-0004-0000-2200-000011000000}"/>
    <hyperlink ref="D27" r:id="rId19" xr:uid="{00000000-0004-0000-2200-000012000000}"/>
    <hyperlink ref="D28" r:id="rId20" xr:uid="{00000000-0004-0000-2200-000013000000}"/>
    <hyperlink ref="D29" r:id="rId21" xr:uid="{00000000-0004-0000-2200-000014000000}"/>
    <hyperlink ref="D30" r:id="rId22" xr:uid="{00000000-0004-0000-2200-000015000000}"/>
    <hyperlink ref="D31" r:id="rId23" xr:uid="{00000000-0004-0000-2200-000016000000}"/>
    <hyperlink ref="D32" r:id="rId24" xr:uid="{00000000-0004-0000-2200-000017000000}"/>
    <hyperlink ref="D33" r:id="rId25" xr:uid="{00000000-0004-0000-2200-000018000000}"/>
    <hyperlink ref="D34" r:id="rId26" xr:uid="{00000000-0004-0000-2200-000019000000}"/>
    <hyperlink ref="D36" r:id="rId27" xr:uid="{00000000-0004-0000-2200-00001A000000}"/>
    <hyperlink ref="D37" r:id="rId28" xr:uid="{00000000-0004-0000-2200-00001B000000}"/>
    <hyperlink ref="D39" r:id="rId29" xr:uid="{00000000-0004-0000-2200-00001C000000}"/>
    <hyperlink ref="D41" r:id="rId30" xr:uid="{00000000-0004-0000-2200-00001D000000}"/>
    <hyperlink ref="D42" r:id="rId31" xr:uid="{00000000-0004-0000-2200-00001E000000}"/>
    <hyperlink ref="D43" r:id="rId32" xr:uid="{00000000-0004-0000-2200-00001F000000}"/>
    <hyperlink ref="D44" r:id="rId33" xr:uid="{00000000-0004-0000-2200-000020000000}"/>
    <hyperlink ref="D45" r:id="rId34" xr:uid="{00000000-0004-0000-2200-000021000000}"/>
    <hyperlink ref="D46" r:id="rId35" xr:uid="{00000000-0004-0000-2200-000022000000}"/>
    <hyperlink ref="D48" r:id="rId36" xr:uid="{00000000-0004-0000-2200-000023000000}"/>
    <hyperlink ref="D49" r:id="rId37" xr:uid="{00000000-0004-0000-2200-000024000000}"/>
    <hyperlink ref="D51" r:id="rId38" xr:uid="{00000000-0004-0000-2200-000025000000}"/>
    <hyperlink ref="D52" r:id="rId39" xr:uid="{00000000-0004-0000-2200-000026000000}"/>
    <hyperlink ref="D54" r:id="rId40" xr:uid="{00000000-0004-0000-2200-000027000000}"/>
    <hyperlink ref="D55" r:id="rId41" xr:uid="{00000000-0004-0000-2200-000028000000}"/>
    <hyperlink ref="D56" r:id="rId42" xr:uid="{00000000-0004-0000-2200-000029000000}"/>
    <hyperlink ref="D65" r:id="rId43" xr:uid="{00000000-0004-0000-2200-00002A000000}"/>
    <hyperlink ref="D68" r:id="rId44" xr:uid="{00000000-0004-0000-2200-00002B000000}"/>
    <hyperlink ref="D72" r:id="rId45" xr:uid="{00000000-0004-0000-2200-00002C000000}"/>
    <hyperlink ref="D74" r:id="rId46" xr:uid="{00000000-0004-0000-2200-00002D000000}"/>
    <hyperlink ref="D77" r:id="rId47" xr:uid="{00000000-0004-0000-2200-00002E000000}"/>
    <hyperlink ref="D78" r:id="rId48" xr:uid="{00000000-0004-0000-2200-00002F000000}"/>
    <hyperlink ref="D79" r:id="rId49" xr:uid="{00000000-0004-0000-2200-000030000000}"/>
    <hyperlink ref="D83" r:id="rId50" xr:uid="{00000000-0004-0000-2200-000031000000}"/>
    <hyperlink ref="D86" r:id="rId51" xr:uid="{00000000-0004-0000-2200-000032000000}"/>
    <hyperlink ref="D88" r:id="rId52" xr:uid="{00000000-0004-0000-2200-000033000000}"/>
  </hyperlinks>
  <pageMargins left="0.70866141732283472" right="0.70866141732283472" top="0.15748031496062992" bottom="0.15748031496062992" header="0" footer="0"/>
  <pageSetup paperSize="9" orientation="portrait"/>
  <drawing r:id="rId5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Z70"/>
  <sheetViews>
    <sheetView workbookViewId="0"/>
  </sheetViews>
  <sheetFormatPr defaultColWidth="14.3984375" defaultRowHeight="15" customHeight="1"/>
  <cols>
    <col min="1" max="1" width="40" customWidth="1"/>
    <col min="2" max="2" width="27.265625" customWidth="1"/>
    <col min="3" max="3" width="14.265625" hidden="1" customWidth="1"/>
    <col min="4" max="4" width="107.265625" customWidth="1"/>
    <col min="5" max="5" width="11" customWidth="1"/>
    <col min="6" max="6" width="3.73046875" customWidth="1"/>
    <col min="7" max="7" width="50.1328125" customWidth="1"/>
    <col min="8" max="25" width="9.1328125" customWidth="1"/>
  </cols>
  <sheetData>
    <row r="1" spans="1:26" ht="35.25" customHeight="1">
      <c r="A1" s="465"/>
      <c r="B1" s="408"/>
      <c r="C1" s="408"/>
      <c r="D1" s="408"/>
      <c r="E1" s="407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</row>
    <row r="2" spans="1:26" ht="18" customHeight="1">
      <c r="A2" s="294"/>
      <c r="B2" s="254" t="s">
        <v>2852</v>
      </c>
      <c r="C2" s="254"/>
      <c r="D2" s="254" t="s">
        <v>3357</v>
      </c>
      <c r="E2" s="295" t="s">
        <v>2854</v>
      </c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  <c r="X2" s="293"/>
      <c r="Y2" s="293"/>
      <c r="Z2" s="293"/>
    </row>
    <row r="3" spans="1:26" ht="18" customHeight="1">
      <c r="A3" s="294" t="s">
        <v>3921</v>
      </c>
      <c r="B3" s="283" t="s">
        <v>3922</v>
      </c>
      <c r="C3" s="283"/>
      <c r="D3" s="337" t="s">
        <v>3923</v>
      </c>
      <c r="E3" s="295">
        <v>8.1000000000000014</v>
      </c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</row>
    <row r="4" spans="1:26" ht="18" customHeight="1">
      <c r="A4" s="294" t="s">
        <v>3921</v>
      </c>
      <c r="B4" s="283" t="s">
        <v>3924</v>
      </c>
      <c r="C4" s="283"/>
      <c r="D4" s="336" t="s">
        <v>3925</v>
      </c>
      <c r="E4" s="295">
        <v>8.1000000000000014</v>
      </c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3"/>
      <c r="Z4" s="293"/>
    </row>
    <row r="5" spans="1:26" ht="18" customHeight="1">
      <c r="A5" s="294" t="s">
        <v>3921</v>
      </c>
      <c r="B5" s="283" t="s">
        <v>3926</v>
      </c>
      <c r="C5" s="283"/>
      <c r="D5" s="336" t="s">
        <v>3925</v>
      </c>
      <c r="E5" s="295">
        <v>13.5</v>
      </c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  <c r="W5" s="293"/>
      <c r="X5" s="293"/>
      <c r="Y5" s="293"/>
      <c r="Z5" s="293"/>
    </row>
    <row r="6" spans="1:26" ht="18" customHeight="1">
      <c r="A6" s="294" t="s">
        <v>3921</v>
      </c>
      <c r="B6" s="283" t="s">
        <v>3927</v>
      </c>
      <c r="C6" s="283"/>
      <c r="D6" s="336" t="s">
        <v>3925</v>
      </c>
      <c r="E6" s="295">
        <v>13.5</v>
      </c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</row>
    <row r="7" spans="1:26" ht="18" customHeight="1">
      <c r="A7" s="294" t="s">
        <v>3921</v>
      </c>
      <c r="B7" s="283" t="s">
        <v>3928</v>
      </c>
      <c r="C7" s="283"/>
      <c r="D7" s="338" t="s">
        <v>3929</v>
      </c>
      <c r="E7" s="295">
        <v>20.25</v>
      </c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93"/>
      <c r="Q7" s="293"/>
      <c r="R7" s="293"/>
      <c r="S7" s="293"/>
      <c r="T7" s="293"/>
      <c r="U7" s="293"/>
      <c r="V7" s="293"/>
      <c r="W7" s="293"/>
      <c r="X7" s="293"/>
      <c r="Y7" s="293"/>
      <c r="Z7" s="293"/>
    </row>
    <row r="8" spans="1:26" ht="18" customHeight="1">
      <c r="A8" s="294" t="s">
        <v>3921</v>
      </c>
      <c r="B8" s="283" t="s">
        <v>3930</v>
      </c>
      <c r="C8" s="283"/>
      <c r="D8" s="338" t="s">
        <v>3929</v>
      </c>
      <c r="E8" s="295">
        <v>20.25</v>
      </c>
      <c r="F8" s="293"/>
      <c r="G8" s="293"/>
      <c r="H8" s="293"/>
      <c r="I8" s="293"/>
      <c r="J8" s="293"/>
      <c r="K8" s="293"/>
      <c r="L8" s="293"/>
      <c r="M8" s="293"/>
      <c r="N8" s="293"/>
      <c r="O8" s="293"/>
      <c r="P8" s="293"/>
      <c r="Q8" s="293"/>
      <c r="R8" s="293"/>
      <c r="S8" s="293"/>
      <c r="T8" s="293"/>
      <c r="U8" s="293"/>
      <c r="V8" s="293"/>
      <c r="W8" s="293"/>
      <c r="X8" s="293"/>
      <c r="Y8" s="293"/>
      <c r="Z8" s="293"/>
    </row>
    <row r="9" spans="1:26" ht="18" customHeight="1">
      <c r="A9" s="294"/>
      <c r="B9" s="283"/>
      <c r="C9" s="283"/>
      <c r="D9" s="338"/>
      <c r="E9" s="295"/>
      <c r="F9" s="293"/>
      <c r="G9" s="293"/>
      <c r="H9" s="293"/>
      <c r="I9" s="293"/>
      <c r="J9" s="293"/>
      <c r="K9" s="293"/>
      <c r="L9" s="293"/>
      <c r="M9" s="293"/>
      <c r="N9" s="293"/>
      <c r="O9" s="293"/>
      <c r="P9" s="293"/>
      <c r="Q9" s="293"/>
      <c r="R9" s="293"/>
      <c r="S9" s="293"/>
      <c r="T9" s="293"/>
      <c r="U9" s="293"/>
      <c r="V9" s="293"/>
      <c r="W9" s="293"/>
      <c r="X9" s="293"/>
      <c r="Y9" s="293"/>
      <c r="Z9" s="293"/>
    </row>
    <row r="10" spans="1:26" ht="18" customHeight="1">
      <c r="A10" s="294" t="s">
        <v>3931</v>
      </c>
      <c r="B10" s="283" t="s">
        <v>3932</v>
      </c>
      <c r="C10" s="283"/>
      <c r="D10" s="336" t="s">
        <v>3933</v>
      </c>
      <c r="E10" s="295">
        <v>20.25</v>
      </c>
      <c r="F10" s="293"/>
      <c r="G10" s="293"/>
      <c r="H10" s="293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  <c r="Z10" s="293"/>
    </row>
    <row r="11" spans="1:26" ht="18" customHeight="1">
      <c r="A11" s="294" t="s">
        <v>3931</v>
      </c>
      <c r="B11" s="283" t="s">
        <v>3934</v>
      </c>
      <c r="C11" s="283"/>
      <c r="D11" s="336" t="s">
        <v>3933</v>
      </c>
      <c r="E11" s="295">
        <v>13.5</v>
      </c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</row>
    <row r="12" spans="1:26" ht="18" customHeight="1">
      <c r="A12" s="294" t="s">
        <v>3931</v>
      </c>
      <c r="B12" s="283" t="s">
        <v>3935</v>
      </c>
      <c r="C12" s="283"/>
      <c r="D12" s="337" t="s">
        <v>3936</v>
      </c>
      <c r="E12" s="295">
        <v>20.25</v>
      </c>
      <c r="F12" s="293"/>
      <c r="G12" s="293"/>
      <c r="H12" s="293"/>
      <c r="I12" s="293"/>
      <c r="J12" s="293"/>
      <c r="K12" s="293"/>
      <c r="L12" s="293"/>
      <c r="M12" s="293"/>
      <c r="N12" s="293"/>
      <c r="O12" s="293"/>
      <c r="P12" s="293"/>
      <c r="Q12" s="293"/>
      <c r="R12" s="293"/>
      <c r="S12" s="293"/>
      <c r="T12" s="293"/>
      <c r="U12" s="293"/>
      <c r="V12" s="293"/>
      <c r="W12" s="293"/>
      <c r="X12" s="293"/>
      <c r="Y12" s="293"/>
      <c r="Z12" s="293"/>
    </row>
    <row r="13" spans="1:26" ht="18" customHeight="1">
      <c r="A13" s="294"/>
      <c r="B13" s="283"/>
      <c r="C13" s="283"/>
      <c r="D13" s="338"/>
      <c r="E13" s="295"/>
      <c r="F13" s="293"/>
      <c r="G13" s="293"/>
      <c r="H13" s="293"/>
      <c r="I13" s="293"/>
      <c r="J13" s="293"/>
      <c r="K13" s="293"/>
      <c r="L13" s="293"/>
      <c r="M13" s="293"/>
      <c r="N13" s="293"/>
      <c r="O13" s="293"/>
      <c r="P13" s="293"/>
      <c r="Q13" s="293"/>
      <c r="R13" s="293"/>
      <c r="S13" s="293"/>
      <c r="T13" s="293"/>
      <c r="U13" s="293"/>
      <c r="V13" s="293"/>
      <c r="W13" s="293"/>
      <c r="X13" s="293"/>
      <c r="Y13" s="293"/>
      <c r="Z13" s="293"/>
    </row>
    <row r="14" spans="1:26" ht="18" customHeight="1">
      <c r="A14" s="294" t="s">
        <v>3937</v>
      </c>
      <c r="B14" s="283" t="s">
        <v>3938</v>
      </c>
      <c r="C14" s="283"/>
      <c r="D14" s="336" t="s">
        <v>3939</v>
      </c>
      <c r="E14" s="295">
        <v>8.1000000000000014</v>
      </c>
      <c r="F14" s="293"/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</row>
    <row r="15" spans="1:26" ht="18" customHeight="1">
      <c r="A15" s="294" t="s">
        <v>3937</v>
      </c>
      <c r="B15" s="283" t="s">
        <v>3940</v>
      </c>
      <c r="C15" s="283"/>
      <c r="D15" s="336" t="s">
        <v>3939</v>
      </c>
      <c r="E15" s="295">
        <v>8.1000000000000014</v>
      </c>
      <c r="F15" s="293"/>
      <c r="G15" s="293"/>
      <c r="H15" s="293"/>
      <c r="I15" s="293"/>
      <c r="J15" s="293"/>
      <c r="K15" s="293"/>
      <c r="L15" s="293"/>
      <c r="M15" s="293"/>
      <c r="N15" s="293"/>
      <c r="O15" s="293"/>
      <c r="P15" s="293"/>
      <c r="Q15" s="293"/>
      <c r="R15" s="293"/>
      <c r="S15" s="293"/>
      <c r="T15" s="293"/>
      <c r="U15" s="293"/>
      <c r="V15" s="293"/>
      <c r="W15" s="293"/>
      <c r="X15" s="293"/>
      <c r="Y15" s="293"/>
      <c r="Z15" s="293"/>
    </row>
    <row r="16" spans="1:26" ht="18" customHeight="1">
      <c r="A16" s="294" t="s">
        <v>3937</v>
      </c>
      <c r="B16" s="283" t="s">
        <v>3941</v>
      </c>
      <c r="C16" s="283"/>
      <c r="D16" s="336" t="s">
        <v>3939</v>
      </c>
      <c r="E16" s="295">
        <v>8.1000000000000014</v>
      </c>
      <c r="F16" s="293"/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</row>
    <row r="17" spans="1:26" ht="18" customHeight="1">
      <c r="A17" s="294" t="s">
        <v>3937</v>
      </c>
      <c r="B17" s="283" t="s">
        <v>3942</v>
      </c>
      <c r="C17" s="283"/>
      <c r="D17" s="336" t="s">
        <v>3943</v>
      </c>
      <c r="E17" s="295">
        <v>13.5</v>
      </c>
      <c r="F17" s="293"/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293"/>
      <c r="X17" s="293"/>
      <c r="Y17" s="293"/>
      <c r="Z17" s="293"/>
    </row>
    <row r="18" spans="1:26" ht="18" customHeight="1">
      <c r="A18" s="294" t="s">
        <v>3937</v>
      </c>
      <c r="B18" s="283" t="s">
        <v>3944</v>
      </c>
      <c r="C18" s="283"/>
      <c r="D18" s="336" t="s">
        <v>3943</v>
      </c>
      <c r="E18" s="295">
        <v>13.5</v>
      </c>
      <c r="F18" s="293"/>
      <c r="G18" s="293"/>
      <c r="H18" s="293"/>
      <c r="I18" s="293"/>
      <c r="J18" s="293"/>
      <c r="K18" s="293"/>
      <c r="L18" s="293"/>
      <c r="M18" s="293"/>
      <c r="N18" s="293"/>
      <c r="O18" s="293"/>
      <c r="P18" s="293"/>
      <c r="Q18" s="293"/>
      <c r="R18" s="293"/>
      <c r="S18" s="293"/>
      <c r="T18" s="293"/>
      <c r="U18" s="293"/>
      <c r="V18" s="293"/>
      <c r="W18" s="293"/>
      <c r="X18" s="293"/>
      <c r="Y18" s="293"/>
      <c r="Z18" s="293"/>
    </row>
    <row r="19" spans="1:26" ht="18" customHeight="1">
      <c r="A19" s="294" t="s">
        <v>3937</v>
      </c>
      <c r="B19" s="283" t="s">
        <v>3945</v>
      </c>
      <c r="C19" s="283"/>
      <c r="D19" s="336" t="s">
        <v>3943</v>
      </c>
      <c r="E19" s="295">
        <v>13.5</v>
      </c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</row>
    <row r="20" spans="1:26" ht="18" customHeight="1">
      <c r="A20" s="294" t="s">
        <v>3937</v>
      </c>
      <c r="B20" s="283" t="s">
        <v>3946</v>
      </c>
      <c r="C20" s="283"/>
      <c r="D20" s="336" t="s">
        <v>3943</v>
      </c>
      <c r="E20" s="295">
        <v>13.5</v>
      </c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</row>
    <row r="21" spans="1:26" ht="18" customHeight="1">
      <c r="A21" s="294" t="s">
        <v>3937</v>
      </c>
      <c r="B21" s="283" t="s">
        <v>3947</v>
      </c>
      <c r="C21" s="283"/>
      <c r="D21" s="338" t="s">
        <v>3948</v>
      </c>
      <c r="E21" s="295">
        <v>8.1000000000000014</v>
      </c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</row>
    <row r="22" spans="1:26" ht="18" customHeight="1">
      <c r="A22" s="294" t="s">
        <v>3937</v>
      </c>
      <c r="B22" s="283" t="s">
        <v>3949</v>
      </c>
      <c r="C22" s="283"/>
      <c r="D22" s="338" t="s">
        <v>3950</v>
      </c>
      <c r="E22" s="295">
        <v>8.1000000000000014</v>
      </c>
      <c r="F22" s="293"/>
      <c r="G22" s="29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3"/>
      <c r="W22" s="293"/>
      <c r="X22" s="293"/>
      <c r="Y22" s="293"/>
      <c r="Z22" s="293"/>
    </row>
    <row r="23" spans="1:26" ht="18" customHeight="1">
      <c r="A23" s="294" t="s">
        <v>3937</v>
      </c>
      <c r="B23" s="283" t="s">
        <v>3951</v>
      </c>
      <c r="C23" s="283"/>
      <c r="D23" s="338" t="s">
        <v>3952</v>
      </c>
      <c r="E23" s="295">
        <v>8.1000000000000014</v>
      </c>
      <c r="F23" s="293"/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3"/>
      <c r="R23" s="293"/>
      <c r="S23" s="293"/>
      <c r="T23" s="293"/>
      <c r="U23" s="293"/>
      <c r="V23" s="293"/>
      <c r="W23" s="293"/>
      <c r="X23" s="293"/>
      <c r="Y23" s="293"/>
      <c r="Z23" s="293"/>
    </row>
    <row r="24" spans="1:26" ht="18" customHeight="1">
      <c r="A24" s="294" t="s">
        <v>3937</v>
      </c>
      <c r="B24" s="283" t="s">
        <v>3953</v>
      </c>
      <c r="C24" s="283"/>
      <c r="D24" s="338" t="s">
        <v>3952</v>
      </c>
      <c r="E24" s="295">
        <v>8.1000000000000014</v>
      </c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/>
      <c r="R24" s="293"/>
      <c r="S24" s="293"/>
      <c r="T24" s="293"/>
      <c r="U24" s="293"/>
      <c r="V24" s="293"/>
      <c r="W24" s="293"/>
      <c r="X24" s="293"/>
      <c r="Y24" s="293"/>
      <c r="Z24" s="293"/>
    </row>
    <row r="25" spans="1:26" ht="18" customHeight="1">
      <c r="A25" s="294" t="s">
        <v>3937</v>
      </c>
      <c r="B25" s="283" t="s">
        <v>3954</v>
      </c>
      <c r="C25" s="283"/>
      <c r="D25" s="338" t="s">
        <v>3952</v>
      </c>
      <c r="E25" s="295">
        <v>13.5</v>
      </c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293"/>
      <c r="S25" s="293"/>
      <c r="T25" s="293"/>
      <c r="U25" s="293"/>
      <c r="V25" s="293"/>
      <c r="W25" s="293"/>
      <c r="X25" s="293"/>
      <c r="Y25" s="293"/>
      <c r="Z25" s="293"/>
    </row>
    <row r="26" spans="1:26" ht="18" customHeight="1">
      <c r="A26" s="294" t="s">
        <v>3937</v>
      </c>
      <c r="B26" s="283" t="s">
        <v>3955</v>
      </c>
      <c r="C26" s="283"/>
      <c r="D26" s="338" t="s">
        <v>3956</v>
      </c>
      <c r="E26" s="295">
        <v>20.25</v>
      </c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293"/>
      <c r="S26" s="293"/>
      <c r="T26" s="293"/>
      <c r="U26" s="293"/>
      <c r="V26" s="293"/>
      <c r="W26" s="293"/>
      <c r="X26" s="293"/>
      <c r="Y26" s="293"/>
      <c r="Z26" s="293"/>
    </row>
    <row r="27" spans="1:26" ht="18" customHeight="1">
      <c r="A27" s="294" t="s">
        <v>3937</v>
      </c>
      <c r="B27" s="283" t="s">
        <v>3957</v>
      </c>
      <c r="C27" s="283"/>
      <c r="D27" s="338" t="s">
        <v>3952</v>
      </c>
      <c r="E27" s="295">
        <v>13.5</v>
      </c>
      <c r="F27" s="293"/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</row>
    <row r="28" spans="1:26" ht="18" customHeight="1">
      <c r="A28" s="294" t="s">
        <v>3937</v>
      </c>
      <c r="B28" s="283" t="s">
        <v>3958</v>
      </c>
      <c r="C28" s="283"/>
      <c r="D28" s="338" t="s">
        <v>3959</v>
      </c>
      <c r="E28" s="295">
        <v>20.25</v>
      </c>
      <c r="F28" s="293"/>
      <c r="G28" s="293"/>
      <c r="H28" s="293"/>
      <c r="I28" s="293"/>
      <c r="J28" s="293"/>
      <c r="K28" s="293"/>
      <c r="L28" s="293"/>
      <c r="M28" s="293"/>
      <c r="N28" s="293"/>
      <c r="O28" s="293"/>
      <c r="P28" s="293"/>
      <c r="Q28" s="293"/>
      <c r="R28" s="293"/>
      <c r="S28" s="293"/>
      <c r="T28" s="293"/>
      <c r="U28" s="293"/>
      <c r="V28" s="293"/>
      <c r="W28" s="293"/>
      <c r="X28" s="293"/>
      <c r="Y28" s="293"/>
      <c r="Z28" s="293"/>
    </row>
    <row r="29" spans="1:26" ht="18" customHeight="1">
      <c r="A29" s="294" t="s">
        <v>3937</v>
      </c>
      <c r="B29" s="283" t="s">
        <v>3960</v>
      </c>
      <c r="C29" s="283"/>
      <c r="D29" s="338" t="s">
        <v>3961</v>
      </c>
      <c r="E29" s="295">
        <v>8.1000000000000014</v>
      </c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3"/>
      <c r="Z29" s="293"/>
    </row>
    <row r="30" spans="1:26" ht="18" customHeight="1">
      <c r="A30" s="294" t="s">
        <v>3937</v>
      </c>
      <c r="B30" s="283" t="s">
        <v>3962</v>
      </c>
      <c r="C30" s="283"/>
      <c r="D30" s="338" t="s">
        <v>3963</v>
      </c>
      <c r="E30" s="295">
        <v>8.1000000000000014</v>
      </c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</row>
    <row r="31" spans="1:26" ht="18" customHeight="1">
      <c r="A31" s="294" t="s">
        <v>3937</v>
      </c>
      <c r="B31" s="283" t="s">
        <v>3964</v>
      </c>
      <c r="C31" s="283"/>
      <c r="D31" s="336" t="s">
        <v>3965</v>
      </c>
      <c r="E31" s="295">
        <v>8.1000000000000014</v>
      </c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</row>
    <row r="32" spans="1:26" ht="18" customHeight="1">
      <c r="A32" s="294" t="s">
        <v>3937</v>
      </c>
      <c r="B32" s="283" t="s">
        <v>3966</v>
      </c>
      <c r="C32" s="283"/>
      <c r="D32" s="336" t="s">
        <v>3965</v>
      </c>
      <c r="E32" s="295">
        <v>8.1000000000000014</v>
      </c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</row>
    <row r="33" spans="1:26" ht="18" customHeight="1">
      <c r="A33" s="294" t="s">
        <v>3937</v>
      </c>
      <c r="B33" s="283" t="s">
        <v>3967</v>
      </c>
      <c r="C33" s="283"/>
      <c r="D33" s="338" t="s">
        <v>3968</v>
      </c>
      <c r="E33" s="295">
        <v>20.25</v>
      </c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</row>
    <row r="34" spans="1:26" ht="18" customHeight="1">
      <c r="A34" s="294"/>
      <c r="B34" s="283"/>
      <c r="C34" s="283"/>
      <c r="D34" s="338"/>
      <c r="E34" s="295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293"/>
      <c r="V34" s="293"/>
      <c r="W34" s="293"/>
      <c r="X34" s="293"/>
      <c r="Y34" s="293"/>
      <c r="Z34" s="293"/>
    </row>
    <row r="35" spans="1:26" ht="18" customHeight="1">
      <c r="A35" s="294" t="s">
        <v>3969</v>
      </c>
      <c r="B35" s="283" t="s">
        <v>3970</v>
      </c>
      <c r="C35" s="283"/>
      <c r="D35" s="337" t="s">
        <v>3971</v>
      </c>
      <c r="E35" s="295">
        <v>40.5</v>
      </c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</row>
    <row r="36" spans="1:26" ht="18" customHeight="1">
      <c r="A36" s="294"/>
      <c r="B36" s="283"/>
      <c r="C36" s="283"/>
      <c r="D36" s="338"/>
      <c r="E36" s="295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</row>
    <row r="37" spans="1:26" ht="18" customHeight="1">
      <c r="A37" s="294" t="s">
        <v>3972</v>
      </c>
      <c r="B37" s="283" t="s">
        <v>3973</v>
      </c>
      <c r="C37" s="283"/>
      <c r="D37" s="338" t="s">
        <v>3974</v>
      </c>
      <c r="E37" s="295">
        <v>13.5</v>
      </c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</row>
    <row r="38" spans="1:26" ht="18" customHeight="1">
      <c r="A38" s="294" t="s">
        <v>3972</v>
      </c>
      <c r="B38" s="283" t="s">
        <v>3975</v>
      </c>
      <c r="C38" s="283"/>
      <c r="D38" s="337" t="s">
        <v>3976</v>
      </c>
      <c r="E38" s="295">
        <v>13.5</v>
      </c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</row>
    <row r="39" spans="1:26" ht="18" customHeight="1">
      <c r="A39" s="294" t="s">
        <v>3972</v>
      </c>
      <c r="B39" s="283" t="s">
        <v>3977</v>
      </c>
      <c r="C39" s="283"/>
      <c r="D39" s="337" t="s">
        <v>3978</v>
      </c>
      <c r="E39" s="295">
        <v>13.5</v>
      </c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</row>
    <row r="40" spans="1:26" ht="18" customHeight="1">
      <c r="A40" s="294" t="s">
        <v>3972</v>
      </c>
      <c r="B40" s="283" t="s">
        <v>3979</v>
      </c>
      <c r="C40" s="283"/>
      <c r="D40" s="337" t="s">
        <v>3980</v>
      </c>
      <c r="E40" s="295">
        <v>13.5</v>
      </c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</row>
    <row r="41" spans="1:26" ht="18" customHeight="1">
      <c r="A41" s="294" t="s">
        <v>3972</v>
      </c>
      <c r="B41" s="283" t="s">
        <v>3981</v>
      </c>
      <c r="C41" s="283"/>
      <c r="D41" s="338" t="s">
        <v>3982</v>
      </c>
      <c r="E41" s="295">
        <v>13.5</v>
      </c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</row>
    <row r="42" spans="1:26" ht="18" customHeight="1">
      <c r="A42" s="294"/>
      <c r="B42" s="283"/>
      <c r="C42" s="283"/>
      <c r="D42" s="338"/>
      <c r="E42" s="295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</row>
    <row r="43" spans="1:26" ht="30" customHeight="1">
      <c r="A43" s="294" t="s">
        <v>3983</v>
      </c>
      <c r="B43" s="283" t="s">
        <v>3984</v>
      </c>
      <c r="C43" s="283"/>
      <c r="D43" s="336" t="s">
        <v>3985</v>
      </c>
      <c r="E43" s="295">
        <v>20.25</v>
      </c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</row>
    <row r="44" spans="1:26" ht="30" customHeight="1">
      <c r="A44" s="294" t="s">
        <v>3983</v>
      </c>
      <c r="B44" s="283" t="s">
        <v>3986</v>
      </c>
      <c r="C44" s="283"/>
      <c r="D44" s="336" t="s">
        <v>3985</v>
      </c>
      <c r="E44" s="295">
        <v>20.25</v>
      </c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</row>
    <row r="45" spans="1:26" ht="18" customHeight="1">
      <c r="A45" s="294"/>
      <c r="B45" s="283"/>
      <c r="C45" s="283"/>
      <c r="D45" s="338"/>
      <c r="E45" s="295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</row>
    <row r="46" spans="1:26" ht="18" customHeight="1">
      <c r="A46" s="294" t="s">
        <v>2099</v>
      </c>
      <c r="B46" s="283" t="s">
        <v>3987</v>
      </c>
      <c r="C46" s="283"/>
      <c r="D46" s="338" t="s">
        <v>3988</v>
      </c>
      <c r="E46" s="295">
        <v>8.1</v>
      </c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</row>
    <row r="47" spans="1:26" ht="18" customHeight="1">
      <c r="A47" s="294"/>
      <c r="B47" s="283"/>
      <c r="C47" s="283"/>
      <c r="D47" s="59"/>
      <c r="E47" s="295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</row>
    <row r="48" spans="1:26" ht="18" customHeight="1">
      <c r="A48" s="294" t="s">
        <v>3989</v>
      </c>
      <c r="B48" s="283" t="s">
        <v>3990</v>
      </c>
      <c r="C48" s="283"/>
      <c r="D48" s="338" t="s">
        <v>3991</v>
      </c>
      <c r="E48" s="295">
        <v>13.5</v>
      </c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</row>
    <row r="49" spans="1:26" ht="18" customHeight="1">
      <c r="A49" s="294" t="s">
        <v>3989</v>
      </c>
      <c r="B49" s="283" t="s">
        <v>3992</v>
      </c>
      <c r="C49" s="283"/>
      <c r="D49" s="338" t="s">
        <v>3993</v>
      </c>
      <c r="E49" s="295">
        <v>13.5</v>
      </c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</row>
    <row r="50" spans="1:26" ht="18" customHeight="1">
      <c r="A50" s="293"/>
      <c r="B50" s="293"/>
      <c r="C50" s="293"/>
      <c r="D50" s="293"/>
      <c r="E50" s="304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</row>
    <row r="51" spans="1:26" ht="18" customHeight="1">
      <c r="A51" s="293"/>
      <c r="B51" s="293"/>
      <c r="C51" s="293"/>
      <c r="D51" s="293"/>
      <c r="E51" s="304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</row>
    <row r="52" spans="1:26" ht="18" customHeight="1">
      <c r="A52" s="293"/>
      <c r="B52" s="293"/>
      <c r="C52" s="293"/>
      <c r="D52" s="293"/>
      <c r="E52" s="304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</row>
    <row r="53" spans="1:26" ht="18" customHeight="1">
      <c r="A53" s="293"/>
      <c r="B53" s="293"/>
      <c r="C53" s="293"/>
      <c r="D53" s="293"/>
      <c r="E53" s="304"/>
      <c r="F53" s="293"/>
      <c r="G53" s="293"/>
      <c r="H53" s="293"/>
      <c r="I53" s="293"/>
      <c r="J53" s="293"/>
      <c r="K53" s="293"/>
      <c r="L53" s="293"/>
      <c r="M53" s="293"/>
      <c r="N53" s="293"/>
      <c r="O53" s="293"/>
      <c r="P53" s="293"/>
      <c r="Q53" s="293"/>
      <c r="R53" s="293"/>
      <c r="S53" s="293"/>
      <c r="T53" s="293"/>
      <c r="U53" s="293"/>
      <c r="V53" s="293"/>
      <c r="W53" s="293"/>
      <c r="X53" s="293"/>
      <c r="Y53" s="293"/>
      <c r="Z53" s="293"/>
    </row>
    <row r="54" spans="1:26" ht="18" customHeight="1">
      <c r="A54" s="293"/>
      <c r="B54" s="293"/>
      <c r="C54" s="293"/>
      <c r="D54" s="293"/>
      <c r="E54" s="304"/>
      <c r="F54" s="293"/>
      <c r="G54" s="293"/>
      <c r="H54" s="293"/>
      <c r="I54" s="293"/>
      <c r="J54" s="293"/>
      <c r="K54" s="293"/>
      <c r="L54" s="293"/>
      <c r="M54" s="293"/>
      <c r="N54" s="293"/>
      <c r="O54" s="293"/>
      <c r="P54" s="293"/>
      <c r="Q54" s="293"/>
      <c r="R54" s="293"/>
      <c r="S54" s="293"/>
      <c r="T54" s="293"/>
      <c r="U54" s="293"/>
      <c r="V54" s="293"/>
      <c r="W54" s="293"/>
      <c r="X54" s="293"/>
      <c r="Y54" s="293"/>
      <c r="Z54" s="293"/>
    </row>
    <row r="55" spans="1:26" ht="18" customHeight="1">
      <c r="A55" s="293"/>
      <c r="B55" s="293"/>
      <c r="C55" s="293"/>
      <c r="D55" s="293"/>
      <c r="E55" s="304"/>
      <c r="F55" s="293"/>
      <c r="G55" s="293"/>
      <c r="H55" s="293"/>
      <c r="I55" s="293"/>
      <c r="J55" s="293"/>
      <c r="K55" s="293"/>
      <c r="L55" s="293"/>
      <c r="M55" s="293"/>
      <c r="N55" s="293"/>
      <c r="O55" s="293"/>
      <c r="P55" s="293"/>
      <c r="Q55" s="293"/>
      <c r="R55" s="293"/>
      <c r="S55" s="293"/>
      <c r="T55" s="293"/>
      <c r="U55" s="293"/>
      <c r="V55" s="293"/>
      <c r="W55" s="293"/>
      <c r="X55" s="293"/>
      <c r="Y55" s="293"/>
      <c r="Z55" s="293"/>
    </row>
    <row r="56" spans="1:26" ht="18" customHeight="1">
      <c r="A56" s="293"/>
      <c r="B56" s="293"/>
      <c r="C56" s="293"/>
      <c r="D56" s="293"/>
      <c r="E56" s="304"/>
      <c r="F56" s="293"/>
      <c r="G56" s="293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</row>
    <row r="57" spans="1:26" ht="18" customHeight="1">
      <c r="A57" s="293"/>
      <c r="B57" s="293"/>
      <c r="C57" s="293"/>
      <c r="D57" s="293"/>
      <c r="E57" s="304"/>
      <c r="F57" s="293"/>
      <c r="G57" s="293"/>
      <c r="H57" s="293"/>
      <c r="I57" s="293"/>
      <c r="J57" s="293"/>
      <c r="K57" s="293"/>
      <c r="L57" s="293"/>
      <c r="M57" s="293"/>
      <c r="N57" s="293"/>
      <c r="O57" s="293"/>
      <c r="P57" s="293"/>
      <c r="Q57" s="293"/>
      <c r="R57" s="293"/>
      <c r="S57" s="293"/>
      <c r="T57" s="293"/>
      <c r="U57" s="293"/>
      <c r="V57" s="293"/>
      <c r="W57" s="293"/>
      <c r="X57" s="293"/>
      <c r="Y57" s="293"/>
      <c r="Z57" s="293"/>
    </row>
    <row r="58" spans="1:26" ht="18" customHeight="1">
      <c r="A58" s="293"/>
      <c r="B58" s="293"/>
      <c r="C58" s="293"/>
      <c r="D58" s="293"/>
      <c r="E58" s="304"/>
      <c r="F58" s="293"/>
      <c r="G58" s="293"/>
      <c r="H58" s="293"/>
      <c r="I58" s="293"/>
      <c r="J58" s="293"/>
      <c r="K58" s="293"/>
      <c r="L58" s="293"/>
      <c r="M58" s="293"/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93"/>
      <c r="Y58" s="293"/>
      <c r="Z58" s="293"/>
    </row>
    <row r="59" spans="1:26" ht="18" customHeight="1">
      <c r="A59" s="293"/>
      <c r="B59" s="293"/>
      <c r="C59" s="293"/>
      <c r="D59" s="293"/>
      <c r="E59" s="304"/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</row>
    <row r="60" spans="1:26" ht="18" customHeight="1">
      <c r="A60" s="293"/>
      <c r="B60" s="293"/>
      <c r="C60" s="293"/>
      <c r="D60" s="293"/>
      <c r="E60" s="304"/>
      <c r="F60" s="293"/>
      <c r="G60" s="293"/>
      <c r="H60" s="293"/>
      <c r="I60" s="293"/>
      <c r="J60" s="293"/>
      <c r="K60" s="29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93"/>
      <c r="Y60" s="293"/>
      <c r="Z60" s="293"/>
    </row>
    <row r="61" spans="1:26" ht="18" customHeight="1">
      <c r="A61" s="293"/>
      <c r="B61" s="293"/>
      <c r="C61" s="293"/>
      <c r="D61" s="293"/>
      <c r="E61" s="304"/>
      <c r="F61" s="293"/>
      <c r="G61" s="293"/>
      <c r="H61" s="293"/>
      <c r="I61" s="293"/>
      <c r="J61" s="293"/>
      <c r="K61" s="293"/>
      <c r="L61" s="293"/>
      <c r="M61" s="293"/>
      <c r="N61" s="293"/>
      <c r="O61" s="293"/>
      <c r="P61" s="293"/>
      <c r="Q61" s="293"/>
      <c r="R61" s="293"/>
      <c r="S61" s="293"/>
      <c r="T61" s="293"/>
      <c r="U61" s="293"/>
      <c r="V61" s="293"/>
      <c r="W61" s="293"/>
      <c r="X61" s="293"/>
      <c r="Y61" s="293"/>
      <c r="Z61" s="293"/>
    </row>
    <row r="62" spans="1:26" ht="18" customHeight="1">
      <c r="A62" s="293"/>
      <c r="B62" s="293"/>
      <c r="C62" s="293"/>
      <c r="D62" s="293"/>
      <c r="E62" s="304"/>
      <c r="F62" s="293"/>
      <c r="G62" s="293"/>
      <c r="H62" s="293"/>
      <c r="I62" s="293"/>
      <c r="J62" s="293"/>
      <c r="K62" s="293"/>
      <c r="L62" s="293"/>
      <c r="M62" s="293"/>
      <c r="N62" s="293"/>
      <c r="O62" s="293"/>
      <c r="P62" s="293"/>
      <c r="Q62" s="293"/>
      <c r="R62" s="293"/>
      <c r="S62" s="293"/>
      <c r="T62" s="293"/>
      <c r="U62" s="293"/>
      <c r="V62" s="293"/>
      <c r="W62" s="293"/>
      <c r="X62" s="293"/>
      <c r="Y62" s="293"/>
      <c r="Z62" s="293"/>
    </row>
    <row r="63" spans="1:26" ht="18" customHeight="1">
      <c r="A63" s="293"/>
      <c r="B63" s="293"/>
      <c r="C63" s="293"/>
      <c r="D63" s="293"/>
      <c r="E63" s="304"/>
      <c r="F63" s="293"/>
      <c r="G63" s="293"/>
      <c r="H63" s="293"/>
      <c r="I63" s="293"/>
      <c r="J63" s="293"/>
      <c r="K63" s="293"/>
      <c r="L63" s="293"/>
      <c r="M63" s="293"/>
      <c r="N63" s="293"/>
      <c r="O63" s="293"/>
      <c r="P63" s="293"/>
      <c r="Q63" s="293"/>
      <c r="R63" s="293"/>
      <c r="S63" s="293"/>
      <c r="T63" s="293"/>
      <c r="U63" s="293"/>
      <c r="V63" s="293"/>
      <c r="W63" s="293"/>
      <c r="X63" s="293"/>
      <c r="Y63" s="293"/>
      <c r="Z63" s="293"/>
    </row>
    <row r="64" spans="1:26" ht="18" customHeight="1">
      <c r="A64" s="293"/>
      <c r="B64" s="293"/>
      <c r="C64" s="293"/>
      <c r="D64" s="293"/>
      <c r="E64" s="304"/>
      <c r="F64" s="293"/>
      <c r="G64" s="293"/>
      <c r="H64" s="293"/>
      <c r="I64" s="293"/>
      <c r="J64" s="293"/>
      <c r="K64" s="293"/>
      <c r="L64" s="293"/>
      <c r="M64" s="293"/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93"/>
      <c r="Y64" s="293"/>
      <c r="Z64" s="293"/>
    </row>
    <row r="65" spans="1:26" ht="18" customHeight="1">
      <c r="A65" s="293"/>
      <c r="B65" s="293"/>
      <c r="C65" s="293"/>
      <c r="D65" s="293"/>
      <c r="E65" s="304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93"/>
      <c r="Y65" s="293"/>
      <c r="Z65" s="293"/>
    </row>
    <row r="66" spans="1:26" ht="18" customHeight="1">
      <c r="A66" s="293"/>
      <c r="B66" s="293"/>
      <c r="C66" s="293"/>
      <c r="D66" s="293"/>
      <c r="E66" s="304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93"/>
      <c r="Y66" s="293"/>
      <c r="Z66" s="293"/>
    </row>
    <row r="67" spans="1:26" ht="18" customHeight="1">
      <c r="A67" s="293"/>
      <c r="B67" s="293"/>
      <c r="C67" s="293"/>
      <c r="D67" s="293"/>
      <c r="E67" s="304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3"/>
      <c r="Q67" s="293"/>
      <c r="R67" s="293"/>
      <c r="S67" s="293"/>
      <c r="T67" s="293"/>
      <c r="U67" s="293"/>
      <c r="V67" s="293"/>
      <c r="W67" s="293"/>
      <c r="X67" s="293"/>
      <c r="Y67" s="293"/>
      <c r="Z67" s="293"/>
    </row>
    <row r="68" spans="1:26" ht="18" customHeight="1">
      <c r="A68" s="293"/>
      <c r="B68" s="293"/>
      <c r="C68" s="293"/>
      <c r="D68" s="293"/>
      <c r="E68" s="304"/>
      <c r="F68" s="293"/>
      <c r="G68" s="293"/>
      <c r="H68" s="293"/>
      <c r="I68" s="293"/>
      <c r="J68" s="293"/>
      <c r="K68" s="293"/>
      <c r="L68" s="293"/>
      <c r="M68" s="293"/>
      <c r="N68" s="293"/>
      <c r="O68" s="293"/>
      <c r="P68" s="293"/>
      <c r="Q68" s="293"/>
      <c r="R68" s="293"/>
      <c r="S68" s="293"/>
      <c r="T68" s="293"/>
      <c r="U68" s="293"/>
      <c r="V68" s="293"/>
      <c r="W68" s="293"/>
      <c r="X68" s="293"/>
      <c r="Y68" s="293"/>
      <c r="Z68" s="293"/>
    </row>
    <row r="69" spans="1:26" ht="18" customHeight="1">
      <c r="A69" s="293"/>
      <c r="B69" s="293"/>
      <c r="C69" s="293"/>
      <c r="D69" s="293"/>
      <c r="E69" s="304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</row>
    <row r="70" spans="1:26" ht="18" customHeight="1">
      <c r="A70" s="293"/>
      <c r="B70" s="293"/>
      <c r="C70" s="293"/>
      <c r="D70" s="293"/>
      <c r="E70" s="304"/>
      <c r="F70" s="293"/>
      <c r="G70" s="293"/>
      <c r="H70" s="293"/>
      <c r="I70" s="293"/>
      <c r="J70" s="293"/>
      <c r="K70" s="293"/>
      <c r="L70" s="293"/>
      <c r="M70" s="293"/>
      <c r="N70" s="293"/>
      <c r="O70" s="293"/>
      <c r="P70" s="293"/>
      <c r="Q70" s="293"/>
      <c r="R70" s="293"/>
      <c r="S70" s="293"/>
      <c r="T70" s="293"/>
      <c r="U70" s="293"/>
      <c r="V70" s="293"/>
      <c r="W70" s="293"/>
      <c r="X70" s="293"/>
      <c r="Y70" s="293"/>
      <c r="Z70" s="293"/>
    </row>
  </sheetData>
  <mergeCells count="1">
    <mergeCell ref="A1:E1"/>
  </mergeCells>
  <pageMargins left="0.7" right="0.7" top="0.75" bottom="0.75" header="0" footer="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70"/>
  <sheetViews>
    <sheetView workbookViewId="0"/>
  </sheetViews>
  <sheetFormatPr defaultColWidth="14.3984375" defaultRowHeight="15" customHeight="1"/>
  <cols>
    <col min="1" max="1" width="53.73046875" customWidth="1"/>
    <col min="2" max="2" width="18" customWidth="1"/>
    <col min="3" max="3" width="14.73046875" hidden="1" customWidth="1"/>
    <col min="4" max="4" width="77" customWidth="1"/>
    <col min="5" max="5" width="9" customWidth="1"/>
    <col min="6" max="6" width="4.73046875" customWidth="1"/>
    <col min="7" max="7" width="3.73046875" customWidth="1"/>
    <col min="8" max="25" width="9.1328125" customWidth="1"/>
  </cols>
  <sheetData>
    <row r="1" spans="1:26" ht="41.25" customHeight="1">
      <c r="A1" s="445"/>
      <c r="B1" s="408"/>
      <c r="C1" s="408"/>
      <c r="D1" s="408"/>
      <c r="E1" s="407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</row>
    <row r="2" spans="1:26" ht="18" customHeight="1">
      <c r="A2" s="294"/>
      <c r="B2" s="254" t="s">
        <v>2852</v>
      </c>
      <c r="C2" s="254"/>
      <c r="D2" s="254" t="s">
        <v>3357</v>
      </c>
      <c r="E2" s="295" t="s">
        <v>2854</v>
      </c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  <c r="X2" s="293"/>
      <c r="Y2" s="293"/>
      <c r="Z2" s="293"/>
    </row>
    <row r="3" spans="1:26" ht="18" customHeight="1">
      <c r="A3" s="294" t="s">
        <v>3994</v>
      </c>
      <c r="B3" s="283" t="s">
        <v>3995</v>
      </c>
      <c r="C3" s="283"/>
      <c r="D3" s="302" t="s">
        <v>3996</v>
      </c>
      <c r="E3" s="295">
        <v>49</v>
      </c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</row>
    <row r="4" spans="1:26" ht="18" customHeight="1">
      <c r="A4" s="294" t="s">
        <v>3994</v>
      </c>
      <c r="B4" s="283" t="s">
        <v>3997</v>
      </c>
      <c r="C4" s="283"/>
      <c r="D4" s="302" t="s">
        <v>3998</v>
      </c>
      <c r="E4" s="295">
        <v>96</v>
      </c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3"/>
      <c r="Z4" s="293"/>
    </row>
    <row r="5" spans="1:26" ht="18" customHeight="1">
      <c r="A5" s="294"/>
      <c r="B5" s="283"/>
      <c r="C5" s="283"/>
      <c r="D5" s="338"/>
      <c r="E5" s="295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  <c r="W5" s="293"/>
      <c r="X5" s="293"/>
      <c r="Y5" s="293"/>
      <c r="Z5" s="293"/>
    </row>
    <row r="6" spans="1:26" ht="18" customHeight="1">
      <c r="A6" s="294" t="s">
        <v>3999</v>
      </c>
      <c r="B6" s="283" t="s">
        <v>4000</v>
      </c>
      <c r="C6" s="374"/>
      <c r="D6" s="375" t="s">
        <v>4001</v>
      </c>
      <c r="E6" s="295">
        <v>169</v>
      </c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</row>
    <row r="7" spans="1:26" ht="18" customHeight="1">
      <c r="A7" s="294" t="s">
        <v>3999</v>
      </c>
      <c r="B7" s="283" t="s">
        <v>4002</v>
      </c>
      <c r="C7" s="374"/>
      <c r="D7" s="375" t="s">
        <v>4001</v>
      </c>
      <c r="E7" s="295">
        <v>169</v>
      </c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93"/>
      <c r="Q7" s="293"/>
      <c r="R7" s="293"/>
      <c r="S7" s="293"/>
      <c r="T7" s="293"/>
      <c r="U7" s="293"/>
      <c r="V7" s="293"/>
      <c r="W7" s="293"/>
      <c r="X7" s="293"/>
      <c r="Y7" s="293"/>
      <c r="Z7" s="293"/>
    </row>
    <row r="8" spans="1:26" ht="18" customHeight="1">
      <c r="A8" s="294" t="s">
        <v>3999</v>
      </c>
      <c r="B8" s="283" t="s">
        <v>4003</v>
      </c>
      <c r="C8" s="283"/>
      <c r="D8" s="302" t="s">
        <v>4001</v>
      </c>
      <c r="E8" s="295">
        <v>194</v>
      </c>
      <c r="F8" s="293"/>
      <c r="G8" s="293"/>
      <c r="H8" s="293"/>
      <c r="I8" s="293"/>
      <c r="J8" s="293"/>
      <c r="K8" s="293"/>
      <c r="L8" s="293"/>
      <c r="M8" s="293"/>
      <c r="N8" s="293"/>
      <c r="O8" s="293"/>
      <c r="P8" s="293"/>
      <c r="Q8" s="293"/>
      <c r="R8" s="293"/>
      <c r="S8" s="293"/>
      <c r="T8" s="293"/>
      <c r="U8" s="293"/>
      <c r="V8" s="293"/>
      <c r="W8" s="293"/>
      <c r="X8" s="293"/>
      <c r="Y8" s="293"/>
      <c r="Z8" s="293"/>
    </row>
    <row r="9" spans="1:26" ht="18" customHeight="1">
      <c r="A9" s="294" t="s">
        <v>3999</v>
      </c>
      <c r="B9" s="283" t="s">
        <v>4004</v>
      </c>
      <c r="C9" s="283"/>
      <c r="D9" s="302" t="s">
        <v>4005</v>
      </c>
      <c r="E9" s="295">
        <v>300</v>
      </c>
      <c r="F9" s="293"/>
      <c r="G9" s="293"/>
      <c r="H9" s="293"/>
      <c r="I9" s="293"/>
      <c r="J9" s="293"/>
      <c r="K9" s="293"/>
      <c r="L9" s="293"/>
      <c r="M9" s="293"/>
      <c r="N9" s="293"/>
      <c r="O9" s="293"/>
      <c r="P9" s="293"/>
      <c r="Q9" s="293"/>
      <c r="R9" s="293"/>
      <c r="S9" s="293"/>
      <c r="T9" s="293"/>
      <c r="U9" s="293"/>
      <c r="V9" s="293"/>
      <c r="W9" s="293"/>
      <c r="X9" s="293"/>
      <c r="Y9" s="293"/>
      <c r="Z9" s="293"/>
    </row>
    <row r="10" spans="1:26" ht="18" customHeight="1">
      <c r="A10" s="294"/>
      <c r="B10" s="283"/>
      <c r="C10" s="283"/>
      <c r="D10" s="338"/>
      <c r="E10" s="295"/>
      <c r="F10" s="293"/>
      <c r="G10" s="293"/>
      <c r="H10" s="293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  <c r="Z10" s="293"/>
    </row>
    <row r="11" spans="1:26" ht="18" customHeight="1">
      <c r="A11" s="294" t="s">
        <v>4006</v>
      </c>
      <c r="B11" s="283" t="s">
        <v>4007</v>
      </c>
      <c r="C11" s="283"/>
      <c r="D11" s="302" t="s">
        <v>4008</v>
      </c>
      <c r="E11" s="295">
        <v>211</v>
      </c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</row>
    <row r="12" spans="1:26" ht="18" customHeight="1">
      <c r="A12" s="294"/>
      <c r="B12" s="283"/>
      <c r="C12" s="283"/>
      <c r="D12" s="338"/>
      <c r="E12" s="295"/>
      <c r="F12" s="293"/>
      <c r="G12" s="293"/>
      <c r="H12" s="293"/>
      <c r="I12" s="293"/>
      <c r="J12" s="293"/>
      <c r="K12" s="293"/>
      <c r="L12" s="293"/>
      <c r="M12" s="293"/>
      <c r="N12" s="293"/>
      <c r="O12" s="293"/>
      <c r="P12" s="293"/>
      <c r="Q12" s="293"/>
      <c r="R12" s="293"/>
      <c r="S12" s="293"/>
      <c r="T12" s="293"/>
      <c r="U12" s="293"/>
      <c r="V12" s="293"/>
      <c r="W12" s="293"/>
      <c r="X12" s="293"/>
      <c r="Y12" s="293"/>
      <c r="Z12" s="293"/>
    </row>
    <row r="13" spans="1:26" ht="18" customHeight="1">
      <c r="A13" s="294" t="s">
        <v>4009</v>
      </c>
      <c r="B13" s="283" t="s">
        <v>4010</v>
      </c>
      <c r="C13" s="374"/>
      <c r="D13" s="376" t="s">
        <v>4008</v>
      </c>
      <c r="E13" s="295">
        <v>202</v>
      </c>
      <c r="F13" s="293"/>
      <c r="G13" s="293"/>
      <c r="H13" s="293"/>
      <c r="I13" s="293"/>
      <c r="J13" s="293"/>
      <c r="K13" s="293"/>
      <c r="L13" s="293"/>
      <c r="M13" s="293"/>
      <c r="N13" s="293"/>
      <c r="O13" s="293"/>
      <c r="P13" s="293"/>
      <c r="Q13" s="293"/>
      <c r="R13" s="293"/>
      <c r="S13" s="293"/>
      <c r="T13" s="293"/>
      <c r="U13" s="293"/>
      <c r="V13" s="293"/>
      <c r="W13" s="293"/>
      <c r="X13" s="293"/>
      <c r="Y13" s="293"/>
      <c r="Z13" s="293"/>
    </row>
    <row r="14" spans="1:26" ht="18" customHeight="1">
      <c r="A14" s="294"/>
      <c r="B14" s="283"/>
      <c r="C14" s="283"/>
      <c r="D14" s="338"/>
      <c r="E14" s="295"/>
      <c r="F14" s="293"/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</row>
    <row r="15" spans="1:26" ht="18" customHeight="1">
      <c r="A15" s="294" t="s">
        <v>4011</v>
      </c>
      <c r="B15" s="283" t="s">
        <v>4012</v>
      </c>
      <c r="C15" s="283"/>
      <c r="D15" s="302" t="s">
        <v>4013</v>
      </c>
      <c r="E15" s="295">
        <v>148</v>
      </c>
      <c r="F15" s="293"/>
      <c r="G15" s="293"/>
      <c r="H15" s="293"/>
      <c r="I15" s="293"/>
      <c r="J15" s="293"/>
      <c r="K15" s="293"/>
      <c r="L15" s="293"/>
      <c r="M15" s="293"/>
      <c r="N15" s="293"/>
      <c r="O15" s="293"/>
      <c r="P15" s="293"/>
      <c r="Q15" s="293"/>
      <c r="R15" s="293"/>
      <c r="S15" s="293"/>
      <c r="T15" s="293"/>
      <c r="U15" s="293"/>
      <c r="V15" s="293"/>
      <c r="W15" s="293"/>
      <c r="X15" s="293"/>
      <c r="Y15" s="293"/>
      <c r="Z15" s="293"/>
    </row>
    <row r="16" spans="1:26" ht="18" customHeight="1">
      <c r="A16" s="294" t="s">
        <v>4011</v>
      </c>
      <c r="B16" s="283" t="s">
        <v>4014</v>
      </c>
      <c r="C16" s="283"/>
      <c r="D16" s="302" t="s">
        <v>4015</v>
      </c>
      <c r="E16" s="295">
        <v>674</v>
      </c>
      <c r="F16" s="293"/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</row>
    <row r="17" spans="1:26" ht="18" customHeight="1">
      <c r="A17" s="294"/>
      <c r="B17" s="283"/>
      <c r="C17" s="283"/>
      <c r="D17" s="338"/>
      <c r="E17" s="295"/>
      <c r="F17" s="293"/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293"/>
      <c r="X17" s="293"/>
      <c r="Y17" s="293"/>
      <c r="Z17" s="293"/>
    </row>
    <row r="18" spans="1:26" ht="18" customHeight="1">
      <c r="A18" s="294" t="s">
        <v>4016</v>
      </c>
      <c r="B18" s="283" t="s">
        <v>4017</v>
      </c>
      <c r="C18" s="283"/>
      <c r="D18" s="302" t="s">
        <v>4018</v>
      </c>
      <c r="E18" s="295">
        <v>96</v>
      </c>
      <c r="F18" s="293"/>
      <c r="G18" s="293"/>
      <c r="H18" s="293"/>
      <c r="I18" s="293"/>
      <c r="J18" s="293"/>
      <c r="K18" s="293"/>
      <c r="L18" s="293"/>
      <c r="M18" s="293"/>
      <c r="N18" s="293"/>
      <c r="O18" s="293"/>
      <c r="P18" s="293"/>
      <c r="Q18" s="293"/>
      <c r="R18" s="293"/>
      <c r="S18" s="293"/>
      <c r="T18" s="293"/>
      <c r="U18" s="293"/>
      <c r="V18" s="293"/>
      <c r="W18" s="293"/>
      <c r="X18" s="293"/>
      <c r="Y18" s="293"/>
      <c r="Z18" s="293"/>
    </row>
    <row r="19" spans="1:26" ht="18" customHeight="1">
      <c r="A19" s="294" t="s">
        <v>4016</v>
      </c>
      <c r="B19" s="283" t="s">
        <v>4019</v>
      </c>
      <c r="C19" s="283"/>
      <c r="D19" s="302" t="s">
        <v>4020</v>
      </c>
      <c r="E19" s="295">
        <v>156</v>
      </c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</row>
    <row r="20" spans="1:26" ht="18" customHeight="1">
      <c r="A20" s="294" t="s">
        <v>4016</v>
      </c>
      <c r="B20" s="283" t="s">
        <v>4021</v>
      </c>
      <c r="C20" s="283"/>
      <c r="D20" s="302" t="s">
        <v>4015</v>
      </c>
      <c r="E20" s="295">
        <v>291</v>
      </c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</row>
    <row r="21" spans="1:26" ht="18" customHeight="1">
      <c r="A21" s="294"/>
      <c r="B21" s="283"/>
      <c r="C21" s="283"/>
      <c r="D21" s="338"/>
      <c r="E21" s="295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</row>
    <row r="22" spans="1:26" ht="18" customHeight="1">
      <c r="A22" s="294" t="s">
        <v>4022</v>
      </c>
      <c r="B22" s="283" t="s">
        <v>4023</v>
      </c>
      <c r="C22" s="283"/>
      <c r="D22" s="302" t="s">
        <v>4005</v>
      </c>
      <c r="E22" s="295">
        <v>337</v>
      </c>
      <c r="F22" s="293"/>
      <c r="G22" s="29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3"/>
      <c r="W22" s="293"/>
      <c r="X22" s="293"/>
      <c r="Y22" s="293"/>
      <c r="Z22" s="293"/>
    </row>
    <row r="23" spans="1:26" ht="18" customHeight="1">
      <c r="A23" s="294" t="s">
        <v>4022</v>
      </c>
      <c r="B23" s="283" t="s">
        <v>4024</v>
      </c>
      <c r="C23" s="283"/>
      <c r="D23" s="301" t="s">
        <v>4015</v>
      </c>
      <c r="E23" s="295">
        <v>959</v>
      </c>
      <c r="F23" s="293"/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3"/>
      <c r="R23" s="293"/>
      <c r="S23" s="293"/>
      <c r="T23" s="293"/>
      <c r="U23" s="293"/>
      <c r="V23" s="293"/>
      <c r="W23" s="293"/>
      <c r="X23" s="293"/>
      <c r="Y23" s="293"/>
      <c r="Z23" s="293"/>
    </row>
    <row r="24" spans="1:26" ht="18" customHeight="1">
      <c r="A24" s="294"/>
      <c r="B24" s="283"/>
      <c r="C24" s="283"/>
      <c r="D24" s="338"/>
      <c r="E24" s="295"/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/>
      <c r="R24" s="293"/>
      <c r="S24" s="293"/>
      <c r="T24" s="293"/>
      <c r="U24" s="293"/>
      <c r="V24" s="293"/>
      <c r="W24" s="293"/>
      <c r="X24" s="293"/>
      <c r="Y24" s="293"/>
      <c r="Z24" s="293"/>
    </row>
    <row r="25" spans="1:26" ht="18" customHeight="1">
      <c r="A25" s="294" t="s">
        <v>4025</v>
      </c>
      <c r="B25" s="283" t="s">
        <v>4026</v>
      </c>
      <c r="C25" s="283"/>
      <c r="D25" s="302" t="s">
        <v>4005</v>
      </c>
      <c r="E25" s="295">
        <v>175</v>
      </c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293"/>
      <c r="S25" s="293"/>
      <c r="T25" s="293"/>
      <c r="U25" s="293"/>
      <c r="V25" s="293"/>
      <c r="W25" s="293"/>
      <c r="X25" s="293"/>
      <c r="Y25" s="293"/>
      <c r="Z25" s="293"/>
    </row>
    <row r="26" spans="1:26" ht="18" customHeight="1">
      <c r="A26" s="294" t="s">
        <v>4025</v>
      </c>
      <c r="B26" s="283" t="s">
        <v>4027</v>
      </c>
      <c r="C26" s="374"/>
      <c r="D26" s="375" t="s">
        <v>4028</v>
      </c>
      <c r="E26" s="466">
        <v>134</v>
      </c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293"/>
      <c r="S26" s="293"/>
      <c r="T26" s="293"/>
      <c r="U26" s="293"/>
      <c r="V26" s="293"/>
      <c r="W26" s="293"/>
      <c r="X26" s="293"/>
      <c r="Y26" s="293"/>
      <c r="Z26" s="293"/>
    </row>
    <row r="27" spans="1:26" ht="18" customHeight="1">
      <c r="A27" s="294" t="s">
        <v>4025</v>
      </c>
      <c r="B27" s="283" t="s">
        <v>4029</v>
      </c>
      <c r="C27" s="374"/>
      <c r="D27" s="375" t="s">
        <v>4028</v>
      </c>
      <c r="E27" s="429"/>
      <c r="F27" s="293"/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</row>
    <row r="28" spans="1:26" ht="18" customHeight="1">
      <c r="A28" s="294" t="s">
        <v>4025</v>
      </c>
      <c r="B28" s="283" t="s">
        <v>4030</v>
      </c>
      <c r="C28" s="374"/>
      <c r="D28" s="375" t="s">
        <v>4028</v>
      </c>
      <c r="E28" s="466">
        <v>115</v>
      </c>
      <c r="F28" s="293"/>
      <c r="G28" s="293"/>
      <c r="H28" s="293"/>
      <c r="I28" s="293"/>
      <c r="J28" s="293"/>
      <c r="K28" s="293"/>
      <c r="L28" s="293"/>
      <c r="M28" s="293"/>
      <c r="N28" s="293"/>
      <c r="O28" s="293"/>
      <c r="P28" s="293"/>
      <c r="Q28" s="293"/>
      <c r="R28" s="293"/>
      <c r="S28" s="293"/>
      <c r="T28" s="293"/>
      <c r="U28" s="293"/>
      <c r="V28" s="293"/>
      <c r="W28" s="293"/>
      <c r="X28" s="293"/>
      <c r="Y28" s="293"/>
      <c r="Z28" s="293"/>
    </row>
    <row r="29" spans="1:26" ht="18" customHeight="1">
      <c r="A29" s="294" t="s">
        <v>4025</v>
      </c>
      <c r="B29" s="283" t="s">
        <v>4031</v>
      </c>
      <c r="C29" s="374"/>
      <c r="D29" s="375" t="s">
        <v>4028</v>
      </c>
      <c r="E29" s="429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3"/>
      <c r="Z29" s="293"/>
    </row>
    <row r="30" spans="1:26" ht="18" customHeight="1">
      <c r="A30" s="294" t="s">
        <v>4025</v>
      </c>
      <c r="B30" s="283" t="s">
        <v>4032</v>
      </c>
      <c r="C30" s="283"/>
      <c r="D30" s="302" t="s">
        <v>4033</v>
      </c>
      <c r="E30" s="295">
        <v>164</v>
      </c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</row>
    <row r="31" spans="1:26" ht="18" customHeight="1">
      <c r="A31" s="294"/>
      <c r="B31" s="283"/>
      <c r="C31" s="283"/>
      <c r="D31" s="338"/>
      <c r="E31" s="295"/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</row>
    <row r="32" spans="1:26" ht="18" customHeight="1">
      <c r="A32" s="294" t="s">
        <v>3972</v>
      </c>
      <c r="B32" s="283" t="s">
        <v>4034</v>
      </c>
      <c r="C32" s="283"/>
      <c r="D32" s="301" t="s">
        <v>4035</v>
      </c>
      <c r="E32" s="295">
        <v>98</v>
      </c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</row>
    <row r="33" spans="1:26" ht="18" customHeight="1">
      <c r="A33" s="294" t="s">
        <v>3972</v>
      </c>
      <c r="B33" s="283" t="s">
        <v>4036</v>
      </c>
      <c r="C33" s="374"/>
      <c r="D33" s="375" t="s">
        <v>4037</v>
      </c>
      <c r="E33" s="466">
        <v>42</v>
      </c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</row>
    <row r="34" spans="1:26" ht="18" customHeight="1">
      <c r="A34" s="294" t="s">
        <v>3972</v>
      </c>
      <c r="B34" s="283" t="s">
        <v>4038</v>
      </c>
      <c r="C34" s="377"/>
      <c r="D34" s="378"/>
      <c r="E34" s="429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293"/>
      <c r="V34" s="293"/>
      <c r="W34" s="293"/>
      <c r="X34" s="293"/>
      <c r="Y34" s="293"/>
      <c r="Z34" s="293"/>
    </row>
    <row r="35" spans="1:26" ht="18" customHeight="1">
      <c r="A35" s="294" t="s">
        <v>3972</v>
      </c>
      <c r="B35" s="283" t="s">
        <v>4039</v>
      </c>
      <c r="C35" s="283"/>
      <c r="D35" s="338" t="s">
        <v>4040</v>
      </c>
      <c r="E35" s="295">
        <v>42</v>
      </c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</row>
    <row r="36" spans="1:26" ht="18" customHeight="1">
      <c r="A36" s="294" t="s">
        <v>3972</v>
      </c>
      <c r="B36" s="283" t="s">
        <v>4041</v>
      </c>
      <c r="C36" s="374"/>
      <c r="D36" s="375" t="s">
        <v>4042</v>
      </c>
      <c r="E36" s="466">
        <v>75</v>
      </c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</row>
    <row r="37" spans="1:26" ht="18" customHeight="1">
      <c r="A37" s="283" t="s">
        <v>3972</v>
      </c>
      <c r="B37" s="283" t="s">
        <v>4043</v>
      </c>
      <c r="C37" s="374"/>
      <c r="D37" s="375" t="s">
        <v>4044</v>
      </c>
      <c r="E37" s="429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</row>
    <row r="38" spans="1:26" ht="18" customHeight="1">
      <c r="A38" s="294" t="s">
        <v>3972</v>
      </c>
      <c r="B38" s="283" t="s">
        <v>4045</v>
      </c>
      <c r="C38" s="283"/>
      <c r="D38" s="302" t="s">
        <v>4046</v>
      </c>
      <c r="E38" s="295">
        <v>164</v>
      </c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</row>
    <row r="39" spans="1:26" ht="18" customHeight="1">
      <c r="A39" s="294" t="s">
        <v>3972</v>
      </c>
      <c r="B39" s="283" t="s">
        <v>4047</v>
      </c>
      <c r="C39" s="374"/>
      <c r="D39" s="376" t="s">
        <v>4048</v>
      </c>
      <c r="E39" s="297">
        <v>215</v>
      </c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</row>
    <row r="40" spans="1:26" ht="18" customHeight="1">
      <c r="A40" s="294"/>
      <c r="B40" s="283"/>
      <c r="C40" s="283"/>
      <c r="D40" s="338"/>
      <c r="E40" s="295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</row>
    <row r="41" spans="1:26" ht="18" customHeight="1">
      <c r="A41" s="294" t="s">
        <v>4049</v>
      </c>
      <c r="B41" s="283" t="s">
        <v>4050</v>
      </c>
      <c r="C41" s="374"/>
      <c r="D41" s="375" t="s">
        <v>4040</v>
      </c>
      <c r="E41" s="466">
        <v>68</v>
      </c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</row>
    <row r="42" spans="1:26" ht="18" customHeight="1">
      <c r="A42" s="294" t="s">
        <v>4049</v>
      </c>
      <c r="B42" s="283" t="s">
        <v>4051</v>
      </c>
      <c r="C42" s="374"/>
      <c r="D42" s="375" t="s">
        <v>4052</v>
      </c>
      <c r="E42" s="429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</row>
    <row r="43" spans="1:26" ht="18" customHeight="1">
      <c r="A43" s="294" t="s">
        <v>4049</v>
      </c>
      <c r="B43" s="283" t="s">
        <v>4053</v>
      </c>
      <c r="C43" s="374"/>
      <c r="D43" s="375" t="s">
        <v>4054</v>
      </c>
      <c r="E43" s="466">
        <v>88</v>
      </c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</row>
    <row r="44" spans="1:26" ht="18" customHeight="1">
      <c r="A44" s="294" t="s">
        <v>4049</v>
      </c>
      <c r="B44" s="283" t="s">
        <v>4055</v>
      </c>
      <c r="C44" s="374"/>
      <c r="D44" s="375" t="s">
        <v>4056</v>
      </c>
      <c r="E44" s="429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</row>
    <row r="45" spans="1:26" ht="18" customHeight="1">
      <c r="A45" s="294"/>
      <c r="B45" s="283"/>
      <c r="C45" s="283"/>
      <c r="D45" s="338"/>
      <c r="E45" s="295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</row>
    <row r="46" spans="1:26" ht="18" customHeight="1">
      <c r="A46" s="294" t="s">
        <v>4057</v>
      </c>
      <c r="B46" s="283" t="s">
        <v>4058</v>
      </c>
      <c r="C46" s="283"/>
      <c r="D46" s="302" t="s">
        <v>4059</v>
      </c>
      <c r="E46" s="295">
        <v>191</v>
      </c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</row>
    <row r="47" spans="1:26" ht="18" customHeight="1">
      <c r="A47" s="294" t="s">
        <v>4057</v>
      </c>
      <c r="B47" s="283" t="s">
        <v>4060</v>
      </c>
      <c r="C47" s="283"/>
      <c r="D47" s="302" t="s">
        <v>4061</v>
      </c>
      <c r="E47" s="295">
        <v>50</v>
      </c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</row>
    <row r="48" spans="1:26" ht="18" customHeight="1">
      <c r="A48" s="294"/>
      <c r="B48" s="283"/>
      <c r="C48" s="283"/>
      <c r="D48" s="338"/>
      <c r="E48" s="295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</row>
    <row r="49" spans="1:26" ht="18" customHeight="1">
      <c r="A49" s="294" t="s">
        <v>4062</v>
      </c>
      <c r="B49" s="283" t="s">
        <v>4063</v>
      </c>
      <c r="C49" s="283"/>
      <c r="D49" s="302" t="s">
        <v>4064</v>
      </c>
      <c r="E49" s="295">
        <v>553</v>
      </c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</row>
    <row r="50" spans="1:26" ht="18" customHeight="1">
      <c r="A50" s="293"/>
      <c r="B50" s="293"/>
      <c r="C50" s="293"/>
      <c r="D50" s="293"/>
      <c r="E50" s="304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</row>
    <row r="51" spans="1:26" ht="18" customHeight="1">
      <c r="A51" s="293"/>
      <c r="B51" s="293"/>
      <c r="C51" s="293"/>
      <c r="D51" s="293"/>
      <c r="E51" s="304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</row>
    <row r="52" spans="1:26" ht="18" customHeight="1">
      <c r="A52" s="293"/>
      <c r="B52" s="293"/>
      <c r="C52" s="293"/>
      <c r="D52" s="293"/>
      <c r="E52" s="304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</row>
    <row r="53" spans="1:26" ht="18" customHeight="1">
      <c r="A53" s="293"/>
      <c r="B53" s="293"/>
      <c r="C53" s="293"/>
      <c r="D53" s="293"/>
      <c r="E53" s="304"/>
      <c r="F53" s="293"/>
      <c r="G53" s="293"/>
      <c r="H53" s="293"/>
      <c r="I53" s="293"/>
      <c r="J53" s="293"/>
      <c r="K53" s="293"/>
      <c r="L53" s="293"/>
      <c r="M53" s="293"/>
      <c r="N53" s="293"/>
      <c r="O53" s="293"/>
      <c r="P53" s="293"/>
      <c r="Q53" s="293"/>
      <c r="R53" s="293"/>
      <c r="S53" s="293"/>
      <c r="T53" s="293"/>
      <c r="U53" s="293"/>
      <c r="V53" s="293"/>
      <c r="W53" s="293"/>
      <c r="X53" s="293"/>
      <c r="Y53" s="293"/>
      <c r="Z53" s="293"/>
    </row>
    <row r="54" spans="1:26" ht="18" customHeight="1">
      <c r="A54" s="293"/>
      <c r="B54" s="293"/>
      <c r="C54" s="293"/>
      <c r="D54" s="293"/>
      <c r="E54" s="304"/>
      <c r="F54" s="293"/>
      <c r="G54" s="293"/>
      <c r="H54" s="293"/>
      <c r="I54" s="293"/>
      <c r="J54" s="293"/>
      <c r="K54" s="293"/>
      <c r="L54" s="293"/>
      <c r="M54" s="293"/>
      <c r="N54" s="293"/>
      <c r="O54" s="293"/>
      <c r="P54" s="293"/>
      <c r="Q54" s="293"/>
      <c r="R54" s="293"/>
      <c r="S54" s="293"/>
      <c r="T54" s="293"/>
      <c r="U54" s="293"/>
      <c r="V54" s="293"/>
      <c r="W54" s="293"/>
      <c r="X54" s="293"/>
      <c r="Y54" s="293"/>
      <c r="Z54" s="293"/>
    </row>
    <row r="55" spans="1:26" ht="18" customHeight="1">
      <c r="A55" s="293"/>
      <c r="B55" s="293"/>
      <c r="C55" s="293"/>
      <c r="D55" s="293"/>
      <c r="E55" s="304"/>
      <c r="F55" s="293"/>
      <c r="G55" s="293"/>
      <c r="H55" s="293"/>
      <c r="I55" s="293"/>
      <c r="J55" s="293"/>
      <c r="K55" s="293"/>
      <c r="L55" s="293"/>
      <c r="M55" s="293"/>
      <c r="N55" s="293"/>
      <c r="O55" s="293"/>
      <c r="P55" s="293"/>
      <c r="Q55" s="293"/>
      <c r="R55" s="293"/>
      <c r="S55" s="293"/>
      <c r="T55" s="293"/>
      <c r="U55" s="293"/>
      <c r="V55" s="293"/>
      <c r="W55" s="293"/>
      <c r="X55" s="293"/>
      <c r="Y55" s="293"/>
      <c r="Z55" s="293"/>
    </row>
    <row r="56" spans="1:26" ht="18" customHeight="1">
      <c r="A56" s="293"/>
      <c r="B56" s="293"/>
      <c r="C56" s="293"/>
      <c r="D56" s="293"/>
      <c r="E56" s="304"/>
      <c r="F56" s="293"/>
      <c r="G56" s="293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</row>
    <row r="57" spans="1:26" ht="18" customHeight="1">
      <c r="A57" s="293"/>
      <c r="B57" s="293"/>
      <c r="C57" s="293"/>
      <c r="D57" s="293"/>
      <c r="E57" s="304"/>
      <c r="F57" s="293"/>
      <c r="G57" s="293"/>
      <c r="H57" s="293"/>
      <c r="I57" s="293"/>
      <c r="J57" s="293"/>
      <c r="K57" s="293"/>
      <c r="L57" s="293"/>
      <c r="M57" s="293"/>
      <c r="N57" s="293"/>
      <c r="O57" s="293"/>
      <c r="P57" s="293"/>
      <c r="Q57" s="293"/>
      <c r="R57" s="293"/>
      <c r="S57" s="293"/>
      <c r="T57" s="293"/>
      <c r="U57" s="293"/>
      <c r="V57" s="293"/>
      <c r="W57" s="293"/>
      <c r="X57" s="293"/>
      <c r="Y57" s="293"/>
      <c r="Z57" s="293"/>
    </row>
    <row r="58" spans="1:26" ht="18" customHeight="1">
      <c r="A58" s="293"/>
      <c r="B58" s="293"/>
      <c r="C58" s="293"/>
      <c r="D58" s="293"/>
      <c r="E58" s="304"/>
      <c r="F58" s="293"/>
      <c r="G58" s="293"/>
      <c r="H58" s="293"/>
      <c r="I58" s="293"/>
      <c r="J58" s="293"/>
      <c r="K58" s="293"/>
      <c r="L58" s="293"/>
      <c r="M58" s="293"/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93"/>
      <c r="Y58" s="293"/>
      <c r="Z58" s="293"/>
    </row>
    <row r="59" spans="1:26" ht="18" customHeight="1">
      <c r="A59" s="293"/>
      <c r="B59" s="293"/>
      <c r="C59" s="293"/>
      <c r="D59" s="293"/>
      <c r="E59" s="304"/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</row>
    <row r="60" spans="1:26" ht="18" customHeight="1">
      <c r="A60" s="293"/>
      <c r="B60" s="293"/>
      <c r="C60" s="293"/>
      <c r="D60" s="293"/>
      <c r="E60" s="304"/>
      <c r="F60" s="293"/>
      <c r="G60" s="293"/>
      <c r="H60" s="293"/>
      <c r="I60" s="293"/>
      <c r="J60" s="293"/>
      <c r="K60" s="29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93"/>
      <c r="Y60" s="293"/>
      <c r="Z60" s="293"/>
    </row>
    <row r="61" spans="1:26" ht="18" customHeight="1">
      <c r="A61" s="293"/>
      <c r="B61" s="293"/>
      <c r="C61" s="293"/>
      <c r="D61" s="293"/>
      <c r="E61" s="304"/>
      <c r="F61" s="293"/>
      <c r="G61" s="293"/>
      <c r="H61" s="293"/>
      <c r="I61" s="293"/>
      <c r="J61" s="293"/>
      <c r="K61" s="293"/>
      <c r="L61" s="293"/>
      <c r="M61" s="293"/>
      <c r="N61" s="293"/>
      <c r="O61" s="293"/>
      <c r="P61" s="293"/>
      <c r="Q61" s="293"/>
      <c r="R61" s="293"/>
      <c r="S61" s="293"/>
      <c r="T61" s="293"/>
      <c r="U61" s="293"/>
      <c r="V61" s="293"/>
      <c r="W61" s="293"/>
      <c r="X61" s="293"/>
      <c r="Y61" s="293"/>
      <c r="Z61" s="293"/>
    </row>
    <row r="62" spans="1:26" ht="18" customHeight="1">
      <c r="A62" s="293"/>
      <c r="B62" s="293"/>
      <c r="C62" s="293"/>
      <c r="D62" s="293"/>
      <c r="E62" s="304"/>
      <c r="F62" s="293"/>
      <c r="G62" s="293"/>
      <c r="H62" s="293"/>
      <c r="I62" s="293"/>
      <c r="J62" s="293"/>
      <c r="K62" s="293"/>
      <c r="L62" s="293"/>
      <c r="M62" s="293"/>
      <c r="N62" s="293"/>
      <c r="O62" s="293"/>
      <c r="P62" s="293"/>
      <c r="Q62" s="293"/>
      <c r="R62" s="293"/>
      <c r="S62" s="293"/>
      <c r="T62" s="293"/>
      <c r="U62" s="293"/>
      <c r="V62" s="293"/>
      <c r="W62" s="293"/>
      <c r="X62" s="293"/>
      <c r="Y62" s="293"/>
      <c r="Z62" s="293"/>
    </row>
    <row r="63" spans="1:26" ht="18" customHeight="1">
      <c r="A63" s="293"/>
      <c r="B63" s="293"/>
      <c r="C63" s="293"/>
      <c r="D63" s="293"/>
      <c r="E63" s="304"/>
      <c r="F63" s="293"/>
      <c r="G63" s="293"/>
      <c r="H63" s="293"/>
      <c r="I63" s="293"/>
      <c r="J63" s="293"/>
      <c r="K63" s="293"/>
      <c r="L63" s="293"/>
      <c r="M63" s="293"/>
      <c r="N63" s="293"/>
      <c r="O63" s="293"/>
      <c r="P63" s="293"/>
      <c r="Q63" s="293"/>
      <c r="R63" s="293"/>
      <c r="S63" s="293"/>
      <c r="T63" s="293"/>
      <c r="U63" s="293"/>
      <c r="V63" s="293"/>
      <c r="W63" s="293"/>
      <c r="X63" s="293"/>
      <c r="Y63" s="293"/>
      <c r="Z63" s="293"/>
    </row>
    <row r="64" spans="1:26" ht="18" customHeight="1">
      <c r="A64" s="293"/>
      <c r="B64" s="293"/>
      <c r="C64" s="293"/>
      <c r="D64" s="293"/>
      <c r="E64" s="304"/>
      <c r="F64" s="293"/>
      <c r="G64" s="293"/>
      <c r="H64" s="293"/>
      <c r="I64" s="293"/>
      <c r="J64" s="293"/>
      <c r="K64" s="293"/>
      <c r="L64" s="293"/>
      <c r="M64" s="293"/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93"/>
      <c r="Y64" s="293"/>
      <c r="Z64" s="293"/>
    </row>
    <row r="65" spans="1:26" ht="18" customHeight="1">
      <c r="A65" s="293"/>
      <c r="B65" s="293"/>
      <c r="C65" s="293"/>
      <c r="D65" s="293"/>
      <c r="E65" s="304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93"/>
      <c r="Y65" s="293"/>
      <c r="Z65" s="293"/>
    </row>
    <row r="66" spans="1:26" ht="18" customHeight="1">
      <c r="A66" s="293"/>
      <c r="B66" s="293"/>
      <c r="C66" s="293"/>
      <c r="D66" s="293"/>
      <c r="E66" s="304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93"/>
      <c r="Y66" s="293"/>
      <c r="Z66" s="293"/>
    </row>
    <row r="67" spans="1:26" ht="18" customHeight="1">
      <c r="A67" s="293"/>
      <c r="B67" s="293"/>
      <c r="C67" s="293"/>
      <c r="D67" s="293"/>
      <c r="E67" s="304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3"/>
      <c r="Q67" s="293"/>
      <c r="R67" s="293"/>
      <c r="S67" s="293"/>
      <c r="T67" s="293"/>
      <c r="U67" s="293"/>
      <c r="V67" s="293"/>
      <c r="W67" s="293"/>
      <c r="X67" s="293"/>
      <c r="Y67" s="293"/>
      <c r="Z67" s="293"/>
    </row>
    <row r="68" spans="1:26" ht="18" customHeight="1">
      <c r="A68" s="293"/>
      <c r="B68" s="293"/>
      <c r="C68" s="293"/>
      <c r="D68" s="293"/>
      <c r="E68" s="304"/>
      <c r="F68" s="293"/>
      <c r="G68" s="293"/>
      <c r="H68" s="293"/>
      <c r="I68" s="293"/>
      <c r="J68" s="293"/>
      <c r="K68" s="293"/>
      <c r="L68" s="293"/>
      <c r="M68" s="293"/>
      <c r="N68" s="293"/>
      <c r="O68" s="293"/>
      <c r="P68" s="293"/>
      <c r="Q68" s="293"/>
      <c r="R68" s="293"/>
      <c r="S68" s="293"/>
      <c r="T68" s="293"/>
      <c r="U68" s="293"/>
      <c r="V68" s="293"/>
      <c r="W68" s="293"/>
      <c r="X68" s="293"/>
      <c r="Y68" s="293"/>
      <c r="Z68" s="293"/>
    </row>
    <row r="69" spans="1:26" ht="18" customHeight="1">
      <c r="A69" s="293"/>
      <c r="B69" s="293"/>
      <c r="C69" s="293"/>
      <c r="D69" s="293"/>
      <c r="E69" s="304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</row>
    <row r="70" spans="1:26" ht="18" customHeight="1">
      <c r="A70" s="293"/>
      <c r="B70" s="293"/>
      <c r="C70" s="293"/>
      <c r="D70" s="293"/>
      <c r="E70" s="304"/>
      <c r="F70" s="293"/>
      <c r="G70" s="293"/>
      <c r="H70" s="293"/>
      <c r="I70" s="293"/>
      <c r="J70" s="293"/>
      <c r="K70" s="293"/>
      <c r="L70" s="293"/>
      <c r="M70" s="293"/>
      <c r="N70" s="293"/>
      <c r="O70" s="293"/>
      <c r="P70" s="293"/>
      <c r="Q70" s="293"/>
      <c r="R70" s="293"/>
      <c r="S70" s="293"/>
      <c r="T70" s="293"/>
      <c r="U70" s="293"/>
      <c r="V70" s="293"/>
      <c r="W70" s="293"/>
      <c r="X70" s="293"/>
      <c r="Y70" s="293"/>
      <c r="Z70" s="293"/>
    </row>
  </sheetData>
  <mergeCells count="7">
    <mergeCell ref="E41:E42"/>
    <mergeCell ref="E43:E44"/>
    <mergeCell ref="A1:E1"/>
    <mergeCell ref="E26:E27"/>
    <mergeCell ref="E28:E29"/>
    <mergeCell ref="E33:E34"/>
    <mergeCell ref="E36:E37"/>
  </mergeCells>
  <hyperlinks>
    <hyperlink ref="D3" r:id="rId1" xr:uid="{00000000-0004-0000-2400-000000000000}"/>
    <hyperlink ref="D4" r:id="rId2" xr:uid="{00000000-0004-0000-2400-000001000000}"/>
    <hyperlink ref="D8" r:id="rId3" xr:uid="{00000000-0004-0000-2400-000002000000}"/>
    <hyperlink ref="D9" r:id="rId4" xr:uid="{00000000-0004-0000-2400-000003000000}"/>
    <hyperlink ref="D11" r:id="rId5" xr:uid="{00000000-0004-0000-2400-000004000000}"/>
    <hyperlink ref="D13" r:id="rId6" xr:uid="{00000000-0004-0000-2400-000005000000}"/>
    <hyperlink ref="D15" r:id="rId7" xr:uid="{00000000-0004-0000-2400-000006000000}"/>
    <hyperlink ref="D16" r:id="rId8" xr:uid="{00000000-0004-0000-2400-000007000000}"/>
    <hyperlink ref="D18" r:id="rId9" xr:uid="{00000000-0004-0000-2400-000008000000}"/>
    <hyperlink ref="D19" r:id="rId10" xr:uid="{00000000-0004-0000-2400-000009000000}"/>
    <hyperlink ref="D20" r:id="rId11" xr:uid="{00000000-0004-0000-2400-00000A000000}"/>
    <hyperlink ref="D22" r:id="rId12" xr:uid="{00000000-0004-0000-2400-00000B000000}"/>
    <hyperlink ref="D23" r:id="rId13" xr:uid="{00000000-0004-0000-2400-00000C000000}"/>
    <hyperlink ref="D25" r:id="rId14" xr:uid="{00000000-0004-0000-2400-00000D000000}"/>
    <hyperlink ref="D30" r:id="rId15" xr:uid="{00000000-0004-0000-2400-00000E000000}"/>
    <hyperlink ref="D32" r:id="rId16" xr:uid="{00000000-0004-0000-2400-00000F000000}"/>
    <hyperlink ref="D38" r:id="rId17" xr:uid="{00000000-0004-0000-2400-000010000000}"/>
    <hyperlink ref="D39" r:id="rId18" xr:uid="{00000000-0004-0000-2400-000011000000}"/>
    <hyperlink ref="D46" r:id="rId19" xr:uid="{00000000-0004-0000-2400-000012000000}"/>
    <hyperlink ref="D47" r:id="rId20" xr:uid="{00000000-0004-0000-2400-000013000000}"/>
    <hyperlink ref="D49" r:id="rId21" xr:uid="{00000000-0004-0000-2400-000014000000}"/>
  </hyperlinks>
  <pageMargins left="0.7" right="0.7" top="0.75" bottom="0.75" header="0" footer="0"/>
  <pageSetup orientation="landscape"/>
  <drawing r:id="rId2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C2000"/>
  <sheetViews>
    <sheetView workbookViewId="0">
      <pane ySplit="1" topLeftCell="A2" activePane="bottomLeft" state="frozen"/>
      <selection pane="bottomLeft" activeCell="B3" sqref="B3"/>
    </sheetView>
  </sheetViews>
  <sheetFormatPr defaultColWidth="14.3984375" defaultRowHeight="15" customHeight="1"/>
  <cols>
    <col min="1" max="1" width="165.265625" customWidth="1"/>
    <col min="2" max="2" width="19.86328125" customWidth="1"/>
    <col min="3" max="6" width="14.265625" customWidth="1"/>
  </cols>
  <sheetData>
    <row r="1" spans="1:3" ht="14.25">
      <c r="A1" s="16" t="str">
        <f ca="1">IFERROR(__xludf.DUMMYFUNCTION("ARRAYFORMULA(REGEXREPLACE(TO_TEXT(QUERY({
  QUERY('CPU, DDR, HDD'!A1:C220, ""Select A, B, C"", 0);
  QUERY('MB, GPU'!A1:C400, ""Select A, B, C"", 0);
  QUERY('Cooler, PowerSupply, UPS'!A1:C100, ""Select A, B, C"", 0);
  QUERY(Monitors!A1:C230, ""Select A,"&amp;" B, C"", 0);
  QUERY('Notebook, AIO'!A1:C240, ""Select A, B, C"", 0);
  QUERY('Printers, scanners'!A1:C140, ""Select A, B, C"", 0);
  QUERY('Интерактивная панель'!A1:C100, ""Select A, B, C"", 0);
  QUERY('ВКС'!A1:C50, ""Select A, B, C"", 0);
  QUERY('Экра"&amp;"ны, проекторы, камеры'!A1:C100, ""Select A, B, C"", 0);
  QUERY('Экраны, проекторы, камеры'!E1:G100, ""Select E, F, G"", 0);
  QUERY('Lenovo Аксессуары'!B1:D100, ""Select C, B, D"", 0);
  QUERY('Deepcool GamerStorm'!C1:E150, ""Select D, C, E"", 0);
  QUER"&amp;"Y(TRYX!C1:E30, ""Select D, C, E"", 0);
  QUERY(Gembird!A1:C50, ""Select A, B, C"", 0);
  QUERY('ID Cooling'!B1:D70, ""Select B, C, D"", 0);
  QUERY(Genius!D1:F30, ""Select D, E, F"", 0);
  QUERY(Gigabyte!A2:C50, ""Select A, B, C"", 0);
  QUERY(DXRacer!C2:"&amp;"E30, ""Select D, C, E"", 0);
  QUERY(Gamdias!A1:C40, ""Select A, B, C"", 0);
  QUERY(MSI!A1:C60, ""Select A, B, C"", 0);
  QUERY(Montech!A1:C50, ""Select A, B, C"", 0);
  QUERY(Defender!B1:D50, ""Select B, C, D"", 0);
  QUERY(Aula!B1:D100, ""Select B, C, "&amp;"D"", 0);
  QUERY('Lian Li'!C1:E100, ""Select D, C, E"", 0);
  QUERY(FSP!B1:D50, ""Select B, C, D"", 0);
  QUERY(Thermaltake!B1:E70, ""Select B, C, E"", 0);
  QUERY(Jonsbo!B1:D80, ""Select B, C, D"", 0);
  QUERY(Meetion!D1:F30, ""Select D, E, F"", 0);
  QU"&amp;"ERY(PowerCase!A1:C50, ""Select A, B, C"", 0);
  QUERY('Игравые Кресла'!A1:C50, ""Select A, B, C"", 0);
  QUERY(CoolerMaster!B1:E50, ""Select B, C, E"", 0);
  QUERY(Redragon!B1:D140, ""Select B, C, D"", 0);
  QUERY(Sharkoon!C2:E50, ""Select C, D, E"", 0);
"&amp;"  QUERY(Fenda!B1:E50, ""Select B, C, E"", 0);
  QUERY(Edifier!B1:E100, ""Select B, C, E"", 0);
  QUERY(Koss!B1:E70, ""Select B, C, E"", 0);
  QUERY('Audio-technica'!B1:E70, ""Select B, C, E"", 0)
}, ""Select Col1, Col2, Col3 where Col1 is not null and Col"&amp;"3 is not null AND NOT Col1 matches '^(Номенклатура|наименование|цена|опт|коробка|Розница|CPU|DDR|HDD|Printers|MotherBoard|Video card|DVD|UPS \(Блоки безперебойного питания\)|Cases \(Корпуса\)|Coolers|МОНИТОРЫ|НОУТБУКИ|All In One Компьютеры \(Моноблоки\)|К"&amp;"омпьютеры белой сборки \(гарантия от производителя 1 год\)|Видеостены|Китай|Южная Корея|Интерактивные киоски, столы и LED|Интерактивные панели и крепления|Канада|США|Слотовые компьютеры для интерактивных панелей|Стойки|Аксессуары|Проводная конференц-систе"&amp;"ма|WEB/PTZ камеры|Настенные|На треноге|Лифтовые|Подвесные-рамные|Моторизованные|Моторизованные натяжные|Хромакей|Переносные настольные и напольные \nс алюминиевым кейсом|Проекторы &amp; крепления|Scanner|Книжные сканеры|Потоковые сканеры|Потоковые\+планшетные"&amp;" сканеры|Lenovo аксессуары|сетевые фильтры до 10 ампер|сетевые фильтры до 16 ампер|Аккумуляторы для UPS| line interactive UPS|ONLINE SMART UPS / ЧИСТАЯ СИНУСОИДА|GAMDIAS|Блоки питания|Кейсы|КРЕСЛА|МЫШИ|КЛАВИАТУРЫ|НАБОРЫ|НАУШНИКИ|КОВРИКИ|АКУСТИЧЕСКИЕ СИСТЕ"&amp;"МЫ|КОРПУСА|Lian Li|FSP|Jonsbo|Игровые кресла|REDRAGON|ПОДСТАВКА ПОД НОУТБУК|КУЛЕРА ДЛЯ КОРПУСА И ПРОЦЕССОРА|СТРИМОВСКИЕ МИКРОФОНЫ|Оплата принимается в сумах по коммерческому курсу ЦБ Республики Узбекистан|Канал в телеграмме https://t.me/agecomputer|Наимен"&amp;"ование|Жидкостная система охлаждения|Воздушная система охлаждения|оплата принимается в сумах по курсу ЦБ Республики Узбекистан на день оплаты|оплата принимается в сумах по курсу ЦБ\nРеспублики Узбекистан на день оплаты|Блоки питания \(PSU\)|Корпусы с Блок"&amp;"ами Питания \(Case \+ PSU\)|Корпусы \(Case\)|Контролер для RGB)$' format Col3 '0.##'"", 0)),""\.$"",""""))"),"Intel-Core i3 - 9100, 4.2 GHz, 6MB, oem, LGA1151, Coffee Lake")</f>
        <v>Intel-Core i3 - 9100, 4.2 GHz, 6MB, oem, LGA1151, Coffee Lake</v>
      </c>
      <c r="B1" s="26" t="str">
        <f ca="1">IFERROR(__xludf.DUMMYFUNCTION("""COMPUTED_VALUE"""),"i3-9100")</f>
        <v>i3-9100</v>
      </c>
      <c r="C1" s="379" t="str">
        <f ca="1">IFERROR(__xludf.DUMMYFUNCTION("""COMPUTED_VALUE"""),"40,")</f>
        <v>40,</v>
      </c>
    </row>
    <row r="2" spans="1:3" ht="14.25">
      <c r="A2" s="16" t="str">
        <f ca="1">IFERROR(__xludf.DUMMYFUNCTION("""COMPUTED_VALUE"""),"Intel-Core i3 - 12100F, 3.3 GHz, 12MB, oem, LGA1700, Alder Lake")</f>
        <v>Intel-Core i3 - 12100F, 3.3 GHz, 12MB, oem, LGA1700, Alder Lake</v>
      </c>
      <c r="B2" s="26" t="str">
        <f ca="1">IFERROR(__xludf.DUMMYFUNCTION("""COMPUTED_VALUE"""),"i3-12100F")</f>
        <v>i3-12100F</v>
      </c>
      <c r="C2" s="379" t="str">
        <f ca="1">IFERROR(__xludf.DUMMYFUNCTION("""COMPUTED_VALUE"""),"97,")</f>
        <v>97,</v>
      </c>
    </row>
    <row r="3" spans="1:3" ht="14.25">
      <c r="A3" s="16" t="str">
        <f ca="1">IFERROR(__xludf.DUMMYFUNCTION("""COMPUTED_VALUE"""),"Intel-Core i3 - 12100, 3.3 GHz, 12MB, oem, LGA1700, Alder Lake")</f>
        <v>Intel-Core i3 - 12100, 3.3 GHz, 12MB, oem, LGA1700, Alder Lake</v>
      </c>
      <c r="B3" s="26" t="str">
        <f ca="1">IFERROR(__xludf.DUMMYFUNCTION("""COMPUTED_VALUE"""),"i3-12100")</f>
        <v>i3-12100</v>
      </c>
      <c r="C3" s="379" t="str">
        <f ca="1">IFERROR(__xludf.DUMMYFUNCTION("""COMPUTED_VALUE"""),"116,")</f>
        <v>116,</v>
      </c>
    </row>
    <row r="4" spans="1:3" ht="14.25">
      <c r="A4" s="16" t="str">
        <f ca="1">IFERROR(__xludf.DUMMYFUNCTION("""COMPUTED_VALUE"""),"Intel-Core i3 - 13100, 3.4 GHz, 12MB, oem, LGA1700, Raptor Lake")</f>
        <v>Intel-Core i3 - 13100, 3.4 GHz, 12MB, oem, LGA1700, Raptor Lake</v>
      </c>
      <c r="B4" s="26" t="str">
        <f ca="1">IFERROR(__xludf.DUMMYFUNCTION("""COMPUTED_VALUE"""),"i3-13100")</f>
        <v>i3-13100</v>
      </c>
      <c r="C4" s="379" t="str">
        <f ca="1">IFERROR(__xludf.DUMMYFUNCTION("""COMPUTED_VALUE"""),"118,")</f>
        <v>118,</v>
      </c>
    </row>
    <row r="5" spans="1:3" ht="14.25">
      <c r="A5" s="16" t="str">
        <f ca="1">IFERROR(__xludf.DUMMYFUNCTION("""COMPUTED_VALUE"""),"Intel-Core i3 - 14100F, 2.5 GHz, 12MB, oem, LGA1700, Raptor Lake")</f>
        <v>Intel-Core i3 - 14100F, 2.5 GHz, 12MB, oem, LGA1700, Raptor Lake</v>
      </c>
      <c r="B5" s="26" t="str">
        <f ca="1">IFERROR(__xludf.DUMMYFUNCTION("""COMPUTED_VALUE"""),"i3-14100F")</f>
        <v>i3-14100F</v>
      </c>
      <c r="C5" s="379" t="str">
        <f ca="1">IFERROR(__xludf.DUMMYFUNCTION("""COMPUTED_VALUE"""),"106,")</f>
        <v>106,</v>
      </c>
    </row>
    <row r="6" spans="1:3" ht="14.25">
      <c r="A6" s="16" t="str">
        <f ca="1">IFERROR(__xludf.DUMMYFUNCTION("""COMPUTED_VALUE"""),"Intel-Core i3 - 14100, 3.5 GHz, 12MB, oem, LGA1700, Raptor Lake")</f>
        <v>Intel-Core i3 - 14100, 3.5 GHz, 12MB, oem, LGA1700, Raptor Lake</v>
      </c>
      <c r="B6" s="26" t="str">
        <f ca="1">IFERROR(__xludf.DUMMYFUNCTION("""COMPUTED_VALUE"""),"i3-14100")</f>
        <v>i3-14100</v>
      </c>
      <c r="C6" s="379" t="str">
        <f ca="1">IFERROR(__xludf.DUMMYFUNCTION("""COMPUTED_VALUE"""),"119,")</f>
        <v>119,</v>
      </c>
    </row>
    <row r="7" spans="1:3" ht="14.25">
      <c r="A7" s="16" t="str">
        <f ca="1">IFERROR(__xludf.DUMMYFUNCTION("""COMPUTED_VALUE"""),"Intel-Core i5 - 12400F, 2.7 GHz, 18MB, oem, LGA1700, Alder Lake")</f>
        <v>Intel-Core i5 - 12400F, 2.7 GHz, 18MB, oem, LGA1700, Alder Lake</v>
      </c>
      <c r="B7" s="26" t="str">
        <f ca="1">IFERROR(__xludf.DUMMYFUNCTION("""COMPUTED_VALUE"""),"i5-12400F")</f>
        <v>i5-12400F</v>
      </c>
      <c r="C7" s="379" t="str">
        <f ca="1">IFERROR(__xludf.DUMMYFUNCTION("""COMPUTED_VALUE"""),"137,")</f>
        <v>137,</v>
      </c>
    </row>
    <row r="8" spans="1:3" ht="14.25">
      <c r="A8" s="16" t="str">
        <f ca="1">IFERROR(__xludf.DUMMYFUNCTION("""COMPUTED_VALUE"""),"Intel-Core i5 - 12400, 2.7 GHz, 18MB, oem, LGA1700, Alder Lake")</f>
        <v>Intel-Core i5 - 12400, 2.7 GHz, 18MB, oem, LGA1700, Alder Lake</v>
      </c>
      <c r="B8" s="26" t="str">
        <f ca="1">IFERROR(__xludf.DUMMYFUNCTION("""COMPUTED_VALUE"""),"i5-12400")</f>
        <v>i5-12400</v>
      </c>
      <c r="C8" s="379" t="str">
        <f ca="1">IFERROR(__xludf.DUMMYFUNCTION("""COMPUTED_VALUE"""),"186,")</f>
        <v>186,</v>
      </c>
    </row>
    <row r="9" spans="1:3" ht="14.25">
      <c r="A9" s="16" t="str">
        <f ca="1">IFERROR(__xludf.DUMMYFUNCTION("""COMPUTED_VALUE"""),"Intel-Core i5 - 13400F, 2.5 GHz, 20MB, oem, LGA1700, Raptor Lake")</f>
        <v>Intel-Core i5 - 13400F, 2.5 GHz, 20MB, oem, LGA1700, Raptor Lake</v>
      </c>
      <c r="B9" s="26" t="str">
        <f ca="1">IFERROR(__xludf.DUMMYFUNCTION("""COMPUTED_VALUE"""),"i5-13400F")</f>
        <v>i5-13400F</v>
      </c>
      <c r="C9" s="379" t="str">
        <f ca="1">IFERROR(__xludf.DUMMYFUNCTION("""COMPUTED_VALUE"""),"158,")</f>
        <v>158,</v>
      </c>
    </row>
    <row r="10" spans="1:3" ht="14.25">
      <c r="A10" s="16" t="str">
        <f ca="1">IFERROR(__xludf.DUMMYFUNCTION("""COMPUTED_VALUE"""),"Intel-Core i5 - 13400, 2.5 GHz, 20MB, oem, LGA1700, Raptor Lake")</f>
        <v>Intel-Core i5 - 13400, 2.5 GHz, 20MB, oem, LGA1700, Raptor Lake</v>
      </c>
      <c r="B10" s="26" t="str">
        <f ca="1">IFERROR(__xludf.DUMMYFUNCTION("""COMPUTED_VALUE"""),"i5-13400")</f>
        <v>i5-13400</v>
      </c>
      <c r="C10" s="379" t="str">
        <f ca="1">IFERROR(__xludf.DUMMYFUNCTION("""COMPUTED_VALUE"""),"214,")</f>
        <v>214,</v>
      </c>
    </row>
    <row r="11" spans="1:3" ht="14.25">
      <c r="A11" s="16" t="str">
        <f ca="1">IFERROR(__xludf.DUMMYFUNCTION("""COMPUTED_VALUE"""),"Intel-Core i5 - 13500, 2.5 GHz, 20MB, oem, LGA1700, Raptor Lake")</f>
        <v>Intel-Core i5 - 13500, 2.5 GHz, 20MB, oem, LGA1700, Raptor Lake</v>
      </c>
      <c r="B11" s="26" t="str">
        <f ca="1">IFERROR(__xludf.DUMMYFUNCTION("""COMPUTED_VALUE"""),"i5-13500")</f>
        <v>i5-13500</v>
      </c>
      <c r="C11" s="379" t="str">
        <f ca="1">IFERROR(__xludf.DUMMYFUNCTION("""COMPUTED_VALUE"""),"222,")</f>
        <v>222,</v>
      </c>
    </row>
    <row r="12" spans="1:3" ht="14.25">
      <c r="A12" s="16" t="str">
        <f ca="1">IFERROR(__xludf.DUMMYFUNCTION("""COMPUTED_VALUE"""),"Intel-Core i5 - 14400F, 2.5 GHz, 20MB, oem, LGA1700, Raptor Lake")</f>
        <v>Intel-Core i5 - 14400F, 2.5 GHz, 20MB, oem, LGA1700, Raptor Lake</v>
      </c>
      <c r="B12" s="26" t="str">
        <f ca="1">IFERROR(__xludf.DUMMYFUNCTION("""COMPUTED_VALUE"""),"i5-14400F")</f>
        <v>i5-14400F</v>
      </c>
      <c r="C12" s="379" t="str">
        <f ca="1">IFERROR(__xludf.DUMMYFUNCTION("""COMPUTED_VALUE"""),"159,")</f>
        <v>159,</v>
      </c>
    </row>
    <row r="13" spans="1:3" ht="14.25">
      <c r="A13" s="16" t="str">
        <f ca="1">IFERROR(__xludf.DUMMYFUNCTION("""COMPUTED_VALUE"""),"Intel-Core i5 - 14400, 2.5 GHz, 20MB, oem, LGA1700, Raptor Lake")</f>
        <v>Intel-Core i5 - 14400, 2.5 GHz, 20MB, oem, LGA1700, Raptor Lake</v>
      </c>
      <c r="B13" s="26" t="str">
        <f ca="1">IFERROR(__xludf.DUMMYFUNCTION("""COMPUTED_VALUE"""),"i5-14400")</f>
        <v>i5-14400</v>
      </c>
      <c r="C13" s="379" t="str">
        <f ca="1">IFERROR(__xludf.DUMMYFUNCTION("""COMPUTED_VALUE"""),"219,")</f>
        <v>219,</v>
      </c>
    </row>
    <row r="14" spans="1:3" ht="14.25">
      <c r="A14" s="16" t="str">
        <f ca="1">IFERROR(__xludf.DUMMYFUNCTION("""COMPUTED_VALUE"""),"Intel-Core i5 - 14600K, 3.5 GHz, 24MB, oem, LGA1700, Raptor Lake")</f>
        <v>Intel-Core i5 - 14600K, 3.5 GHz, 24MB, oem, LGA1700, Raptor Lake</v>
      </c>
      <c r="B14" s="26" t="str">
        <f ca="1">IFERROR(__xludf.DUMMYFUNCTION("""COMPUTED_VALUE"""),"i5-14600K")</f>
        <v>i5-14600K</v>
      </c>
      <c r="C14" s="379" t="str">
        <f ca="1">IFERROR(__xludf.DUMMYFUNCTION("""COMPUTED_VALUE"""),"240,")</f>
        <v>240,</v>
      </c>
    </row>
    <row r="15" spans="1:3" ht="14.25">
      <c r="A15" s="16" t="str">
        <f ca="1">IFERROR(__xludf.DUMMYFUNCTION("""COMPUTED_VALUE"""),"Intel-Core i5 - 14600KF, 3.5 GHz, 24MB, oem, LGA1700, Raptor Lake")</f>
        <v>Intel-Core i5 - 14600KF, 3.5 GHz, 24MB, oem, LGA1700, Raptor Lake</v>
      </c>
      <c r="B15" s="26" t="str">
        <f ca="1">IFERROR(__xludf.DUMMYFUNCTION("""COMPUTED_VALUE"""),"i5-14600KF")</f>
        <v>i5-14600KF</v>
      </c>
      <c r="C15" s="379" t="str">
        <f ca="1">IFERROR(__xludf.DUMMYFUNCTION("""COMPUTED_VALUE"""),"236,")</f>
        <v>236,</v>
      </c>
    </row>
    <row r="16" spans="1:3" ht="14.25">
      <c r="A16" s="16" t="str">
        <f ca="1">IFERROR(__xludf.DUMMYFUNCTION("""COMPUTED_VALUE"""),"Intel-Core i7 - 12700, 3.2 GHz, 25MB, oem, LGA1700, Alder Lake")</f>
        <v>Intel-Core i7 - 12700, 3.2 GHz, 25MB, oem, LGA1700, Alder Lake</v>
      </c>
      <c r="B16" s="26" t="str">
        <f ca="1">IFERROR(__xludf.DUMMYFUNCTION("""COMPUTED_VALUE"""),"i7-12700")</f>
        <v>i7-12700</v>
      </c>
      <c r="C16" s="379" t="str">
        <f ca="1">IFERROR(__xludf.DUMMYFUNCTION("""COMPUTED_VALUE"""),"335,")</f>
        <v>335,</v>
      </c>
    </row>
    <row r="17" spans="1:3" ht="14.25">
      <c r="A17" s="16" t="str">
        <f ca="1">IFERROR(__xludf.DUMMYFUNCTION("""COMPUTED_VALUE"""),"Intel-Core i7 - 12700КF, 3.2 GHz, 25MB, oem, LGA1700, Alder Lake")</f>
        <v>Intel-Core i7 - 12700КF, 3.2 GHz, 25MB, oem, LGA1700, Alder Lake</v>
      </c>
      <c r="B17" s="26" t="str">
        <f ca="1">IFERROR(__xludf.DUMMYFUNCTION("""COMPUTED_VALUE"""),"i7-12700KF")</f>
        <v>i7-12700KF</v>
      </c>
      <c r="C17" s="379" t="str">
        <f ca="1">IFERROR(__xludf.DUMMYFUNCTION("""COMPUTED_VALUE"""),"300,")</f>
        <v>300,</v>
      </c>
    </row>
    <row r="18" spans="1:3" ht="14.25">
      <c r="A18" s="16" t="str">
        <f ca="1">IFERROR(__xludf.DUMMYFUNCTION("""COMPUTED_VALUE"""),"Intel-Core i7 - 12700K, 3.6 GHz, 25MB, oem, LGA1700, Alder Lake")</f>
        <v>Intel-Core i7 - 12700K, 3.6 GHz, 25MB, oem, LGA1700, Alder Lake</v>
      </c>
      <c r="B18" s="26" t="str">
        <f ca="1">IFERROR(__xludf.DUMMYFUNCTION("""COMPUTED_VALUE"""),"i7-12700K")</f>
        <v>i7-12700K</v>
      </c>
      <c r="C18" s="379" t="str">
        <f ca="1">IFERROR(__xludf.DUMMYFUNCTION("""COMPUTED_VALUE"""),"314,")</f>
        <v>314,</v>
      </c>
    </row>
    <row r="19" spans="1:3" ht="14.25">
      <c r="A19" s="16" t="str">
        <f ca="1">IFERROR(__xludf.DUMMYFUNCTION("""COMPUTED_VALUE"""),"Intel-Core i7 - 13700F, 2.1 GHz, 24MB, oem, LGA1700, Raptor Lake")</f>
        <v>Intel-Core i7 - 13700F, 2.1 GHz, 24MB, oem, LGA1700, Raptor Lake</v>
      </c>
      <c r="B19" s="26" t="str">
        <f ca="1">IFERROR(__xludf.DUMMYFUNCTION("""COMPUTED_VALUE"""),"i7-13700F")</f>
        <v>i7-13700F</v>
      </c>
      <c r="C19" s="379" t="str">
        <f ca="1">IFERROR(__xludf.DUMMYFUNCTION("""COMPUTED_VALUE"""),"265,")</f>
        <v>265,</v>
      </c>
    </row>
    <row r="20" spans="1:3" ht="14.25">
      <c r="A20" s="16" t="str">
        <f ca="1">IFERROR(__xludf.DUMMYFUNCTION("""COMPUTED_VALUE"""),"Intel-Core i7 - 13700, 2.1 GHz, 24MB, oem, LGA1700, Raptor Lake")</f>
        <v>Intel-Core i7 - 13700, 2.1 GHz, 24MB, oem, LGA1700, Raptor Lake</v>
      </c>
      <c r="B20" s="26" t="str">
        <f ca="1">IFERROR(__xludf.DUMMYFUNCTION("""COMPUTED_VALUE"""),"i7-13700")</f>
        <v>i7-13700</v>
      </c>
      <c r="C20" s="379" t="str">
        <f ca="1">IFERROR(__xludf.DUMMYFUNCTION("""COMPUTED_VALUE"""),"390,")</f>
        <v>390,</v>
      </c>
    </row>
    <row r="21" spans="1:3" ht="15.75" customHeight="1">
      <c r="A21" s="16" t="str">
        <f ca="1">IFERROR(__xludf.DUMMYFUNCTION("""COMPUTED_VALUE"""),"Intel-Core i7 - 14700, 3.4 GHz, 33MB, oem, LGA1700, Raptor Lake")</f>
        <v>Intel-Core i7 - 14700, 3.4 GHz, 33MB, oem, LGA1700, Raptor Lake</v>
      </c>
      <c r="B21" s="26" t="str">
        <f ca="1">IFERROR(__xludf.DUMMYFUNCTION("""COMPUTED_VALUE"""),"i7-14700")</f>
        <v>i7-14700</v>
      </c>
      <c r="C21" s="379" t="str">
        <f ca="1">IFERROR(__xludf.DUMMYFUNCTION("""COMPUTED_VALUE"""),"370,")</f>
        <v>370,</v>
      </c>
    </row>
    <row r="22" spans="1:3" ht="15.75" customHeight="1">
      <c r="A22" s="16" t="str">
        <f ca="1">IFERROR(__xludf.DUMMYFUNCTION("""COMPUTED_VALUE"""),"Intel-Core i7 - 14700K, 3.4 GHz, 33MB, oem, LGA1700, Raptor Lake")</f>
        <v>Intel-Core i7 - 14700K, 3.4 GHz, 33MB, oem, LGA1700, Raptor Lake</v>
      </c>
      <c r="B22" s="26" t="str">
        <f ca="1">IFERROR(__xludf.DUMMYFUNCTION("""COMPUTED_VALUE"""),"i7-14700K")</f>
        <v>i7-14700K</v>
      </c>
      <c r="C22" s="379" t="str">
        <f ca="1">IFERROR(__xludf.DUMMYFUNCTION("""COMPUTED_VALUE"""),"402,")</f>
        <v>402,</v>
      </c>
    </row>
    <row r="23" spans="1:3" ht="15.75" customHeight="1">
      <c r="A23" s="16" t="str">
        <f ca="1">IFERROR(__xludf.DUMMYFUNCTION("""COMPUTED_VALUE"""),"Intel-Core i7 - 14700KF, 3.4 GHz, 33MB, oem, LGA1700, Raptor Lake")</f>
        <v>Intel-Core i7 - 14700KF, 3.4 GHz, 33MB, oem, LGA1700, Raptor Lake</v>
      </c>
      <c r="B23" s="26" t="str">
        <f ca="1">IFERROR(__xludf.DUMMYFUNCTION("""COMPUTED_VALUE"""),"i7-14700KF")</f>
        <v>i7-14700KF</v>
      </c>
      <c r="C23" s="379" t="str">
        <f ca="1">IFERROR(__xludf.DUMMYFUNCTION("""COMPUTED_VALUE"""),"332,")</f>
        <v>332,</v>
      </c>
    </row>
    <row r="24" spans="1:3" ht="15.75" customHeight="1">
      <c r="A24" s="16" t="str">
        <f ca="1">IFERROR(__xludf.DUMMYFUNCTION("""COMPUTED_VALUE"""),"Intel-Core i9 - 14900K, 3.2 GHz, 33MB, oem, LGA1700, Raptor Lake")</f>
        <v>Intel-Core i9 - 14900K, 3.2 GHz, 33MB, oem, LGA1700, Raptor Lake</v>
      </c>
      <c r="B24" s="26" t="str">
        <f ca="1">IFERROR(__xludf.DUMMYFUNCTION("""COMPUTED_VALUE"""),"i9-14900K")</f>
        <v>i9-14900K</v>
      </c>
      <c r="C24" s="379" t="str">
        <f ca="1">IFERROR(__xludf.DUMMYFUNCTION("""COMPUTED_VALUE"""),"495,")</f>
        <v>495,</v>
      </c>
    </row>
    <row r="25" spans="1:3" ht="15.75" customHeight="1">
      <c r="A25" s="16" t="str">
        <f ca="1">IFERROR(__xludf.DUMMYFUNCTION("""COMPUTED_VALUE"""),"Intel-Core i9 - 14900KF, 3.2 GHz, 33MB, oem, LGA1700, Raptor Lake")</f>
        <v>Intel-Core i9 - 14900KF, 3.2 GHz, 33MB, oem, LGA1700, Raptor Lake</v>
      </c>
      <c r="B25" s="26" t="str">
        <f ca="1">IFERROR(__xludf.DUMMYFUNCTION("""COMPUTED_VALUE"""),"i9-14900KF")</f>
        <v>i9-14900KF</v>
      </c>
      <c r="C25" s="379" t="str">
        <f ca="1">IFERROR(__xludf.DUMMYFUNCTION("""COMPUTED_VALUE"""),"440,")</f>
        <v>440,</v>
      </c>
    </row>
    <row r="26" spans="1:3" ht="15.75" customHeight="1">
      <c r="A26" s="16" t="str">
        <f ca="1">IFERROR(__xludf.DUMMYFUNCTION("""COMPUTED_VALUE"""),"Intel-Core Ultra 5-225F, 2.7 GHz, 24MB, BOX, LGA 1851, Arrow Lake")</f>
        <v>Intel-Core Ultra 5-225F, 2.7 GHz, 24MB, BOX, LGA 1851, Arrow Lake</v>
      </c>
      <c r="B26" s="26" t="str">
        <f ca="1">IFERROR(__xludf.DUMMYFUNCTION("""COMPUTED_VALUE"""),"5-225F")</f>
        <v>5-225F</v>
      </c>
      <c r="C26" s="379" t="str">
        <f ca="1">IFERROR(__xludf.DUMMYFUNCTION("""COMPUTED_VALUE"""),"130,")</f>
        <v>130,</v>
      </c>
    </row>
    <row r="27" spans="1:3" ht="15.75" customHeight="1">
      <c r="A27" s="16" t="str">
        <f ca="1">IFERROR(__xludf.DUMMYFUNCTION("""COMPUTED_VALUE"""),"Intel-Core Ultra 5-225, 2.7 GHz, 24MB, oem, LGA 1851, Arrow Lake")</f>
        <v>Intel-Core Ultra 5-225, 2.7 GHz, 24MB, oem, LGA 1851, Arrow Lake</v>
      </c>
      <c r="B27" s="26" t="str">
        <f ca="1">IFERROR(__xludf.DUMMYFUNCTION("""COMPUTED_VALUE"""),"5-225")</f>
        <v>5-225</v>
      </c>
      <c r="C27" s="379" t="str">
        <f ca="1">IFERROR(__xludf.DUMMYFUNCTION("""COMPUTED_VALUE"""),"157,")</f>
        <v>157,</v>
      </c>
    </row>
    <row r="28" spans="1:3" ht="15.75" customHeight="1">
      <c r="A28" s="16" t="str">
        <f ca="1">IFERROR(__xludf.DUMMYFUNCTION("""COMPUTED_VALUE"""),"Intel-Core Ultra 5-245K, 5.2 GHz, 24MB, oem, LGA 1851, Arrow Lake")</f>
        <v>Intel-Core Ultra 5-245K, 5.2 GHz, 24MB, oem, LGA 1851, Arrow Lake</v>
      </c>
      <c r="B28" s="26" t="str">
        <f ca="1">IFERROR(__xludf.DUMMYFUNCTION("""COMPUTED_VALUE"""),"5-245K")</f>
        <v>5-245K</v>
      </c>
      <c r="C28" s="379" t="str">
        <f ca="1">IFERROR(__xludf.DUMMYFUNCTION("""COMPUTED_VALUE"""),"203,")</f>
        <v>203,</v>
      </c>
    </row>
    <row r="29" spans="1:3" ht="15.75" customHeight="1">
      <c r="A29" s="16" t="str">
        <f ca="1">IFERROR(__xludf.DUMMYFUNCTION("""COMPUTED_VALUE"""),"Intel-Core Ultra 5-245KF, 5.2 GHz, 24MB, oem, LGA 1851, Arrow Lake")</f>
        <v>Intel-Core Ultra 5-245KF, 5.2 GHz, 24MB, oem, LGA 1851, Arrow Lake</v>
      </c>
      <c r="B29" s="26" t="str">
        <f ca="1">IFERROR(__xludf.DUMMYFUNCTION("""COMPUTED_VALUE"""),"5-245KF")</f>
        <v>5-245KF</v>
      </c>
      <c r="C29" s="379" t="str">
        <f ca="1">IFERROR(__xludf.DUMMYFUNCTION("""COMPUTED_VALUE"""),"182,")</f>
        <v>182,</v>
      </c>
    </row>
    <row r="30" spans="1:3" ht="15.75" customHeight="1">
      <c r="A30" s="16" t="str">
        <f ca="1">IFERROR(__xludf.DUMMYFUNCTION("""COMPUTED_VALUE"""),"Intel-Core Ultra 7-265K, 5.5 GHz, 30MB, oem, LGA 1851, Arrow Lake")</f>
        <v>Intel-Core Ultra 7-265K, 5.5 GHz, 30MB, oem, LGA 1851, Arrow Lake</v>
      </c>
      <c r="B30" s="26" t="str">
        <f ca="1">IFERROR(__xludf.DUMMYFUNCTION("""COMPUTED_VALUE"""),"7-265K")</f>
        <v>7-265K</v>
      </c>
      <c r="C30" s="379" t="str">
        <f ca="1">IFERROR(__xludf.DUMMYFUNCTION("""COMPUTED_VALUE"""),"293,")</f>
        <v>293,</v>
      </c>
    </row>
    <row r="31" spans="1:3" ht="15.75" customHeight="1">
      <c r="A31" s="16" t="str">
        <f ca="1">IFERROR(__xludf.DUMMYFUNCTION("""COMPUTED_VALUE"""),"Intel-Core Ultra 7-265KF, 5.5 GHz, 30MB, oem, LGA 1851, Arrow Lake")</f>
        <v>Intel-Core Ultra 7-265KF, 5.5 GHz, 30MB, oem, LGA 1851, Arrow Lake</v>
      </c>
      <c r="B31" s="26" t="str">
        <f ca="1">IFERROR(__xludf.DUMMYFUNCTION("""COMPUTED_VALUE"""),"7-265KF")</f>
        <v>7-265KF</v>
      </c>
      <c r="C31" s="379" t="str">
        <f ca="1">IFERROR(__xludf.DUMMYFUNCTION("""COMPUTED_VALUE"""),"290,")</f>
        <v>290,</v>
      </c>
    </row>
    <row r="32" spans="1:3" ht="15.75" customHeight="1">
      <c r="A32" s="16" t="str">
        <f ca="1">IFERROR(__xludf.DUMMYFUNCTION("""COMPUTED_VALUE"""),"Intel-Core Ultra 9-285K, 5.7 GHz, 40MB, oem, LGA 1851, Arrow Lake")</f>
        <v>Intel-Core Ultra 9-285K, 5.7 GHz, 40MB, oem, LGA 1851, Arrow Lake</v>
      </c>
      <c r="B32" s="26" t="str">
        <f ca="1">IFERROR(__xludf.DUMMYFUNCTION("""COMPUTED_VALUE"""),"9-285K")</f>
        <v>9-285K</v>
      </c>
      <c r="C32" s="379" t="str">
        <f ca="1">IFERROR(__xludf.DUMMYFUNCTION("""COMPUTED_VALUE"""),"600,")</f>
        <v>600,</v>
      </c>
    </row>
    <row r="33" spans="1:3" ht="15.75" customHeight="1">
      <c r="A33" s="16" t="str">
        <f ca="1">IFERROR(__xludf.DUMMYFUNCTION("""COMPUTED_VALUE"""),"AMD Ryzen™ 5 Cezanne 5500 - 3.6 GHz, 6 cores/12 threads, No GPU, AM4 (100-000000457), oem")</f>
        <v>AMD Ryzen™ 5 Cezanne 5500 - 3.6 GHz, 6 cores/12 threads, No GPU, AM4 (100-000000457), oem</v>
      </c>
      <c r="B33" s="26" t="str">
        <f ca="1">IFERROR(__xludf.DUMMYFUNCTION("""COMPUTED_VALUE"""),"100-000000457")</f>
        <v>100-000000457</v>
      </c>
      <c r="C33" s="379" t="str">
        <f ca="1">IFERROR(__xludf.DUMMYFUNCTION("""COMPUTED_VALUE"""),"90,")</f>
        <v>90,</v>
      </c>
    </row>
    <row r="34" spans="1:3" ht="15.75" customHeight="1">
      <c r="A34" s="16" t="str">
        <f ca="1">IFERROR(__xludf.DUMMYFUNCTION("""COMPUTED_VALUE"""),"AMD Ryzen™ 5 Granite Ridge 9600X - 3.9 Ghz, 6 cores/12 threads, GPU, AM5,  (100-000001405), oem")</f>
        <v>AMD Ryzen™ 5 Granite Ridge 9600X - 3.9 Ghz, 6 cores/12 threads, GPU, AM5,  (100-000001405), oem</v>
      </c>
      <c r="B34" s="26" t="str">
        <f ca="1">IFERROR(__xludf.DUMMYFUNCTION("""COMPUTED_VALUE"""),"100-000001405")</f>
        <v>100-000001405</v>
      </c>
      <c r="C34" s="379" t="str">
        <f ca="1">IFERROR(__xludf.DUMMYFUNCTION("""COMPUTED_VALUE"""),"190,")</f>
        <v>190,</v>
      </c>
    </row>
    <row r="35" spans="1:3" ht="15.75" customHeight="1">
      <c r="A35" s="16" t="str">
        <f ca="1">IFERROR(__xludf.DUMMYFUNCTION("""COMPUTED_VALUE"""),"AMD Ryzen™ 5 Vermeer 5600 - 3.5 GHz, 6 cores/12 threads, No GPU, AM4 (100-000000927), oem")</f>
        <v>AMD Ryzen™ 5 Vermeer 5600 - 3.5 GHz, 6 cores/12 threads, No GPU, AM4 (100-000000927), oem</v>
      </c>
      <c r="B35" s="26" t="str">
        <f ca="1">IFERROR(__xludf.DUMMYFUNCTION("""COMPUTED_VALUE"""),"100-000000927")</f>
        <v>100-000000927</v>
      </c>
      <c r="C35" s="379" t="str">
        <f ca="1">IFERROR(__xludf.DUMMYFUNCTION("""COMPUTED_VALUE"""),"125,")</f>
        <v>125,</v>
      </c>
    </row>
    <row r="36" spans="1:3" ht="15.75" customHeight="1">
      <c r="A36" s="16" t="str">
        <f ca="1">IFERROR(__xludf.DUMMYFUNCTION("""COMPUTED_VALUE"""),"AMD Ryzen™ 5 Vermeer 5600X - 3.7 GHz, 6 cores/12 threads, No GPU, AM4 (100-000000065), oem")</f>
        <v>AMD Ryzen™ 5 Vermeer 5600X - 3.7 GHz, 6 cores/12 threads, No GPU, AM4 (100-000000065), oem</v>
      </c>
      <c r="B36" s="26" t="str">
        <f ca="1">IFERROR(__xludf.DUMMYFUNCTION("""COMPUTED_VALUE"""),"100-000000065")</f>
        <v>100-000000065</v>
      </c>
      <c r="C36" s="379" t="str">
        <f ca="1">IFERROR(__xludf.DUMMYFUNCTION("""COMPUTED_VALUE"""),"135,")</f>
        <v>135,</v>
      </c>
    </row>
    <row r="37" spans="1:3" ht="15.75" customHeight="1">
      <c r="A37" s="16" t="str">
        <f ca="1">IFERROR(__xludf.DUMMYFUNCTION("""COMPUTED_VALUE"""),"AMD Ryzen™ 5 Raphael 7500F - 3.7 GHz, 6 cores/12 threads, No GPU, AM5 (100-000000597), oem")</f>
        <v>AMD Ryzen™ 5 Raphael 7500F - 3.7 GHz, 6 cores/12 threads, No GPU, AM5 (100-000000597), oem</v>
      </c>
      <c r="B37" s="26" t="str">
        <f ca="1">IFERROR(__xludf.DUMMYFUNCTION("""COMPUTED_VALUE"""),"100-000000597")</f>
        <v>100-000000597</v>
      </c>
      <c r="C37" s="379" t="str">
        <f ca="1">IFERROR(__xludf.DUMMYFUNCTION("""COMPUTED_VALUE"""),"130,")</f>
        <v>130,</v>
      </c>
    </row>
    <row r="38" spans="1:3" ht="15.75" customHeight="1">
      <c r="A38" s="16" t="str">
        <f ca="1">IFERROR(__xludf.DUMMYFUNCTION("""COMPUTED_VALUE"""),"AMD Ryzen™ 5 Raphael 7600X - 4.7 GHz, 6 cores/12 threads, GPU, AM5 (100-100000593), oem")</f>
        <v>AMD Ryzen™ 5 Raphael 7600X - 4.7 GHz, 6 cores/12 threads, GPU, AM5 (100-100000593), oem</v>
      </c>
      <c r="B38" s="26" t="str">
        <f ca="1">IFERROR(__xludf.DUMMYFUNCTION("""COMPUTED_VALUE"""),"100-100000593")</f>
        <v>100-100000593</v>
      </c>
      <c r="C38" s="379" t="str">
        <f ca="1">IFERROR(__xludf.DUMMYFUNCTION("""COMPUTED_VALUE"""),"172,")</f>
        <v>172,</v>
      </c>
    </row>
    <row r="39" spans="1:3" ht="15.75" customHeight="1">
      <c r="A39" s="16" t="str">
        <f ca="1">IFERROR(__xludf.DUMMYFUNCTION("""COMPUTED_VALUE"""),"AMD Ryzen™ 7 Raphael 7700X - 4.5 GHz, 8 cores/16 threads, GPU, AM5 (100-000000591), BOX")</f>
        <v>AMD Ryzen™ 7 Raphael 7700X - 4.5 GHz, 8 cores/16 threads, GPU, AM5 (100-000000591), BOX</v>
      </c>
      <c r="B39" s="26" t="str">
        <f ca="1">IFERROR(__xludf.DUMMYFUNCTION("""COMPUTED_VALUE"""),"100-000000591")</f>
        <v>100-000000591</v>
      </c>
      <c r="C39" s="379" t="str">
        <f ca="1">IFERROR(__xludf.DUMMYFUNCTION("""COMPUTED_VALUE"""),"233,")</f>
        <v>233,</v>
      </c>
    </row>
    <row r="40" spans="1:3" ht="15.75" customHeight="1">
      <c r="A40" s="16" t="str">
        <f ca="1">IFERROR(__xludf.DUMMYFUNCTION("""COMPUTED_VALUE"""),"AMD Ryzen™ 7 Raphael 7800X3D - 4.2 GHz, 8 cores/16 threads, GPU, AM5 (100-000000910), oem")</f>
        <v>AMD Ryzen™ 7 Raphael 7800X3D - 4.2 GHz, 8 cores/16 threads, GPU, AM5 (100-000000910), oem</v>
      </c>
      <c r="B40" s="26" t="str">
        <f ca="1">IFERROR(__xludf.DUMMYFUNCTION("""COMPUTED_VALUE"""),"100-000000910")</f>
        <v>100-000000910</v>
      </c>
      <c r="C40" s="379" t="str">
        <f ca="1">IFERROR(__xludf.DUMMYFUNCTION("""COMPUTED_VALUE"""),"305,")</f>
        <v>305,</v>
      </c>
    </row>
    <row r="41" spans="1:3" ht="15.75" customHeight="1">
      <c r="A41" s="16" t="str">
        <f ca="1">IFERROR(__xludf.DUMMYFUNCTION("""COMPUTED_VALUE"""),"AMD Ryzen™ 7 Vermeer 5700X - 3.4 GHz, 8 cores/16 threads, No GPU, AM4 (100-000000926), oem")</f>
        <v>AMD Ryzen™ 7 Vermeer 5700X - 3.4 GHz, 8 cores/16 threads, No GPU, AM4 (100-000000926), oem</v>
      </c>
      <c r="B41" s="26" t="str">
        <f ca="1">IFERROR(__xludf.DUMMYFUNCTION("""COMPUTED_VALUE"""),"100-000000926")</f>
        <v>100-000000926</v>
      </c>
      <c r="C41" s="379" t="str">
        <f ca="1">IFERROR(__xludf.DUMMYFUNCTION("""COMPUTED_VALUE"""),"145,")</f>
        <v>145,</v>
      </c>
    </row>
    <row r="42" spans="1:3" ht="15.75" customHeight="1">
      <c r="A42" s="16" t="str">
        <f ca="1">IFERROR(__xludf.DUMMYFUNCTION("""COMPUTED_VALUE"""),"AMD Ryzen™ 7 Granite Ridge 9800X3D - 4.7 Ghz, 8 cores/16 threads, GPU, AM5, (100-000001084), oem")</f>
        <v>AMD Ryzen™ 7 Granite Ridge 9800X3D - 4.7 Ghz, 8 cores/16 threads, GPU, AM5, (100-000001084), oem</v>
      </c>
      <c r="B42" s="26" t="str">
        <f ca="1">IFERROR(__xludf.DUMMYFUNCTION("""COMPUTED_VALUE"""),"100-000001084")</f>
        <v>100-000001084</v>
      </c>
      <c r="C42" s="379" t="str">
        <f ca="1">IFERROR(__xludf.DUMMYFUNCTION("""COMPUTED_VALUE"""),"425,")</f>
        <v>425,</v>
      </c>
    </row>
    <row r="43" spans="1:3" ht="15.75" customHeight="1">
      <c r="A43" s="16" t="str">
        <f ca="1">IFERROR(__xludf.DUMMYFUNCTION("""COMPUTED_VALUE"""),"AMD Ryzen™ 7 Granite Ridge 9850X3D - 4.7 Ghz, 8 cores/16 threads, GPU, AM5, (100-000001973), oem")</f>
        <v>AMD Ryzen™ 7 Granite Ridge 9850X3D - 4.7 Ghz, 8 cores/16 threads, GPU, AM5, (100-000001973), oem</v>
      </c>
      <c r="B43" s="26" t="str">
        <f ca="1">IFERROR(__xludf.DUMMYFUNCTION("""COMPUTED_VALUE"""),"100-000001973")</f>
        <v>100-000001973</v>
      </c>
      <c r="C43" s="379" t="str">
        <f ca="1">IFERROR(__xludf.DUMMYFUNCTION("""COMPUTED_VALUE"""),"490,")</f>
        <v>490,</v>
      </c>
    </row>
    <row r="44" spans="1:3" ht="15.75" customHeight="1">
      <c r="A44" s="16" t="str">
        <f ca="1">IFERROR(__xludf.DUMMYFUNCTION("""COMPUTED_VALUE"""),"AMD Ryzen™ 9 Granite Ridge 9900X - 4.4 Ghz, 12 cores/24 threads, GPU, AM5, (100-000000662), oem")</f>
        <v>AMD Ryzen™ 9 Granite Ridge 9900X - 4.4 Ghz, 12 cores/24 threads, GPU, AM5, (100-000000662), oem</v>
      </c>
      <c r="B44" s="26" t="str">
        <f ca="1">IFERROR(__xludf.DUMMYFUNCTION("""COMPUTED_VALUE"""),"100-000000662")</f>
        <v>100-000000662</v>
      </c>
      <c r="C44" s="379" t="str">
        <f ca="1">IFERROR(__xludf.DUMMYFUNCTION("""COMPUTED_VALUE"""),"375,")</f>
        <v>375,</v>
      </c>
    </row>
    <row r="45" spans="1:3" ht="15.75" customHeight="1">
      <c r="A45" s="16" t="str">
        <f ca="1">IFERROR(__xludf.DUMMYFUNCTION("""COMPUTED_VALUE"""),"AMD Ryzen™ 9 Granite Ridge 9900X3D - 4.4 Ghz, 12 cores/24 threads, GPU, AM5, (100-000001368), oem")</f>
        <v>AMD Ryzen™ 9 Granite Ridge 9900X3D - 4.4 Ghz, 12 cores/24 threads, GPU, AM5, (100-000001368), oem</v>
      </c>
      <c r="B45" s="26" t="str">
        <f ca="1">IFERROR(__xludf.DUMMYFUNCTION("""COMPUTED_VALUE"""),"100-000001368")</f>
        <v>100-000001368</v>
      </c>
      <c r="C45" s="379" t="str">
        <f ca="1">IFERROR(__xludf.DUMMYFUNCTION("""COMPUTED_VALUE"""),"570,")</f>
        <v>570,</v>
      </c>
    </row>
    <row r="46" spans="1:3" ht="15.75" customHeight="1">
      <c r="A46" s="16" t="str">
        <f ca="1">IFERROR(__xludf.DUMMYFUNCTION("""COMPUTED_VALUE"""),"AMD Ryzen™ 9 Granite Ridge 9950X3D - 4.3 Ghz, 16 cores/32 threads, GPU, AM5, (100-000000719), oem")</f>
        <v>AMD Ryzen™ 9 Granite Ridge 9950X3D - 4.3 Ghz, 16 cores/32 threads, GPU, AM5, (100-000000719), oem</v>
      </c>
      <c r="B46" s="26" t="str">
        <f ca="1">IFERROR(__xludf.DUMMYFUNCTION("""COMPUTED_VALUE"""),"100-000000719")</f>
        <v>100-000000719</v>
      </c>
      <c r="C46" s="379" t="str">
        <f ca="1">IFERROR(__xludf.DUMMYFUNCTION("""COMPUTED_VALUE"""),"645,")</f>
        <v>645,</v>
      </c>
    </row>
    <row r="47" spans="1:3" ht="15.75" customHeight="1">
      <c r="A47" s="16" t="str">
        <f ca="1">IFERROR(__xludf.DUMMYFUNCTION("""COMPUTED_VALUE"""),"Apacer DDR5 16GB 5600MHz")</f>
        <v>Apacer DDR5 16GB 5600MHz</v>
      </c>
      <c r="B47" s="26" t="str">
        <f ca="1">IFERROR(__xludf.DUMMYFUNCTION("""COMPUTED_VALUE"""),"")</f>
        <v/>
      </c>
      <c r="C47" s="379" t="str">
        <f ca="1">IFERROR(__xludf.DUMMYFUNCTION("""COMPUTED_VALUE"""),"170,")</f>
        <v>170,</v>
      </c>
    </row>
    <row r="48" spans="1:3" ht="15.75" customHeight="1">
      <c r="A48" s="16" t="str">
        <f ca="1">IFERROR(__xludf.DUMMYFUNCTION("""COMPUTED_VALUE"""),"Adata DDR5 16GB 5600MHz")</f>
        <v>Adata DDR5 16GB 5600MHz</v>
      </c>
      <c r="B48" s="26" t="str">
        <f ca="1">IFERROR(__xludf.DUMMYFUNCTION("""COMPUTED_VALUE"""),"")</f>
        <v/>
      </c>
      <c r="C48" s="379" t="str">
        <f ca="1">IFERROR(__xludf.DUMMYFUNCTION("""COMPUTED_VALUE"""),"170,")</f>
        <v>170,</v>
      </c>
    </row>
    <row r="49" spans="1:3" ht="15.75" customHeight="1">
      <c r="A49" s="16" t="str">
        <f ca="1">IFERROR(__xludf.DUMMYFUNCTION("""COMPUTED_VALUE"""),"Adata DDR5 32GB 5600MHz")</f>
        <v>Adata DDR5 32GB 5600MHz</v>
      </c>
      <c r="B49" s="26" t="str">
        <f ca="1">IFERROR(__xludf.DUMMYFUNCTION("""COMPUTED_VALUE"""),"")</f>
        <v/>
      </c>
      <c r="C49" s="379" t="str">
        <f ca="1">IFERROR(__xludf.DUMMYFUNCTION("""COMPUTED_VALUE"""),"315,")</f>
        <v>315,</v>
      </c>
    </row>
    <row r="50" spans="1:3" ht="15.75" customHeight="1">
      <c r="A50" s="16" t="str">
        <f ca="1">IFERROR(__xludf.DUMMYFUNCTION("""COMPUTED_VALUE"""),"Adata DDR5 16GB 5600MHz SODIMM")</f>
        <v>Adata DDR5 16GB 5600MHz SODIMM</v>
      </c>
      <c r="B50" s="26" t="str">
        <f ca="1">IFERROR(__xludf.DUMMYFUNCTION("""COMPUTED_VALUE"""),"")</f>
        <v/>
      </c>
      <c r="C50" s="379" t="str">
        <f ca="1">IFERROR(__xludf.DUMMYFUNCTION("""COMPUTED_VALUE"""),"165,")</f>
        <v>165,</v>
      </c>
    </row>
    <row r="51" spans="1:3" ht="15.75" customHeight="1">
      <c r="A51" s="16" t="str">
        <f ca="1">IFERROR(__xludf.DUMMYFUNCTION("""COMPUTED_VALUE"""),"Adata DDR5 32GB 5600MHz SODIMM")</f>
        <v>Adata DDR5 32GB 5600MHz SODIMM</v>
      </c>
      <c r="B51" s="26" t="str">
        <f ca="1">IFERROR(__xludf.DUMMYFUNCTION("""COMPUTED_VALUE"""),"")</f>
        <v/>
      </c>
      <c r="C51" s="379" t="str">
        <f ca="1">IFERROR(__xludf.DUMMYFUNCTION("""COMPUTED_VALUE"""),"310,")</f>
        <v>310,</v>
      </c>
    </row>
    <row r="52" spans="1:3" ht="15.75" customHeight="1">
      <c r="A52" s="16" t="str">
        <f ca="1">IFERROR(__xludf.DUMMYFUNCTION("""COMPUTED_VALUE"""),"ACER DDR4 16GB 3200MHz")</f>
        <v>ACER DDR4 16GB 3200MHz</v>
      </c>
      <c r="B52" s="26" t="str">
        <f ca="1">IFERROR(__xludf.DUMMYFUNCTION("""COMPUTED_VALUE"""),"")</f>
        <v/>
      </c>
      <c r="C52" s="379" t="str">
        <f ca="1">IFERROR(__xludf.DUMMYFUNCTION("""COMPUTED_VALUE"""),"98,")</f>
        <v>98,</v>
      </c>
    </row>
    <row r="53" spans="1:3" ht="15.75" customHeight="1">
      <c r="A53" s="16" t="str">
        <f ca="1">IFERROR(__xludf.DUMMYFUNCTION("""COMPUTED_VALUE"""),"Dahua DDR4 8GB 3200MHz")</f>
        <v>Dahua DDR4 8GB 3200MHz</v>
      </c>
      <c r="B53" s="26" t="str">
        <f ca="1">IFERROR(__xludf.DUMMYFUNCTION("""COMPUTED_VALUE"""),"")</f>
        <v/>
      </c>
      <c r="C53" s="379" t="str">
        <f ca="1">IFERROR(__xludf.DUMMYFUNCTION("""COMPUTED_VALUE"""),"50,")</f>
        <v>50,</v>
      </c>
    </row>
    <row r="54" spans="1:3" ht="15.75" customHeight="1">
      <c r="A54" s="16" t="str">
        <f ca="1">IFERROR(__xludf.DUMMYFUNCTION("""COMPUTED_VALUE"""),"Hiksemi DDR4 16GB 3200MHz")</f>
        <v>Hiksemi DDR4 16GB 3200MHz</v>
      </c>
      <c r="B54" s="26" t="str">
        <f ca="1">IFERROR(__xludf.DUMMYFUNCTION("""COMPUTED_VALUE"""),"")</f>
        <v/>
      </c>
      <c r="C54" s="379" t="str">
        <f ca="1">IFERROR(__xludf.DUMMYFUNCTION("""COMPUTED_VALUE"""),"98,")</f>
        <v>98,</v>
      </c>
    </row>
    <row r="55" spans="1:3" ht="15.75" customHeight="1">
      <c r="A55" s="16" t="str">
        <f ca="1">IFERROR(__xludf.DUMMYFUNCTION("""COMPUTED_VALUE"""),"Hiksemi DDR4 8GB 3200MHz SODIMM")</f>
        <v>Hiksemi DDR4 8GB 3200MHz SODIMM</v>
      </c>
      <c r="B55" s="26" t="str">
        <f ca="1">IFERROR(__xludf.DUMMYFUNCTION("""COMPUTED_VALUE"""),"")</f>
        <v/>
      </c>
      <c r="C55" s="379" t="str">
        <f ca="1">IFERROR(__xludf.DUMMYFUNCTION("""COMPUTED_VALUE"""),"51,")</f>
        <v>51,</v>
      </c>
    </row>
    <row r="56" spans="1:3" ht="15.75" customHeight="1">
      <c r="A56" s="16" t="str">
        <f ca="1">IFERROR(__xludf.DUMMYFUNCTION("""COMPUTED_VALUE"""),"Hikvision DDR4 16GB 3200MHz SODIMM")</f>
        <v>Hikvision DDR4 16GB 3200MHz SODIMM</v>
      </c>
      <c r="B56" s="26" t="str">
        <f ca="1">IFERROR(__xludf.DUMMYFUNCTION("""COMPUTED_VALUE"""),"")</f>
        <v/>
      </c>
      <c r="C56" s="379" t="str">
        <f ca="1">IFERROR(__xludf.DUMMYFUNCTION("""COMPUTED_VALUE"""),"98,")</f>
        <v>98,</v>
      </c>
    </row>
    <row r="57" spans="1:3" ht="15.75" customHeight="1">
      <c r="A57" s="16" t="str">
        <f ca="1">IFERROR(__xludf.DUMMYFUNCTION("""COMPUTED_VALUE"""),"Patriot DDR4 16GB 3200MHz")</f>
        <v>Patriot DDR4 16GB 3200MHz</v>
      </c>
      <c r="B57" s="26" t="str">
        <f ca="1">IFERROR(__xludf.DUMMYFUNCTION("""COMPUTED_VALUE"""),"")</f>
        <v/>
      </c>
      <c r="C57" s="379" t="str">
        <f ca="1">IFERROR(__xludf.DUMMYFUNCTION("""COMPUTED_VALUE"""),"98,")</f>
        <v>98,</v>
      </c>
    </row>
    <row r="58" spans="1:3" ht="15.75" customHeight="1">
      <c r="A58" s="16" t="str">
        <f ca="1">IFERROR(__xludf.DUMMYFUNCTION("""COMPUTED_VALUE"""),"Patriot DDR5 16GB 6000MHz")</f>
        <v>Patriot DDR5 16GB 6000MHz</v>
      </c>
      <c r="B58" s="26" t="str">
        <f ca="1">IFERROR(__xludf.DUMMYFUNCTION("""COMPUTED_VALUE"""),"")</f>
        <v/>
      </c>
      <c r="C58" s="379" t="str">
        <f ca="1">IFERROR(__xludf.DUMMYFUNCTION("""COMPUTED_VALUE"""),"170,")</f>
        <v>170,</v>
      </c>
    </row>
    <row r="59" spans="1:3" ht="15.75" customHeight="1">
      <c r="A59" s="16" t="str">
        <f ca="1">IFERROR(__xludf.DUMMYFUNCTION("""COMPUTED_VALUE"""),"Samsung DDR5 16GB 6400MHz")</f>
        <v>Samsung DDR5 16GB 6400MHz</v>
      </c>
      <c r="B59" s="26" t="str">
        <f ca="1">IFERROR(__xludf.DUMMYFUNCTION("""COMPUTED_VALUE"""),"")</f>
        <v/>
      </c>
      <c r="C59" s="379" t="str">
        <f ca="1">IFERROR(__xludf.DUMMYFUNCTION("""COMPUTED_VALUE"""),"175,")</f>
        <v>175,</v>
      </c>
    </row>
    <row r="60" spans="1:3" ht="15.75" customHeight="1">
      <c r="A60" s="16" t="str">
        <f ca="1">IFERROR(__xludf.DUMMYFUNCTION("""COMPUTED_VALUE"""),"Kingston DDR4 16GB 3200MHz (8*2) RGB")</f>
        <v>Kingston DDR4 16GB 3200MHz (8*2) RGB</v>
      </c>
      <c r="B60" s="26" t="str">
        <f ca="1">IFERROR(__xludf.DUMMYFUNCTION("""COMPUTED_VALUE"""),"")</f>
        <v/>
      </c>
      <c r="C60" s="379" t="str">
        <f ca="1">IFERROR(__xludf.DUMMYFUNCTION("""COMPUTED_VALUE"""),"138,")</f>
        <v>138,</v>
      </c>
    </row>
    <row r="61" spans="1:3" ht="15.75" customHeight="1">
      <c r="A61" s="16" t="str">
        <f ca="1">IFERROR(__xludf.DUMMYFUNCTION("""COMPUTED_VALUE"""),"Kingston DDR4 32GB 3600MHz RGB")</f>
        <v>Kingston DDR4 32GB 3600MHz RGB</v>
      </c>
      <c r="B61" s="26" t="str">
        <f ca="1">IFERROR(__xludf.DUMMYFUNCTION("""COMPUTED_VALUE"""),"")</f>
        <v/>
      </c>
      <c r="C61" s="379" t="str">
        <f ca="1">IFERROR(__xludf.DUMMYFUNCTION("""COMPUTED_VALUE"""),"192,")</f>
        <v>192,</v>
      </c>
    </row>
    <row r="62" spans="1:3" ht="15.75" customHeight="1">
      <c r="A62" s="16" t="str">
        <f ca="1">IFERROR(__xludf.DUMMYFUNCTION("""COMPUTED_VALUE"""),"Kingston DDR5 16GB 5600MHz (KVR56U46BS8-16)")</f>
        <v>Kingston DDR5 16GB 5600MHz (KVR56U46BS8-16)</v>
      </c>
      <c r="B62" s="26" t="str">
        <f ca="1">IFERROR(__xludf.DUMMYFUNCTION("""COMPUTED_VALUE"""),"KVR56U46BS8-16")</f>
        <v>KVR56U46BS8-16</v>
      </c>
      <c r="C62" s="379" t="str">
        <f ca="1">IFERROR(__xludf.DUMMYFUNCTION("""COMPUTED_VALUE"""),"175,")</f>
        <v>175,</v>
      </c>
    </row>
    <row r="63" spans="1:3" ht="15.75" customHeight="1">
      <c r="A63" s="16" t="str">
        <f ca="1">IFERROR(__xludf.DUMMYFUNCTION("""COMPUTED_VALUE"""),"Kingston DDR5 32GB 6000MHz RGB")</f>
        <v>Kingston DDR5 32GB 6000MHz RGB</v>
      </c>
      <c r="B63" s="26" t="str">
        <f ca="1">IFERROR(__xludf.DUMMYFUNCTION("""COMPUTED_VALUE"""),"")</f>
        <v/>
      </c>
      <c r="C63" s="379" t="str">
        <f ca="1">IFERROR(__xludf.DUMMYFUNCTION("""COMPUTED_VALUE"""),"400,")</f>
        <v>400,</v>
      </c>
    </row>
    <row r="64" spans="1:3" ht="15.75" customHeight="1">
      <c r="A64" s="16" t="str">
        <f ca="1">IFERROR(__xludf.DUMMYFUNCTION("""COMPUTED_VALUE"""),"Kingston DDR5 32GB 6000MHz (16*2) RGB")</f>
        <v>Kingston DDR5 32GB 6000MHz (16*2) RGB</v>
      </c>
      <c r="B64" s="26" t="str">
        <f ca="1">IFERROR(__xludf.DUMMYFUNCTION("""COMPUTED_VALUE"""),"")</f>
        <v/>
      </c>
      <c r="C64" s="379" t="str">
        <f ca="1">IFERROR(__xludf.DUMMYFUNCTION("""COMPUTED_VALUE"""),"420,")</f>
        <v>420,</v>
      </c>
    </row>
    <row r="65" spans="1:3" ht="15.75" customHeight="1">
      <c r="A65" s="16" t="str">
        <f ca="1">IFERROR(__xludf.DUMMYFUNCTION("""COMPUTED_VALUE"""),"Kingston DDR5 64GB 6000MHz (32*2) RGB")</f>
        <v>Kingston DDR5 64GB 6000MHz (32*2) RGB</v>
      </c>
      <c r="B65" s="26" t="str">
        <f ca="1">IFERROR(__xludf.DUMMYFUNCTION("""COMPUTED_VALUE"""),"")</f>
        <v/>
      </c>
      <c r="C65" s="379" t="str">
        <f ca="1">IFERROR(__xludf.DUMMYFUNCTION("""COMPUTED_VALUE"""),"840,")</f>
        <v>840,</v>
      </c>
    </row>
    <row r="66" spans="1:3" ht="15.75" customHeight="1">
      <c r="A66" s="16" t="str">
        <f ca="1">IFERROR(__xludf.DUMMYFUNCTION("""COMPUTED_VALUE"""),"Kingston DDR5 16GB 5600MHz SODIMM")</f>
        <v>Kingston DDR5 16GB 5600MHz SODIMM</v>
      </c>
      <c r="B66" s="26" t="str">
        <f ca="1">IFERROR(__xludf.DUMMYFUNCTION("""COMPUTED_VALUE"""),"")</f>
        <v/>
      </c>
      <c r="C66" s="379" t="str">
        <f ca="1">IFERROR(__xludf.DUMMYFUNCTION("""COMPUTED_VALUE"""),"165,")</f>
        <v>165,</v>
      </c>
    </row>
    <row r="67" spans="1:3" ht="15.75" customHeight="1">
      <c r="A67" s="16" t="str">
        <f ca="1">IFERROR(__xludf.DUMMYFUNCTION("""COMPUTED_VALUE"""),"Lexar DDR4 8GB 3200MHz")</f>
        <v>Lexar DDR4 8GB 3200MHz</v>
      </c>
      <c r="B67" s="26" t="str">
        <f ca="1">IFERROR(__xludf.DUMMYFUNCTION("""COMPUTED_VALUE"""),"")</f>
        <v/>
      </c>
      <c r="C67" s="379" t="str">
        <f ca="1">IFERROR(__xludf.DUMMYFUNCTION("""COMPUTED_VALUE"""),"53,")</f>
        <v>53,</v>
      </c>
    </row>
    <row r="68" spans="1:3" ht="15.75" customHeight="1">
      <c r="A68" s="16" t="str">
        <f ca="1">IFERROR(__xludf.DUMMYFUNCTION("""COMPUTED_VALUE"""),"Lexar DDR4 16GB 3200MHz")</f>
        <v>Lexar DDR4 16GB 3200MHz</v>
      </c>
      <c r="B68" s="26" t="str">
        <f ca="1">IFERROR(__xludf.DUMMYFUNCTION("""COMPUTED_VALUE"""),"")</f>
        <v/>
      </c>
      <c r="C68" s="379" t="str">
        <f ca="1">IFERROR(__xludf.DUMMYFUNCTION("""COMPUTED_VALUE"""),"110,")</f>
        <v>110,</v>
      </c>
    </row>
    <row r="69" spans="1:3" ht="15.75" customHeight="1">
      <c r="A69" s="16" t="str">
        <f ca="1">IFERROR(__xludf.DUMMYFUNCTION("""COMPUTED_VALUE"""),"Lexar DDR4 8GB 3200MHz SODIMM")</f>
        <v>Lexar DDR4 8GB 3200MHz SODIMM</v>
      </c>
      <c r="B69" s="26" t="str">
        <f ca="1">IFERROR(__xludf.DUMMYFUNCTION("""COMPUTED_VALUE"""),"")</f>
        <v/>
      </c>
      <c r="C69" s="379" t="str">
        <f ca="1">IFERROR(__xludf.DUMMYFUNCTION("""COMPUTED_VALUE"""),"53,")</f>
        <v>53,</v>
      </c>
    </row>
    <row r="70" spans="1:3" ht="15.75" customHeight="1">
      <c r="A70" s="16" t="str">
        <f ca="1">IFERROR(__xludf.DUMMYFUNCTION("""COMPUTED_VALUE"""),"Lexar DDR4 16GB 3200MHz SODIMM")</f>
        <v>Lexar DDR4 16GB 3200MHz SODIMM</v>
      </c>
      <c r="B70" s="26" t="str">
        <f ca="1">IFERROR(__xludf.DUMMYFUNCTION("""COMPUTED_VALUE"""),"")</f>
        <v/>
      </c>
      <c r="C70" s="379" t="str">
        <f ca="1">IFERROR(__xludf.DUMMYFUNCTION("""COMPUTED_VALUE"""),"110,")</f>
        <v>110,</v>
      </c>
    </row>
    <row r="71" spans="1:3" ht="15.75" customHeight="1">
      <c r="A71" s="16" t="str">
        <f ca="1">IFERROR(__xludf.DUMMYFUNCTION("""COMPUTED_VALUE"""),"Lexar DDR5 32GB 8000MHz (16*2) RGB")</f>
        <v>Lexar DDR5 32GB 8000MHz (16*2) RGB</v>
      </c>
      <c r="B71" s="26" t="str">
        <f ca="1">IFERROR(__xludf.DUMMYFUNCTION("""COMPUTED_VALUE"""),"")</f>
        <v/>
      </c>
      <c r="C71" s="379" t="str">
        <f ca="1">IFERROR(__xludf.DUMMYFUNCTION("""COMPUTED_VALUE"""),"400,")</f>
        <v>400,</v>
      </c>
    </row>
    <row r="72" spans="1:3" ht="15.75" customHeight="1">
      <c r="A72" s="16" t="str">
        <f ca="1">IFERROR(__xludf.DUMMYFUNCTION("""COMPUTED_VALUE"""),"Lexar DDR5 64GB 6000MHz (32*2) RGB")</f>
        <v>Lexar DDR5 64GB 6000MHz (32*2) RGB</v>
      </c>
      <c r="B72" s="26" t="str">
        <f ca="1">IFERROR(__xludf.DUMMYFUNCTION("""COMPUTED_VALUE"""),"")</f>
        <v/>
      </c>
      <c r="C72" s="379" t="str">
        <f ca="1">IFERROR(__xludf.DUMMYFUNCTION("""COMPUTED_VALUE"""),"800,")</f>
        <v>800,</v>
      </c>
    </row>
    <row r="73" spans="1:3" ht="15.75" customHeight="1">
      <c r="A73" s="16" t="str">
        <f ca="1">IFERROR(__xludf.DUMMYFUNCTION("""COMPUTED_VALUE"""),"Lexar DDR5 8GB 5600MHz SODIMM")</f>
        <v>Lexar DDR5 8GB 5600MHz SODIMM</v>
      </c>
      <c r="B73" s="26" t="str">
        <f ca="1">IFERROR(__xludf.DUMMYFUNCTION("""COMPUTED_VALUE"""),"")</f>
        <v/>
      </c>
      <c r="C73" s="379" t="str">
        <f ca="1">IFERROR(__xludf.DUMMYFUNCTION("""COMPUTED_VALUE"""),"92,")</f>
        <v>92,</v>
      </c>
    </row>
    <row r="74" spans="1:3" ht="15.75" customHeight="1">
      <c r="A74" s="16" t="str">
        <f ca="1">IFERROR(__xludf.DUMMYFUNCTION("""COMPUTED_VALUE"""),"Crucial DDR4 8GB 3200MHz")</f>
        <v>Crucial DDR4 8GB 3200MHz</v>
      </c>
      <c r="B74" s="26" t="str">
        <f ca="1">IFERROR(__xludf.DUMMYFUNCTION("""COMPUTED_VALUE"""),"")</f>
        <v/>
      </c>
      <c r="C74" s="379" t="str">
        <f ca="1">IFERROR(__xludf.DUMMYFUNCTION("""COMPUTED_VALUE"""),"53,")</f>
        <v>53,</v>
      </c>
    </row>
    <row r="75" spans="1:3" ht="15.75" customHeight="1">
      <c r="A75" s="16" t="str">
        <f ca="1">IFERROR(__xludf.DUMMYFUNCTION("""COMPUTED_VALUE"""),"Crucial DDR4 16GB 3200MHz")</f>
        <v>Crucial DDR4 16GB 3200MHz</v>
      </c>
      <c r="B75" s="26" t="str">
        <f ca="1">IFERROR(__xludf.DUMMYFUNCTION("""COMPUTED_VALUE"""),"")</f>
        <v/>
      </c>
      <c r="C75" s="379" t="str">
        <f ca="1">IFERROR(__xludf.DUMMYFUNCTION("""COMPUTED_VALUE"""),"106,")</f>
        <v>106,</v>
      </c>
    </row>
    <row r="76" spans="1:3" ht="15.75" customHeight="1">
      <c r="A76" s="16" t="str">
        <f ca="1">IFERROR(__xludf.DUMMYFUNCTION("""COMPUTED_VALUE"""),"Crucial DDR4 8GB 3200MHz SODIMM")</f>
        <v>Crucial DDR4 8GB 3200MHz SODIMM</v>
      </c>
      <c r="B76" s="26" t="str">
        <f ca="1">IFERROR(__xludf.DUMMYFUNCTION("""COMPUTED_VALUE"""),"")</f>
        <v/>
      </c>
      <c r="C76" s="379" t="str">
        <f ca="1">IFERROR(__xludf.DUMMYFUNCTION("""COMPUTED_VALUE"""),"53,")</f>
        <v>53,</v>
      </c>
    </row>
    <row r="77" spans="1:3" ht="15.75" customHeight="1">
      <c r="A77" s="16" t="str">
        <f ca="1">IFERROR(__xludf.DUMMYFUNCTION("""COMPUTED_VALUE"""),"Crucial DDR4 16GB 3200MHz SODIMM")</f>
        <v>Crucial DDR4 16GB 3200MHz SODIMM</v>
      </c>
      <c r="B77" s="26" t="str">
        <f ca="1">IFERROR(__xludf.DUMMYFUNCTION("""COMPUTED_VALUE"""),"")</f>
        <v/>
      </c>
      <c r="C77" s="379" t="str">
        <f ca="1">IFERROR(__xludf.DUMMYFUNCTION("""COMPUTED_VALUE"""),"106,")</f>
        <v>106,</v>
      </c>
    </row>
    <row r="78" spans="1:3" ht="15.75" customHeight="1">
      <c r="A78" s="16" t="str">
        <f ca="1">IFERROR(__xludf.DUMMYFUNCTION("""COMPUTED_VALUE"""),"Team DDR4 8GB 3200MHz")</f>
        <v>Team DDR4 8GB 3200MHz</v>
      </c>
      <c r="B78" s="26" t="str">
        <f ca="1">IFERROR(__xludf.DUMMYFUNCTION("""COMPUTED_VALUE"""),"")</f>
        <v/>
      </c>
      <c r="C78" s="379" t="str">
        <f ca="1">IFERROR(__xludf.DUMMYFUNCTION("""COMPUTED_VALUE"""),"50,")</f>
        <v>50,</v>
      </c>
    </row>
    <row r="79" spans="1:3" ht="15.75" customHeight="1">
      <c r="A79" s="16" t="str">
        <f ca="1">IFERROR(__xludf.DUMMYFUNCTION("""COMPUTED_VALUE"""),"Teamgroup DDR4 16GB 3600MHz (8*2) RGB")</f>
        <v>Teamgroup DDR4 16GB 3600MHz (8*2) RGB</v>
      </c>
      <c r="B79" s="26" t="str">
        <f ca="1">IFERROR(__xludf.DUMMYFUNCTION("""COMPUTED_VALUE"""),"")</f>
        <v/>
      </c>
      <c r="C79" s="379" t="str">
        <f ca="1">IFERROR(__xludf.DUMMYFUNCTION("""COMPUTED_VALUE"""),"138,")</f>
        <v>138,</v>
      </c>
    </row>
    <row r="80" spans="1:3" ht="15.75" customHeight="1">
      <c r="A80" s="16" t="str">
        <f ca="1">IFERROR(__xludf.DUMMYFUNCTION("""COMPUTED_VALUE"""),"Teamgroup DDR5 32GB 5600MHz (16*2) RGB")</f>
        <v>Teamgroup DDR5 32GB 5600MHz (16*2) RGB</v>
      </c>
      <c r="B80" s="26" t="str">
        <f ca="1">IFERROR(__xludf.DUMMYFUNCTION("""COMPUTED_VALUE"""),"")</f>
        <v/>
      </c>
      <c r="C80" s="379" t="str">
        <f ca="1">IFERROR(__xludf.DUMMYFUNCTION("""COMPUTED_VALUE"""),"370,")</f>
        <v>370,</v>
      </c>
    </row>
    <row r="81" spans="1:3" ht="15.75" customHeight="1">
      <c r="A81" s="16" t="str">
        <f ca="1">IFERROR(__xludf.DUMMYFUNCTION("""COMPUTED_VALUE"""),"Teamgroup DDR5 32GB 600MHz (16*2) RGB")</f>
        <v>Teamgroup DDR5 32GB 600MHz (16*2) RGB</v>
      </c>
      <c r="B81" s="26" t="str">
        <f ca="1">IFERROR(__xludf.DUMMYFUNCTION("""COMPUTED_VALUE"""),"")</f>
        <v/>
      </c>
      <c r="C81" s="379" t="str">
        <f ca="1">IFERROR(__xludf.DUMMYFUNCTION("""COMPUTED_VALUE"""),"380,")</f>
        <v>380,</v>
      </c>
    </row>
    <row r="82" spans="1:3" ht="15.75" customHeight="1">
      <c r="A82" s="16" t="str">
        <f ca="1">IFERROR(__xludf.DUMMYFUNCTION("""COMPUTED_VALUE"""),"HDD 1TB Toshiba Surveillance S300 HDWV110UZSVA 5700Rpm Original OEM")</f>
        <v>HDD 1TB Toshiba Surveillance S300 HDWV110UZSVA 5700Rpm Original OEM</v>
      </c>
      <c r="B82" s="26" t="str">
        <f ca="1">IFERROR(__xludf.DUMMYFUNCTION("""COMPUTED_VALUE"""),"")</f>
        <v/>
      </c>
      <c r="C82" s="379" t="str">
        <f ca="1">IFERROR(__xludf.DUMMYFUNCTION("""COMPUTED_VALUE"""),"78,")</f>
        <v>78,</v>
      </c>
    </row>
    <row r="83" spans="1:3" ht="15.75" customHeight="1">
      <c r="A83" s="16" t="str">
        <f ca="1">IFERROR(__xludf.DUMMYFUNCTION("""COMPUTED_VALUE"""),"HDD 2TB Toshiba Surveillance S300 HDWT720UZSVA 5400Rpm Original OEM")</f>
        <v>HDD 2TB Toshiba Surveillance S300 HDWT720UZSVA 5400Rpm Original OEM</v>
      </c>
      <c r="B83" s="26" t="str">
        <f ca="1">IFERROR(__xludf.DUMMYFUNCTION("""COMPUTED_VALUE"""),"")</f>
        <v/>
      </c>
      <c r="C83" s="379" t="str">
        <f ca="1">IFERROR(__xludf.DUMMYFUNCTION("""COMPUTED_VALUE"""),"105,")</f>
        <v>105,</v>
      </c>
    </row>
    <row r="84" spans="1:3" ht="15.75" customHeight="1">
      <c r="A84" s="16" t="str">
        <f ca="1">IFERROR(__xludf.DUMMYFUNCTION("""COMPUTED_VALUE"""),"HDD 4TB Toshiba Surveillance S300 HDWT840UZSVA 5400Rpm Original OEM")</f>
        <v>HDD 4TB Toshiba Surveillance S300 HDWT840UZSVA 5400Rpm Original OEM</v>
      </c>
      <c r="B84" s="26" t="str">
        <f ca="1">IFERROR(__xludf.DUMMYFUNCTION("""COMPUTED_VALUE"""),"")</f>
        <v/>
      </c>
      <c r="C84" s="379" t="str">
        <f ca="1">IFERROR(__xludf.DUMMYFUNCTION("""COMPUTED_VALUE"""),"135,")</f>
        <v>135,</v>
      </c>
    </row>
    <row r="85" spans="1:3" ht="15.75" customHeight="1">
      <c r="A85" s="16" t="str">
        <f ca="1">IFERROR(__xludf.DUMMYFUNCTION("""COMPUTED_VALUE"""),"HDD 6TB Toshiba Surveillance S300 HDWT860UZSVA 5400Rpm Original OEM")</f>
        <v>HDD 6TB Toshiba Surveillance S300 HDWT860UZSVA 5400Rpm Original OEM</v>
      </c>
      <c r="B85" s="26" t="str">
        <f ca="1">IFERROR(__xludf.DUMMYFUNCTION("""COMPUTED_VALUE"""),"")</f>
        <v/>
      </c>
      <c r="C85" s="379" t="str">
        <f ca="1">IFERROR(__xludf.DUMMYFUNCTION("""COMPUTED_VALUE"""),"195,")</f>
        <v>195,</v>
      </c>
    </row>
    <row r="86" spans="1:3" ht="15.75" customHeight="1">
      <c r="A86" s="16" t="str">
        <f ca="1">IFERROR(__xludf.DUMMYFUNCTION("""COMPUTED_VALUE"""),"HDD 8TB Toshiba Surveillance S300 HDWT380UZSVA 7200Rpm 256MB buffer Original OEM")</f>
        <v>HDD 8TB Toshiba Surveillance S300 HDWT380UZSVA 7200Rpm 256MB buffer Original OEM</v>
      </c>
      <c r="B86" s="26" t="str">
        <f ca="1">IFERROR(__xludf.DUMMYFUNCTION("""COMPUTED_VALUE"""),"")</f>
        <v/>
      </c>
      <c r="C86" s="379" t="str">
        <f ca="1">IFERROR(__xludf.DUMMYFUNCTION("""COMPUTED_VALUE"""),"275,")</f>
        <v>275,</v>
      </c>
    </row>
    <row r="87" spans="1:3" ht="15.75" customHeight="1">
      <c r="A87" s="16" t="str">
        <f ca="1">IFERROR(__xludf.DUMMYFUNCTION("""COMPUTED_VALUE"""),"HDD 10TB Toshiba Surveillance S300 HDWT31AUZSVA 7200Rpm 256MB buffer Original")</f>
        <v>HDD 10TB Toshiba Surveillance S300 HDWT31AUZSVA 7200Rpm 256MB buffer Original</v>
      </c>
      <c r="B87" s="26" t="str">
        <f ca="1">IFERROR(__xludf.DUMMYFUNCTION("""COMPUTED_VALUE"""),"")</f>
        <v/>
      </c>
      <c r="C87" s="379" t="str">
        <f ca="1">IFERROR(__xludf.DUMMYFUNCTION("""COMPUTED_VALUE"""),"370,")</f>
        <v>370,</v>
      </c>
    </row>
    <row r="88" spans="1:3" ht="15.75" customHeight="1">
      <c r="A88" s="16" t="str">
        <f ca="1">IFERROR(__xludf.DUMMYFUNCTION("""COMPUTED_VALUE"""),"Ext HDD Transcend 2TB StoreJet 25M3 2.5"" (TS2TSJ25M3S)")</f>
        <v>Ext HDD Transcend 2TB StoreJet 25M3 2.5" (TS2TSJ25M3S)</v>
      </c>
      <c r="B88" s="26" t="str">
        <f ca="1">IFERROR(__xludf.DUMMYFUNCTION("""COMPUTED_VALUE"""),"TS2TSJ25M3S")</f>
        <v>TS2TSJ25M3S</v>
      </c>
      <c r="C88" s="379" t="str">
        <f ca="1">IFERROR(__xludf.DUMMYFUNCTION("""COMPUTED_VALUE"""),"105,")</f>
        <v>105,</v>
      </c>
    </row>
    <row r="89" spans="1:3" ht="15.75" customHeight="1">
      <c r="A89" s="16" t="str">
        <f ca="1">IFERROR(__xludf.DUMMYFUNCTION("""COMPUTED_VALUE"""),"Ext HDD Transcend 4TB StoreJet 25M3 2.5"" (TS4TSJ25M3S)")</f>
        <v>Ext HDD Transcend 4TB StoreJet 25M3 2.5" (TS4TSJ25M3S)</v>
      </c>
      <c r="B89" s="26" t="str">
        <f ca="1">IFERROR(__xludf.DUMMYFUNCTION("""COMPUTED_VALUE"""),"TS4TSJ25M3S")</f>
        <v>TS4TSJ25M3S</v>
      </c>
      <c r="C89" s="379" t="str">
        <f ca="1">IFERROR(__xludf.DUMMYFUNCTION("""COMPUTED_VALUE"""),"160,")</f>
        <v>160,</v>
      </c>
    </row>
    <row r="90" spans="1:3" ht="15.75" customHeight="1">
      <c r="A90" s="16" t="str">
        <f ca="1">IFERROR(__xludf.DUMMYFUNCTION("""COMPUTED_VALUE"""),"Ext SSD Transcend 512GB ESD310C USB 3.2 Type-C (TS512GESD310C)")</f>
        <v>Ext SSD Transcend 512GB ESD310C USB 3.2 Type-C (TS512GESD310C)</v>
      </c>
      <c r="B90" s="26" t="str">
        <f ca="1">IFERROR(__xludf.DUMMYFUNCTION("""COMPUTED_VALUE"""),"TS512GESD310C")</f>
        <v>TS512GESD310C</v>
      </c>
      <c r="C90" s="379" t="str">
        <f ca="1">IFERROR(__xludf.DUMMYFUNCTION("""COMPUTED_VALUE"""),"55,")</f>
        <v>55,</v>
      </c>
    </row>
    <row r="91" spans="1:3" ht="15.75" customHeight="1">
      <c r="A91" s="16" t="str">
        <f ca="1">IFERROR(__xludf.DUMMYFUNCTION("""COMPUTED_VALUE"""),"Ext SSD Transcend 500GB ESD380C USB 3.2 Type-C (TS500GESD380C)")</f>
        <v>Ext SSD Transcend 500GB ESD380C USB 3.2 Type-C (TS500GESD380C)</v>
      </c>
      <c r="B91" s="26" t="str">
        <f ca="1">IFERROR(__xludf.DUMMYFUNCTION("""COMPUTED_VALUE"""),"TS500GESD380C")</f>
        <v>TS500GESD380C</v>
      </c>
      <c r="C91" s="379" t="str">
        <f ca="1">IFERROR(__xludf.DUMMYFUNCTION("""COMPUTED_VALUE"""),"63,")</f>
        <v>63,</v>
      </c>
    </row>
    <row r="92" spans="1:3" ht="15.75" customHeight="1">
      <c r="A92" s="16" t="str">
        <f ca="1">IFERROR(__xludf.DUMMYFUNCTION("""COMPUTED_VALUE"""),"Ext SSD Transcend 1TB ESD310C USB 3.2 Type-C (TS1TESD310C)")</f>
        <v>Ext SSD Transcend 1TB ESD310C USB 3.2 Type-C (TS1TESD310C)</v>
      </c>
      <c r="B92" s="26" t="str">
        <f ca="1">IFERROR(__xludf.DUMMYFUNCTION("""COMPUTED_VALUE"""),"TS1TESD310C")</f>
        <v>TS1TESD310C</v>
      </c>
      <c r="C92" s="379" t="str">
        <f ca="1">IFERROR(__xludf.DUMMYFUNCTION("""COMPUTED_VALUE"""),"93,")</f>
        <v>93,</v>
      </c>
    </row>
    <row r="93" spans="1:3" ht="15.75" customHeight="1">
      <c r="A93" s="16" t="str">
        <f ca="1">IFERROR(__xludf.DUMMYFUNCTION("""COMPUTED_VALUE"""),"Ext SSD Transcend 1TB ESD360C USB 3.2 Type-C (TS1TESD360C)")</f>
        <v>Ext SSD Transcend 1TB ESD360C USB 3.2 Type-C (TS1TESD360C)</v>
      </c>
      <c r="B93" s="26" t="str">
        <f ca="1">IFERROR(__xludf.DUMMYFUNCTION("""COMPUTED_VALUE"""),"TS1TESD360C")</f>
        <v>TS1TESD360C</v>
      </c>
      <c r="C93" s="379" t="str">
        <f ca="1">IFERROR(__xludf.DUMMYFUNCTION("""COMPUTED_VALUE"""),"95,")</f>
        <v>95,</v>
      </c>
    </row>
    <row r="94" spans="1:3" ht="15.75" customHeight="1">
      <c r="A94" s="16" t="str">
        <f ca="1">IFERROR(__xludf.DUMMYFUNCTION("""COMPUTED_VALUE"""),"Ext SSD Transcend 2TB ESD300S USB 3.2 Type-C (TS2TESD300S)")</f>
        <v>Ext SSD Transcend 2TB ESD300S USB 3.2 Type-C (TS2TESD300S)</v>
      </c>
      <c r="B94" s="26" t="str">
        <f ca="1">IFERROR(__xludf.DUMMYFUNCTION("""COMPUTED_VALUE"""),"TS2TESD300S")</f>
        <v>TS2TESD300S</v>
      </c>
      <c r="C94" s="379" t="str">
        <f ca="1">IFERROR(__xludf.DUMMYFUNCTION("""COMPUTED_VALUE"""),"190,")</f>
        <v>190,</v>
      </c>
    </row>
    <row r="95" spans="1:3" ht="15.75" customHeight="1">
      <c r="A95" s="16" t="str">
        <f ca="1">IFERROR(__xludf.DUMMYFUNCTION("""COMPUTED_VALUE"""),"Ext SSD Transcend 2TB ESD360C USB (TS2TESD360C)")</f>
        <v>Ext SSD Transcend 2TB ESD360C USB (TS2TESD360C)</v>
      </c>
      <c r="B95" s="26" t="str">
        <f ca="1">IFERROR(__xludf.DUMMYFUNCTION("""COMPUTED_VALUE"""),"TS2TESD360C")</f>
        <v>TS2TESD360C</v>
      </c>
      <c r="C95" s="379" t="str">
        <f ca="1">IFERROR(__xludf.DUMMYFUNCTION("""COMPUTED_VALUE"""),"190,")</f>
        <v>190,</v>
      </c>
    </row>
    <row r="96" spans="1:3" ht="15.75" customHeight="1">
      <c r="A96" s="16" t="str">
        <f ca="1">IFERROR(__xludf.DUMMYFUNCTION("""COMPUTED_VALUE"""),"Ext SSD Transcend 2TB ESD410C USB 3.2 Type-C (TS2TESD410C)")</f>
        <v>Ext SSD Transcend 2TB ESD410C USB 3.2 Type-C (TS2TESD410C)</v>
      </c>
      <c r="B96" s="26" t="str">
        <f ca="1">IFERROR(__xludf.DUMMYFUNCTION("""COMPUTED_VALUE"""),"TS2TESD410C")</f>
        <v>TS2TESD410C</v>
      </c>
      <c r="C96" s="379" t="str">
        <f ca="1">IFERROR(__xludf.DUMMYFUNCTION("""COMPUTED_VALUE"""),"200,")</f>
        <v>200,</v>
      </c>
    </row>
    <row r="97" spans="1:3" ht="15.75" customHeight="1">
      <c r="A97" s="16" t="str">
        <f ca="1">IFERROR(__xludf.DUMMYFUNCTION("""COMPUTED_VALUE"""),"Ext SSD Transcend 4TB ESD410C USB 3.2 Type-C (TS4TESD410C)")</f>
        <v>Ext SSD Transcend 4TB ESD410C USB 3.2 Type-C (TS4TESD410C)</v>
      </c>
      <c r="B97" s="26" t="str">
        <f ca="1">IFERROR(__xludf.DUMMYFUNCTION("""COMPUTED_VALUE"""),"TS4TESD410C")</f>
        <v>TS4TESD410C</v>
      </c>
      <c r="C97" s="379" t="str">
        <f ca="1">IFERROR(__xludf.DUMMYFUNCTION("""COMPUTED_VALUE"""),"340,")</f>
        <v>340,</v>
      </c>
    </row>
    <row r="98" spans="1:3" ht="15.75" customHeight="1">
      <c r="A98" s="16" t="str">
        <f ca="1">IFERROR(__xludf.DUMMYFUNCTION("""COMPUTED_VALUE"""),"Ext HDD Silicon 1TB Power Armor A85B 2.5"" (SP010TBPHD85BS3K)")</f>
        <v>Ext HDD Silicon 1TB Power Armor A85B 2.5" (SP010TBPHD85BS3K)</v>
      </c>
      <c r="B98" s="26" t="str">
        <f ca="1">IFERROR(__xludf.DUMMYFUNCTION("""COMPUTED_VALUE"""),"SP010TBPHD85BS3K")</f>
        <v>SP010TBPHD85BS3K</v>
      </c>
      <c r="C98" s="379" t="str">
        <f ca="1">IFERROR(__xludf.DUMMYFUNCTION("""COMPUTED_VALUE"""),"89,")</f>
        <v>89,</v>
      </c>
    </row>
    <row r="99" spans="1:3" ht="15.75" customHeight="1">
      <c r="A99" s="16" t="str">
        <f ca="1">IFERROR(__xludf.DUMMYFUNCTION("""COMPUTED_VALUE"""),"Ext HDD Silicon 2TB Power Armor A85B 2.5"" (SP020TBPHD85BS3K)")</f>
        <v>Ext HDD Silicon 2TB Power Armor A85B 2.5" (SP020TBPHD85BS3K)</v>
      </c>
      <c r="B99" s="26" t="str">
        <f ca="1">IFERROR(__xludf.DUMMYFUNCTION("""COMPUTED_VALUE"""),"SP020TBPHD85BS3K")</f>
        <v>SP020TBPHD85BS3K</v>
      </c>
      <c r="C99" s="379" t="str">
        <f ca="1">IFERROR(__xludf.DUMMYFUNCTION("""COMPUTED_VALUE"""),"105,")</f>
        <v>105,</v>
      </c>
    </row>
    <row r="100" spans="1:3" ht="15.75" customHeight="1">
      <c r="A100" s="16" t="str">
        <f ca="1">IFERROR(__xludf.DUMMYFUNCTION("""COMPUTED_VALUE"""),"Ext HDD Silicon 4TB Power Armor A85B 2.5"" (SP040TBPHD85BS3K)")</f>
        <v>Ext HDD Silicon 4TB Power Armor A85B 2.5" (SP040TBPHD85BS3K)</v>
      </c>
      <c r="B100" s="26" t="str">
        <f ca="1">IFERROR(__xludf.DUMMYFUNCTION("""COMPUTED_VALUE"""),"SP040TBPHD85BS3K")</f>
        <v>SP040TBPHD85BS3K</v>
      </c>
      <c r="C100" s="379" t="str">
        <f ca="1">IFERROR(__xludf.DUMMYFUNCTION("""COMPUTED_VALUE"""),"150,")</f>
        <v>150,</v>
      </c>
    </row>
    <row r="101" spans="1:3" ht="15.75" customHeight="1">
      <c r="A101" s="16" t="str">
        <f ca="1">IFERROR(__xludf.DUMMYFUNCTION("""COMPUTED_VALUE"""),"Ext HDD WD 2TB Elements USB")</f>
        <v>Ext HDD WD 2TB Elements USB</v>
      </c>
      <c r="B101" s="26" t="str">
        <f ca="1">IFERROR(__xludf.DUMMYFUNCTION("""COMPUTED_VALUE"""),"")</f>
        <v/>
      </c>
      <c r="C101" s="379" t="str">
        <f ca="1">IFERROR(__xludf.DUMMYFUNCTION("""COMPUTED_VALUE"""),"85,")</f>
        <v>85,</v>
      </c>
    </row>
    <row r="102" spans="1:3" ht="15.75" customHeight="1">
      <c r="A102" s="16" t="str">
        <f ca="1">IFERROR(__xludf.DUMMYFUNCTION("""COMPUTED_VALUE"""),"Ext HDD WD 5TB Elements USB")</f>
        <v>Ext HDD WD 5TB Elements USB</v>
      </c>
      <c r="B102" s="26" t="str">
        <f ca="1">IFERROR(__xludf.DUMMYFUNCTION("""COMPUTED_VALUE"""),"")</f>
        <v/>
      </c>
      <c r="C102" s="379" t="str">
        <f ca="1">IFERROR(__xludf.DUMMYFUNCTION("""COMPUTED_VALUE"""),"160,")</f>
        <v>160,</v>
      </c>
    </row>
    <row r="103" spans="1:3" ht="15.75" customHeight="1">
      <c r="A103" s="16" t="str">
        <f ca="1">IFERROR(__xludf.DUMMYFUNCTION("""COMPUTED_VALUE"""),"Ext HDD WD 5TB My Passport USB")</f>
        <v>Ext HDD WD 5TB My Passport USB</v>
      </c>
      <c r="B103" s="26" t="str">
        <f ca="1">IFERROR(__xludf.DUMMYFUNCTION("""COMPUTED_VALUE"""),"")</f>
        <v/>
      </c>
      <c r="C103" s="379" t="str">
        <f ca="1">IFERROR(__xludf.DUMMYFUNCTION("""COMPUTED_VALUE"""),"165,")</f>
        <v>165,</v>
      </c>
    </row>
    <row r="104" spans="1:3" ht="15.75" customHeight="1">
      <c r="A104" s="16" t="str">
        <f ca="1">IFERROR(__xludf.DUMMYFUNCTION("""COMPUTED_VALUE"""),"Ext HDD Toshiba 1TB Canvio Gaming USB")</f>
        <v>Ext HDD Toshiba 1TB Canvio Gaming USB</v>
      </c>
      <c r="B104" s="26" t="str">
        <f ca="1">IFERROR(__xludf.DUMMYFUNCTION("""COMPUTED_VALUE"""),"")</f>
        <v/>
      </c>
      <c r="C104" s="379" t="str">
        <f ca="1">IFERROR(__xludf.DUMMYFUNCTION("""COMPUTED_VALUE"""),"69,")</f>
        <v>69,</v>
      </c>
    </row>
    <row r="105" spans="1:3" ht="15.75" customHeight="1">
      <c r="A105" s="16" t="str">
        <f ca="1">IFERROR(__xludf.DUMMYFUNCTION("""COMPUTED_VALUE"""),"Ext HDD Toshiba 2TB Canvio Basics USB")</f>
        <v>Ext HDD Toshiba 2TB Canvio Basics USB</v>
      </c>
      <c r="B105" s="26" t="str">
        <f ca="1">IFERROR(__xludf.DUMMYFUNCTION("""COMPUTED_VALUE"""),"")</f>
        <v/>
      </c>
      <c r="C105" s="379" t="str">
        <f ca="1">IFERROR(__xludf.DUMMYFUNCTION("""COMPUTED_VALUE"""),"79,")</f>
        <v>79,</v>
      </c>
    </row>
    <row r="106" spans="1:3" ht="15.75" customHeight="1">
      <c r="A106" s="16" t="str">
        <f ca="1">IFERROR(__xludf.DUMMYFUNCTION("""COMPUTED_VALUE"""),"Ext HDD Toshiba 4TB Canvio Basics USB")</f>
        <v>Ext HDD Toshiba 4TB Canvio Basics USB</v>
      </c>
      <c r="B106" s="26" t="str">
        <f ca="1">IFERROR(__xludf.DUMMYFUNCTION("""COMPUTED_VALUE"""),"")</f>
        <v/>
      </c>
      <c r="C106" s="379" t="str">
        <f ca="1">IFERROR(__xludf.DUMMYFUNCTION("""COMPUTED_VALUE"""),"115,")</f>
        <v>115,</v>
      </c>
    </row>
    <row r="107" spans="1:3" ht="15.75" customHeight="1">
      <c r="A107" s="16" t="str">
        <f ca="1">IFERROR(__xludf.DUMMYFUNCTION("""COMPUTED_VALUE"""),"Ext HDD Apacer 1TB AC236/AC237 USB 3.2 Gen 1")</f>
        <v>Ext HDD Apacer 1TB AC236/AC237 USB 3.2 Gen 1</v>
      </c>
      <c r="B107" s="26" t="str">
        <f ca="1">IFERROR(__xludf.DUMMYFUNCTION("""COMPUTED_VALUE"""),"")</f>
        <v/>
      </c>
      <c r="C107" s="379" t="str">
        <f ca="1">IFERROR(__xludf.DUMMYFUNCTION("""COMPUTED_VALUE"""),"70,")</f>
        <v>70,</v>
      </c>
    </row>
    <row r="108" spans="1:3" ht="15.75" customHeight="1">
      <c r="A108" s="16" t="str">
        <f ca="1">IFERROR(__xludf.DUMMYFUNCTION("""COMPUTED_VALUE"""),"Ext HDD Apacer 2TB AC236/AC237 USB 3.2 Gen 1")</f>
        <v>Ext HDD Apacer 2TB AC236/AC237 USB 3.2 Gen 1</v>
      </c>
      <c r="B108" s="26" t="str">
        <f ca="1">IFERROR(__xludf.DUMMYFUNCTION("""COMPUTED_VALUE"""),"")</f>
        <v/>
      </c>
      <c r="C108" s="379" t="str">
        <f ca="1">IFERROR(__xludf.DUMMYFUNCTION("""COMPUTED_VALUE"""),"86,")</f>
        <v>86,</v>
      </c>
    </row>
    <row r="109" spans="1:3" ht="15.75" customHeight="1">
      <c r="A109" s="16" t="str">
        <f ca="1">IFERROR(__xludf.DUMMYFUNCTION("""COMPUTED_VALUE"""),"Ext HDD Apacer 4TB AC236/AC237 USB 3.2 Gen 1")</f>
        <v>Ext HDD Apacer 4TB AC236/AC237 USB 3.2 Gen 1</v>
      </c>
      <c r="B109" s="26" t="str">
        <f ca="1">IFERROR(__xludf.DUMMYFUNCTION("""COMPUTED_VALUE"""),"")</f>
        <v/>
      </c>
      <c r="C109" s="379" t="str">
        <f ca="1">IFERROR(__xludf.DUMMYFUNCTION("""COMPUTED_VALUE"""),"140,")</f>
        <v>140,</v>
      </c>
    </row>
    <row r="110" spans="1:3" ht="15.75" customHeight="1">
      <c r="A110" s="16" t="str">
        <f ca="1">IFERROR(__xludf.DUMMYFUNCTION("""COMPUTED_VALUE"""),"Ext HDD Apacer 5TB AC236/AC237 USB 3.2 Gen 1")</f>
        <v>Ext HDD Apacer 5TB AC236/AC237 USB 3.2 Gen 1</v>
      </c>
      <c r="B110" s="26" t="str">
        <f ca="1">IFERROR(__xludf.DUMMYFUNCTION("""COMPUTED_VALUE"""),"")</f>
        <v/>
      </c>
      <c r="C110" s="379" t="str">
        <f ca="1">IFERROR(__xludf.DUMMYFUNCTION("""COMPUTED_VALUE"""),"170,")</f>
        <v>170,</v>
      </c>
    </row>
    <row r="111" spans="1:3" ht="15.75" customHeight="1">
      <c r="A111" s="16" t="str">
        <f ca="1">IFERROR(__xludf.DUMMYFUNCTION("""COMPUTED_VALUE"""),"Ext HDD Apacer 1TB AC533 USB 3.2 Gen 1")</f>
        <v>Ext HDD Apacer 1TB AC533 USB 3.2 Gen 1</v>
      </c>
      <c r="B111" s="26" t="str">
        <f ca="1">IFERROR(__xludf.DUMMYFUNCTION("""COMPUTED_VALUE"""),"")</f>
        <v/>
      </c>
      <c r="C111" s="379" t="str">
        <f ca="1">IFERROR(__xludf.DUMMYFUNCTION("""COMPUTED_VALUE"""),"72,")</f>
        <v>72,</v>
      </c>
    </row>
    <row r="112" spans="1:3" ht="15.75" customHeight="1">
      <c r="A112" s="16" t="str">
        <f ca="1">IFERROR(__xludf.DUMMYFUNCTION("""COMPUTED_VALUE"""),"Ext HDD Apacer 2TB AC533 USB 3.2 Gen 1")</f>
        <v>Ext HDD Apacer 2TB AC533 USB 3.2 Gen 1</v>
      </c>
      <c r="B112" s="26" t="str">
        <f ca="1">IFERROR(__xludf.DUMMYFUNCTION("""COMPUTED_VALUE"""),"")</f>
        <v/>
      </c>
      <c r="C112" s="379" t="str">
        <f ca="1">IFERROR(__xludf.DUMMYFUNCTION("""COMPUTED_VALUE"""),"90,")</f>
        <v>90,</v>
      </c>
    </row>
    <row r="113" spans="1:3" ht="15.75" customHeight="1">
      <c r="A113" s="16" t="str">
        <f ca="1">IFERROR(__xludf.DUMMYFUNCTION("""COMPUTED_VALUE"""),"SSD M.2 Kingston 1TB NVMe NV3")</f>
        <v>SSD M.2 Kingston 1TB NVMe NV3</v>
      </c>
      <c r="B113" s="26" t="str">
        <f ca="1">IFERROR(__xludf.DUMMYFUNCTION("""COMPUTED_VALUE"""),"")</f>
        <v/>
      </c>
      <c r="C113" s="379" t="str">
        <f ca="1">IFERROR(__xludf.DUMMYFUNCTION("""COMPUTED_VALUE"""),"142,")</f>
        <v>142,</v>
      </c>
    </row>
    <row r="114" spans="1:3" ht="15.75" customHeight="1">
      <c r="A114" s="16" t="str">
        <f ca="1">IFERROR(__xludf.DUMMYFUNCTION("""COMPUTED_VALUE"""),"Ext SSD M.2 1TB Kingston XS2000 (Portable)")</f>
        <v>Ext SSD M.2 1TB Kingston XS2000 (Portable)</v>
      </c>
      <c r="B114" s="26" t="str">
        <f ca="1">IFERROR(__xludf.DUMMYFUNCTION("""COMPUTED_VALUE"""),"")</f>
        <v/>
      </c>
      <c r="C114" s="379" t="str">
        <f ca="1">IFERROR(__xludf.DUMMYFUNCTION("""COMPUTED_VALUE"""),"132,")</f>
        <v>132,</v>
      </c>
    </row>
    <row r="115" spans="1:3" ht="15.75" customHeight="1">
      <c r="A115" s="16" t="str">
        <f ca="1">IFERROR(__xludf.DUMMYFUNCTION("""COMPUTED_VALUE"""),"Ext SSD M.2 2TB Kingston XS1000 (Portable)")</f>
        <v>Ext SSD M.2 2TB Kingston XS1000 (Portable)</v>
      </c>
      <c r="B115" s="26" t="str">
        <f ca="1">IFERROR(__xludf.DUMMYFUNCTION("""COMPUTED_VALUE"""),"")</f>
        <v/>
      </c>
      <c r="C115" s="379" t="str">
        <f ca="1">IFERROR(__xludf.DUMMYFUNCTION("""COMPUTED_VALUE"""),"170,")</f>
        <v>170,</v>
      </c>
    </row>
    <row r="116" spans="1:3" ht="15.75" customHeight="1">
      <c r="A116" s="16" t="str">
        <f ca="1">IFERROR(__xludf.DUMMYFUNCTION("""COMPUTED_VALUE"""),"Ext SSD M.2 2TB Kingston XS2000 (Portable)")</f>
        <v>Ext SSD M.2 2TB Kingston XS2000 (Portable)</v>
      </c>
      <c r="B116" s="26" t="str">
        <f ca="1">IFERROR(__xludf.DUMMYFUNCTION("""COMPUTED_VALUE"""),"")</f>
        <v/>
      </c>
      <c r="C116" s="379" t="str">
        <f ca="1">IFERROR(__xludf.DUMMYFUNCTION("""COMPUTED_VALUE"""),"211,")</f>
        <v>211,</v>
      </c>
    </row>
    <row r="117" spans="1:3" ht="15.75" customHeight="1">
      <c r="A117" s="16" t="str">
        <f ca="1">IFERROR(__xludf.DUMMYFUNCTION("""COMPUTED_VALUE"""),"Ext SSD MSI 1TB DATAMAG 40Gbps (S78-440L3B0-P83)")</f>
        <v>Ext SSD MSI 1TB DATAMAG 40Gbps (S78-440L3B0-P83)</v>
      </c>
      <c r="B117" s="26" t="str">
        <f ca="1">IFERROR(__xludf.DUMMYFUNCTION("""COMPUTED_VALUE"""),"S78-440L3B0-P83")</f>
        <v>S78-440L3B0-P83</v>
      </c>
      <c r="C117" s="379" t="str">
        <f ca="1">IFERROR(__xludf.DUMMYFUNCTION("""COMPUTED_VALUE"""),"130,")</f>
        <v>130,</v>
      </c>
    </row>
    <row r="118" spans="1:3" ht="15.75" customHeight="1">
      <c r="A118" s="16" t="str">
        <f ca="1">IFERROR(__xludf.DUMMYFUNCTION("""COMPUTED_VALUE"""),"SSD AGI 512GB SATAIII 2.5""")</f>
        <v>SSD AGI 512GB SATAIII 2.5"</v>
      </c>
      <c r="B118" s="26" t="str">
        <f ca="1">IFERROR(__xludf.DUMMYFUNCTION("""COMPUTED_VALUE"""),"")</f>
        <v/>
      </c>
      <c r="C118" s="379" t="str">
        <f ca="1">IFERROR(__xludf.DUMMYFUNCTION("""COMPUTED_VALUE"""),"63,")</f>
        <v>63,</v>
      </c>
    </row>
    <row r="119" spans="1:3" ht="15.75" customHeight="1">
      <c r="A119" s="16" t="str">
        <f ca="1">IFERROR(__xludf.DUMMYFUNCTION("""COMPUTED_VALUE"""),"SSD M.2 AGI 256GB NVMe")</f>
        <v>SSD M.2 AGI 256GB NVMe</v>
      </c>
      <c r="B119" s="26" t="str">
        <f ca="1">IFERROR(__xludf.DUMMYFUNCTION("""COMPUTED_VALUE"""),"")</f>
        <v/>
      </c>
      <c r="C119" s="379" t="str">
        <f ca="1">IFERROR(__xludf.DUMMYFUNCTION("""COMPUTED_VALUE"""),"45,")</f>
        <v>45,</v>
      </c>
    </row>
    <row r="120" spans="1:3" ht="15.75" customHeight="1">
      <c r="A120" s="16" t="str">
        <f ca="1">IFERROR(__xludf.DUMMYFUNCTION("""COMPUTED_VALUE"""),"SSD M.2 AGI 512GB NVMe")</f>
        <v>SSD M.2 AGI 512GB NVMe</v>
      </c>
      <c r="B120" s="26" t="str">
        <f ca="1">IFERROR(__xludf.DUMMYFUNCTION("""COMPUTED_VALUE"""),"")</f>
        <v/>
      </c>
      <c r="C120" s="379" t="str">
        <f ca="1">IFERROR(__xludf.DUMMYFUNCTION("""COMPUTED_VALUE"""),"68,")</f>
        <v>68,</v>
      </c>
    </row>
    <row r="121" spans="1:3" ht="15.75" customHeight="1">
      <c r="A121" s="16" t="str">
        <f ca="1">IFERROR(__xludf.DUMMYFUNCTION("""COMPUTED_VALUE"""),"SSD M.2 Hiksemi 256GB NVMe")</f>
        <v>SSD M.2 Hiksemi 256GB NVMe</v>
      </c>
      <c r="B121" s="26" t="str">
        <f ca="1">IFERROR(__xludf.DUMMYFUNCTION("""COMPUTED_VALUE"""),"")</f>
        <v/>
      </c>
      <c r="C121" s="379" t="str">
        <f ca="1">IFERROR(__xludf.DUMMYFUNCTION("""COMPUTED_VALUE"""),"45,")</f>
        <v>45,</v>
      </c>
    </row>
    <row r="122" spans="1:3" ht="15.75" customHeight="1">
      <c r="A122" s="16" t="str">
        <f ca="1">IFERROR(__xludf.DUMMYFUNCTION("""COMPUTED_VALUE"""),"SSD M.2 Hiksemi 512GB NVMe")</f>
        <v>SSD M.2 Hiksemi 512GB NVMe</v>
      </c>
      <c r="B122" s="26" t="str">
        <f ca="1">IFERROR(__xludf.DUMMYFUNCTION("""COMPUTED_VALUE"""),"")</f>
        <v/>
      </c>
      <c r="C122" s="379" t="str">
        <f ca="1">IFERROR(__xludf.DUMMYFUNCTION("""COMPUTED_VALUE"""),"68,")</f>
        <v>68,</v>
      </c>
    </row>
    <row r="123" spans="1:3" ht="15.75" customHeight="1">
      <c r="A123" s="16" t="str">
        <f ca="1">IFERROR(__xludf.DUMMYFUNCTION("""COMPUTED_VALUE"""),"SSD Adata 1TB SATAIII 2.5""")</f>
        <v>SSD Adata 1TB SATAIII 2.5"</v>
      </c>
      <c r="B123" s="26" t="str">
        <f ca="1">IFERROR(__xludf.DUMMYFUNCTION("""COMPUTED_VALUE"""),"")</f>
        <v/>
      </c>
      <c r="C123" s="379" t="str">
        <f ca="1">IFERROR(__xludf.DUMMYFUNCTION("""COMPUTED_VALUE"""),"114,")</f>
        <v>114,</v>
      </c>
    </row>
    <row r="124" spans="1:3" ht="15.75" customHeight="1">
      <c r="A124" s="16" t="str">
        <f ca="1">IFERROR(__xludf.DUMMYFUNCTION("""COMPUTED_VALUE"""),"SSD Hikvision 256GB SATAIII 2.5""")</f>
        <v>SSD Hikvision 256GB SATAIII 2.5"</v>
      </c>
      <c r="B124" s="26" t="str">
        <f ca="1">IFERROR(__xludf.DUMMYFUNCTION("""COMPUTED_VALUE"""),"")</f>
        <v/>
      </c>
      <c r="C124" s="379" t="str">
        <f ca="1">IFERROR(__xludf.DUMMYFUNCTION("""COMPUTED_VALUE"""),"44,")</f>
        <v>44,</v>
      </c>
    </row>
    <row r="125" spans="1:3" ht="15.75" customHeight="1">
      <c r="A125" s="16" t="str">
        <f ca="1">IFERROR(__xludf.DUMMYFUNCTION("""COMPUTED_VALUE"""),"SSD Apacer 128GB SATAIII 2.5""")</f>
        <v>SSD Apacer 128GB SATAIII 2.5"</v>
      </c>
      <c r="B125" s="26" t="str">
        <f ca="1">IFERROR(__xludf.DUMMYFUNCTION("""COMPUTED_VALUE"""),"")</f>
        <v/>
      </c>
      <c r="C125" s="379" t="str">
        <f ca="1">IFERROR(__xludf.DUMMYFUNCTION("""COMPUTED_VALUE"""),"27,")</f>
        <v>27,</v>
      </c>
    </row>
    <row r="126" spans="1:3" ht="15.75" customHeight="1">
      <c r="A126" s="16" t="str">
        <f ca="1">IFERROR(__xludf.DUMMYFUNCTION("""COMPUTED_VALUE"""),"SSD M.2 Apacer 256GB NVMe")</f>
        <v>SSD M.2 Apacer 256GB NVMe</v>
      </c>
      <c r="B126" s="26" t="str">
        <f ca="1">IFERROR(__xludf.DUMMYFUNCTION("""COMPUTED_VALUE"""),"")</f>
        <v/>
      </c>
      <c r="C126" s="379" t="str">
        <f ca="1">IFERROR(__xludf.DUMMYFUNCTION("""COMPUTED_VALUE"""),"48,")</f>
        <v>48,</v>
      </c>
    </row>
    <row r="127" spans="1:3" ht="15.75" customHeight="1">
      <c r="A127" s="16" t="str">
        <f ca="1">IFERROR(__xludf.DUMMYFUNCTION("""COMPUTED_VALUE"""),"SSD Adlink 512GB SATAIII 2.5""")</f>
        <v>SSD Adlink 512GB SATAIII 2.5"</v>
      </c>
      <c r="B127" s="26" t="str">
        <f ca="1">IFERROR(__xludf.DUMMYFUNCTION("""COMPUTED_VALUE"""),"")</f>
        <v/>
      </c>
      <c r="C127" s="379" t="str">
        <f ca="1">IFERROR(__xludf.DUMMYFUNCTION("""COMPUTED_VALUE"""),"63,")</f>
        <v>63,</v>
      </c>
    </row>
    <row r="128" spans="1:3" ht="15.75" customHeight="1">
      <c r="A128" s="16" t="str">
        <f ca="1">IFERROR(__xludf.DUMMYFUNCTION("""COMPUTED_VALUE"""),"SSD M.2 Adlink 512GB NVMe")</f>
        <v>SSD M.2 Adlink 512GB NVMe</v>
      </c>
      <c r="B128" s="26" t="str">
        <f ca="1">IFERROR(__xludf.DUMMYFUNCTION("""COMPUTED_VALUE"""),"")</f>
        <v/>
      </c>
      <c r="C128" s="379" t="str">
        <f ca="1">IFERROR(__xludf.DUMMYFUNCTION("""COMPUTED_VALUE"""),"68,")</f>
        <v>68,</v>
      </c>
    </row>
    <row r="129" spans="1:3" ht="15.75" customHeight="1">
      <c r="A129" s="16" t="str">
        <f ca="1">IFERROR(__xludf.DUMMYFUNCTION("""COMPUTED_VALUE"""),"SSD OSCOO 512GB SATAIII 2.5""")</f>
        <v>SSD OSCOO 512GB SATAIII 2.5"</v>
      </c>
      <c r="B129" s="26" t="str">
        <f ca="1">IFERROR(__xludf.DUMMYFUNCTION("""COMPUTED_VALUE"""),"")</f>
        <v/>
      </c>
      <c r="C129" s="379" t="str">
        <f ca="1">IFERROR(__xludf.DUMMYFUNCTION("""COMPUTED_VALUE"""),"59,")</f>
        <v>59,</v>
      </c>
    </row>
    <row r="130" spans="1:3" ht="15.75" customHeight="1">
      <c r="A130" s="16" t="str">
        <f ca="1">IFERROR(__xludf.DUMMYFUNCTION("""COMPUTED_VALUE"""),"SSD M.2 Kingfast 256GB NVMe")</f>
        <v>SSD M.2 Kingfast 256GB NVMe</v>
      </c>
      <c r="B130" s="26" t="str">
        <f ca="1">IFERROR(__xludf.DUMMYFUNCTION("""COMPUTED_VALUE"""),"")</f>
        <v/>
      </c>
      <c r="C130" s="379" t="str">
        <f ca="1">IFERROR(__xludf.DUMMYFUNCTION("""COMPUTED_VALUE"""),"48,")</f>
        <v>48,</v>
      </c>
    </row>
    <row r="131" spans="1:3" ht="15.75" customHeight="1">
      <c r="A131" s="16" t="str">
        <f ca="1">IFERROR(__xludf.DUMMYFUNCTION("""COMPUTED_VALUE"""),"SSD Lexar 128GB SATA III")</f>
        <v>SSD Lexar 128GB SATA III</v>
      </c>
      <c r="B131" s="26" t="str">
        <f ca="1">IFERROR(__xludf.DUMMYFUNCTION("""COMPUTED_VALUE"""),"")</f>
        <v/>
      </c>
      <c r="C131" s="379" t="str">
        <f ca="1">IFERROR(__xludf.DUMMYFUNCTION("""COMPUTED_VALUE"""),"34,")</f>
        <v>34,</v>
      </c>
    </row>
    <row r="132" spans="1:3" ht="15.75" customHeight="1">
      <c r="A132" s="16" t="str">
        <f ca="1">IFERROR(__xludf.DUMMYFUNCTION("""COMPUTED_VALUE"""),"SSD Lexar 256GB SATA III")</f>
        <v>SSD Lexar 256GB SATA III</v>
      </c>
      <c r="B132" s="26" t="str">
        <f ca="1">IFERROR(__xludf.DUMMYFUNCTION("""COMPUTED_VALUE"""),"")</f>
        <v/>
      </c>
      <c r="C132" s="379" t="str">
        <f ca="1">IFERROR(__xludf.DUMMYFUNCTION("""COMPUTED_VALUE"""),"50,")</f>
        <v>50,</v>
      </c>
    </row>
    <row r="133" spans="1:3" ht="15.75" customHeight="1">
      <c r="A133" s="16" t="str">
        <f ca="1">IFERROR(__xludf.DUMMYFUNCTION("""COMPUTED_VALUE"""),"SSD M.2 Lexar 500GB NVMe LNM610")</f>
        <v>SSD M.2 Lexar 500GB NVMe LNM610</v>
      </c>
      <c r="B133" s="26" t="str">
        <f ca="1">IFERROR(__xludf.DUMMYFUNCTION("""COMPUTED_VALUE"""),"")</f>
        <v/>
      </c>
      <c r="C133" s="379" t="str">
        <f ca="1">IFERROR(__xludf.DUMMYFUNCTION("""COMPUTED_VALUE"""),"77,")</f>
        <v>77,</v>
      </c>
    </row>
    <row r="134" spans="1:3" ht="15.75" customHeight="1">
      <c r="A134" s="16" t="str">
        <f ca="1">IFERROR(__xludf.DUMMYFUNCTION("""COMPUTED_VALUE"""),"SSD M.2 Lexar 512GB NVMe LNM620")</f>
        <v>SSD M.2 Lexar 512GB NVMe LNM620</v>
      </c>
      <c r="B134" s="26" t="str">
        <f ca="1">IFERROR(__xludf.DUMMYFUNCTION("""COMPUTED_VALUE"""),"")</f>
        <v/>
      </c>
      <c r="C134" s="379" t="str">
        <f ca="1">IFERROR(__xludf.DUMMYFUNCTION("""COMPUTED_VALUE"""),"80,")</f>
        <v>80,</v>
      </c>
    </row>
    <row r="135" spans="1:3" ht="15.75" customHeight="1">
      <c r="A135" s="16" t="str">
        <f ca="1">IFERROR(__xludf.DUMMYFUNCTION("""COMPUTED_VALUE"""),"SSD M.2 Lexar 1TB NVMe NM610")</f>
        <v>SSD M.2 Lexar 1TB NVMe NM610</v>
      </c>
      <c r="B135" s="26" t="str">
        <f ca="1">IFERROR(__xludf.DUMMYFUNCTION("""COMPUTED_VALUE"""),"")</f>
        <v/>
      </c>
      <c r="C135" s="379" t="str">
        <f ca="1">IFERROR(__xludf.DUMMYFUNCTION("""COMPUTED_VALUE"""),"129,")</f>
        <v>129,</v>
      </c>
    </row>
    <row r="136" spans="1:3" ht="15.75" customHeight="1">
      <c r="A136" s="16" t="str">
        <f ca="1">IFERROR(__xludf.DUMMYFUNCTION("""COMPUTED_VALUE"""),"SSD M.2 Lexar 1TB NVMe NQ700")</f>
        <v>SSD M.2 Lexar 1TB NVMe NQ700</v>
      </c>
      <c r="B136" s="26" t="str">
        <f ca="1">IFERROR(__xludf.DUMMYFUNCTION("""COMPUTED_VALUE"""),"")</f>
        <v/>
      </c>
      <c r="C136" s="379" t="str">
        <f ca="1">IFERROR(__xludf.DUMMYFUNCTION("""COMPUTED_VALUE"""),"139,")</f>
        <v>139,</v>
      </c>
    </row>
    <row r="137" spans="1:3" ht="15.75" customHeight="1">
      <c r="A137" s="16" t="str">
        <f ca="1">IFERROR(__xludf.DUMMYFUNCTION("""COMPUTED_VALUE"""),"SSD M.2 Lexar 1TB NVMe NQ780")</f>
        <v>SSD M.2 Lexar 1TB NVMe NQ780</v>
      </c>
      <c r="B137" s="26" t="str">
        <f ca="1">IFERROR(__xludf.DUMMYFUNCTION("""COMPUTED_VALUE"""),"")</f>
        <v/>
      </c>
      <c r="C137" s="379" t="str">
        <f ca="1">IFERROR(__xludf.DUMMYFUNCTION("""COMPUTED_VALUE"""),"143,")</f>
        <v>143,</v>
      </c>
    </row>
    <row r="138" spans="1:3" ht="15.75" customHeight="1">
      <c r="A138" s="16" t="str">
        <f ca="1">IFERROR(__xludf.DUMMYFUNCTION("""COMPUTED_VALUE"""),"SSD M.2 Lexar 2TB NVMe LNM610")</f>
        <v>SSD M.2 Lexar 2TB NVMe LNM610</v>
      </c>
      <c r="B138" s="26" t="str">
        <f ca="1">IFERROR(__xludf.DUMMYFUNCTION("""COMPUTED_VALUE"""),"")</f>
        <v/>
      </c>
      <c r="C138" s="379" t="str">
        <f ca="1">IFERROR(__xludf.DUMMYFUNCTION("""COMPUTED_VALUE"""),"237,")</f>
        <v>237,</v>
      </c>
    </row>
    <row r="139" spans="1:3" ht="15.75" customHeight="1">
      <c r="A139" s="16" t="str">
        <f ca="1">IFERROR(__xludf.DUMMYFUNCTION("""COMPUTED_VALUE"""),"SSD Netac 512GB SATA III")</f>
        <v>SSD Netac 512GB SATA III</v>
      </c>
      <c r="B139" s="26" t="str">
        <f ca="1">IFERROR(__xludf.DUMMYFUNCTION("""COMPUTED_VALUE"""),"")</f>
        <v/>
      </c>
      <c r="C139" s="379" t="str">
        <f ca="1">IFERROR(__xludf.DUMMYFUNCTION("""COMPUTED_VALUE"""),"63,")</f>
        <v>63,</v>
      </c>
    </row>
    <row r="140" spans="1:3" ht="15.75" customHeight="1">
      <c r="A140" s="16" t="str">
        <f ca="1">IFERROR(__xludf.DUMMYFUNCTION("""COMPUTED_VALUE"""),"SSD M.2 Netac 256GB NVMe")</f>
        <v>SSD M.2 Netac 256GB NVMe</v>
      </c>
      <c r="B140" s="26" t="str">
        <f ca="1">IFERROR(__xludf.DUMMYFUNCTION("""COMPUTED_VALUE"""),"")</f>
        <v/>
      </c>
      <c r="C140" s="379" t="str">
        <f ca="1">IFERROR(__xludf.DUMMYFUNCTION("""COMPUTED_VALUE"""),"45,")</f>
        <v>45,</v>
      </c>
    </row>
    <row r="141" spans="1:3" ht="15.75" customHeight="1">
      <c r="A141" s="16" t="str">
        <f ca="1">IFERROR(__xludf.DUMMYFUNCTION("""COMPUTED_VALUE"""),"SSD M.2 Netac 512GB NVMe")</f>
        <v>SSD M.2 Netac 512GB NVMe</v>
      </c>
      <c r="B141" s="26" t="str">
        <f ca="1">IFERROR(__xludf.DUMMYFUNCTION("""COMPUTED_VALUE"""),"")</f>
        <v/>
      </c>
      <c r="C141" s="379" t="str">
        <f ca="1">IFERROR(__xludf.DUMMYFUNCTION("""COMPUTED_VALUE"""),"68,")</f>
        <v>68,</v>
      </c>
    </row>
    <row r="142" spans="1:3" ht="15.75" customHeight="1">
      <c r="A142" s="16" t="str">
        <f ca="1">IFERROR(__xludf.DUMMYFUNCTION("""COMPUTED_VALUE"""),"SSD M.2 Netac 1TB NVMe")</f>
        <v>SSD M.2 Netac 1TB NVMe</v>
      </c>
      <c r="B142" s="26" t="str">
        <f ca="1">IFERROR(__xludf.DUMMYFUNCTION("""COMPUTED_VALUE"""),"")</f>
        <v/>
      </c>
      <c r="C142" s="379" t="str">
        <f ca="1">IFERROR(__xludf.DUMMYFUNCTION("""COMPUTED_VALUE"""),"128,")</f>
        <v>128,</v>
      </c>
    </row>
    <row r="143" spans="1:3" ht="15.75" customHeight="1">
      <c r="A143" s="16" t="str">
        <f ca="1">IFERROR(__xludf.DUMMYFUNCTION("""COMPUTED_VALUE"""),"SSD PNY 120GB SATA III")</f>
        <v>SSD PNY 120GB SATA III</v>
      </c>
      <c r="B143" s="26" t="str">
        <f ca="1">IFERROR(__xludf.DUMMYFUNCTION("""COMPUTED_VALUE"""),"")</f>
        <v/>
      </c>
      <c r="C143" s="379" t="str">
        <f ca="1">IFERROR(__xludf.DUMMYFUNCTION("""COMPUTED_VALUE"""),"25,")</f>
        <v>25,</v>
      </c>
    </row>
    <row r="144" spans="1:3" ht="15.75" customHeight="1">
      <c r="A144" s="16" t="str">
        <f ca="1">IFERROR(__xludf.DUMMYFUNCTION("""COMPUTED_VALUE"""),"SSD Patriot 256GB SATA III")</f>
        <v>SSD Patriot 256GB SATA III</v>
      </c>
      <c r="B144" s="26" t="str">
        <f ca="1">IFERROR(__xludf.DUMMYFUNCTION("""COMPUTED_VALUE"""),"")</f>
        <v/>
      </c>
      <c r="C144" s="379" t="str">
        <f ca="1">IFERROR(__xludf.DUMMYFUNCTION("""COMPUTED_VALUE"""),"46,")</f>
        <v>46,</v>
      </c>
    </row>
    <row r="145" spans="1:3" ht="15.75" customHeight="1">
      <c r="A145" s="16" t="str">
        <f ca="1">IFERROR(__xludf.DUMMYFUNCTION("""COMPUTED_VALUE"""),"SSD Patriot 512GB SATA III")</f>
        <v>SSD Patriot 512GB SATA III</v>
      </c>
      <c r="B145" s="26" t="str">
        <f ca="1">IFERROR(__xludf.DUMMYFUNCTION("""COMPUTED_VALUE"""),"")</f>
        <v/>
      </c>
      <c r="C145" s="379" t="str">
        <f ca="1">IFERROR(__xludf.DUMMYFUNCTION("""COMPUTED_VALUE"""),"63,")</f>
        <v>63,</v>
      </c>
    </row>
    <row r="146" spans="1:3" ht="15.75" customHeight="1">
      <c r="A146" s="16" t="str">
        <f ca="1">IFERROR(__xludf.DUMMYFUNCTION("""COMPUTED_VALUE"""),"SSD Patriot 1TB SATA III P210")</f>
        <v>SSD Patriot 1TB SATA III P210</v>
      </c>
      <c r="B146" s="26" t="str">
        <f ca="1">IFERROR(__xludf.DUMMYFUNCTION("""COMPUTED_VALUE"""),"")</f>
        <v/>
      </c>
      <c r="C146" s="379" t="str">
        <f ca="1">IFERROR(__xludf.DUMMYFUNCTION("""COMPUTED_VALUE"""),"114,")</f>
        <v>114,</v>
      </c>
    </row>
    <row r="147" spans="1:3" ht="15.75" customHeight="1">
      <c r="A147" s="16" t="str">
        <f ca="1">IFERROR(__xludf.DUMMYFUNCTION("""COMPUTED_VALUE"""),"SSD M.2 Gigabyte 512GB Gen3 NVMe (G3NVME512G)")</f>
        <v>SSD M.2 Gigabyte 512GB Gen3 NVMe (G3NVME512G)</v>
      </c>
      <c r="B147" s="26" t="str">
        <f ca="1">IFERROR(__xludf.DUMMYFUNCTION("""COMPUTED_VALUE"""),"G3NVME512G")</f>
        <v>G3NVME512G</v>
      </c>
      <c r="C147" s="379" t="str">
        <f ca="1">IFERROR(__xludf.DUMMYFUNCTION("""COMPUTED_VALUE"""),"83,")</f>
        <v>83,</v>
      </c>
    </row>
    <row r="148" spans="1:3" ht="15.75" customHeight="1">
      <c r="A148" s="16" t="str">
        <f ca="1">IFERROR(__xludf.DUMMYFUNCTION("""COMPUTED_VALUE"""),"SSD M.2 Gigabyte 500GB Gen4 400E NVMe (G440E500G)")</f>
        <v>SSD M.2 Gigabyte 500GB Gen4 400E NVMe (G440E500G)</v>
      </c>
      <c r="B148" s="26" t="str">
        <f ca="1">IFERROR(__xludf.DUMMYFUNCTION("""COMPUTED_VALUE"""),"G440E500G")</f>
        <v>G440E500G</v>
      </c>
      <c r="C148" s="379" t="str">
        <f ca="1">IFERROR(__xludf.DUMMYFUNCTION("""COMPUTED_VALUE"""),"90,")</f>
        <v>90,</v>
      </c>
    </row>
    <row r="149" spans="1:3" ht="15.75" customHeight="1">
      <c r="A149" s="16" t="str">
        <f ca="1">IFERROR(__xludf.DUMMYFUNCTION("""COMPUTED_VALUE"""),"SSD M.2 Gigabyte 500GB Gen4 2500E NVMe (G325E500G)")</f>
        <v>SSD M.2 Gigabyte 500GB Gen4 2500E NVMe (G325E500G)</v>
      </c>
      <c r="B149" s="26" t="str">
        <f ca="1">IFERROR(__xludf.DUMMYFUNCTION("""COMPUTED_VALUE"""),"G325E500G")</f>
        <v>G325E500G</v>
      </c>
      <c r="C149" s="379" t="str">
        <f ca="1">IFERROR(__xludf.DUMMYFUNCTION("""COMPUTED_VALUE"""),"90,")</f>
        <v>90,</v>
      </c>
    </row>
    <row r="150" spans="1:3" ht="15.75" customHeight="1">
      <c r="A150" s="16" t="str">
        <f ca="1">IFERROR(__xludf.DUMMYFUNCTION("""COMPUTED_VALUE"""),"SSD MSI 240GB SPATIUM S270 SATA 2.5"" (S78-440N070-P83)")</f>
        <v>SSD MSI 240GB SPATIUM S270 SATA 2.5" (S78-440N070-P83)</v>
      </c>
      <c r="B150" s="26" t="str">
        <f ca="1">IFERROR(__xludf.DUMMYFUNCTION("""COMPUTED_VALUE"""),"S78-440N070-P83")</f>
        <v>S78-440N070-P83</v>
      </c>
      <c r="C150" s="379" t="str">
        <f ca="1">IFERROR(__xludf.DUMMYFUNCTION("""COMPUTED_VALUE"""),"55,")</f>
        <v>55,</v>
      </c>
    </row>
    <row r="151" spans="1:3" ht="15.75" customHeight="1">
      <c r="A151" s="16" t="str">
        <f ca="1">IFERROR(__xludf.DUMMYFUNCTION("""COMPUTED_VALUE"""),"SSD M.2 MSI 1000GB SPATIUM M470 PRO 6000MB/s NVMe (S78-440L0J0-P83)")</f>
        <v>SSD M.2 MSI 1000GB SPATIUM M470 PRO 6000MB/s NVMe (S78-440L0J0-P83)</v>
      </c>
      <c r="B151" s="26" t="str">
        <f ca="1">IFERROR(__xludf.DUMMYFUNCTION("""COMPUTED_VALUE"""),"S78-440L0J0-P83")</f>
        <v>S78-440L0J0-P83</v>
      </c>
      <c r="C151" s="379" t="str">
        <f ca="1">IFERROR(__xludf.DUMMYFUNCTION("""COMPUTED_VALUE"""),"210,")</f>
        <v>210,</v>
      </c>
    </row>
    <row r="152" spans="1:3" ht="15.75" customHeight="1">
      <c r="A152" s="16" t="str">
        <f ca="1">IFERROR(__xludf.DUMMYFUNCTION("""COMPUTED_VALUE"""),"SSD M.2 MSI 2000GB SPATIUM M461 4200MB/s NVMe (S78-440Q550-P83)")</f>
        <v>SSD M.2 MSI 2000GB SPATIUM M461 4200MB/s NVMe (S78-440Q550-P83)</v>
      </c>
      <c r="B152" s="26" t="str">
        <f ca="1">IFERROR(__xludf.DUMMYFUNCTION("""COMPUTED_VALUE"""),"S78-440Q550-P83")</f>
        <v>S78-440Q550-P83</v>
      </c>
      <c r="C152" s="379" t="str">
        <f ca="1">IFERROR(__xludf.DUMMYFUNCTION("""COMPUTED_VALUE"""),"310,")</f>
        <v>310,</v>
      </c>
    </row>
    <row r="153" spans="1:3" ht="15.75" customHeight="1">
      <c r="A153" s="16" t="str">
        <f ca="1">IFERROR(__xludf.DUMMYFUNCTION("""COMPUTED_VALUE"""),"SSD M.2 Samsung 1TB 990 PRO NVMe M.2")</f>
        <v>SSD M.2 Samsung 1TB 990 PRO NVMe M.2</v>
      </c>
      <c r="B153" s="26" t="str">
        <f ca="1">IFERROR(__xludf.DUMMYFUNCTION("""COMPUTED_VALUE"""),"MZ-V9P1T0B/AM")</f>
        <v>MZ-V9P1T0B/AM</v>
      </c>
      <c r="C153" s="379" t="str">
        <f ca="1">IFERROR(__xludf.DUMMYFUNCTION("""COMPUTED_VALUE"""),"215,")</f>
        <v>215,</v>
      </c>
    </row>
    <row r="154" spans="1:3" ht="15.75" customHeight="1">
      <c r="A154" s="16" t="str">
        <f ca="1">IFERROR(__xludf.DUMMYFUNCTION("""COMPUTED_VALUE"""),"SSD M.2 Samsung 1TB 9100 PRO NVMe M.2")</f>
        <v>SSD M.2 Samsung 1TB 9100 PRO NVMe M.2</v>
      </c>
      <c r="B154" s="26" t="str">
        <f ca="1">IFERROR(__xludf.DUMMYFUNCTION("""COMPUTED_VALUE"""),"MZ-VAP1T0BW")</f>
        <v>MZ-VAP1T0BW</v>
      </c>
      <c r="C154" s="379" t="str">
        <f ca="1">IFERROR(__xludf.DUMMYFUNCTION("""COMPUTED_VALUE"""),"235,")</f>
        <v>235,</v>
      </c>
    </row>
    <row r="155" spans="1:3" ht="15.75" customHeight="1">
      <c r="A155" s="16" t="str">
        <f ca="1">IFERROR(__xludf.DUMMYFUNCTION("""COMPUTED_VALUE"""),"SSD M.2 Samsung 2TB 990 EVO Plus NVMe M.2 (MZ-V9S2T0B/AM)")</f>
        <v>SSD M.2 Samsung 2TB 990 EVO Plus NVMe M.2 (MZ-V9S2T0B/AM)</v>
      </c>
      <c r="B155" s="26" t="str">
        <f ca="1">IFERROR(__xludf.DUMMYFUNCTION("""COMPUTED_VALUE"""),"MZ-V9P2T0BW")</f>
        <v>MZ-V9P2T0BW</v>
      </c>
      <c r="C155" s="379" t="str">
        <f ca="1">IFERROR(__xludf.DUMMYFUNCTION("""COMPUTED_VALUE"""),"275,")</f>
        <v>275,</v>
      </c>
    </row>
    <row r="156" spans="1:3" ht="15.75" customHeight="1">
      <c r="A156" s="16" t="str">
        <f ca="1">IFERROR(__xludf.DUMMYFUNCTION("""COMPUTED_VALUE"""),"SSD M.2 Samsung 4TB 990 PRO with Heatsink PCIe 4.0 NVMe (MZ-V9P4T0BW)")</f>
        <v>SSD M.2 Samsung 4TB 990 PRO with Heatsink PCIe 4.0 NVMe (MZ-V9P4T0BW)</v>
      </c>
      <c r="B156" s="26" t="str">
        <f ca="1">IFERROR(__xludf.DUMMYFUNCTION("""COMPUTED_VALUE"""),"G3NVME512G")</f>
        <v>G3NVME512G</v>
      </c>
      <c r="C156" s="379" t="str">
        <f ca="1">IFERROR(__xludf.DUMMYFUNCTION("""COMPUTED_VALUE"""),"600,")</f>
        <v>600,</v>
      </c>
    </row>
    <row r="157" spans="1:3" ht="15.75" customHeight="1">
      <c r="A157" s="16" t="str">
        <f ca="1">IFERROR(__xludf.DUMMYFUNCTION("""COMPUTED_VALUE"""),"MB Maxsun Challenger H610M-H V1 DDR4")</f>
        <v>MB Maxsun Challenger H610M-H V1 DDR4</v>
      </c>
      <c r="B157" s="26" t="str">
        <f ca="1">IFERROR(__xludf.DUMMYFUNCTION("""COMPUTED_VALUE"""),"MS-Challenger H610M-H V1")</f>
        <v>MS-Challenger H610M-H V1</v>
      </c>
      <c r="C157" s="379" t="str">
        <f ca="1">IFERROR(__xludf.DUMMYFUNCTION("""COMPUTED_VALUE"""),"48,")</f>
        <v>48,</v>
      </c>
    </row>
    <row r="158" spans="1:3" ht="15.75" customHeight="1">
      <c r="A158" s="16" t="str">
        <f ca="1">IFERROR(__xludf.DUMMYFUNCTION("""COMPUTED_VALUE"""),"MB Maxsun Challenger B760M-F DDR4")</f>
        <v>MB Maxsun Challenger B760M-F DDR4</v>
      </c>
      <c r="B158" s="26" t="str">
        <f ca="1">IFERROR(__xludf.DUMMYFUNCTION("""COMPUTED_VALUE"""),"MS-Challenger B760M-F D4")</f>
        <v>MS-Challenger B760M-F D4</v>
      </c>
      <c r="C158" s="379" t="str">
        <f ca="1">IFERROR(__xludf.DUMMYFUNCTION("""COMPUTED_VALUE"""),"73,")</f>
        <v>73,</v>
      </c>
    </row>
    <row r="159" spans="1:3" ht="15.75" customHeight="1">
      <c r="A159" s="16" t="str">
        <f ca="1">IFERROR(__xludf.DUMMYFUNCTION("""COMPUTED_VALUE"""),"MB Maxsun Challenger B760M-N D5 V2 DDR5")</f>
        <v>MB Maxsun Challenger B760M-N D5 V2 DDR5</v>
      </c>
      <c r="B159" s="26" t="str">
        <f ca="1">IFERROR(__xludf.DUMMYFUNCTION("""COMPUTED_VALUE"""),"MS-Challenger B760M-N D5 V2 D5")</f>
        <v>MS-Challenger B760M-N D5 V2 D5</v>
      </c>
      <c r="C159" s="379" t="str">
        <f ca="1">IFERROR(__xludf.DUMMYFUNCTION("""COMPUTED_VALUE"""),"75,")</f>
        <v>75,</v>
      </c>
    </row>
    <row r="160" spans="1:3" ht="15.75" customHeight="1">
      <c r="A160" s="16" t="str">
        <f ca="1">IFERROR(__xludf.DUMMYFUNCTION("""COMPUTED_VALUE"""),"MB Maxsun Challenger B760M-F WIFI DDR4")</f>
        <v>MB Maxsun Challenger B760M-F WIFI DDR4</v>
      </c>
      <c r="B160" s="26" t="str">
        <f ca="1">IFERROR(__xludf.DUMMYFUNCTION("""COMPUTED_VALUE"""),"MS-Challenger B760M-F WIFI D4")</f>
        <v>MS-Challenger B760M-F WIFI D4</v>
      </c>
      <c r="C160" s="379" t="str">
        <f ca="1">IFERROR(__xludf.DUMMYFUNCTION("""COMPUTED_VALUE"""),"88,")</f>
        <v>88,</v>
      </c>
    </row>
    <row r="161" spans="1:3" ht="15.75" customHeight="1">
      <c r="A161" s="16" t="str">
        <f ca="1">IFERROR(__xludf.DUMMYFUNCTION("""COMPUTED_VALUE"""),"MB Maxsun B760M GAMING WIFI GANK V2 DDR5")</f>
        <v>MB Maxsun B760M GAMING WIFI GANK V2 DDR5</v>
      </c>
      <c r="B161" s="26" t="str">
        <f ca="1">IFERROR(__xludf.DUMMYFUNCTION("""COMPUTED_VALUE"""),"MS-B760M Gaming WIFI GANK V2")</f>
        <v>MS-B760M Gaming WIFI GANK V2</v>
      </c>
      <c r="C161" s="379" t="str">
        <f ca="1">IFERROR(__xludf.DUMMYFUNCTION("""COMPUTED_VALUE"""),"80,")</f>
        <v>80,</v>
      </c>
    </row>
    <row r="162" spans="1:3" ht="15.75" customHeight="1">
      <c r="A162" s="16" t="str">
        <f ca="1">IFERROR(__xludf.DUMMYFUNCTION("""COMPUTED_VALUE"""),"MB Maxsun Challenger B760M DDR4")</f>
        <v>MB Maxsun Challenger B760M DDR4</v>
      </c>
      <c r="B162" s="26" t="str">
        <f ca="1">IFERROR(__xludf.DUMMYFUNCTION("""COMPUTED_VALUE"""),"MS-Challenger B760M D4")</f>
        <v>MS-Challenger B760M D4</v>
      </c>
      <c r="C162" s="379" t="str">
        <f ca="1">IFERROR(__xludf.DUMMYFUNCTION("""COMPUTED_VALUE"""),"96,")</f>
        <v>96,</v>
      </c>
    </row>
    <row r="163" spans="1:3" ht="15.75" customHeight="1">
      <c r="A163" s="16" t="str">
        <f ca="1">IFERROR(__xludf.DUMMYFUNCTION("""COMPUTED_VALUE"""),"MB Maxsun Challenger B760M WIFI DDR4")</f>
        <v>MB Maxsun Challenger B760M WIFI DDR4</v>
      </c>
      <c r="B163" s="26" t="str">
        <f ca="1">IFERROR(__xludf.DUMMYFUNCTION("""COMPUTED_VALUE"""),"MS-Challenger B760M D4 WiFi")</f>
        <v>MS-Challenger B760M D4 WiFi</v>
      </c>
      <c r="C163" s="379" t="str">
        <f ca="1">IFERROR(__xludf.DUMMYFUNCTION("""COMPUTED_VALUE"""),"103,")</f>
        <v>103,</v>
      </c>
    </row>
    <row r="164" spans="1:3" ht="15.75" customHeight="1">
      <c r="A164" s="16" t="str">
        <f ca="1">IFERROR(__xludf.DUMMYFUNCTION("""COMPUTED_VALUE"""),"MB Maxsun B760M I-CAFE DDR5")</f>
        <v>MB Maxsun B760M I-CAFE DDR5</v>
      </c>
      <c r="B164" s="26" t="str">
        <f ca="1">IFERROR(__xludf.DUMMYFUNCTION("""COMPUTED_VALUE"""),"MS-B760M I-CAFE D5")</f>
        <v>MS-B760M I-CAFE D5</v>
      </c>
      <c r="C164" s="379" t="str">
        <f ca="1">IFERROR(__xludf.DUMMYFUNCTION("""COMPUTED_VALUE"""),"103,")</f>
        <v>103,</v>
      </c>
    </row>
    <row r="165" spans="1:3" ht="15.75" customHeight="1">
      <c r="A165" s="16" t="str">
        <f ca="1">IFERROR(__xludf.DUMMYFUNCTION("""COMPUTED_VALUE"""),"MB Maxsun AMD AM5 B650M I-CAFE DDR5")</f>
        <v>MB Maxsun AMD AM5 B650M I-CAFE DDR5</v>
      </c>
      <c r="B165" s="26" t="str">
        <f ca="1">IFERROR(__xludf.DUMMYFUNCTION("""COMPUTED_VALUE"""),"MS-B650M I-CAFE")</f>
        <v>MS-B650M I-CAFE</v>
      </c>
      <c r="C165" s="379" t="str">
        <f ca="1">IFERROR(__xludf.DUMMYFUNCTION("""COMPUTED_VALUE"""),"103,")</f>
        <v>103,</v>
      </c>
    </row>
    <row r="166" spans="1:3" ht="15.75" customHeight="1">
      <c r="A166" s="16" t="str">
        <f ca="1">IFERROR(__xludf.DUMMYFUNCTION("""COMPUTED_VALUE"""),"MB Maxsun AMD AM5 Challenger B850M-K WIFI DDR5")</f>
        <v>MB Maxsun AMD AM5 Challenger B850M-K WIFI DDR5</v>
      </c>
      <c r="B166" s="26" t="str">
        <f ca="1">IFERROR(__xludf.DUMMYFUNCTION("""COMPUTED_VALUE"""),"MS-Challenger B850M-K WIFI")</f>
        <v>MS-Challenger B850M-K WIFI</v>
      </c>
      <c r="C166" s="379" t="str">
        <f ca="1">IFERROR(__xludf.DUMMYFUNCTION("""COMPUTED_VALUE"""),"98,")</f>
        <v>98,</v>
      </c>
    </row>
    <row r="167" spans="1:3" ht="15.75" customHeight="1">
      <c r="A167" s="16" t="str">
        <f ca="1">IFERROR(__xludf.DUMMYFUNCTION("""COMPUTED_VALUE"""),"MB Maxsun AMD AM5 Terminator B850M PRO DARK WIFI DDR5")</f>
        <v>MB Maxsun AMD AM5 Terminator B850M PRO DARK WIFI DDR5</v>
      </c>
      <c r="B167" s="26" t="str">
        <f ca="1">IFERROR(__xludf.DUMMYFUNCTION("""COMPUTED_VALUE"""),"MS-Terminator B850M PRO DARK WIFI")</f>
        <v>MS-Terminator B850M PRO DARK WIFI</v>
      </c>
      <c r="C167" s="379" t="str">
        <f ca="1">IFERROR(__xludf.DUMMYFUNCTION("""COMPUTED_VALUE"""),"140,")</f>
        <v>140,</v>
      </c>
    </row>
    <row r="168" spans="1:3" ht="15.75" customHeight="1">
      <c r="A168" s="16" t="str">
        <f ca="1">IFERROR(__xludf.DUMMYFUNCTION("""COMPUTED_VALUE"""),"MB MSI PRO H610M-S DDR4 LGA1700 (распродажа)")</f>
        <v>MB MSI PRO H610M-S DDR4 LGA1700 (распродажа)</v>
      </c>
      <c r="B168" s="26" t="str">
        <f ca="1">IFERROR(__xludf.DUMMYFUNCTION("""COMPUTED_VALUE"""),"911-7E44-013")</f>
        <v>911-7E44-013</v>
      </c>
      <c r="C168" s="379" t="str">
        <f ca="1">IFERROR(__xludf.DUMMYFUNCTION("""COMPUTED_VALUE"""),"55,")</f>
        <v>55,</v>
      </c>
    </row>
    <row r="169" spans="1:3" ht="15.75" customHeight="1">
      <c r="A169" s="16" t="str">
        <f ca="1">IFERROR(__xludf.DUMMYFUNCTION("""COMPUTED_VALUE"""),"MB MSI PRO H610M-G DDR5 LGA1700 (можно подключить несколько мониторов)")</f>
        <v>MB MSI PRO H610M-G DDR5 LGA1700 (можно подключить несколько мониторов)</v>
      </c>
      <c r="B169" s="26" t="str">
        <f ca="1">IFERROR(__xludf.DUMMYFUNCTION("""COMPUTED_VALUE"""),"911-7D46-225")</f>
        <v>911-7D46-225</v>
      </c>
      <c r="C169" s="379" t="str">
        <f ca="1">IFERROR(__xludf.DUMMYFUNCTION("""COMPUTED_VALUE"""),"75,")</f>
        <v>75,</v>
      </c>
    </row>
    <row r="170" spans="1:3" ht="15.75" customHeight="1">
      <c r="A170" s="16" t="str">
        <f ca="1">IFERROR(__xludf.DUMMYFUNCTION("""COMPUTED_VALUE"""),"MB MSI PRO H610M-E DDR5 LGA1700 (распродажа)")</f>
        <v>MB MSI PRO H610M-E DDR5 LGA1700 (распродажа)</v>
      </c>
      <c r="B170" s="26" t="str">
        <f ca="1">IFERROR(__xludf.DUMMYFUNCTION("""COMPUTED_VALUE"""),"911-7D48-019")</f>
        <v>911-7D48-019</v>
      </c>
      <c r="C170" s="379" t="str">
        <f ca="1">IFERROR(__xludf.DUMMYFUNCTION("""COMPUTED_VALUE"""),"65,")</f>
        <v>65,</v>
      </c>
    </row>
    <row r="171" spans="1:3" ht="15.75" customHeight="1">
      <c r="A171" s="16" t="str">
        <f ca="1">IFERROR(__xludf.DUMMYFUNCTION("""COMPUTED_VALUE"""),"MB MSI PRO B760M-E DDR4 LGA1700 (распродажа)")</f>
        <v>MB MSI PRO B760M-E DDR4 LGA1700 (распродажа)</v>
      </c>
      <c r="B171" s="26" t="str">
        <f ca="1">IFERROR(__xludf.DUMMYFUNCTION("""COMPUTED_VALUE"""),"911-7D48-061")</f>
        <v>911-7D48-061</v>
      </c>
      <c r="C171" s="379" t="str">
        <f ca="1">IFERROR(__xludf.DUMMYFUNCTION("""COMPUTED_VALUE"""),"73,")</f>
        <v>73,</v>
      </c>
    </row>
    <row r="172" spans="1:3" ht="15.75" customHeight="1">
      <c r="A172" s="16" t="str">
        <f ca="1">IFERROR(__xludf.DUMMYFUNCTION("""COMPUTED_VALUE"""),"MB MSI PRO B760M-E DDR5 LGA1700")</f>
        <v>MB MSI PRO B760M-E DDR5 LGA1700</v>
      </c>
      <c r="B172" s="26" t="str">
        <f ca="1">IFERROR(__xludf.DUMMYFUNCTION("""COMPUTED_VALUE"""),"911-7D48-020")</f>
        <v>911-7D48-020</v>
      </c>
      <c r="C172" s="379" t="str">
        <f ca="1">IFERROR(__xludf.DUMMYFUNCTION("""COMPUTED_VALUE"""),"87,")</f>
        <v>87,</v>
      </c>
    </row>
    <row r="173" spans="1:3" ht="15.75" customHeight="1">
      <c r="A173" s="16" t="str">
        <f ca="1">IFERROR(__xludf.DUMMYFUNCTION("""COMPUTED_VALUE"""),"MB MSI PRO B760M-P DDR4 LGA1700")</f>
        <v>MB MSI PRO B760M-P DDR4 LGA1700</v>
      </c>
      <c r="B173" s="26" t="str">
        <f ca="1">IFERROR(__xludf.DUMMYFUNCTION("""COMPUTED_VALUE"""),"911-7E02-029")</f>
        <v>911-7E02-029</v>
      </c>
      <c r="C173" s="379" t="str">
        <f ca="1">IFERROR(__xludf.DUMMYFUNCTION("""COMPUTED_VALUE"""),"85,")</f>
        <v>85,</v>
      </c>
    </row>
    <row r="174" spans="1:3" ht="15.75" customHeight="1">
      <c r="A174" s="16" t="str">
        <f ca="1">IFERROR(__xludf.DUMMYFUNCTION("""COMPUTED_VALUE"""),"MB MSI PRO B760M-P DDR5 LGA1700")</f>
        <v>MB MSI PRO B760M-P DDR5 LGA1700</v>
      </c>
      <c r="B174" s="26" t="str">
        <f ca="1">IFERROR(__xludf.DUMMYFUNCTION("""COMPUTED_VALUE"""),"911-7E02-009")</f>
        <v>911-7E02-009</v>
      </c>
      <c r="C174" s="379" t="str">
        <f ca="1">IFERROR(__xludf.DUMMYFUNCTION("""COMPUTED_VALUE"""),"98,")</f>
        <v>98,</v>
      </c>
    </row>
    <row r="175" spans="1:3" ht="15.75" customHeight="1">
      <c r="A175" s="16" t="str">
        <f ca="1">IFERROR(__xludf.DUMMYFUNCTION("""COMPUTED_VALUE"""),"MB MSI PRO B760M-A WIFI DDR5 LGA1700 (1 штук)")</f>
        <v>MB MSI PRO B760M-A WIFI DDR5 LGA1700 (1 штук)</v>
      </c>
      <c r="B175" s="26" t="str">
        <f ca="1">IFERROR(__xludf.DUMMYFUNCTION("""COMPUTED_VALUE"""),"911-7D99-012")</f>
        <v>911-7D99-012</v>
      </c>
      <c r="C175" s="379" t="str">
        <f ca="1">IFERROR(__xludf.DUMMYFUNCTION("""COMPUTED_VALUE"""),"135,")</f>
        <v>135,</v>
      </c>
    </row>
    <row r="176" spans="1:3" ht="15.75" customHeight="1">
      <c r="A176" s="16" t="str">
        <f ca="1">IFERROR(__xludf.DUMMYFUNCTION("""COMPUTED_VALUE"""),"MB MSI B760M GAMING PLUS WIFI DDR5 LGA1700 ")</f>
        <v xml:space="preserve">MB MSI B760M GAMING PLUS WIFI DDR5 LGA1700 </v>
      </c>
      <c r="B176" s="26" t="str">
        <f ca="1">IFERROR(__xludf.DUMMYFUNCTION("""COMPUTED_VALUE"""),"911-7D99-060")</f>
        <v>911-7D99-060</v>
      </c>
      <c r="C176" s="379" t="str">
        <f ca="1">IFERROR(__xludf.DUMMYFUNCTION("""COMPUTED_VALUE"""),"140,")</f>
        <v>140,</v>
      </c>
    </row>
    <row r="177" spans="1:3" ht="15.75" customHeight="1">
      <c r="A177" s="16" t="str">
        <f ca="1">IFERROR(__xludf.DUMMYFUNCTION("""COMPUTED_VALUE"""),"MB MSI B760 GAMING PLUS WIFI DDR5 LGA1700 ")</f>
        <v xml:space="preserve">MB MSI B760 GAMING PLUS WIFI DDR5 LGA1700 </v>
      </c>
      <c r="B177" s="26" t="str">
        <f ca="1">IFERROR(__xludf.DUMMYFUNCTION("""COMPUTED_VALUE"""),"911-7D98-051")</f>
        <v>911-7D98-051</v>
      </c>
      <c r="C177" s="379" t="str">
        <f ca="1">IFERROR(__xludf.DUMMYFUNCTION("""COMPUTED_VALUE"""),"145,")</f>
        <v>145,</v>
      </c>
    </row>
    <row r="178" spans="1:3" ht="15.75" customHeight="1">
      <c r="A178" s="16" t="str">
        <f ca="1">IFERROR(__xludf.DUMMYFUNCTION("""COMPUTED_VALUE"""),"MB MSI B760M PROJECT ZERO DDR5 LGA1700 (5 штук)")</f>
        <v>MB MSI B760M PROJECT ZERO DDR5 LGA1700 (5 штук)</v>
      </c>
      <c r="B178" s="26" t="str">
        <f ca="1">IFERROR(__xludf.DUMMYFUNCTION("""COMPUTED_VALUE"""),"911-7E14-004")</f>
        <v>911-7E14-004</v>
      </c>
      <c r="C178" s="379" t="str">
        <f ca="1">IFERROR(__xludf.DUMMYFUNCTION("""COMPUTED_VALUE"""),"230,")</f>
        <v>230,</v>
      </c>
    </row>
    <row r="179" spans="1:3" ht="15.75" customHeight="1">
      <c r="A179" s="16" t="str">
        <f ca="1">IFERROR(__xludf.DUMMYFUNCTION("""COMPUTED_VALUE"""),"MB MSI MEG Z590I UNIFY WIFI DDR4 LGA1200 (распродажа) (3 штук)")</f>
        <v>MB MSI MEG Z590I UNIFY WIFI DDR4 LGA1200 (распродажа) (3 штук)</v>
      </c>
      <c r="B179" s="26" t="str">
        <f ca="1">IFERROR(__xludf.DUMMYFUNCTION("""COMPUTED_VALUE"""),"911-7D05-007")</f>
        <v>911-7D05-007</v>
      </c>
      <c r="C179" s="379" t="str">
        <f ca="1">IFERROR(__xludf.DUMMYFUNCTION("""COMPUTED_VALUE"""),"179,")</f>
        <v>179,</v>
      </c>
    </row>
    <row r="180" spans="1:3" ht="15.75" customHeight="1">
      <c r="A180" s="16" t="str">
        <f ca="1">IFERROR(__xludf.DUMMYFUNCTION("""COMPUTED_VALUE"""),"MB MSI B860M GAMING PLUS WIFI DDR5 LGA1851 (1 штук)")</f>
        <v>MB MSI B860M GAMING PLUS WIFI DDR5 LGA1851 (1 штук)</v>
      </c>
      <c r="B180" s="26" t="str">
        <f ca="1">IFERROR(__xludf.DUMMYFUNCTION("""COMPUTED_VALUE"""),"911-7E42-003")</f>
        <v>911-7E42-003</v>
      </c>
      <c r="C180" s="379" t="str">
        <f ca="1">IFERROR(__xludf.DUMMYFUNCTION("""COMPUTED_VALUE"""),"215,")</f>
        <v>215,</v>
      </c>
    </row>
    <row r="181" spans="1:3" ht="15.75" customHeight="1">
      <c r="A181" s="16" t="str">
        <f ca="1">IFERROR(__xludf.DUMMYFUNCTION("""COMPUTED_VALUE"""),"MB MSI B860 GAMING PLUS WIFI DDR5 LGA1851")</f>
        <v>MB MSI B860 GAMING PLUS WIFI DDR5 LGA1851</v>
      </c>
      <c r="B181" s="26" t="str">
        <f ca="1">IFERROR(__xludf.DUMMYFUNCTION("""COMPUTED_VALUE"""),"911-7E41-003")</f>
        <v>911-7E41-003</v>
      </c>
      <c r="C181" s="379" t="str">
        <f ca="1">IFERROR(__xludf.DUMMYFUNCTION("""COMPUTED_VALUE"""),"235,")</f>
        <v>235,</v>
      </c>
    </row>
    <row r="182" spans="1:3" ht="15.75" customHeight="1">
      <c r="A182" s="16" t="str">
        <f ca="1">IFERROR(__xludf.DUMMYFUNCTION("""COMPUTED_VALUE"""),"MB MSI MAG B860 TOMAHAWK WIFI DDR5 LGA1851")</f>
        <v>MB MSI MAG B860 TOMAHAWK WIFI DDR5 LGA1851</v>
      </c>
      <c r="B182" s="26" t="str">
        <f ca="1">IFERROR(__xludf.DUMMYFUNCTION("""COMPUTED_VALUE"""),"911-7E39-001")</f>
        <v>911-7E39-001</v>
      </c>
      <c r="C182" s="379" t="str">
        <f ca="1">IFERROR(__xludf.DUMMYFUNCTION("""COMPUTED_VALUE"""),"250,")</f>
        <v>250,</v>
      </c>
    </row>
    <row r="183" spans="1:3" ht="15.75" customHeight="1">
      <c r="A183" s="16" t="str">
        <f ca="1">IFERROR(__xludf.DUMMYFUNCTION("""COMPUTED_VALUE"""),"MB MSI MAG Z890 TOMAHAWK WIFI DDR5 LGA1851 (1 штук)")</f>
        <v>MB MSI MAG Z890 TOMAHAWK WIFI DDR5 LGA1851 (1 штук)</v>
      </c>
      <c r="B183" s="26" t="str">
        <f ca="1">IFERROR(__xludf.DUMMYFUNCTION("""COMPUTED_VALUE"""),"911-7E32-003")</f>
        <v>911-7E32-003</v>
      </c>
      <c r="C183" s="379" t="str">
        <f ca="1">IFERROR(__xludf.DUMMYFUNCTION("""COMPUTED_VALUE"""),"360,")</f>
        <v>360,</v>
      </c>
    </row>
    <row r="184" spans="1:3" ht="15.75" customHeight="1">
      <c r="A184" s="16" t="str">
        <f ca="1">IFERROR(__xludf.DUMMYFUNCTION("""COMPUTED_VALUE"""),"MB MSI MPG Z890 EDGE TI WIFI DDR5 LGA1851")</f>
        <v>MB MSI MPG Z890 EDGE TI WIFI DDR5 LGA1851</v>
      </c>
      <c r="B184" s="26" t="str">
        <f ca="1">IFERROR(__xludf.DUMMYFUNCTION("""COMPUTED_VALUE"""),"911-7E19-002")</f>
        <v>911-7E19-002</v>
      </c>
      <c r="C184" s="379" t="str">
        <f ca="1">IFERROR(__xludf.DUMMYFUNCTION("""COMPUTED_VALUE"""),"470,")</f>
        <v>470,</v>
      </c>
    </row>
    <row r="185" spans="1:3" ht="15.75" customHeight="1">
      <c r="A185" s="16" t="str">
        <f ca="1">IFERROR(__xludf.DUMMYFUNCTION("""COMPUTED_VALUE"""),"MB MSI AMD AM5 PRO B650M-P DDR5")</f>
        <v>MB MSI AMD AM5 PRO B650M-P DDR5</v>
      </c>
      <c r="B185" s="26" t="str">
        <f ca="1">IFERROR(__xludf.DUMMYFUNCTION("""COMPUTED_VALUE"""),"911-7E27-007")</f>
        <v>911-7E27-007</v>
      </c>
      <c r="C185" s="379" t="str">
        <f ca="1">IFERROR(__xludf.DUMMYFUNCTION("""COMPUTED_VALUE"""),"110,")</f>
        <v>110,</v>
      </c>
    </row>
    <row r="186" spans="1:3" ht="15.75" customHeight="1">
      <c r="A186" s="16" t="str">
        <f ca="1">IFERROR(__xludf.DUMMYFUNCTION("""COMPUTED_VALUE"""),"MB MSI AMD AM5 PRO B650-S WIFI DDR5")</f>
        <v>MB MSI AMD AM5 PRO B650-S WIFI DDR5</v>
      </c>
      <c r="B186" s="26" t="str">
        <f ca="1">IFERROR(__xludf.DUMMYFUNCTION("""COMPUTED_VALUE"""),"911-7E26-007")</f>
        <v>911-7E26-007</v>
      </c>
      <c r="C186" s="379" t="str">
        <f ca="1">IFERROR(__xludf.DUMMYFUNCTION("""COMPUTED_VALUE"""),"145,")</f>
        <v>145,</v>
      </c>
    </row>
    <row r="187" spans="1:3" ht="15.75" customHeight="1">
      <c r="A187" s="16" t="str">
        <f ca="1">IFERROR(__xludf.DUMMYFUNCTION("""COMPUTED_VALUE"""),"MB MSI AMD AM5 MAG B650 TOMAHAWK WIFI DDR5")</f>
        <v>MB MSI AMD AM5 MAG B650 TOMAHAWK WIFI DDR5</v>
      </c>
      <c r="B187" s="26" t="str">
        <f ca="1">IFERROR(__xludf.DUMMYFUNCTION("""COMPUTED_VALUE"""),"911-7D75-010")</f>
        <v>911-7D75-010</v>
      </c>
      <c r="C187" s="379" t="str">
        <f ca="1">IFERROR(__xludf.DUMMYFUNCTION("""COMPUTED_VALUE"""),"210,")</f>
        <v>210,</v>
      </c>
    </row>
    <row r="188" spans="1:3" ht="15.75" customHeight="1">
      <c r="A188" s="16" t="str">
        <f ca="1">IFERROR(__xludf.DUMMYFUNCTION("""COMPUTED_VALUE"""),"MB MSI AMD AM5 PRO B840M-B DDR5")</f>
        <v>MB MSI AMD AM5 PRO B840M-B DDR5</v>
      </c>
      <c r="B188" s="26" t="str">
        <f ca="1">IFERROR(__xludf.DUMMYFUNCTION("""COMPUTED_VALUE"""),"911-7E76-002")</f>
        <v>911-7E76-002</v>
      </c>
      <c r="C188" s="379" t="str">
        <f ca="1">IFERROR(__xludf.DUMMYFUNCTION("""COMPUTED_VALUE"""),"95,")</f>
        <v>95,</v>
      </c>
    </row>
    <row r="189" spans="1:3" ht="15.75" customHeight="1">
      <c r="A189" s="16" t="str">
        <f ca="1">IFERROR(__xludf.DUMMYFUNCTION("""COMPUTED_VALUE"""),"MB MSI AMD AM5 B850 GAMING PLUS WIFI6E DDR5")</f>
        <v>MB MSI AMD AM5 B850 GAMING PLUS WIFI6E DDR5</v>
      </c>
      <c r="B189" s="26" t="str">
        <f ca="1">IFERROR(__xludf.DUMMYFUNCTION("""COMPUTED_VALUE"""),"911-7E80-001")</f>
        <v>911-7E80-001</v>
      </c>
      <c r="C189" s="379" t="str">
        <f ca="1">IFERROR(__xludf.DUMMYFUNCTION("""COMPUTED_VALUE"""),"200,")</f>
        <v>200,</v>
      </c>
    </row>
    <row r="190" spans="1:3" ht="15.75" customHeight="1">
      <c r="A190" s="16" t="str">
        <f ca="1">IFERROR(__xludf.DUMMYFUNCTION("""COMPUTED_VALUE"""),"MB MSI AMD AM5 PRO B850-P WIFI DDR5")</f>
        <v>MB MSI AMD AM5 PRO B850-P WIFI DDR5</v>
      </c>
      <c r="B190" s="26" t="str">
        <f ca="1">IFERROR(__xludf.DUMMYFUNCTION("""COMPUTED_VALUE"""),"911-7E56-021")</f>
        <v>911-7E56-021</v>
      </c>
      <c r="C190" s="379" t="str">
        <f ca="1">IFERROR(__xludf.DUMMYFUNCTION("""COMPUTED_VALUE"""),"220,")</f>
        <v>220,</v>
      </c>
    </row>
    <row r="191" spans="1:3" ht="15.75" customHeight="1">
      <c r="A191" s="16" t="str">
        <f ca="1">IFERROR(__xludf.DUMMYFUNCTION("""COMPUTED_VALUE"""),"MB MSI AMD AM5 MAG B850M MORTAR WIFI DDR5")</f>
        <v>MB MSI AMD AM5 MAG B850M MORTAR WIFI DDR5</v>
      </c>
      <c r="B191" s="26" t="str">
        <f ca="1">IFERROR(__xludf.DUMMYFUNCTION("""COMPUTED_VALUE"""),"911-7E61-001")</f>
        <v>911-7E61-001</v>
      </c>
      <c r="C191" s="379" t="str">
        <f ca="1">IFERROR(__xludf.DUMMYFUNCTION("""COMPUTED_VALUE"""),"260,")</f>
        <v>260,</v>
      </c>
    </row>
    <row r="192" spans="1:3" ht="15.75" customHeight="1">
      <c r="A192" s="16" t="str">
        <f ca="1">IFERROR(__xludf.DUMMYFUNCTION("""COMPUTED_VALUE"""),"MB MSI AMD AM5 MAG B850 MLG EDITION DDR5")</f>
        <v>MB MSI AMD AM5 MAG B850 MLG EDITION DDR5</v>
      </c>
      <c r="B192" s="26" t="str">
        <f ca="1">IFERROR(__xludf.DUMMYFUNCTION("""COMPUTED_VALUE"""),"911-7E62-012")</f>
        <v>911-7E62-012</v>
      </c>
      <c r="C192" s="379" t="str">
        <f ca="1">IFERROR(__xludf.DUMMYFUNCTION("""COMPUTED_VALUE"""),"250,")</f>
        <v>250,</v>
      </c>
    </row>
    <row r="193" spans="1:3" ht="15.75" customHeight="1">
      <c r="A193" s="16" t="str">
        <f ca="1">IFERROR(__xludf.DUMMYFUNCTION("""COMPUTED_VALUE"""),"MB MSI AMD AM5 MAG B850 TOMAHAWK MAX WIFI DDR5")</f>
        <v>MB MSI AMD AM5 MAG B850 TOMAHAWK MAX WIFI DDR5</v>
      </c>
      <c r="B193" s="26" t="str">
        <f ca="1">IFERROR(__xludf.DUMMYFUNCTION("""COMPUTED_VALUE"""),"911-7E62-002")</f>
        <v>911-7E62-002</v>
      </c>
      <c r="C193" s="379" t="str">
        <f ca="1">IFERROR(__xludf.DUMMYFUNCTION("""COMPUTED_VALUE"""),"265,")</f>
        <v>265,</v>
      </c>
    </row>
    <row r="194" spans="1:3" ht="15.75" customHeight="1">
      <c r="A194" s="16" t="str">
        <f ca="1">IFERROR(__xludf.DUMMYFUNCTION("""COMPUTED_VALUE"""),"MB MSI AMD AM5 MPG B850 EDGE TI WIFI DDR5")</f>
        <v>MB MSI AMD AM5 MPG B850 EDGE TI WIFI DDR5</v>
      </c>
      <c r="B194" s="26" t="str">
        <f ca="1">IFERROR(__xludf.DUMMYFUNCTION("""COMPUTED_VALUE"""),"911-7E62-001")</f>
        <v>911-7E62-001</v>
      </c>
      <c r="C194" s="379" t="str">
        <f ca="1">IFERROR(__xludf.DUMMYFUNCTION("""COMPUTED_VALUE"""),"320,")</f>
        <v>320,</v>
      </c>
    </row>
    <row r="195" spans="1:3" ht="15.75" customHeight="1">
      <c r="A195" s="16" t="str">
        <f ca="1">IFERROR(__xludf.DUMMYFUNCTION("""COMPUTED_VALUE"""),"MB MSI AMD AM5 X870 GAMING PLUS WIFI DDR5")</f>
        <v>MB MSI AMD AM5 X870 GAMING PLUS WIFI DDR5</v>
      </c>
      <c r="B195" s="26" t="str">
        <f ca="1">IFERROR(__xludf.DUMMYFUNCTION("""COMPUTED_VALUE"""),"911-7E47-005")</f>
        <v>911-7E47-005</v>
      </c>
      <c r="C195" s="379" t="str">
        <f ca="1">IFERROR(__xludf.DUMMYFUNCTION("""COMPUTED_VALUE"""),"300,")</f>
        <v>300,</v>
      </c>
    </row>
    <row r="196" spans="1:3" ht="15.75" customHeight="1">
      <c r="A196" s="16" t="str">
        <f ca="1">IFERROR(__xludf.DUMMYFUNCTION("""COMPUTED_VALUE"""),"MB MSI AMD AM5 MAG X870 TOMAHAWK WIFI DDR5 (1 штук)")</f>
        <v>MB MSI AMD AM5 MAG X870 TOMAHAWK WIFI DDR5 (1 штук)</v>
      </c>
      <c r="B196" s="26" t="str">
        <f ca="1">IFERROR(__xludf.DUMMYFUNCTION("""COMPUTED_VALUE"""),"911-7E51-001")</f>
        <v>911-7E51-001</v>
      </c>
      <c r="C196" s="379" t="str">
        <f ca="1">IFERROR(__xludf.DUMMYFUNCTION("""COMPUTED_VALUE"""),"350,")</f>
        <v>350,</v>
      </c>
    </row>
    <row r="197" spans="1:3" ht="15.75" customHeight="1">
      <c r="A197" s="16" t="str">
        <f ca="1">IFERROR(__xludf.DUMMYFUNCTION("""COMPUTED_VALUE"""),"MB MSI AMD AM5 X870E GAMING PLUS WIFI DDR5")</f>
        <v>MB MSI AMD AM5 X870E GAMING PLUS WIFI DDR5</v>
      </c>
      <c r="B197" s="26" t="str">
        <f ca="1">IFERROR(__xludf.DUMMYFUNCTION("""COMPUTED_VALUE"""),"911-7E70-001")</f>
        <v>911-7E70-001</v>
      </c>
      <c r="C197" s="379" t="str">
        <f ca="1">IFERROR(__xludf.DUMMYFUNCTION("""COMPUTED_VALUE"""),"290,")</f>
        <v>290,</v>
      </c>
    </row>
    <row r="198" spans="1:3" ht="15.75" customHeight="1">
      <c r="A198" s="16" t="str">
        <f ca="1">IFERROR(__xludf.DUMMYFUNCTION("""COMPUTED_VALUE"""),"MB MSI AMD AM5 MAG X870E TOMAHAWK WIFI DDR5")</f>
        <v>MB MSI AMD AM5 MAG X870E TOMAHAWK WIFI DDR5</v>
      </c>
      <c r="B198" s="26" t="str">
        <f ca="1">IFERROR(__xludf.DUMMYFUNCTION("""COMPUTED_VALUE"""),"911-7E59-006")</f>
        <v>911-7E59-006</v>
      </c>
      <c r="C198" s="379" t="str">
        <f ca="1">IFERROR(__xludf.DUMMYFUNCTION("""COMPUTED_VALUE"""),"380,")</f>
        <v>380,</v>
      </c>
    </row>
    <row r="199" spans="1:3" ht="15.75" customHeight="1">
      <c r="A199" s="16" t="str">
        <f ca="1">IFERROR(__xludf.DUMMYFUNCTION("""COMPUTED_VALUE"""),"MB MSI AMD AM5 MPG X870E EDGE TI WIFI DDR5")</f>
        <v>MB MSI AMD AM5 MPG X870E EDGE TI WIFI DDR5</v>
      </c>
      <c r="B199" s="26" t="str">
        <f ca="1">IFERROR(__xludf.DUMMYFUNCTION("""COMPUTED_VALUE"""),"911-7E59-001")</f>
        <v>911-7E59-001</v>
      </c>
      <c r="C199" s="379" t="str">
        <f ca="1">IFERROR(__xludf.DUMMYFUNCTION("""COMPUTED_VALUE"""),"420,")</f>
        <v>420,</v>
      </c>
    </row>
    <row r="200" spans="1:3" ht="15.75" customHeight="1">
      <c r="A200" s="16" t="str">
        <f ca="1">IFERROR(__xludf.DUMMYFUNCTION("""COMPUTED_VALUE"""),"MB MSI AMD AM5 MPG X870E CARBON WIFI DDR5")</f>
        <v>MB MSI AMD AM5 MPG X870E CARBON WIFI DDR5</v>
      </c>
      <c r="B200" s="26" t="str">
        <f ca="1">IFERROR(__xludf.DUMMYFUNCTION("""COMPUTED_VALUE"""),"911-7E49-005")</f>
        <v>911-7E49-005</v>
      </c>
      <c r="C200" s="379" t="str">
        <f ca="1">IFERROR(__xludf.DUMMYFUNCTION("""COMPUTED_VALUE"""),"510,")</f>
        <v>510,</v>
      </c>
    </row>
    <row r="201" spans="1:3" ht="15.75" customHeight="1">
      <c r="A201" s="16" t="str">
        <f ca="1">IFERROR(__xludf.DUMMYFUNCTION("""COMPUTED_VALUE"""),"MB MSI AMD TRX40 PRO WIFI DDR4 (распродажа)")</f>
        <v>MB MSI AMD TRX40 PRO WIFI DDR4 (распродажа)</v>
      </c>
      <c r="B201" s="26" t="str">
        <f ca="1">IFERROR(__xludf.DUMMYFUNCTION("""COMPUTED_VALUE"""),"911-7C60-011")</f>
        <v>911-7C60-011</v>
      </c>
      <c r="C201" s="379" t="str">
        <f ca="1">IFERROR(__xludf.DUMMYFUNCTION("""COMPUTED_VALUE"""),"150,")</f>
        <v>150,</v>
      </c>
    </row>
    <row r="202" spans="1:3" ht="15.75" customHeight="1">
      <c r="A202" s="16" t="str">
        <f ca="1">IFERROR(__xludf.DUMMYFUNCTION("""COMPUTED_VALUE"""),"MB Gigabyte H610M K DDR4 LGA1700 (распродажа)")</f>
        <v>MB Gigabyte H610M K DDR4 LGA1700 (распродажа)</v>
      </c>
      <c r="B202" s="26" t="str">
        <f ca="1">IFERROR(__xludf.DUMMYFUNCTION("""COMPUTED_VALUE"""),"GA-H610M-K-D4")</f>
        <v>GA-H610M-K-D4</v>
      </c>
      <c r="C202" s="379" t="str">
        <f ca="1">IFERROR(__xludf.DUMMYFUNCTION("""COMPUTED_VALUE"""),"56,")</f>
        <v>56,</v>
      </c>
    </row>
    <row r="203" spans="1:3" ht="15.75" customHeight="1">
      <c r="A203" s="16" t="str">
        <f ca="1">IFERROR(__xludf.DUMMYFUNCTION("""COMPUTED_VALUE"""),"MB Gigabyte H610M K V2 DDR5 LGA1700 (распродажа)")</f>
        <v>MB Gigabyte H610M K V2 DDR5 LGA1700 (распродажа)</v>
      </c>
      <c r="B203" s="26" t="str">
        <f ca="1">IFERROR(__xludf.DUMMYFUNCTION("""COMPUTED_VALUE"""),"GA-H610M-K-V2")</f>
        <v>GA-H610M-K-V2</v>
      </c>
      <c r="C203" s="379" t="str">
        <f ca="1">IFERROR(__xludf.DUMMYFUNCTION("""COMPUTED_VALUE"""),"62,")</f>
        <v>62,</v>
      </c>
    </row>
    <row r="204" spans="1:3" ht="15.75" customHeight="1">
      <c r="A204" s="16" t="str">
        <f ca="1">IFERROR(__xludf.DUMMYFUNCTION("""COMPUTED_VALUE"""),"MB Gigabyte B760M H DDR4 LGA1700")</f>
        <v>MB Gigabyte B760M H DDR4 LGA1700</v>
      </c>
      <c r="B204" s="26" t="str">
        <f ca="1">IFERROR(__xludf.DUMMYFUNCTION("""COMPUTED_VALUE"""),"GA-B760M-H-D4")</f>
        <v>GA-B760M-H-D4</v>
      </c>
      <c r="C204" s="379" t="str">
        <f ca="1">IFERROR(__xludf.DUMMYFUNCTION("""COMPUTED_VALUE"""),"78,")</f>
        <v>78,</v>
      </c>
    </row>
    <row r="205" spans="1:3" ht="15.75" customHeight="1">
      <c r="A205" s="16" t="str">
        <f ca="1">IFERROR(__xludf.DUMMYFUNCTION("""COMPUTED_VALUE"""),"MB Gigabyte B760M D3HP DDR4 LGA1700 (распродажа)")</f>
        <v>MB Gigabyte B760M D3HP DDR4 LGA1700 (распродажа)</v>
      </c>
      <c r="B205" s="26" t="str">
        <f ca="1">IFERROR(__xludf.DUMMYFUNCTION("""COMPUTED_VALUE"""),"GA-B760M-D3HP-D4")</f>
        <v>GA-B760M-D3HP-D4</v>
      </c>
      <c r="C205" s="379" t="str">
        <f ca="1">IFERROR(__xludf.DUMMYFUNCTION("""COMPUTED_VALUE"""),"88,")</f>
        <v>88,</v>
      </c>
    </row>
    <row r="206" spans="1:3" ht="15.75" customHeight="1">
      <c r="A206" s="16" t="str">
        <f ca="1">IFERROR(__xludf.DUMMYFUNCTION("""COMPUTED_VALUE"""),"MB Gigabyte B760M DS3H DDR4 LGA1700 ")</f>
        <v xml:space="preserve">MB Gigabyte B760M DS3H DDR4 LGA1700 </v>
      </c>
      <c r="B206" s="26" t="str">
        <f ca="1">IFERROR(__xludf.DUMMYFUNCTION("""COMPUTED_VALUE"""),"GA-B760M-DS3H-D4")</f>
        <v>GA-B760M-DS3H-D4</v>
      </c>
      <c r="C206" s="379" t="str">
        <f ca="1">IFERROR(__xludf.DUMMYFUNCTION("""COMPUTED_VALUE"""),"98,")</f>
        <v>98,</v>
      </c>
    </row>
    <row r="207" spans="1:3" ht="15.75" customHeight="1">
      <c r="A207" s="16" t="str">
        <f ca="1">IFERROR(__xludf.DUMMYFUNCTION("""COMPUTED_VALUE"""),"MB Gigabyte B760M H V2 DDR5 LGA1700 (Front type-C)")</f>
        <v>MB Gigabyte B760M H V2 DDR5 LGA1700 (Front type-C)</v>
      </c>
      <c r="B207" s="26" t="str">
        <f ca="1">IFERROR(__xludf.DUMMYFUNCTION("""COMPUTED_VALUE"""),"GA-B760M-H-V2")</f>
        <v>GA-B760M-H-V2</v>
      </c>
      <c r="C207" s="379" t="str">
        <f ca="1">IFERROR(__xludf.DUMMYFUNCTION("""COMPUTED_VALUE"""),"93,")</f>
        <v>93,</v>
      </c>
    </row>
    <row r="208" spans="1:3" ht="15.75" customHeight="1">
      <c r="A208" s="16" t="str">
        <f ca="1">IFERROR(__xludf.DUMMYFUNCTION("""COMPUTED_VALUE"""),"MB Gigabyte B760M D3HP DDR5 LGA1700 (Front type-C)")</f>
        <v>MB Gigabyte B760M D3HP DDR5 LGA1700 (Front type-C)</v>
      </c>
      <c r="B208" s="26" t="str">
        <f ca="1">IFERROR(__xludf.DUMMYFUNCTION("""COMPUTED_VALUE"""),"4719331867058")</f>
        <v>4719331867058</v>
      </c>
      <c r="C208" s="379" t="str">
        <f ca="1">IFERROR(__xludf.DUMMYFUNCTION("""COMPUTED_VALUE"""),"98,")</f>
        <v>98,</v>
      </c>
    </row>
    <row r="209" spans="1:3" ht="15.75" customHeight="1">
      <c r="A209" s="16" t="str">
        <f ca="1">IFERROR(__xludf.DUMMYFUNCTION("""COMPUTED_VALUE"""),"MB Gigabyte B760M D3HP WIFI6 DDR5 LGA1700 (Front type-C) (1 штук)")</f>
        <v>MB Gigabyte B760M D3HP WIFI6 DDR5 LGA1700 (Front type-C) (1 штук)</v>
      </c>
      <c r="B209" s="26" t="str">
        <f ca="1">IFERROR(__xludf.DUMMYFUNCTION("""COMPUTED_VALUE"""),"B760M D3HP WIFI6 DDR5")</f>
        <v>B760M D3HP WIFI6 DDR5</v>
      </c>
      <c r="C209" s="379" t="str">
        <f ca="1">IFERROR(__xludf.DUMMYFUNCTION("""COMPUTED_VALUE"""),"123,")</f>
        <v>123,</v>
      </c>
    </row>
    <row r="210" spans="1:3" ht="15.75" customHeight="1">
      <c r="A210" s="16" t="str">
        <f ca="1">IFERROR(__xludf.DUMMYFUNCTION("""COMPUTED_VALUE"""),"MB Gigabyte B760M DS3H GEN5 DDR5 LGA1700")</f>
        <v>MB Gigabyte B760M DS3H GEN5 DDR5 LGA1700</v>
      </c>
      <c r="B210" s="26" t="str">
        <f ca="1">IFERROR(__xludf.DUMMYFUNCTION("""COMPUTED_VALUE"""),"B760M DS3H GEN5 DDR5")</f>
        <v>B760M DS3H GEN5 DDR5</v>
      </c>
      <c r="C210" s="379" t="str">
        <f ca="1">IFERROR(__xludf.DUMMYFUNCTION("""COMPUTED_VALUE"""),"108,")</f>
        <v>108,</v>
      </c>
    </row>
    <row r="211" spans="1:3" ht="15.75" customHeight="1">
      <c r="A211" s="16" t="str">
        <f ca="1">IFERROR(__xludf.DUMMYFUNCTION("""COMPUTED_VALUE"""),"MB Gigabyte B760M DS3H WF6E GEN5 DDR5 LGA1700")</f>
        <v>MB Gigabyte B760M DS3H WF6E GEN5 DDR5 LGA1700</v>
      </c>
      <c r="B211" s="26" t="str">
        <f ca="1">IFERROR(__xludf.DUMMYFUNCTION("""COMPUTED_VALUE"""),"GA-B760M-DS3H-WF6E")</f>
        <v>GA-B760M-DS3H-WF6E</v>
      </c>
      <c r="C211" s="379" t="str">
        <f ca="1">IFERROR(__xludf.DUMMYFUNCTION("""COMPUTED_VALUE"""),"130,")</f>
        <v>130,</v>
      </c>
    </row>
    <row r="212" spans="1:3" ht="15.75" customHeight="1">
      <c r="A212" s="16" t="str">
        <f ca="1">IFERROR(__xludf.DUMMYFUNCTION("""COMPUTED_VALUE"""),"MB Gigabyte B760 DS3H AX DDR5 LGA1700 (1 штук)")</f>
        <v>MB Gigabyte B760 DS3H AX DDR5 LGA1700 (1 штук)</v>
      </c>
      <c r="B212" s="26" t="str">
        <f ca="1">IFERROR(__xludf.DUMMYFUNCTION("""COMPUTED_VALUE"""),"GA-B760-DS3H-AX")</f>
        <v>GA-B760-DS3H-AX</v>
      </c>
      <c r="C212" s="379" t="str">
        <f ca="1">IFERROR(__xludf.DUMMYFUNCTION("""COMPUTED_VALUE"""),"170,")</f>
        <v>170,</v>
      </c>
    </row>
    <row r="213" spans="1:3" ht="15.75" customHeight="1">
      <c r="A213" s="16" t="str">
        <f ca="1">IFERROR(__xludf.DUMMYFUNCTION("""COMPUTED_VALUE"""),"MB Gigabyte B760M GAMING X WF6E GEN5 DDR5 LGA1700")</f>
        <v>MB Gigabyte B760M GAMING X WF6E GEN5 DDR5 LGA1700</v>
      </c>
      <c r="B213" s="26" t="str">
        <f ca="1">IFERROR(__xludf.DUMMYFUNCTION("""COMPUTED_VALUE"""),"GA-B760M-GAMING-X-WF6E")</f>
        <v>GA-B760M-GAMING-X-WF6E</v>
      </c>
      <c r="C213" s="379" t="str">
        <f ca="1">IFERROR(__xludf.DUMMYFUNCTION("""COMPUTED_VALUE"""),"163,")</f>
        <v>163,</v>
      </c>
    </row>
    <row r="214" spans="1:3" ht="15.75" customHeight="1">
      <c r="A214" s="16" t="str">
        <f ca="1">IFERROR(__xludf.DUMMYFUNCTION("""COMPUTED_VALUE"""),"MB Gigabyte B760 GAMING X WF6E GEN5 DDR5 LGA1700")</f>
        <v>MB Gigabyte B760 GAMING X WF6E GEN5 DDR5 LGA1700</v>
      </c>
      <c r="B214" s="26" t="str">
        <f ca="1">IFERROR(__xludf.DUMMYFUNCTION("""COMPUTED_VALUE"""),"GA-B760-GAMING-X-WF6E")</f>
        <v>GA-B760-GAMING-X-WF6E</v>
      </c>
      <c r="C214" s="379" t="str">
        <f ca="1">IFERROR(__xludf.DUMMYFUNCTION("""COMPUTED_VALUE"""),"168,")</f>
        <v>168,</v>
      </c>
    </row>
    <row r="215" spans="1:3" ht="15.75" customHeight="1">
      <c r="A215" s="16" t="str">
        <f ca="1">IFERROR(__xludf.DUMMYFUNCTION("""COMPUTED_VALUE"""),"MB Gigabyte B760 AORUS ELITE WF6E GEN5 DDR5 LGA1700")</f>
        <v>MB Gigabyte B760 AORUS ELITE WF6E GEN5 DDR5 LGA1700</v>
      </c>
      <c r="B215" s="26" t="str">
        <f ca="1">IFERROR(__xludf.DUMMYFUNCTION("""COMPUTED_VALUE"""),"GA-B760-A-ELITE-WF6E")</f>
        <v>GA-B760-A-ELITE-WF6E</v>
      </c>
      <c r="C215" s="379" t="str">
        <f ca="1">IFERROR(__xludf.DUMMYFUNCTION("""COMPUTED_VALUE"""),"170,")</f>
        <v>170,</v>
      </c>
    </row>
    <row r="216" spans="1:3" ht="15.75" customHeight="1">
      <c r="A216" s="16" t="str">
        <f ca="1">IFERROR(__xludf.DUMMYFUNCTION("""COMPUTED_VALUE"""),"MB Gigabyte Z790D DDR5 LGA1700")</f>
        <v>MB Gigabyte Z790D DDR5 LGA1700</v>
      </c>
      <c r="B216" s="26" t="str">
        <f ca="1">IFERROR(__xludf.DUMMYFUNCTION("""COMPUTED_VALUE"""),"GA-Z790-D")</f>
        <v>GA-Z790-D</v>
      </c>
      <c r="C216" s="379" t="str">
        <f ca="1">IFERROR(__xludf.DUMMYFUNCTION("""COMPUTED_VALUE"""),"180,")</f>
        <v>180,</v>
      </c>
    </row>
    <row r="217" spans="1:3" ht="15.75" customHeight="1">
      <c r="A217" s="16" t="str">
        <f ca="1">IFERROR(__xludf.DUMMYFUNCTION("""COMPUTED_VALUE"""),"MB Gigabyte Z790D AX DDR5 LGA1700")</f>
        <v>MB Gigabyte Z790D AX DDR5 LGA1700</v>
      </c>
      <c r="B217" s="26" t="str">
        <f ca="1">IFERROR(__xludf.DUMMYFUNCTION("""COMPUTED_VALUE"""),"GA-Z790-D-AX")</f>
        <v>GA-Z790-D-AX</v>
      </c>
      <c r="C217" s="379" t="str">
        <f ca="1">IFERROR(__xludf.DUMMYFUNCTION("""COMPUTED_VALUE"""),"190,")</f>
        <v>190,</v>
      </c>
    </row>
    <row r="218" spans="1:3" ht="15.75" customHeight="1">
      <c r="A218" s="16" t="str">
        <f ca="1">IFERROR(__xludf.DUMMYFUNCTION("""COMPUTED_VALUE"""),"MB Gigabyte Z790 EAGLE AX DDR5 LGA1700")</f>
        <v>MB Gigabyte Z790 EAGLE AX DDR5 LGA1700</v>
      </c>
      <c r="B218" s="26" t="str">
        <f ca="1">IFERROR(__xludf.DUMMYFUNCTION("""COMPUTED_VALUE"""),"GA-Z790-EAGLE-AX")</f>
        <v>GA-Z790-EAGLE-AX</v>
      </c>
      <c r="C218" s="379" t="str">
        <f ca="1">IFERROR(__xludf.DUMMYFUNCTION("""COMPUTED_VALUE"""),"200,")</f>
        <v>200,</v>
      </c>
    </row>
    <row r="219" spans="1:3" ht="15.75" customHeight="1">
      <c r="A219" s="16" t="str">
        <f ca="1">IFERROR(__xludf.DUMMYFUNCTION("""COMPUTED_VALUE"""),"MB Gigabyte B860M GAMING WIFI6 DDR5 LGA1851")</f>
        <v>MB Gigabyte B860M GAMING WIFI6 DDR5 LGA1851</v>
      </c>
      <c r="B219" s="26" t="str">
        <f ca="1">IFERROR(__xludf.DUMMYFUNCTION("""COMPUTED_VALUE"""),"GA-B860M-GAMING-WF6")</f>
        <v>GA-B860M-GAMING-WF6</v>
      </c>
      <c r="C219" s="379" t="str">
        <f ca="1">IFERROR(__xludf.DUMMYFUNCTION("""COMPUTED_VALUE"""),"175,")</f>
        <v>175,</v>
      </c>
    </row>
    <row r="220" spans="1:3" ht="15.75" customHeight="1">
      <c r="A220" s="16" t="str">
        <f ca="1">IFERROR(__xludf.DUMMYFUNCTION("""COMPUTED_VALUE"""),"MB Gigabyte B860M GAMING X WIFI6E DDR5 LGA1851")</f>
        <v>MB Gigabyte B860M GAMING X WIFI6E DDR5 LGA1851</v>
      </c>
      <c r="B220" s="26" t="str">
        <f ca="1">IFERROR(__xludf.DUMMYFUNCTION("""COMPUTED_VALUE"""),"GA-B860M-GAM-X-WF6E")</f>
        <v>GA-B860M-GAM-X-WF6E</v>
      </c>
      <c r="C220" s="379" t="str">
        <f ca="1">IFERROR(__xludf.DUMMYFUNCTION("""COMPUTED_VALUE"""),"195,")</f>
        <v>195,</v>
      </c>
    </row>
    <row r="221" spans="1:3" ht="15.75" customHeight="1">
      <c r="A221" s="16" t="str">
        <f ca="1">IFERROR(__xludf.DUMMYFUNCTION("""COMPUTED_VALUE"""),"MB Gigabyte B860 GAMING X WIFI6E DDR5 LGA1851")</f>
        <v>MB Gigabyte B860 GAMING X WIFI6E DDR5 LGA1851</v>
      </c>
      <c r="B221" s="16" t="str">
        <f ca="1">IFERROR(__xludf.DUMMYFUNCTION("""COMPUTED_VALUE"""),"GA-B860-GAM-X-WF6E")</f>
        <v>GA-B860-GAM-X-WF6E</v>
      </c>
      <c r="C221" s="16" t="str">
        <f ca="1">IFERROR(__xludf.DUMMYFUNCTION("""COMPUTED_VALUE"""),"210,")</f>
        <v>210,</v>
      </c>
    </row>
    <row r="222" spans="1:3" ht="15.75" customHeight="1">
      <c r="A222" s="16" t="str">
        <f ca="1">IFERROR(__xludf.DUMMYFUNCTION("""COMPUTED_VALUE"""),"MB Gigabyte B860M AORUS ELITE WIFI6E DDR5 LGA1851")</f>
        <v>MB Gigabyte B860M AORUS ELITE WIFI6E DDR5 LGA1851</v>
      </c>
      <c r="B222" s="16" t="str">
        <f ca="1">IFERROR(__xludf.DUMMYFUNCTION("""COMPUTED_VALUE"""),"GA-B860M-A-ELITE-WF6E")</f>
        <v>GA-B860M-A-ELITE-WF6E</v>
      </c>
      <c r="C222" s="16" t="str">
        <f ca="1">IFERROR(__xludf.DUMMYFUNCTION("""COMPUTED_VALUE"""),"230,")</f>
        <v>230,</v>
      </c>
    </row>
    <row r="223" spans="1:3" ht="15.75" customHeight="1">
      <c r="A223" s="16" t="str">
        <f ca="1">IFERROR(__xludf.DUMMYFUNCTION("""COMPUTED_VALUE"""),"MB Gigabyte B860M AORUS ELITE WIFI6E ICE DDR5 LGA1851")</f>
        <v>MB Gigabyte B860M AORUS ELITE WIFI6E ICE DDR5 LGA1851</v>
      </c>
      <c r="B223" s="16" t="str">
        <f ca="1">IFERROR(__xludf.DUMMYFUNCTION("""COMPUTED_VALUE"""),"B860MAELITEWF6EICE")</f>
        <v>B860MAELITEWF6EICE</v>
      </c>
      <c r="C223" s="16" t="str">
        <f ca="1">IFERROR(__xludf.DUMMYFUNCTION("""COMPUTED_VALUE"""),"230,")</f>
        <v>230,</v>
      </c>
    </row>
    <row r="224" spans="1:3" ht="15.75" customHeight="1">
      <c r="A224" s="16" t="str">
        <f ca="1">IFERROR(__xludf.DUMMYFUNCTION("""COMPUTED_VALUE"""),"MB Gigabyte Z890M GAMING X DDR5 LGA1851")</f>
        <v>MB Gigabyte Z890M GAMING X DDR5 LGA1851</v>
      </c>
      <c r="B224" s="16" t="str">
        <f ca="1">IFERROR(__xludf.DUMMYFUNCTION("""COMPUTED_VALUE"""),"GA-Z890M-GAMING-X")</f>
        <v>GA-Z890M-GAMING-X</v>
      </c>
      <c r="C224" s="16" t="str">
        <f ca="1">IFERROR(__xludf.DUMMYFUNCTION("""COMPUTED_VALUE"""),"210,")</f>
        <v>210,</v>
      </c>
    </row>
    <row r="225" spans="1:3" ht="15.75" customHeight="1">
      <c r="A225" s="16" t="str">
        <f ca="1">IFERROR(__xludf.DUMMYFUNCTION("""COMPUTED_VALUE"""),"MB Gigabyte Z890 AORUS PRO ICE DDR5 LGA1851 (1 штук)")</f>
        <v>MB Gigabyte Z890 AORUS PRO ICE DDR5 LGA1851 (1 штук)</v>
      </c>
      <c r="B225" s="16" t="str">
        <f ca="1">IFERROR(__xludf.DUMMYFUNCTION("""COMPUTED_VALUE"""),"Z890AORPROICE")</f>
        <v>Z890AORPROICE</v>
      </c>
      <c r="C225" s="16" t="str">
        <f ca="1">IFERROR(__xludf.DUMMYFUNCTION("""COMPUTED_VALUE"""),"440,")</f>
        <v>440,</v>
      </c>
    </row>
    <row r="226" spans="1:3" ht="15.75" customHeight="1">
      <c r="A226" s="16" t="str">
        <f ca="1">IFERROR(__xludf.DUMMYFUNCTION("""COMPUTED_VALUE"""),"MB Gigabyte AMD AM4 B550M GAMING X WIFI6 DDR4")</f>
        <v>MB Gigabyte AMD AM4 B550M GAMING X WIFI6 DDR4</v>
      </c>
      <c r="B226" s="16" t="str">
        <f ca="1">IFERROR(__xludf.DUMMYFUNCTION("""COMPUTED_VALUE"""),"4719331870096")</f>
        <v>4719331870096</v>
      </c>
      <c r="C226" s="16" t="str">
        <f ca="1">IFERROR(__xludf.DUMMYFUNCTION("""COMPUTED_VALUE"""),"125,")</f>
        <v>125,</v>
      </c>
    </row>
    <row r="227" spans="1:3" ht="15.75" customHeight="1">
      <c r="A227" s="16" t="str">
        <f ca="1">IFERROR(__xludf.DUMMYFUNCTION("""COMPUTED_VALUE"""),"MB Gigabyte AMD AM4 B550 EAGLE WIFI6 DDR4")</f>
        <v>MB Gigabyte AMD AM4 B550 EAGLE WIFI6 DDR4</v>
      </c>
      <c r="B227" s="16" t="str">
        <f ca="1">IFERROR(__xludf.DUMMYFUNCTION("""COMPUTED_VALUE"""),"4719331868406")</f>
        <v>4719331868406</v>
      </c>
      <c r="C227" s="16" t="str">
        <f ca="1">IFERROR(__xludf.DUMMYFUNCTION("""COMPUTED_VALUE"""),"135,")</f>
        <v>135,</v>
      </c>
    </row>
    <row r="228" spans="1:3" ht="15.75" customHeight="1">
      <c r="A228" s="16" t="str">
        <f ca="1">IFERROR(__xludf.DUMMYFUNCTION("""COMPUTED_VALUE"""),"MB Gigabyte AMD AM5 B650M S2H DDR5")</f>
        <v>MB Gigabyte AMD AM5 B650M S2H DDR5</v>
      </c>
      <c r="B228" s="16" t="str">
        <f ca="1">IFERROR(__xludf.DUMMYFUNCTION("""COMPUTED_VALUE"""),"4719331856298")</f>
        <v>4719331856298</v>
      </c>
      <c r="C228" s="16" t="str">
        <f ca="1">IFERROR(__xludf.DUMMYFUNCTION("""COMPUTED_VALUE"""),"115,")</f>
        <v>115,</v>
      </c>
    </row>
    <row r="229" spans="1:3" ht="15.75" customHeight="1">
      <c r="A229" s="16" t="str">
        <f ca="1">IFERROR(__xludf.DUMMYFUNCTION("""COMPUTED_VALUE"""),"MB Gigabyte AMD AM5 B650M AORUS ELITE AX ICE DDR5")</f>
        <v>MB Gigabyte AMD AM5 B650M AORUS ELITE AX ICE DDR5</v>
      </c>
      <c r="B229" s="16" t="str">
        <f ca="1">IFERROR(__xludf.DUMMYFUNCTION("""COMPUTED_VALUE"""),"4719331859336")</f>
        <v>4719331859336</v>
      </c>
      <c r="C229" s="16" t="str">
        <f ca="1">IFERROR(__xludf.DUMMYFUNCTION("""COMPUTED_VALUE"""),"205,")</f>
        <v>205,</v>
      </c>
    </row>
    <row r="230" spans="1:3" ht="15.75" customHeight="1">
      <c r="A230" s="16" t="str">
        <f ca="1">IFERROR(__xludf.DUMMYFUNCTION("""COMPUTED_VALUE"""),"MB Gigabyte AMD AM5 B840M EAGLE WF6E DDR5  (1 штук)")</f>
        <v>MB Gigabyte AMD AM5 B840M EAGLE WF6E DDR5  (1 штук)</v>
      </c>
      <c r="B230" s="16" t="str">
        <f ca="1">IFERROR(__xludf.DUMMYFUNCTION("""COMPUTED_VALUE"""),"4719331868970")</f>
        <v>4719331868970</v>
      </c>
      <c r="C230" s="16" t="str">
        <f ca="1">IFERROR(__xludf.DUMMYFUNCTION("""COMPUTED_VALUE"""),"145,")</f>
        <v>145,</v>
      </c>
    </row>
    <row r="231" spans="1:3" ht="15.75" customHeight="1">
      <c r="A231" s="16" t="str">
        <f ca="1">IFERROR(__xludf.DUMMYFUNCTION("""COMPUTED_VALUE"""),"MB Gigabyte AMD AM5 B840M AORUS ELITE WF6E DDR5")</f>
        <v>MB Gigabyte AMD AM5 B840M AORUS ELITE WF6E DDR5</v>
      </c>
      <c r="B231" s="16" t="str">
        <f ca="1">IFERROR(__xludf.DUMMYFUNCTION("""COMPUTED_VALUE"""),"4719331867331")</f>
        <v>4719331867331</v>
      </c>
      <c r="C231" s="16" t="str">
        <f ca="1">IFERROR(__xludf.DUMMYFUNCTION("""COMPUTED_VALUE"""),"185,")</f>
        <v>185,</v>
      </c>
    </row>
    <row r="232" spans="1:3" ht="15.75" customHeight="1">
      <c r="A232" s="16" t="str">
        <f ca="1">IFERROR(__xludf.DUMMYFUNCTION("""COMPUTED_VALUE"""),"MB Gigabyte AMD AM5 B850M FORCE DDR5")</f>
        <v>MB Gigabyte AMD AM5 B850M FORCE DDR5</v>
      </c>
      <c r="B232" s="16" t="str">
        <f ca="1">IFERROR(__xludf.DUMMYFUNCTION("""COMPUTED_VALUE"""),"4719331874322")</f>
        <v>4719331874322</v>
      </c>
      <c r="C232" s="16" t="str">
        <f ca="1">IFERROR(__xludf.DUMMYFUNCTION("""COMPUTED_VALUE"""),"165,")</f>
        <v>165,</v>
      </c>
    </row>
    <row r="233" spans="1:3" ht="15.75" customHeight="1">
      <c r="A233" s="16" t="str">
        <f ca="1">IFERROR(__xludf.DUMMYFUNCTION("""COMPUTED_VALUE"""),"MB Gigabyte AMD AM5 B850M FORCE WF6E DDR5")</f>
        <v>MB Gigabyte AMD AM5 B850M FORCE WF6E DDR5</v>
      </c>
      <c r="B233" s="16" t="str">
        <f ca="1">IFERROR(__xludf.DUMMYFUNCTION("""COMPUTED_VALUE"""),"4719331874308")</f>
        <v>4719331874308</v>
      </c>
      <c r="C233" s="16" t="str">
        <f ca="1">IFERROR(__xludf.DUMMYFUNCTION("""COMPUTED_VALUE"""),"180,")</f>
        <v>180,</v>
      </c>
    </row>
    <row r="234" spans="1:3" ht="15.75" customHeight="1">
      <c r="A234" s="16" t="str">
        <f ca="1">IFERROR(__xludf.DUMMYFUNCTION("""COMPUTED_VALUE"""),"MB Gigabyte AMD AM5 B850M EAGLE WF6E ICE DDR5")</f>
        <v>MB Gigabyte AMD AM5 B850M EAGLE WF6E ICE DDR5</v>
      </c>
      <c r="B234" s="16" t="str">
        <f ca="1">IFERROR(__xludf.DUMMYFUNCTION("""COMPUTED_VALUE"""),"4719331871789")</f>
        <v>4719331871789</v>
      </c>
      <c r="C234" s="16" t="str">
        <f ca="1">IFERROR(__xludf.DUMMYFUNCTION("""COMPUTED_VALUE"""),"210,")</f>
        <v>210,</v>
      </c>
    </row>
    <row r="235" spans="1:3" ht="15.75" customHeight="1">
      <c r="A235" s="16" t="str">
        <f ca="1">IFERROR(__xludf.DUMMYFUNCTION("""COMPUTED_VALUE"""),"MB Gigabyte AMD AM5 B850 EAGLE ICE DDR5")</f>
        <v>MB Gigabyte AMD AM5 B850 EAGLE ICE DDR5</v>
      </c>
      <c r="B235" s="16" t="str">
        <f ca="1">IFERROR(__xludf.DUMMYFUNCTION("""COMPUTED_VALUE"""),"4719331871680")</f>
        <v>4719331871680</v>
      </c>
      <c r="C235" s="16" t="str">
        <f ca="1">IFERROR(__xludf.DUMMYFUNCTION("""COMPUTED_VALUE"""),"210,")</f>
        <v>210,</v>
      </c>
    </row>
    <row r="236" spans="1:3" ht="15.75" customHeight="1">
      <c r="A236" s="16" t="str">
        <f ca="1">IFERROR(__xludf.DUMMYFUNCTION("""COMPUTED_VALUE"""),"MB Gigabyte AMD AM5 B850i AORUS PRO DDR5")</f>
        <v>MB Gigabyte AMD AM5 B850i AORUS PRO DDR5</v>
      </c>
      <c r="B236" s="16" t="str">
        <f ca="1">IFERROR(__xludf.DUMMYFUNCTION("""COMPUTED_VALUE"""),"4719331867263")</f>
        <v>4719331867263</v>
      </c>
      <c r="C236" s="16" t="str">
        <f ca="1">IFERROR(__xludf.DUMMYFUNCTION("""COMPUTED_VALUE"""),"290,")</f>
        <v>290,</v>
      </c>
    </row>
    <row r="237" spans="1:3" ht="15.75" customHeight="1">
      <c r="A237" s="16" t="str">
        <f ca="1">IFERROR(__xludf.DUMMYFUNCTION("""COMPUTED_VALUE"""),"MB Gigabyte AMD AM5 X870 GAMING WF6 DDR5")</f>
        <v>MB Gigabyte AMD AM5 X870 GAMING WF6 DDR5</v>
      </c>
      <c r="B237" s="16" t="str">
        <f ca="1">IFERROR(__xludf.DUMMYFUNCTION("""COMPUTED_VALUE"""),"4719331865399")</f>
        <v>4719331865399</v>
      </c>
      <c r="C237" s="16" t="str">
        <f ca="1">IFERROR(__xludf.DUMMYFUNCTION("""COMPUTED_VALUE"""),"230,")</f>
        <v>230,</v>
      </c>
    </row>
    <row r="238" spans="1:3" ht="15.75" customHeight="1">
      <c r="A238" s="16" t="str">
        <f ca="1">IFERROR(__xludf.DUMMYFUNCTION("""COMPUTED_VALUE"""),"MB Gigabyte AMD AM5 X870 EAGLE WIFI7 DDR5")</f>
        <v>MB Gigabyte AMD AM5 X870 EAGLE WIFI7 DDR5</v>
      </c>
      <c r="B238" s="16" t="str">
        <f ca="1">IFERROR(__xludf.DUMMYFUNCTION("""COMPUTED_VALUE"""),"GA-X870-EAGLE-WF7")</f>
        <v>GA-X870-EAGLE-WF7</v>
      </c>
      <c r="C238" s="16" t="str">
        <f ca="1">IFERROR(__xludf.DUMMYFUNCTION("""COMPUTED_VALUE"""),"260,")</f>
        <v>260,</v>
      </c>
    </row>
    <row r="239" spans="1:3" ht="15.75" customHeight="1">
      <c r="A239" s="16" t="str">
        <f ca="1">IFERROR(__xludf.DUMMYFUNCTION("""COMPUTED_VALUE"""),"MB Gigabyte AMD AM5 X870E EAGLE X WIFI7 DDR5")</f>
        <v>MB Gigabyte AMD AM5 X870E EAGLE X WIFI7 DDR5</v>
      </c>
      <c r="B239" s="16" t="str">
        <f ca="1">IFERROR(__xludf.DUMMYFUNCTION("""COMPUTED_VALUE"""),"GA-X870E-EAGLE-X-WF7")</f>
        <v>GA-X870E-EAGLE-X-WF7</v>
      </c>
      <c r="C239" s="16" t="str">
        <f ca="1">IFERROR(__xludf.DUMMYFUNCTION("""COMPUTED_VALUE"""),"360,")</f>
        <v>360,</v>
      </c>
    </row>
    <row r="240" spans="1:3" ht="15.75" customHeight="1">
      <c r="A240" s="16" t="str">
        <f ca="1">IFERROR(__xludf.DUMMYFUNCTION("""COMPUTED_VALUE"""),"MB Gigabyte AMD AM5 X870E AORUS ELITE X DDR5")</f>
        <v>MB Gigabyte AMD AM5 X870E AORUS ELITE X DDR5</v>
      </c>
      <c r="B240" s="16" t="str">
        <f ca="1">IFERROR(__xludf.DUMMYFUNCTION("""COMPUTED_VALUE"""),"GA-X870E-A-ELITE-X")</f>
        <v>GA-X870E-A-ELITE-X</v>
      </c>
      <c r="C240" s="16" t="str">
        <f ca="1">IFERROR(__xludf.DUMMYFUNCTION("""COMPUTED_VALUE"""),"400,")</f>
        <v>400,</v>
      </c>
    </row>
    <row r="241" spans="1:3" ht="15.75" customHeight="1">
      <c r="A241" s="16" t="str">
        <f ca="1">IFERROR(__xludf.DUMMYFUNCTION("""COMPUTED_VALUE"""),"MB Gigabyte AMD AM5 X870E AERO X WOOD DDR5")</f>
        <v>MB Gigabyte AMD AM5 X870E AERO X WOOD DDR5</v>
      </c>
      <c r="B241" s="16" t="str">
        <f ca="1">IFERROR(__xludf.DUMMYFUNCTION("""COMPUTED_VALUE"""),"GA-X870E-AERO-X-WOOD")</f>
        <v>GA-X870E-AERO-X-WOOD</v>
      </c>
      <c r="C241" s="16" t="str">
        <f ca="1">IFERROR(__xludf.DUMMYFUNCTION("""COMPUTED_VALUE"""),"450,")</f>
        <v>450,</v>
      </c>
    </row>
    <row r="242" spans="1:3" ht="15.75" customHeight="1">
      <c r="A242" s="16" t="str">
        <f ca="1">IFERROR(__xludf.DUMMYFUNCTION("""COMPUTED_VALUE"""),"MB Gigabyte AMD AM5 X870E AORUS MASTER X ICE DDR5")</f>
        <v>MB Gigabyte AMD AM5 X870E AORUS MASTER X ICE DDR5</v>
      </c>
      <c r="B242" s="16" t="str">
        <f ca="1">IFERROR(__xludf.DUMMYFUNCTION("""COMPUTED_VALUE"""),"GA-X870E-A-MASTER-X-ICE")</f>
        <v>GA-X870E-A-MASTER-X-ICE</v>
      </c>
      <c r="C242" s="16" t="str">
        <f ca="1">IFERROR(__xludf.DUMMYFUNCTION("""COMPUTED_VALUE"""),"570,")</f>
        <v>570,</v>
      </c>
    </row>
    <row r="243" spans="1:3" ht="15.75" customHeight="1">
      <c r="A243" s="16" t="str">
        <f ca="1">IFERROR(__xludf.DUMMYFUNCTION("""COMPUTED_VALUE"""),"MB ASUS PRIME H610M-F D4 DDR4 (90MB1H70-M0EAY0)")</f>
        <v>MB ASUS PRIME H610M-F D4 DDR4 (90MB1H70-M0EAY0)</v>
      </c>
      <c r="B243" s="16" t="str">
        <f ca="1">IFERROR(__xludf.DUMMYFUNCTION("""COMPUTED_VALUE"""),"90MB1H70-M0EAY0")</f>
        <v>90MB1H70-M0EAY0</v>
      </c>
      <c r="C243" s="16" t="str">
        <f ca="1">IFERROR(__xludf.DUMMYFUNCTION("""COMPUTED_VALUE"""),"57,")</f>
        <v>57,</v>
      </c>
    </row>
    <row r="244" spans="1:3" ht="15.75" customHeight="1">
      <c r="A244" s="16" t="str">
        <f ca="1">IFERROR(__xludf.DUMMYFUNCTION("""COMPUTED_VALUE"""),"MB ASUS PRIME B760M-K DDR5 (90MB1FI0-M1EAY0)")</f>
        <v>MB ASUS PRIME B760M-K DDR5 (90MB1FI0-M1EAY0)</v>
      </c>
      <c r="B244" s="16" t="str">
        <f ca="1">IFERROR(__xludf.DUMMYFUNCTION("""COMPUTED_VALUE"""),"90MB1FI0-M1EAY0")</f>
        <v>90MB1FI0-M1EAY0</v>
      </c>
      <c r="C244" s="16" t="str">
        <f ca="1">IFERROR(__xludf.DUMMYFUNCTION("""COMPUTED_VALUE"""),"90,")</f>
        <v>90,</v>
      </c>
    </row>
    <row r="245" spans="1:3" ht="15.75" customHeight="1">
      <c r="A245" s="16" t="str">
        <f ca="1">IFERROR(__xludf.DUMMYFUNCTION("""COMPUTED_VALUE"""),"MB ASUS PRIME B760M-A-CSM DDR5 (support 3 monitors) (90MB1EK0-M1EAYC)")</f>
        <v>MB ASUS PRIME B760M-A-CSM DDR5 (support 3 monitors) (90MB1EK0-M1EAYC)</v>
      </c>
      <c r="B245" s="16" t="str">
        <f ca="1">IFERROR(__xludf.DUMMYFUNCTION("""COMPUTED_VALUE"""),"90MB1EK0-M1EAYC")</f>
        <v>90MB1EK0-M1EAYC</v>
      </c>
      <c r="C245" s="16" t="str">
        <f ca="1">IFERROR(__xludf.DUMMYFUNCTION("""COMPUTED_VALUE"""),"103,")</f>
        <v>103,</v>
      </c>
    </row>
    <row r="246" spans="1:3" ht="15.75" customHeight="1">
      <c r="A246" s="16" t="str">
        <f ca="1">IFERROR(__xludf.DUMMYFUNCTION("""COMPUTED_VALUE"""),"MB ASUS PRIME Z790-P DDR5 (90MB1CK0-M1EAY0)")</f>
        <v>MB ASUS PRIME Z790-P DDR5 (90MB1CK0-M1EAY0)</v>
      </c>
      <c r="B246" s="16" t="str">
        <f ca="1">IFERROR(__xludf.DUMMYFUNCTION("""COMPUTED_VALUE"""),"90MB1CK0-M1EAY0")</f>
        <v>90MB1CK0-M1EAY0</v>
      </c>
      <c r="C246" s="16" t="str">
        <f ca="1">IFERROR(__xludf.DUMMYFUNCTION("""COMPUTED_VALUE"""),"190,")</f>
        <v>190,</v>
      </c>
    </row>
    <row r="247" spans="1:3" ht="15.75" customHeight="1">
      <c r="A247" s="16" t="str">
        <f ca="1">IFERROR(__xludf.DUMMYFUNCTION("""COMPUTED_VALUE"""),"MB ASUS ROG STRIX B760-G GAMING WiFi DDR5 (90MB1EQ0-M1EAY0) (1 штук)")</f>
        <v>MB ASUS ROG STRIX B760-G GAMING WiFi DDR5 (90MB1EQ0-M1EAY0) (1 штук)</v>
      </c>
      <c r="B247" s="16" t="str">
        <f ca="1">IFERROR(__xludf.DUMMYFUNCTION("""COMPUTED_VALUE"""),"90MB1EQ0-M1EAY0")</f>
        <v>90MB1EQ0-M1EAY0</v>
      </c>
      <c r="C247" s="16" t="str">
        <f ca="1">IFERROR(__xludf.DUMMYFUNCTION("""COMPUTED_VALUE"""),"240,")</f>
        <v>240,</v>
      </c>
    </row>
    <row r="248" spans="1:3" ht="15.75" customHeight="1">
      <c r="A248" s="16" t="str">
        <f ca="1">IFERROR(__xludf.DUMMYFUNCTION("""COMPUTED_VALUE"""),"MB ASUS PROART B760-CREATOR WIFI DDR5 (90MB1FY0-M1EAY0)")</f>
        <v>MB ASUS PROART B760-CREATOR WIFI DDR5 (90MB1FY0-M1EAY0)</v>
      </c>
      <c r="B248" s="16" t="str">
        <f ca="1">IFERROR(__xludf.DUMMYFUNCTION("""COMPUTED_VALUE"""),"90MB1FY0-M1EAY0")</f>
        <v>90MB1FY0-M1EAY0</v>
      </c>
      <c r="C248" s="16" t="str">
        <f ca="1">IFERROR(__xludf.DUMMYFUNCTION("""COMPUTED_VALUE"""),"225,")</f>
        <v>225,</v>
      </c>
    </row>
    <row r="249" spans="1:3" ht="15.75" customHeight="1">
      <c r="A249" s="16" t="str">
        <f ca="1">IFERROR(__xludf.DUMMYFUNCTION("""COMPUTED_VALUE"""),"MB ASUS ROG STRIX B760-A GAMING WIFI DDR5 (90MB1EP0-M1EAY0)")</f>
        <v>MB ASUS ROG STRIX B760-A GAMING WIFI DDR5 (90MB1EP0-M1EAY0)</v>
      </c>
      <c r="B249" s="16" t="str">
        <f ca="1">IFERROR(__xludf.DUMMYFUNCTION("""COMPUTED_VALUE"""),"90MB1EP0-M1EAY0")</f>
        <v>90MB1EP0-M1EAY0</v>
      </c>
      <c r="C249" s="16" t="str">
        <f ca="1">IFERROR(__xludf.DUMMYFUNCTION("""COMPUTED_VALUE"""),"210,")</f>
        <v>210,</v>
      </c>
    </row>
    <row r="250" spans="1:3" ht="15.75" customHeight="1">
      <c r="A250" s="16" t="str">
        <f ca="1">IFERROR(__xludf.DUMMYFUNCTION("""COMPUTED_VALUE"""),"MB ASUS ROG STRIX B760-F GAMING WIFI7 DDR5 (90MB1CT0-M1EAY0) (1 штук)")</f>
        <v>MB ASUS ROG STRIX B760-F GAMING WIFI7 DDR5 (90MB1CT0-M1EAY0) (1 штук)</v>
      </c>
      <c r="B250" s="16" t="str">
        <f ca="1">IFERROR(__xludf.DUMMYFUNCTION("""COMPUTED_VALUE"""),"90MB1CT0-M1EAY0")</f>
        <v>90MB1CT0-M1EAY0</v>
      </c>
      <c r="C250" s="16" t="str">
        <f ca="1">IFERROR(__xludf.DUMMYFUNCTION("""COMPUTED_VALUE"""),"220,")</f>
        <v>220,</v>
      </c>
    </row>
    <row r="251" spans="1:3" ht="15.75" customHeight="1">
      <c r="A251" s="16" t="str">
        <f ca="1">IFERROR(__xludf.DUMMYFUNCTION("""COMPUTED_VALUE"""),"MB ASUS TUF GAMING Z790-PLUS WIFI DDR5 (90MB1D80-M1EAY0)")</f>
        <v>MB ASUS TUF GAMING Z790-PLUS WIFI DDR5 (90MB1D80-M1EAY0)</v>
      </c>
      <c r="B251" s="16" t="str">
        <f ca="1">IFERROR(__xludf.DUMMYFUNCTION("""COMPUTED_VALUE"""),"90MB1D80-M1EAY0")</f>
        <v>90MB1D80-M1EAY0</v>
      </c>
      <c r="C251" s="16" t="str">
        <f ca="1">IFERROR(__xludf.DUMMYFUNCTION("""COMPUTED_VALUE"""),"280,")</f>
        <v>280,</v>
      </c>
    </row>
    <row r="252" spans="1:3" ht="15.75" customHeight="1">
      <c r="A252" s="16" t="str">
        <f ca="1">IFERROR(__xludf.DUMMYFUNCTION("""COMPUTED_VALUE"""),"MB ASUS ROG STRIX B860-G GAMING WIFI DDR5 (90MB1JF0-M0EAY0)")</f>
        <v>MB ASUS ROG STRIX B860-G GAMING WIFI DDR5 (90MB1JF0-M0EAY0)</v>
      </c>
      <c r="B252" s="16" t="str">
        <f ca="1">IFERROR(__xludf.DUMMYFUNCTION("""COMPUTED_VALUE"""),"90MB1JF0-M0EAY0")</f>
        <v>90MB1JF0-M0EAY0</v>
      </c>
      <c r="C252" s="16" t="str">
        <f ca="1">IFERROR(__xludf.DUMMYFUNCTION("""COMPUTED_VALUE"""),"270,")</f>
        <v>270,</v>
      </c>
    </row>
    <row r="253" spans="1:3" ht="15.75" customHeight="1">
      <c r="A253" s="16" t="str">
        <f ca="1">IFERROR(__xludf.DUMMYFUNCTION("""COMPUTED_VALUE"""),"MB ASUS ROG STRIX B860-A GAMING WIFI DDR5 (90MB1JI0-M0EAY0)")</f>
        <v>MB ASUS ROG STRIX B860-A GAMING WIFI DDR5 (90MB1JI0-M0EAY0)</v>
      </c>
      <c r="B253" s="16" t="str">
        <f ca="1">IFERROR(__xludf.DUMMYFUNCTION("""COMPUTED_VALUE"""),"90MB1JI0-M0EAY0")</f>
        <v>90MB1JI0-M0EAY0</v>
      </c>
      <c r="C253" s="16" t="str">
        <f ca="1">IFERROR(__xludf.DUMMYFUNCTION("""COMPUTED_VALUE"""),"280,")</f>
        <v>280,</v>
      </c>
    </row>
    <row r="254" spans="1:3" ht="15.75" customHeight="1">
      <c r="A254" s="16" t="str">
        <f ca="1">IFERROR(__xludf.DUMMYFUNCTION("""COMPUTED_VALUE"""),"MB ASUS ROG STRIX B860-F GAMING WIFI DDR5 (90MB1JG0-M0EAY0)")</f>
        <v>MB ASUS ROG STRIX B860-F GAMING WIFI DDR5 (90MB1JG0-M0EAY0)</v>
      </c>
      <c r="B254" s="16" t="str">
        <f ca="1">IFERROR(__xludf.DUMMYFUNCTION("""COMPUTED_VALUE"""),"90MB1JG0-M0EAY0")</f>
        <v>90MB1JG0-M0EAY0</v>
      </c>
      <c r="C254" s="16" t="str">
        <f ca="1">IFERROR(__xludf.DUMMYFUNCTION("""COMPUTED_VALUE"""),"300,")</f>
        <v>300,</v>
      </c>
    </row>
    <row r="255" spans="1:3" ht="15.75" customHeight="1">
      <c r="A255" s="16" t="str">
        <f ca="1">IFERROR(__xludf.DUMMYFUNCTION("""COMPUTED_VALUE"""),"MB ASUS TUF GAMING Z890-PLUS WIFI DDR5 (90MB1IQ0-M0EAY0)")</f>
        <v>MB ASUS TUF GAMING Z890-PLUS WIFI DDR5 (90MB1IQ0-M0EAY0)</v>
      </c>
      <c r="B255" s="16" t="str">
        <f ca="1">IFERROR(__xludf.DUMMYFUNCTION("""COMPUTED_VALUE"""),"90MB1IQ0-M0EAY0")</f>
        <v>90MB1IQ0-M0EAY0</v>
      </c>
      <c r="C255" s="16" t="str">
        <f ca="1">IFERROR(__xludf.DUMMYFUNCTION("""COMPUTED_VALUE"""),"340,")</f>
        <v>340,</v>
      </c>
    </row>
    <row r="256" spans="1:3" ht="15.75" customHeight="1">
      <c r="A256" s="16" t="str">
        <f ca="1">IFERROR(__xludf.DUMMYFUNCTION("""COMPUTED_VALUE"""),"MB ASUS TUF GAMING Z890-PRO WIFI DDR5 (90MB1IR0-M0EAY0)")</f>
        <v>MB ASUS TUF GAMING Z890-PRO WIFI DDR5 (90MB1IR0-M0EAY0)</v>
      </c>
      <c r="B256" s="16" t="str">
        <f ca="1">IFERROR(__xludf.DUMMYFUNCTION("""COMPUTED_VALUE"""),"90MB1IR0-M0EAY0")</f>
        <v>90MB1IR0-M0EAY0</v>
      </c>
      <c r="C256" s="16" t="str">
        <f ca="1">IFERROR(__xludf.DUMMYFUNCTION("""COMPUTED_VALUE"""),"350,")</f>
        <v>350,</v>
      </c>
    </row>
    <row r="257" spans="1:3" ht="15.75" customHeight="1">
      <c r="A257" s="16" t="str">
        <f ca="1">IFERROR(__xludf.DUMMYFUNCTION("""COMPUTED_VALUE"""),"MB ASUS ROG STRIX Z890-H GAMING WIFI DDR5 (90MB1K20-M0EAY0)")</f>
        <v>MB ASUS ROG STRIX Z890-H GAMING WIFI DDR5 (90MB1K20-M0EAY0)</v>
      </c>
      <c r="B257" s="16" t="str">
        <f ca="1">IFERROR(__xludf.DUMMYFUNCTION("""COMPUTED_VALUE"""),"90MB1K20-M0EAY0")</f>
        <v>90MB1K20-M0EAY0</v>
      </c>
      <c r="C257" s="16" t="str">
        <f ca="1">IFERROR(__xludf.DUMMYFUNCTION("""COMPUTED_VALUE"""),"380,")</f>
        <v>380,</v>
      </c>
    </row>
    <row r="258" spans="1:3" ht="15.75" customHeight="1">
      <c r="A258" s="16" t="str">
        <f ca="1">IFERROR(__xludf.DUMMYFUNCTION("""COMPUTED_VALUE"""),"MB ASUS ROG STRIX Z890-A GAMING WIFI DDR5 (90MB1I90-M0EAY0)")</f>
        <v>MB ASUS ROG STRIX Z890-A GAMING WIFI DDR5 (90MB1I90-M0EAY0)</v>
      </c>
      <c r="B258" s="16" t="str">
        <f ca="1">IFERROR(__xludf.DUMMYFUNCTION("""COMPUTED_VALUE"""),"90MB1I90-M0EAY0")</f>
        <v>90MB1I90-M0EAY0</v>
      </c>
      <c r="C258" s="16" t="str">
        <f ca="1">IFERROR(__xludf.DUMMYFUNCTION("""COMPUTED_VALUE"""),"420,")</f>
        <v>420,</v>
      </c>
    </row>
    <row r="259" spans="1:3" ht="15.75" customHeight="1">
      <c r="A259" s="16" t="str">
        <f ca="1">IFERROR(__xludf.DUMMYFUNCTION("""COMPUTED_VALUE"""),"MB ASUS ROG STRIX Z890-F GAMING WIFI DDR5 (90MB1I40-M0EAY0)")</f>
        <v>MB ASUS ROG STRIX Z890-F GAMING WIFI DDR5 (90MB1I40-M0EAY0)</v>
      </c>
      <c r="B259" s="16" t="str">
        <f ca="1">IFERROR(__xludf.DUMMYFUNCTION("""COMPUTED_VALUE"""),"90MB1I40-M0EAY0")</f>
        <v>90MB1I40-M0EAY0</v>
      </c>
      <c r="C259" s="16" t="str">
        <f ca="1">IFERROR(__xludf.DUMMYFUNCTION("""COMPUTED_VALUE"""),"460,")</f>
        <v>460,</v>
      </c>
    </row>
    <row r="260" spans="1:3" ht="15.75" customHeight="1">
      <c r="A260" s="16" t="str">
        <f ca="1">IFERROR(__xludf.DUMMYFUNCTION("""COMPUTED_VALUE"""),"MB ASUS ROG STRIX Z890-E GAMING WIFI DDR5 (90MB1IM0-M0EAY0)")</f>
        <v>MB ASUS ROG STRIX Z890-E GAMING WIFI DDR5 (90MB1IM0-M0EAY0)</v>
      </c>
      <c r="B260" s="16" t="str">
        <f ca="1">IFERROR(__xludf.DUMMYFUNCTION("""COMPUTED_VALUE"""),"90MB1IM0-M0EAY0")</f>
        <v>90MB1IM0-M0EAY0</v>
      </c>
      <c r="C260" s="16" t="str">
        <f ca="1">IFERROR(__xludf.DUMMYFUNCTION("""COMPUTED_VALUE"""),"530,")</f>
        <v>530,</v>
      </c>
    </row>
    <row r="261" spans="1:3" ht="15.75" customHeight="1">
      <c r="A261" s="16" t="str">
        <f ca="1">IFERROR(__xludf.DUMMYFUNCTION("""COMPUTED_VALUE"""),"MB ASUS PROART Z890-CREATOR WIFI DDR5 (90MB1JD0-M0EAY0)")</f>
        <v>MB ASUS PROART Z890-CREATOR WIFI DDR5 (90MB1JD0-M0EAY0)</v>
      </c>
      <c r="B261" s="16" t="str">
        <f ca="1">IFERROR(__xludf.DUMMYFUNCTION("""COMPUTED_VALUE"""),"90MB1JD0-M0EAY0")</f>
        <v>90MB1JD0-M0EAY0</v>
      </c>
      <c r="C261" s="16" t="str">
        <f ca="1">IFERROR(__xludf.DUMMYFUNCTION("""COMPUTED_VALUE"""),"550,")</f>
        <v>550,</v>
      </c>
    </row>
    <row r="262" spans="1:3" ht="15.75" customHeight="1">
      <c r="A262" s="16" t="str">
        <f ca="1">IFERROR(__xludf.DUMMYFUNCTION("""COMPUTED_VALUE"""),"MB ASUS ROG MAXMUS Z890 HERO DDR5 (90MB1ID0-M0EAY0)")</f>
        <v>MB ASUS ROG MAXMUS Z890 HERO DDR5 (90MB1ID0-M0EAY0)</v>
      </c>
      <c r="B262" s="16" t="str">
        <f ca="1">IFERROR(__xludf.DUMMYFUNCTION("""COMPUTED_VALUE"""),"90MB1ID0-M0EAY0")</f>
        <v>90MB1ID0-M0EAY0</v>
      </c>
      <c r="C262" s="16" t="str">
        <f ca="1">IFERROR(__xludf.DUMMYFUNCTION("""COMPUTED_VALUE"""),"710,")</f>
        <v>710,</v>
      </c>
    </row>
    <row r="263" spans="1:3" ht="15.75" customHeight="1">
      <c r="A263" s="16" t="str">
        <f ca="1">IFERROR(__xludf.DUMMYFUNCTION("""COMPUTED_VALUE"""),"MB ASUS ROG MAXIMUS Z890 APEX DDR5 (90MB1IP0-M0EAY0)")</f>
        <v>MB ASUS ROG MAXIMUS Z890 APEX DDR5 (90MB1IP0-M0EAY0)</v>
      </c>
      <c r="B263" s="16" t="str">
        <f ca="1">IFERROR(__xludf.DUMMYFUNCTION("""COMPUTED_VALUE"""),"90MB1IP0-M0EAY0")</f>
        <v>90MB1IP0-M0EAY0</v>
      </c>
      <c r="C263" s="16" t="str">
        <f ca="1">IFERROR(__xludf.DUMMYFUNCTION("""COMPUTED_VALUE"""),"730,")</f>
        <v>730,</v>
      </c>
    </row>
    <row r="264" spans="1:3" ht="15.75" customHeight="1">
      <c r="A264" s="16" t="str">
        <f ca="1">IFERROR(__xludf.DUMMYFUNCTION("""COMPUTED_VALUE"""),"MB ASUS ROG MAXIMUS Z890 EXTREME DDR5 (90MB1IA0-M0EAY0)")</f>
        <v>MB ASUS ROG MAXIMUS Z890 EXTREME DDR5 (90MB1IA0-M0EAY0)</v>
      </c>
      <c r="B264" s="16" t="str">
        <f ca="1">IFERROR(__xludf.DUMMYFUNCTION("""COMPUTED_VALUE"""),"90MB1IA0-M0EAY0")</f>
        <v>90MB1IA0-M0EAY0</v>
      </c>
      <c r="C264" s="16" t="str">
        <f ca="1">IFERROR(__xludf.DUMMYFUNCTION("""COMPUTED_VALUE"""),"1300,")</f>
        <v>1300,</v>
      </c>
    </row>
    <row r="265" spans="1:3" ht="15.75" customHeight="1">
      <c r="A265" s="16" t="str">
        <f ca="1">IFERROR(__xludf.DUMMYFUNCTION("""COMPUTED_VALUE"""),"MB ASUS AMD AM5 PRIME B650M-K DDR5 (90MB1F60-M0EAY0)")</f>
        <v>MB ASUS AMD AM5 PRIME B650M-K DDR5 (90MB1F60-M0EAY0)</v>
      </c>
      <c r="B265" s="16" t="str">
        <f ca="1">IFERROR(__xludf.DUMMYFUNCTION("""COMPUTED_VALUE"""),"90MB1F60-M0EAY0")</f>
        <v>90MB1F60-M0EAY0</v>
      </c>
      <c r="C265" s="16" t="str">
        <f ca="1">IFERROR(__xludf.DUMMYFUNCTION("""COMPUTED_VALUE"""),"110,")</f>
        <v>110,</v>
      </c>
    </row>
    <row r="266" spans="1:3" ht="15.75" customHeight="1">
      <c r="A266" s="16" t="str">
        <f ca="1">IFERROR(__xludf.DUMMYFUNCTION("""COMPUTED_VALUE"""),"MB ASUS AMD AM5 PRIME B650-PLUS WIFI DDR5 (90MB1KP0-M0EAY0)")</f>
        <v>MB ASUS AMD AM5 PRIME B650-PLUS WIFI DDR5 (90MB1KP0-M0EAY0)</v>
      </c>
      <c r="B266" s="16" t="str">
        <f ca="1">IFERROR(__xludf.DUMMYFUNCTION("""COMPUTED_VALUE"""),"90MB1KP0-M0EAY0")</f>
        <v>90MB1KP0-M0EAY0</v>
      </c>
      <c r="C266" s="16" t="str">
        <f ca="1">IFERROR(__xludf.DUMMYFUNCTION("""COMPUTED_VALUE"""),"200,")</f>
        <v>200,</v>
      </c>
    </row>
    <row r="267" spans="1:3" ht="15.75" customHeight="1">
      <c r="A267" s="16" t="str">
        <f ca="1">IFERROR(__xludf.DUMMYFUNCTION("""COMPUTED_VALUE"""),"MB ASUS AMD AM5 TUF GAMING B650-E WIFI DDR5 (90MB1GT0-M0EAY0)")</f>
        <v>MB ASUS AMD AM5 TUF GAMING B650-E WIFI DDR5 (90MB1GT0-M0EAY0)</v>
      </c>
      <c r="B267" s="16" t="str">
        <f ca="1">IFERROR(__xludf.DUMMYFUNCTION("""COMPUTED_VALUE"""),"90MB1GT0-M0EAY0")</f>
        <v>90MB1GT0-M0EAY0</v>
      </c>
      <c r="C267" s="16" t="str">
        <f ca="1">IFERROR(__xludf.DUMMYFUNCTION("""COMPUTED_VALUE"""),"210,")</f>
        <v>210,</v>
      </c>
    </row>
    <row r="268" spans="1:3" ht="15.75" customHeight="1">
      <c r="A268" s="16" t="str">
        <f ca="1">IFERROR(__xludf.DUMMYFUNCTION("""COMPUTED_VALUE"""),"MB ASUS AMD AM5 TUF GAMING B650E-PLUS WIFI DDR5 (90MB1M20-M0EAY0) (1 штук)")</f>
        <v>MB ASUS AMD AM5 TUF GAMING B650E-PLUS WIFI DDR5 (90MB1M20-M0EAY0) (1 штук)</v>
      </c>
      <c r="B268" s="16" t="str">
        <f ca="1">IFERROR(__xludf.DUMMYFUNCTION("""COMPUTED_VALUE"""),"90MB1M20-M0EAY0")</f>
        <v>90MB1M20-M0EAY0</v>
      </c>
      <c r="C268" s="16" t="str">
        <f ca="1">IFERROR(__xludf.DUMMYFUNCTION("""COMPUTED_VALUE"""),"210,")</f>
        <v>210,</v>
      </c>
    </row>
    <row r="269" spans="1:3" ht="15.75" customHeight="1">
      <c r="A269" s="16" t="str">
        <f ca="1">IFERROR(__xludf.DUMMYFUNCTION("""COMPUTED_VALUE"""),"MB ASUS AMD AM5 ROG STRIX B650-A GAMING WIFI DDR5 (90MB1BP0-M0EAY0)")</f>
        <v>MB ASUS AMD AM5 ROG STRIX B650-A GAMING WIFI DDR5 (90MB1BP0-M0EAY0)</v>
      </c>
      <c r="B269" s="16" t="str">
        <f ca="1">IFERROR(__xludf.DUMMYFUNCTION("""COMPUTED_VALUE"""),"90MB1BP0-M0EAY0")</f>
        <v>90MB1BP0-M0EAY0</v>
      </c>
      <c r="C269" s="16" t="str">
        <f ca="1">IFERROR(__xludf.DUMMYFUNCTION("""COMPUTED_VALUE"""),"260,")</f>
        <v>260,</v>
      </c>
    </row>
    <row r="270" spans="1:3" ht="15.75" customHeight="1">
      <c r="A270" s="16" t="str">
        <f ca="1">IFERROR(__xludf.DUMMYFUNCTION("""COMPUTED_VALUE"""),"MB ASUS AMD AM5 ROG STRIX B650E-F GAMING WIFI DDR5 (90MB1BQ0-M0EAY0)")</f>
        <v>MB ASUS AMD AM5 ROG STRIX B650E-F GAMING WIFI DDR5 (90MB1BQ0-M0EAY0)</v>
      </c>
      <c r="B270" s="16" t="str">
        <f ca="1">IFERROR(__xludf.DUMMYFUNCTION("""COMPUTED_VALUE"""),"90MB1BQ0-M0EAY0")</f>
        <v>90MB1BQ0-M0EAY0</v>
      </c>
      <c r="C270" s="16" t="str">
        <f ca="1">IFERROR(__xludf.DUMMYFUNCTION("""COMPUTED_VALUE"""),"280,")</f>
        <v>280,</v>
      </c>
    </row>
    <row r="271" spans="1:3" ht="15.75" customHeight="1">
      <c r="A271" s="16" t="str">
        <f ca="1">IFERROR(__xludf.DUMMYFUNCTION("""COMPUTED_VALUE"""),"MB ASUS AMD AM5 PROART B650-CREATOR DDR5 (90MB1C40-M0EAY0)")</f>
        <v>MB ASUS AMD AM5 PROART B650-CREATOR DDR5 (90MB1C40-M0EAY0)</v>
      </c>
      <c r="B271" s="16" t="str">
        <f ca="1">IFERROR(__xludf.DUMMYFUNCTION("""COMPUTED_VALUE"""),"90MB1C40-M0EAY0")</f>
        <v>90MB1C40-M0EAY0</v>
      </c>
      <c r="C271" s="16" t="str">
        <f ca="1">IFERROR(__xludf.DUMMYFUNCTION("""COMPUTED_VALUE"""),"305,")</f>
        <v>305,</v>
      </c>
    </row>
    <row r="272" spans="1:3" ht="15.75" customHeight="1">
      <c r="A272" s="16" t="str">
        <f ca="1">IFERROR(__xludf.DUMMYFUNCTION("""COMPUTED_VALUE"""),"MB ASUS AMD AM5 ROG STRIX B650E-I GAMING WIFI DDR5 (90MB1BI0-M0EAY0)")</f>
        <v>MB ASUS AMD AM5 ROG STRIX B650E-I GAMING WIFI DDR5 (90MB1BI0-M0EAY0)</v>
      </c>
      <c r="B272" s="16" t="str">
        <f ca="1">IFERROR(__xludf.DUMMYFUNCTION("""COMPUTED_VALUE"""),"90MB1BI0-M0EAY0")</f>
        <v>90MB1BI0-M0EAY0</v>
      </c>
      <c r="C272" s="16" t="str">
        <f ca="1">IFERROR(__xludf.DUMMYFUNCTION("""COMPUTED_VALUE"""),"320,")</f>
        <v>320,</v>
      </c>
    </row>
    <row r="273" spans="1:3" ht="15.75" customHeight="1">
      <c r="A273" s="16" t="str">
        <f ca="1">IFERROR(__xludf.DUMMYFUNCTION("""COMPUTED_VALUE"""),"MB ASUS AMD AM4 ROG STRIX B550-A GAMING DDR4 (90MB15J0-M0EAY0)")</f>
        <v>MB ASUS AMD AM4 ROG STRIX B550-A GAMING DDR4 (90MB15J0-M0EAY0)</v>
      </c>
      <c r="B273" s="16" t="str">
        <f ca="1">IFERROR(__xludf.DUMMYFUNCTION("""COMPUTED_VALUE"""),"90MB15J0-M0EAY0")</f>
        <v>90MB15J0-M0EAY0</v>
      </c>
      <c r="C273" s="16" t="str">
        <f ca="1">IFERROR(__xludf.DUMMYFUNCTION("""COMPUTED_VALUE"""),"170,")</f>
        <v>170,</v>
      </c>
    </row>
    <row r="274" spans="1:3" ht="15.75" customHeight="1">
      <c r="A274" s="16" t="str">
        <f ca="1">IFERROR(__xludf.DUMMYFUNCTION("""COMPUTED_VALUE"""),"MB ASUS AMD AM5 B850M MAX GAMING WIFI DDR5 (90MB1LL0-M0EAY0)")</f>
        <v>MB ASUS AMD AM5 B850M MAX GAMING WIFI DDR5 (90MB1LL0-M0EAY0)</v>
      </c>
      <c r="B274" s="16" t="str">
        <f ca="1">IFERROR(__xludf.DUMMYFUNCTION("""COMPUTED_VALUE"""),"90MB1LL0-M0EAY0")</f>
        <v>90MB1LL0-M0EAY0</v>
      </c>
      <c r="C274" s="16" t="str">
        <f ca="1">IFERROR(__xludf.DUMMYFUNCTION("""COMPUTED_VALUE"""),"190,")</f>
        <v>190,</v>
      </c>
    </row>
    <row r="275" spans="1:3" ht="15.75" customHeight="1">
      <c r="A275" s="16" t="str">
        <f ca="1">IFERROR(__xludf.DUMMYFUNCTION("""COMPUTED_VALUE"""),"MB ASUS AMD AM5 B850 MAX GAMING WIFI WHITE DDR5 (90MB1M10-M0EAY0)")</f>
        <v>MB ASUS AMD AM5 B850 MAX GAMING WIFI WHITE DDR5 (90MB1M10-M0EAY0)</v>
      </c>
      <c r="B275" s="16" t="str">
        <f ca="1">IFERROR(__xludf.DUMMYFUNCTION("""COMPUTED_VALUE"""),"90MB1M10-M0EAY0")</f>
        <v>90MB1M10-M0EAY0</v>
      </c>
      <c r="C275" s="16" t="str">
        <f ca="1">IFERROR(__xludf.DUMMYFUNCTION("""COMPUTED_VALUE"""),"210,")</f>
        <v>210,</v>
      </c>
    </row>
    <row r="276" spans="1:3" ht="15.75" customHeight="1">
      <c r="A276" s="16" t="str">
        <f ca="1">IFERROR(__xludf.DUMMYFUNCTION("""COMPUTED_VALUE"""),"MB ASUS AMD AM5 TUF GAMING B850M-E WIFI DDR5 (90MB1LS0-M0EAY0)")</f>
        <v>MB ASUS AMD AM5 TUF GAMING B850M-E WIFI DDR5 (90MB1LS0-M0EAY0)</v>
      </c>
      <c r="B276" s="16" t="str">
        <f ca="1">IFERROR(__xludf.DUMMYFUNCTION("""COMPUTED_VALUE"""),"90MB1LS0-M0EAY0")</f>
        <v>90MB1LS0-M0EAY0</v>
      </c>
      <c r="C276" s="16" t="str">
        <f ca="1">IFERROR(__xludf.DUMMYFUNCTION("""COMPUTED_VALUE"""),"210,")</f>
        <v>210,</v>
      </c>
    </row>
    <row r="277" spans="1:3" ht="15.75" customHeight="1">
      <c r="A277" s="16" t="str">
        <f ca="1">IFERROR(__xludf.DUMMYFUNCTION("""COMPUTED_VALUE"""),"MB ASUS AMD AM5 GAMING B850M-PLUS WIFI DDR5 (90MB1IY0-M0EAY0)")</f>
        <v>MB ASUS AMD AM5 GAMING B850M-PLUS WIFI DDR5 (90MB1IY0-M0EAY0)</v>
      </c>
      <c r="B277" s="16" t="str">
        <f ca="1">IFERROR(__xludf.DUMMYFUNCTION("""COMPUTED_VALUE"""),"90MB1IY0-M0EAY0")</f>
        <v>90MB1IY0-M0EAY0</v>
      </c>
      <c r="C277" s="16" t="str">
        <f ca="1">IFERROR(__xludf.DUMMYFUNCTION("""COMPUTED_VALUE"""),"240,")</f>
        <v>240,</v>
      </c>
    </row>
    <row r="278" spans="1:3" ht="15.75" customHeight="1">
      <c r="A278" s="16" t="str">
        <f ca="1">IFERROR(__xludf.DUMMYFUNCTION("""COMPUTED_VALUE"""),"MB ASUS AMD AM5 GAMING B850-E WIFI DDR5 (90MB1L20-M0EAY0)")</f>
        <v>MB ASUS AMD AM5 GAMING B850-E WIFI DDR5 (90MB1L20-M0EAY0)</v>
      </c>
      <c r="B278" s="16" t="str">
        <f ca="1">IFERROR(__xludf.DUMMYFUNCTION("""COMPUTED_VALUE"""),"90MB1L20-M0EAY0")</f>
        <v>90MB1L20-M0EAY0</v>
      </c>
      <c r="C278" s="16" t="str">
        <f ca="1">IFERROR(__xludf.DUMMYFUNCTION("""COMPUTED_VALUE"""),"240,")</f>
        <v>240,</v>
      </c>
    </row>
    <row r="279" spans="1:3" ht="15.75" customHeight="1">
      <c r="A279" s="16" t="str">
        <f ca="1">IFERROR(__xludf.DUMMYFUNCTION("""COMPUTED_VALUE"""),"MB ASUS AMD AM5 TUF GAMING B850-PLUS WIFI7 DDR5 (90MB1J30-M0EAY0)")</f>
        <v>MB ASUS AMD AM5 TUF GAMING B850-PLUS WIFI7 DDR5 (90MB1J30-M0EAY0)</v>
      </c>
      <c r="B279" s="16" t="str">
        <f ca="1">IFERROR(__xludf.DUMMYFUNCTION("""COMPUTED_VALUE"""),"90MB1J30-M0EAY0")</f>
        <v>90MB1J30-M0EAY0</v>
      </c>
      <c r="C279" s="16" t="str">
        <f ca="1">IFERROR(__xludf.DUMMYFUNCTION("""COMPUTED_VALUE"""),"250,")</f>
        <v>250,</v>
      </c>
    </row>
    <row r="280" spans="1:3" ht="15.75" customHeight="1">
      <c r="A280" s="16" t="str">
        <f ca="1">IFERROR(__xludf.DUMMYFUNCTION("""COMPUTED_VALUE"""),"MB ASUS AMD AM5 TUF GAMING B850M-PLUS WIFI7 WHITE DDR5 (90MB1MD0-M0EAY0)")</f>
        <v>MB ASUS AMD AM5 TUF GAMING B850M-PLUS WIFI7 WHITE DDR5 (90MB1MD0-M0EAY0)</v>
      </c>
      <c r="B280" s="16" t="str">
        <f ca="1">IFERROR(__xludf.DUMMYFUNCTION("""COMPUTED_VALUE"""),"90MB1MD0-M0EAY0")</f>
        <v>90MB1MD0-M0EAY0</v>
      </c>
      <c r="C280" s="16" t="str">
        <f ca="1">IFERROR(__xludf.DUMMYFUNCTION("""COMPUTED_VALUE"""),"250,")</f>
        <v>250,</v>
      </c>
    </row>
    <row r="281" spans="1:3" ht="15.75" customHeight="1">
      <c r="A281" s="16" t="str">
        <f ca="1">IFERROR(__xludf.DUMMYFUNCTION("""COMPUTED_VALUE"""),"MB ASUS AMD AM5 ROG STRIX B850-G GAMING WIFI DDR5 (90MB1M30-M0EAY0)")</f>
        <v>MB ASUS AMD AM5 ROG STRIX B850-G GAMING WIFI DDR5 (90MB1M30-M0EAY0)</v>
      </c>
      <c r="B281" s="16" t="str">
        <f ca="1">IFERROR(__xludf.DUMMYFUNCTION("""COMPUTED_VALUE"""),"90MB1M30-M0EAY0")</f>
        <v>90MB1M30-M0EAY0</v>
      </c>
      <c r="C281" s="16" t="str">
        <f ca="1">IFERROR(__xludf.DUMMYFUNCTION("""COMPUTED_VALUE"""),"260,")</f>
        <v>260,</v>
      </c>
    </row>
    <row r="282" spans="1:3" ht="15.75" customHeight="1">
      <c r="A282" s="16" t="str">
        <f ca="1">IFERROR(__xludf.DUMMYFUNCTION("""COMPUTED_VALUE"""),"MB ASUS AMD AM5 ROG STRIX B850-A GAMING WIFI DDR5 (90MB1J50-M0EAY0)")</f>
        <v>MB ASUS AMD AM5 ROG STRIX B850-A GAMING WIFI DDR5 (90MB1J50-M0EAY0)</v>
      </c>
      <c r="B282" s="16" t="str">
        <f ca="1">IFERROR(__xludf.DUMMYFUNCTION("""COMPUTED_VALUE"""),"90MB1J50-M0EAY0")</f>
        <v>90MB1J50-M0EAY0</v>
      </c>
      <c r="C282" s="16" t="str">
        <f ca="1">IFERROR(__xludf.DUMMYFUNCTION("""COMPUTED_VALUE"""),"300,")</f>
        <v>300,</v>
      </c>
    </row>
    <row r="283" spans="1:3" ht="15.75" customHeight="1">
      <c r="A283" s="16" t="str">
        <f ca="1">IFERROR(__xludf.DUMMYFUNCTION("""COMPUTED_VALUE"""),"MB ASUS AMD AM5 ROG STRIX B850-I GAMING WiFi DDR5 (90MB1K30-M0EAY0)")</f>
        <v>MB ASUS AMD AM5 ROG STRIX B850-I GAMING WiFi DDR5 (90MB1K30-M0EAY0)</v>
      </c>
      <c r="B283" s="16" t="str">
        <f ca="1">IFERROR(__xludf.DUMMYFUNCTION("""COMPUTED_VALUE"""),"90MB1K30-M0EAY0")</f>
        <v>90MB1K30-M0EAY0</v>
      </c>
      <c r="C283" s="16" t="str">
        <f ca="1">IFERROR(__xludf.DUMMYFUNCTION("""COMPUTED_VALUE"""),"340,")</f>
        <v>340,</v>
      </c>
    </row>
    <row r="284" spans="1:3" ht="15.75" customHeight="1">
      <c r="A284" s="16" t="str">
        <f ca="1">IFERROR(__xludf.DUMMYFUNCTION("""COMPUTED_VALUE"""),"MB ASUS AMD AM5 ROG STRIX B850-E GAMING WIFI DDR5 (90MB1J60-M0EAY0)")</f>
        <v>MB ASUS AMD AM5 ROG STRIX B850-E GAMING WIFI DDR5 (90MB1J60-M0EAY0)</v>
      </c>
      <c r="B284" s="16" t="str">
        <f ca="1">IFERROR(__xludf.DUMMYFUNCTION("""COMPUTED_VALUE"""),"90MB1J60-M0EAY0")</f>
        <v>90MB1J60-M0EAY0</v>
      </c>
      <c r="C284" s="16" t="str">
        <f ca="1">IFERROR(__xludf.DUMMYFUNCTION("""COMPUTED_VALUE"""),"390,")</f>
        <v>390,</v>
      </c>
    </row>
    <row r="285" spans="1:3" ht="15.75" customHeight="1">
      <c r="A285" s="16" t="str">
        <f ca="1">IFERROR(__xludf.DUMMYFUNCTION("""COMPUTED_VALUE"""),"MB ASUS AMD AM5 PRIME X870-P WIFI DDR5 (90MB1IS0-M0EAY0)")</f>
        <v>MB ASUS AMD AM5 PRIME X870-P WIFI DDR5 (90MB1IS0-M0EAY0)</v>
      </c>
      <c r="B285" s="16" t="str">
        <f ca="1">IFERROR(__xludf.DUMMYFUNCTION("""COMPUTED_VALUE"""),"90MB1IS0-M0EAY0")</f>
        <v>90MB1IS0-M0EAY0</v>
      </c>
      <c r="C285" s="16" t="str">
        <f ca="1">IFERROR(__xludf.DUMMYFUNCTION("""COMPUTED_VALUE"""),"230,")</f>
        <v>230,</v>
      </c>
    </row>
    <row r="286" spans="1:3" ht="15.75" customHeight="1">
      <c r="A286" s="16" t="str">
        <f ca="1">IFERROR(__xludf.DUMMYFUNCTION("""COMPUTED_VALUE"""),"MB ASUS AMD AM5 X870 MAX GAMING WIFI7 DDR5 (90MB1LY0-M0EAY0)")</f>
        <v>MB ASUS AMD AM5 X870 MAX GAMING WIFI7 DDR5 (90MB1LY0-M0EAY0)</v>
      </c>
      <c r="B286" s="16" t="str">
        <f ca="1">IFERROR(__xludf.DUMMYFUNCTION("""COMPUTED_VALUE"""),"90MB1LY0-M0EAY0")</f>
        <v>90MB1LY0-M0EAY0</v>
      </c>
      <c r="C286" s="16" t="str">
        <f ca="1">IFERROR(__xludf.DUMMYFUNCTION("""COMPUTED_VALUE"""),"350,")</f>
        <v>350,</v>
      </c>
    </row>
    <row r="287" spans="1:3" ht="15.75" customHeight="1">
      <c r="A287" s="16" t="str">
        <f ca="1">IFERROR(__xludf.DUMMYFUNCTION("""COMPUTED_VALUE"""),"MB ASUS AMD AM5 X870 MAX GAMING WIFI7 W DDR5 (90MB1LZ0-M0EAY0)")</f>
        <v>MB ASUS AMD AM5 X870 MAX GAMING WIFI7 W DDR5 (90MB1LZ0-M0EAY0)</v>
      </c>
      <c r="B287" s="16" t="str">
        <f ca="1">IFERROR(__xludf.DUMMYFUNCTION("""COMPUTED_VALUE"""),"90MB1LZ0-M0EAY0")</f>
        <v>90MB1LZ0-M0EAY0</v>
      </c>
      <c r="C287" s="16" t="str">
        <f ca="1">IFERROR(__xludf.DUMMYFUNCTION("""COMPUTED_VALUE"""),"350,")</f>
        <v>350,</v>
      </c>
    </row>
    <row r="288" spans="1:3" ht="15.75" customHeight="1">
      <c r="A288" s="16" t="str">
        <f ca="1">IFERROR(__xludf.DUMMYFUNCTION("""COMPUTED_VALUE"""),"MB ASUS AMD AM5 TUF GAMING X870-PLUS WIFI DDR5 (90MB1IU0-M0EAY0)")</f>
        <v>MB ASUS AMD AM5 TUF GAMING X870-PLUS WIFI DDR5 (90MB1IU0-M0EAY0)</v>
      </c>
      <c r="B288" s="16" t="str">
        <f ca="1">IFERROR(__xludf.DUMMYFUNCTION("""COMPUTED_VALUE"""),"90MB1IU0-M0EAY0")</f>
        <v>90MB1IU0-M0EAY0</v>
      </c>
      <c r="C288" s="16" t="str">
        <f ca="1">IFERROR(__xludf.DUMMYFUNCTION("""COMPUTED_VALUE"""),"360,")</f>
        <v>360,</v>
      </c>
    </row>
    <row r="289" spans="1:3" ht="15.75" customHeight="1">
      <c r="A289" s="16" t="str">
        <f ca="1">IFERROR(__xludf.DUMMYFUNCTION("""COMPUTED_VALUE"""),"MB ASUS AMD AM5 ROG STRIX X870E-H GAMING WIFI7 DDR5 (90MB1M90-M0EAY0)")</f>
        <v>MB ASUS AMD AM5 ROG STRIX X870E-H GAMING WIFI7 DDR5 (90MB1M90-M0EAY0)</v>
      </c>
      <c r="B289" s="16" t="str">
        <f ca="1">IFERROR(__xludf.DUMMYFUNCTION("""COMPUTED_VALUE"""),"90MB1M90-M0EAY0")</f>
        <v>90MB1M90-M0EAY0</v>
      </c>
      <c r="C289" s="16" t="str">
        <f ca="1">IFERROR(__xludf.DUMMYFUNCTION("""COMPUTED_VALUE"""),"390,")</f>
        <v>390,</v>
      </c>
    </row>
    <row r="290" spans="1:3" ht="15.75" customHeight="1">
      <c r="A290" s="16" t="str">
        <f ca="1">IFERROR(__xludf.DUMMYFUNCTION("""COMPUTED_VALUE"""),"MB ASUS AMD AM5 ROG STRIX X870-F GAMING WIFI DDR5 (90MB1IV0-M0EAY0)")</f>
        <v>MB ASUS AMD AM5 ROG STRIX X870-F GAMING WIFI DDR5 (90MB1IV0-M0EAY0)</v>
      </c>
      <c r="B290" s="16" t="str">
        <f ca="1">IFERROR(__xludf.DUMMYFUNCTION("""COMPUTED_VALUE"""),"90MB1IV0-M0EAY0")</f>
        <v>90MB1IV0-M0EAY0</v>
      </c>
      <c r="C290" s="16" t="str">
        <f ca="1">IFERROR(__xludf.DUMMYFUNCTION("""COMPUTED_VALUE"""),"460,")</f>
        <v>460,</v>
      </c>
    </row>
    <row r="291" spans="1:3" ht="15.75" customHeight="1">
      <c r="A291" s="16" t="str">
        <f ca="1">IFERROR(__xludf.DUMMYFUNCTION("""COMPUTED_VALUE"""),"MB ASUS AMD AM5 ROG STRIX X870E-H GAMING MIKU DDR5 (90MB1MA0-M0EAY0)")</f>
        <v>MB ASUS AMD AM5 ROG STRIX X870E-H GAMING MIKU DDR5 (90MB1MA0-M0EAY0)</v>
      </c>
      <c r="B291" s="16" t="str">
        <f ca="1">IFERROR(__xludf.DUMMYFUNCTION("""COMPUTED_VALUE"""),"90MB1MA0-M0EAY0")</f>
        <v>90MB1MA0-M0EAY0</v>
      </c>
      <c r="C291" s="16" t="str">
        <f ca="1">IFERROR(__xludf.DUMMYFUNCTION("""COMPUTED_VALUE"""),"500,")</f>
        <v>500,</v>
      </c>
    </row>
    <row r="292" spans="1:3" ht="15.75" customHeight="1">
      <c r="A292" s="16" t="str">
        <f ca="1">IFERROR(__xludf.DUMMYFUNCTION("""COMPUTED_VALUE"""),"MB ASUS AMD AM5 PROART X870E-CREATOR WIFI DDR5 (90MB1IG0-M0EAY0)")</f>
        <v>MB ASUS AMD AM5 PROART X870E-CREATOR WIFI DDR5 (90MB1IG0-M0EAY0)</v>
      </c>
      <c r="B292" s="16" t="str">
        <f ca="1">IFERROR(__xludf.DUMMYFUNCTION("""COMPUTED_VALUE"""),"90MB1IG0-M0EAY0")</f>
        <v>90MB1IG0-M0EAY0</v>
      </c>
      <c r="C292" s="16" t="str">
        <f ca="1">IFERROR(__xludf.DUMMYFUNCTION("""COMPUTED_VALUE"""),"530,")</f>
        <v>530,</v>
      </c>
    </row>
    <row r="293" spans="1:3" ht="15.75" customHeight="1">
      <c r="A293" s="16" t="str">
        <f ca="1">IFERROR(__xludf.DUMMYFUNCTION("""COMPUTED_VALUE"""),"MB ASUS AMD AM5 ROG STRIX X870E-E GAMING WIFI DDR5 (90MB1IB0-M0EAY0)")</f>
        <v>MB ASUS AMD AM5 ROG STRIX X870E-E GAMING WIFI DDR5 (90MB1IB0-M0EAY0)</v>
      </c>
      <c r="B293" s="16" t="str">
        <f ca="1">IFERROR(__xludf.DUMMYFUNCTION("""COMPUTED_VALUE"""),"90MB1IB0-M0EAY0")</f>
        <v>90MB1IB0-M0EAY0</v>
      </c>
      <c r="C293" s="16" t="str">
        <f ca="1">IFERROR(__xludf.DUMMYFUNCTION("""COMPUTED_VALUE"""),"550,")</f>
        <v>550,</v>
      </c>
    </row>
    <row r="294" spans="1:3" ht="15.75" customHeight="1">
      <c r="A294" s="16" t="str">
        <f ca="1">IFERROR(__xludf.DUMMYFUNCTION("""COMPUTED_VALUE"""),"MB ASUS AMD AM5 ROG CROSSHAIR X870E APEX DDR5 (90MB1KR0-M0EAY0)")</f>
        <v>MB ASUS AMD AM5 ROG CROSSHAIR X870E APEX DDR5 (90MB1KR0-M0EAY0)</v>
      </c>
      <c r="B294" s="16" t="str">
        <f ca="1">IFERROR(__xludf.DUMMYFUNCTION("""COMPUTED_VALUE"""),"90MB1KR0-M0EAY0")</f>
        <v>90MB1KR0-M0EAY0</v>
      </c>
      <c r="C294" s="16" t="str">
        <f ca="1">IFERROR(__xludf.DUMMYFUNCTION("""COMPUTED_VALUE"""),"750,")</f>
        <v>750,</v>
      </c>
    </row>
    <row r="295" spans="1:3" ht="15.75" customHeight="1">
      <c r="A295" s="16" t="str">
        <f ca="1">IFERROR(__xludf.DUMMYFUNCTION("""COMPUTED_VALUE"""),"MB SAPPHIRE AMD AM5 B650M-E DDR5 (52112-04-40G)")</f>
        <v>MB SAPPHIRE AMD AM5 B650M-E DDR5 (52112-04-40G)</v>
      </c>
      <c r="B295" s="16" t="str">
        <f ca="1">IFERROR(__xludf.DUMMYFUNCTION("""COMPUTED_VALUE"""),"52112-04-40G")</f>
        <v>52112-04-40G</v>
      </c>
      <c r="C295" s="16" t="str">
        <f ca="1">IFERROR(__xludf.DUMMYFUNCTION("""COMPUTED_VALUE"""),"105,")</f>
        <v>105,</v>
      </c>
    </row>
    <row r="296" spans="1:3" ht="15.75" customHeight="1">
      <c r="A296" s="16" t="str">
        <f ca="1">IFERROR(__xludf.DUMMYFUNCTION("""COMPUTED_VALUE"""),"MB SAPPHIRE AMD AM5 PURE B850M WIFI DDR5 (52123-02-40G)")</f>
        <v>MB SAPPHIRE AMD AM5 PURE B850M WIFI DDR5 (52123-02-40G)</v>
      </c>
      <c r="B296" s="16" t="str">
        <f ca="1">IFERROR(__xludf.DUMMYFUNCTION("""COMPUTED_VALUE"""),"52123-02-40G")</f>
        <v>52123-02-40G</v>
      </c>
      <c r="C296" s="16" t="str">
        <f ca="1">IFERROR(__xludf.DUMMYFUNCTION("""COMPUTED_VALUE"""),"170,")</f>
        <v>170,</v>
      </c>
    </row>
    <row r="297" spans="1:3" ht="15.75" customHeight="1">
      <c r="A297" s="16" t="str">
        <f ca="1">IFERROR(__xludf.DUMMYFUNCTION("""COMPUTED_VALUE"""),"MB SAPPHIRE AMD AM5 PURE B850A WIFI7 DDR5 (52123-11-40G)")</f>
        <v>MB SAPPHIRE AMD AM5 PURE B850A WIFI7 DDR5 (52123-11-40G)</v>
      </c>
      <c r="B297" s="16" t="str">
        <f ca="1">IFERROR(__xludf.DUMMYFUNCTION("""COMPUTED_VALUE"""),"52123-11-40G")</f>
        <v>52123-11-40G</v>
      </c>
      <c r="C297" s="16" t="str">
        <f ca="1">IFERROR(__xludf.DUMMYFUNCTION("""COMPUTED_VALUE"""),"210,")</f>
        <v>210,</v>
      </c>
    </row>
    <row r="298" spans="1:3" ht="15.75" customHeight="1">
      <c r="A298" s="16" t="str">
        <f ca="1">IFERROR(__xludf.DUMMYFUNCTION("""COMPUTED_VALUE"""),"Zotac - 8GB GeForce RTX5050 TWIN EDGE DDR6 128bit HDMI 3-DP (ZT-B50500E-10M) (1 штук)")</f>
        <v>Zotac - 8GB GeForce RTX5050 TWIN EDGE DDR6 128bit HDMI 3-DP (ZT-B50500E-10M) (1 штук)</v>
      </c>
      <c r="B298" s="16" t="str">
        <f ca="1">IFERROR(__xludf.DUMMYFUNCTION("""COMPUTED_VALUE"""),"ZT-B50500E-10M")</f>
        <v>ZT-B50500E-10M</v>
      </c>
      <c r="C298" s="16" t="str">
        <f ca="1">IFERROR(__xludf.DUMMYFUNCTION("""COMPUTED_VALUE"""),"300,")</f>
        <v>300,</v>
      </c>
    </row>
    <row r="299" spans="1:3" ht="15.75" customHeight="1">
      <c r="A299" s="16" t="str">
        <f ca="1">IFERROR(__xludf.DUMMYFUNCTION("""COMPUTED_VALUE"""),"Zotac - 8GB GeForce RTX5060 TWIN EDGE GDDR7 128bit HDMI 3-DP (ZT-B50600E-10M)")</f>
        <v>Zotac - 8GB GeForce RTX5060 TWIN EDGE GDDR7 128bit HDMI 3-DP (ZT-B50600E-10M)</v>
      </c>
      <c r="B299" s="16" t="str">
        <f ca="1">IFERROR(__xludf.DUMMYFUNCTION("""COMPUTED_VALUE"""),"ZT-B50600E-10M")</f>
        <v>ZT-B50600E-10M</v>
      </c>
      <c r="C299" s="16" t="str">
        <f ca="1">IFERROR(__xludf.DUMMYFUNCTION("""COMPUTED_VALUE"""),"380,")</f>
        <v>380,</v>
      </c>
    </row>
    <row r="300" spans="1:3" ht="15.75" customHeight="1">
      <c r="A300" s="16" t="str">
        <f ca="1">IFERROR(__xludf.DUMMYFUNCTION("""COMPUTED_VALUE"""),"Zotac - 8GB GeForce RTX5060 TWIN EDGE OC WHITE GDDR7 128bit HDMI 3-DP (ZT-B50600H-10M)")</f>
        <v>Zotac - 8GB GeForce RTX5060 TWIN EDGE OC WHITE GDDR7 128bit HDMI 3-DP (ZT-B50600H-10M)</v>
      </c>
      <c r="B300" s="16" t="str">
        <f ca="1">IFERROR(__xludf.DUMMYFUNCTION("""COMPUTED_VALUE"""),"")</f>
        <v/>
      </c>
      <c r="C300" s="16" t="str">
        <f ca="1">IFERROR(__xludf.DUMMYFUNCTION("""COMPUTED_VALUE"""),"390,")</f>
        <v>390,</v>
      </c>
    </row>
    <row r="301" spans="1:3" ht="15.75" customHeight="1">
      <c r="A301" s="16" t="str">
        <f ca="1">IFERROR(__xludf.DUMMYFUNCTION("""COMPUTED_VALUE"""),"Zotac - 8GB GeForce RTX5060Ti TWIN EDGE GDDR7 128bit HDMI 3-DP (ZT-B50610E-10M)")</f>
        <v>Zotac - 8GB GeForce RTX5060Ti TWIN EDGE GDDR7 128bit HDMI 3-DP (ZT-B50610E-10M)</v>
      </c>
      <c r="B301" s="16" t="str">
        <f ca="1">IFERROR(__xludf.DUMMYFUNCTION("""COMPUTED_VALUE"""),"ZT-B50610E-10M")</f>
        <v>ZT-B50610E-10M</v>
      </c>
      <c r="C301" s="16" t="str">
        <f ca="1">IFERROR(__xludf.DUMMYFUNCTION("""COMPUTED_VALUE"""),"450,")</f>
        <v>450,</v>
      </c>
    </row>
    <row r="302" spans="1:3" ht="15.75" customHeight="1">
      <c r="A302" s="16" t="str">
        <f ca="1">IFERROR(__xludf.DUMMYFUNCTION("""COMPUTED_VALUE"""),"Zotac - 16GB GeForce RTX5060Ti TWIN EDGE GDDR7 128bit HDMI 3-DP (ZT-B50620E-10M)")</f>
        <v>Zotac - 16GB GeForce RTX5060Ti TWIN EDGE GDDR7 128bit HDMI 3-DP (ZT-B50620E-10M)</v>
      </c>
      <c r="B302" s="16" t="str">
        <f ca="1">IFERROR(__xludf.DUMMYFUNCTION("""COMPUTED_VALUE"""),"ZT-B50620E-10M")</f>
        <v>ZT-B50620E-10M</v>
      </c>
      <c r="C302" s="16" t="str">
        <f ca="1">IFERROR(__xludf.DUMMYFUNCTION("""COMPUTED_VALUE"""),"590,")</f>
        <v>590,</v>
      </c>
    </row>
    <row r="303" spans="1:3" ht="15.75" customHeight="1">
      <c r="A303" s="16" t="str">
        <f ca="1">IFERROR(__xludf.DUMMYFUNCTION("""COMPUTED_VALUE"""),"Zotac - 12GB GeForce RTX5070 TWIN EDGE GDDR7 192bit HDMI 3-DP (ZT-B50700E-10P)")</f>
        <v>Zotac - 12GB GeForce RTX5070 TWIN EDGE GDDR7 192bit HDMI 3-DP (ZT-B50700E-10P)</v>
      </c>
      <c r="B303" s="16" t="str">
        <f ca="1">IFERROR(__xludf.DUMMYFUNCTION("""COMPUTED_VALUE"""),"ZT-B50700E-10P")</f>
        <v>ZT-B50700E-10P</v>
      </c>
      <c r="C303" s="16" t="str">
        <f ca="1">IFERROR(__xludf.DUMMYFUNCTION("""COMPUTED_VALUE"""),"695,")</f>
        <v>695,</v>
      </c>
    </row>
    <row r="304" spans="1:3" ht="15.75" customHeight="1">
      <c r="A304" s="16" t="str">
        <f ca="1">IFERROR(__xludf.DUMMYFUNCTION("""COMPUTED_VALUE"""),"Zotac - 12GB GeForce RTX5070 GAMING SOLID OC 3x GDDR7 192bit HDMI 3-DP (ZT-B50700J-10P)")</f>
        <v>Zotac - 12GB GeForce RTX5070 GAMING SOLID OC 3x GDDR7 192bit HDMI 3-DP (ZT-B50700J-10P)</v>
      </c>
      <c r="B304" s="16" t="str">
        <f ca="1">IFERROR(__xludf.DUMMYFUNCTION("""COMPUTED_VALUE"""),"")</f>
        <v/>
      </c>
      <c r="C304" s="16" t="str">
        <f ca="1">IFERROR(__xludf.DUMMYFUNCTION("""COMPUTED_VALUE"""),"710,")</f>
        <v>710,</v>
      </c>
    </row>
    <row r="305" spans="1:3" ht="15.75" customHeight="1">
      <c r="A305" s="16" t="str">
        <f ca="1">IFERROR(__xludf.DUMMYFUNCTION("""COMPUTED_VALUE"""),"Inno3D - 8GB GeForce RTX5060 TWIN X2 OC GDDR7 128bit (N50602-08D7X-195070N)")</f>
        <v>Inno3D - 8GB GeForce RTX5060 TWIN X2 OC GDDR7 128bit (N50602-08D7X-195070N)</v>
      </c>
      <c r="B305" s="16" t="str">
        <f ca="1">IFERROR(__xludf.DUMMYFUNCTION("""COMPUTED_VALUE"""),"N50602-08D7X-195070N")</f>
        <v>N50602-08D7X-195070N</v>
      </c>
      <c r="C305" s="16" t="str">
        <f ca="1">IFERROR(__xludf.DUMMYFUNCTION("""COMPUTED_VALUE"""),"390,")</f>
        <v>390,</v>
      </c>
    </row>
    <row r="306" spans="1:3" ht="15.75" customHeight="1">
      <c r="A306" s="16" t="str">
        <f ca="1">IFERROR(__xludf.DUMMYFUNCTION("""COMPUTED_VALUE"""),"Inno3D - 8GB GeForce RTX5060 TWIN X2 OC White GDDR7 128bit (N50602-08D7X-195070W)")</f>
        <v>Inno3D - 8GB GeForce RTX5060 TWIN X2 OC White GDDR7 128bit (N50602-08D7X-195070W)</v>
      </c>
      <c r="B306" s="16" t="str">
        <f ca="1">IFERROR(__xludf.DUMMYFUNCTION("""COMPUTED_VALUE"""),"N50602-08D7X-195070W")</f>
        <v>N50602-08D7X-195070W</v>
      </c>
      <c r="C306" s="16" t="str">
        <f ca="1">IFERROR(__xludf.DUMMYFUNCTION("""COMPUTED_VALUE"""),"395,")</f>
        <v>395,</v>
      </c>
    </row>
    <row r="307" spans="1:3" ht="15.75" customHeight="1">
      <c r="A307" s="16" t="str">
        <f ca="1">IFERROR(__xludf.DUMMYFUNCTION("""COMPUTED_VALUE"""),"Inno3D - 8GB GeForce RTX5060Ti TWIN X2 GDDR7 128bit (N506T2-08D7-191075N)")</f>
        <v>Inno3D - 8GB GeForce RTX5060Ti TWIN X2 GDDR7 128bit (N506T2-08D7-191075N)</v>
      </c>
      <c r="B307" s="16" t="str">
        <f ca="1">IFERROR(__xludf.DUMMYFUNCTION("""COMPUTED_VALUE"""),"N506T2-08D7-191075N")</f>
        <v>N506T2-08D7-191075N</v>
      </c>
      <c r="C307" s="16" t="str">
        <f ca="1">IFERROR(__xludf.DUMMYFUNCTION("""COMPUTED_VALUE"""),"410,")</f>
        <v>410,</v>
      </c>
    </row>
    <row r="308" spans="1:3" ht="15.75" customHeight="1">
      <c r="A308" s="16" t="str">
        <f ca="1">IFERROR(__xludf.DUMMYFUNCTION("""COMPUTED_VALUE"""),"Inno3D - 8GB GeForce RTX5060Ti TWIN X2 OC GDDR7 128bit (N506T2-08D7X-191075N)")</f>
        <v>Inno3D - 8GB GeForce RTX5060Ti TWIN X2 OC GDDR7 128bit (N506T2-08D7X-191075N)</v>
      </c>
      <c r="B308" s="16" t="str">
        <f ca="1">IFERROR(__xludf.DUMMYFUNCTION("""COMPUTED_VALUE"""),"N506T2-08D7X-191075N")</f>
        <v>N506T2-08D7X-191075N</v>
      </c>
      <c r="C308" s="16" t="str">
        <f ca="1">IFERROR(__xludf.DUMMYFUNCTION("""COMPUTED_VALUE"""),"420,")</f>
        <v>420,</v>
      </c>
    </row>
    <row r="309" spans="1:3" ht="15.75" customHeight="1">
      <c r="A309" s="16" t="str">
        <f ca="1">IFERROR(__xludf.DUMMYFUNCTION("""COMPUTED_VALUE"""),"Inno3D - 16GB GeForce RTX5060Ti TWIN X2 GDDR7 128bit (N506T2-16D7-191073N)")</f>
        <v>Inno3D - 16GB GeForce RTX5060Ti TWIN X2 GDDR7 128bit (N506T2-16D7-191073N)</v>
      </c>
      <c r="B309" s="16" t="str">
        <f ca="1">IFERROR(__xludf.DUMMYFUNCTION("""COMPUTED_VALUE"""),"N506T2-16D7-191073N")</f>
        <v>N506T2-16D7-191073N</v>
      </c>
      <c r="C309" s="16" t="str">
        <f ca="1">IFERROR(__xludf.DUMMYFUNCTION("""COMPUTED_VALUE"""),"560,")</f>
        <v>560,</v>
      </c>
    </row>
    <row r="310" spans="1:3" ht="15.75" customHeight="1">
      <c r="A310" s="16" t="str">
        <f ca="1">IFERROR(__xludf.DUMMYFUNCTION("""COMPUTED_VALUE"""),"Inno3D - 16GB GeForce RTX5060Ti TWIN X2 OC GDDR7 128bit (N506T2-16D7X-191073N) (1 штук)")</f>
        <v>Inno3D - 16GB GeForce RTX5060Ti TWIN X2 OC GDDR7 128bit (N506T2-16D7X-191073N) (1 штук)</v>
      </c>
      <c r="B310" s="16" t="str">
        <f ca="1">IFERROR(__xludf.DUMMYFUNCTION("""COMPUTED_VALUE"""),"N506T2-16D7X-191073N")</f>
        <v>N506T2-16D7X-191073N</v>
      </c>
      <c r="C310" s="16" t="str">
        <f ca="1">IFERROR(__xludf.DUMMYFUNCTION("""COMPUTED_VALUE"""),"595,")</f>
        <v>595,</v>
      </c>
    </row>
    <row r="311" spans="1:3" ht="15.75" customHeight="1">
      <c r="A311" s="16" t="str">
        <f ca="1">IFERROR(__xludf.DUMMYFUNCTION("""COMPUTED_VALUE"""),"Inno3D - 16GB GeForce RTX5060Ti X3 OC DDR7 128bit (N506T3-16D7X-191073L)")</f>
        <v>Inno3D - 16GB GeForce RTX5060Ti X3 OC DDR7 128bit (N506T3-16D7X-191073L)</v>
      </c>
      <c r="B311" s="16" t="str">
        <f ca="1">IFERROR(__xludf.DUMMYFUNCTION("""COMPUTED_VALUE"""),"N506T3-16D7X-191073L")</f>
        <v>N506T3-16D7X-191073L</v>
      </c>
      <c r="C311" s="16" t="str">
        <f ca="1">IFERROR(__xludf.DUMMYFUNCTION("""COMPUTED_VALUE"""),"600,")</f>
        <v>600,</v>
      </c>
    </row>
    <row r="312" spans="1:3" ht="15.75" customHeight="1">
      <c r="A312" s="16" t="str">
        <f ca="1">IFERROR(__xludf.DUMMYFUNCTION("""COMPUTED_VALUE"""),"Inno3D - 12GB GeForce RTX5070 TWIN X2 GDDR7 192bit (N50702-12D7-195064N)")</f>
        <v>Inno3D - 12GB GeForce RTX5070 TWIN X2 GDDR7 192bit (N50702-12D7-195064N)</v>
      </c>
      <c r="B312" s="16" t="str">
        <f ca="1">IFERROR(__xludf.DUMMYFUNCTION("""COMPUTED_VALUE"""),"N50702-12D7-195064N")</f>
        <v>N50702-12D7-195064N</v>
      </c>
      <c r="C312" s="16" t="str">
        <f ca="1">IFERROR(__xludf.DUMMYFUNCTION("""COMPUTED_VALUE"""),"650,")</f>
        <v>650,</v>
      </c>
    </row>
    <row r="313" spans="1:3" ht="15.75" customHeight="1">
      <c r="A313" s="16" t="str">
        <f ca="1">IFERROR(__xludf.DUMMYFUNCTION("""COMPUTED_VALUE"""),"Inno3D - 16GB GeForce RTX5070Ti X3 OC GDDR7 256bit (N507T3-16D7X-176068N)")</f>
        <v>Inno3D - 16GB GeForce RTX5070Ti X3 OC GDDR7 256bit (N507T3-16D7X-176068N)</v>
      </c>
      <c r="B313" s="16" t="str">
        <f ca="1">IFERROR(__xludf.DUMMYFUNCTION("""COMPUTED_VALUE"""),"N507T3-16D7X-176068N")</f>
        <v>N507T3-16D7X-176068N</v>
      </c>
      <c r="C313" s="16" t="str">
        <f ca="1">IFERROR(__xludf.DUMMYFUNCTION("""COMPUTED_VALUE"""),"990,")</f>
        <v>990,</v>
      </c>
    </row>
    <row r="314" spans="1:3" ht="15.75" customHeight="1">
      <c r="A314" s="16" t="str">
        <f ca="1">IFERROR(__xludf.DUMMYFUNCTION("""COMPUTED_VALUE"""),"PNY - 8GB GeForce RTX5060 GDDR7 128bit HDMI DP (VCG50608DFXP81)")</f>
        <v>PNY - 8GB GeForce RTX5060 GDDR7 128bit HDMI DP (VCG50608DFXP81)</v>
      </c>
      <c r="B314" s="16" t="str">
        <f ca="1">IFERROR(__xludf.DUMMYFUNCTION("""COMPUTED_VALUE"""),"VCG50608DFXP81")</f>
        <v>VCG50608DFXP81</v>
      </c>
      <c r="C314" s="16" t="str">
        <f ca="1">IFERROR(__xludf.DUMMYFUNCTION("""COMPUTED_VALUE"""),"395,")</f>
        <v>395,</v>
      </c>
    </row>
    <row r="315" spans="1:3" ht="15.75" customHeight="1">
      <c r="A315" s="16" t="str">
        <f ca="1">IFERROR(__xludf.DUMMYFUNCTION("""COMPUTED_VALUE"""),"PNY - 16GB GeForce RTX5060Ti GDDR7 128bit DP HDMI (VCG5060T16DFXB1-O)")</f>
        <v>PNY - 16GB GeForce RTX5060Ti GDDR7 128bit DP HDMI (VCG5060T16DFXB1-O)</v>
      </c>
      <c r="B315" s="16" t="str">
        <f ca="1">IFERROR(__xludf.DUMMYFUNCTION("""COMPUTED_VALUE"""),"VCG5060T16DFXB1-O")</f>
        <v>VCG5060T16DFXB1-O</v>
      </c>
      <c r="C315" s="16" t="str">
        <f ca="1">IFERROR(__xludf.DUMMYFUNCTION("""COMPUTED_VALUE"""),"590,")</f>
        <v>590,</v>
      </c>
    </row>
    <row r="316" spans="1:3" ht="15.75" customHeight="1">
      <c r="A316" s="16" t="str">
        <f ca="1">IFERROR(__xludf.DUMMYFUNCTION("""COMPUTED_VALUE"""),"PNY - 12GB GeForce RTX5070 GDDR7 192bit DP HDMI (VCG507012TFXPB1)")</f>
        <v>PNY - 12GB GeForce RTX5070 GDDR7 192bit DP HDMI (VCG507012TFXPB1)</v>
      </c>
      <c r="B316" s="16" t="str">
        <f ca="1">IFERROR(__xludf.DUMMYFUNCTION("""COMPUTED_VALUE"""),"VCG507012TFXPB1")</f>
        <v>VCG507012TFXPB1</v>
      </c>
      <c r="C316" s="16" t="str">
        <f ca="1">IFERROR(__xludf.DUMMYFUNCTION("""COMPUTED_VALUE"""),"680,")</f>
        <v>680,</v>
      </c>
    </row>
    <row r="317" spans="1:3" ht="15.75" customHeight="1">
      <c r="A317" s="16" t="str">
        <f ca="1">IFERROR(__xludf.DUMMYFUNCTION("""COMPUTED_VALUE"""),"PNY - 12GB GeForce RTX5070 ARGB OC 3x GDDR7 (VCG507012TFXXPB1-O)")</f>
        <v>PNY - 12GB GeForce RTX5070 ARGB OC 3x GDDR7 (VCG507012TFXXPB1-O)</v>
      </c>
      <c r="B317" s="16" t="str">
        <f ca="1">IFERROR(__xludf.DUMMYFUNCTION("""COMPUTED_VALUE"""),"")</f>
        <v/>
      </c>
      <c r="C317" s="16" t="str">
        <f ca="1">IFERROR(__xludf.DUMMYFUNCTION("""COMPUTED_VALUE"""),"700,")</f>
        <v>700,</v>
      </c>
    </row>
    <row r="318" spans="1:3" ht="15.75" customHeight="1">
      <c r="A318" s="16" t="str">
        <f ca="1">IFERROR(__xludf.DUMMYFUNCTION("""COMPUTED_VALUE"""),"PNY - 16GB GeForce RTX5070Ti ARGB 3x GDDR7 (VCG5070T16TFXXPB1)")</f>
        <v>PNY - 16GB GeForce RTX5070Ti ARGB 3x GDDR7 (VCG5070T16TFXXPB1)</v>
      </c>
      <c r="B318" s="16" t="str">
        <f ca="1">IFERROR(__xludf.DUMMYFUNCTION("""COMPUTED_VALUE"""),"")</f>
        <v/>
      </c>
      <c r="C318" s="16" t="str">
        <f ca="1">IFERROR(__xludf.DUMMYFUNCTION("""COMPUTED_VALUE"""),"980,")</f>
        <v>980,</v>
      </c>
    </row>
    <row r="319" spans="1:3" ht="15.75" customHeight="1">
      <c r="A319" s="16" t="str">
        <f ca="1">IFERROR(__xludf.DUMMYFUNCTION("""COMPUTED_VALUE"""),"PNY - 16GB GeForce RTX5070Ti OC ARGB 3x GDDR7 (VCG5070T16TFXXPB1-O)")</f>
        <v>PNY - 16GB GeForce RTX5070Ti OC ARGB 3x GDDR7 (VCG5070T16TFXXPB1-O)</v>
      </c>
      <c r="B319" s="16" t="str">
        <f ca="1">IFERROR(__xludf.DUMMYFUNCTION("""COMPUTED_VALUE"""),"")</f>
        <v/>
      </c>
      <c r="C319" s="16" t="str">
        <f ca="1">IFERROR(__xludf.DUMMYFUNCTION("""COMPUTED_VALUE"""),"980,")</f>
        <v>980,</v>
      </c>
    </row>
    <row r="320" spans="1:3" ht="15.75" customHeight="1">
      <c r="A320" s="16" t="str">
        <f ca="1">IFERROR(__xludf.DUMMYFUNCTION("""COMPUTED_VALUE"""),"Palit - 8GB GeForce RTX3070 JETSTREAM OC GDDR6 256bit 3-DP HDMI (NE63070T19P2-1040J-N-LHR)")</f>
        <v>Palit - 8GB GeForce RTX3070 JETSTREAM OC GDDR6 256bit 3-DP HDMI (NE63070T19P2-1040J-N-LHR)</v>
      </c>
      <c r="B320" s="16" t="str">
        <f ca="1">IFERROR(__xludf.DUMMYFUNCTION("""COMPUTED_VALUE"""),"NE63070T19P2-1040J-N-LHR")</f>
        <v>NE63070T19P2-1040J-N-LHR</v>
      </c>
      <c r="C320" s="16" t="str">
        <f ca="1">IFERROR(__xludf.DUMMYFUNCTION("""COMPUTED_VALUE"""),"340,")</f>
        <v>340,</v>
      </c>
    </row>
    <row r="321" spans="1:3" ht="15.75" customHeight="1">
      <c r="A321" s="16" t="str">
        <f ca="1">IFERROR(__xludf.DUMMYFUNCTION("""COMPUTED_VALUE"""),"Palit - 8GB GeForce RTX3070 GAMEROCK GDDR6 256bit 3-DP HDMI (NE63070019P2-1040G N-LHR)")</f>
        <v>Palit - 8GB GeForce RTX3070 GAMEROCK GDDR6 256bit 3-DP HDMI (NE63070019P2-1040G N-LHR)</v>
      </c>
      <c r="B321" s="16" t="str">
        <f ca="1">IFERROR(__xludf.DUMMYFUNCTION("""COMPUTED_VALUE"""),"NE63070019P2-1040G N-LHR")</f>
        <v>NE63070019P2-1040G N-LHR</v>
      </c>
      <c r="C321" s="16" t="str">
        <f ca="1">IFERROR(__xludf.DUMMYFUNCTION("""COMPUTED_VALUE"""),"345,")</f>
        <v>345,</v>
      </c>
    </row>
    <row r="322" spans="1:3" ht="15.75" customHeight="1">
      <c r="A322" s="16" t="str">
        <f ca="1">IFERROR(__xludf.DUMMYFUNCTION("""COMPUTED_VALUE"""),"Palit - 8GB GeForce RTX3070 GAMEROCK OC GDDR6 256bit 3-DP HDMI (NE63070H19P2-1040G N-LHR)")</f>
        <v>Palit - 8GB GeForce RTX3070 GAMEROCK OC GDDR6 256bit 3-DP HDMI (NE63070H19P2-1040G N-LHR)</v>
      </c>
      <c r="B322" s="16" t="str">
        <f ca="1">IFERROR(__xludf.DUMMYFUNCTION("""COMPUTED_VALUE"""),"NE63070H19P2-1040G N-LHR")</f>
        <v>NE63070H19P2-1040G N-LHR</v>
      </c>
      <c r="C322" s="16" t="str">
        <f ca="1">IFERROR(__xludf.DUMMYFUNCTION("""COMPUTED_VALUE"""),"355,")</f>
        <v>355,</v>
      </c>
    </row>
    <row r="323" spans="1:3" ht="15.75" customHeight="1">
      <c r="A323" s="16" t="str">
        <f ca="1">IFERROR(__xludf.DUMMYFUNCTION("""COMPUTED_VALUE"""),"Palit - 10GB GeForce RTX3080M Phoenix Edition GDDR6X 320bit 3-DP HDMI (NED3080019IA-132AX)")</f>
        <v>Palit - 10GB GeForce RTX3080M Phoenix Edition GDDR6X 320bit 3-DP HDMI (NED3080019IA-132AX)</v>
      </c>
      <c r="B323" s="16" t="str">
        <f ca="1">IFERROR(__xludf.DUMMYFUNCTION("""COMPUTED_VALUE"""),"NED3080019IA-132AX")</f>
        <v>NED3080019IA-132AX</v>
      </c>
      <c r="C323" s="16" t="str">
        <f ca="1">IFERROR(__xludf.DUMMYFUNCTION("""COMPUTED_VALUE"""),"455,")</f>
        <v>455,</v>
      </c>
    </row>
    <row r="324" spans="1:3" ht="15.75" customHeight="1">
      <c r="A324" s="16" t="str">
        <f ca="1">IFERROR(__xludf.DUMMYFUNCTION("""COMPUTED_VALUE"""),"Palit - 8GB GeForce RTX5060 DUAL 8GB GDDR7 128bit 3-DP HDMI (NE75060019P1-GB2063D)")</f>
        <v>Palit - 8GB GeForce RTX5060 DUAL 8GB GDDR7 128bit 3-DP HDMI (NE75060019P1-GB2063D)</v>
      </c>
      <c r="B324" s="16" t="str">
        <f ca="1">IFERROR(__xludf.DUMMYFUNCTION("""COMPUTED_VALUE"""),"NE75060019P1-GB2063D")</f>
        <v>NE75060019P1-GB2063D</v>
      </c>
      <c r="C324" s="16" t="str">
        <f ca="1">IFERROR(__xludf.DUMMYFUNCTION("""COMPUTED_VALUE"""),"385,")</f>
        <v>385,</v>
      </c>
    </row>
    <row r="325" spans="1:3" ht="15.75" customHeight="1">
      <c r="A325" s="16" t="str">
        <f ca="1">IFERROR(__xludf.DUMMYFUNCTION("""COMPUTED_VALUE"""),"Palit - 8GB GeForce RTX5060 INFINITY 2 GDDR7 128bit 3-DP HDMI (NE75060V19P1-GB2063L)")</f>
        <v>Palit - 8GB GeForce RTX5060 INFINITY 2 GDDR7 128bit 3-DP HDMI (NE75060V19P1-GB2063L)</v>
      </c>
      <c r="B325" s="16" t="str">
        <f ca="1">IFERROR(__xludf.DUMMYFUNCTION("""COMPUTED_VALUE"""),"NE75060V19P1-GB2063L")</f>
        <v>NE75060V19P1-GB2063L</v>
      </c>
      <c r="C325" s="16" t="str">
        <f ca="1">IFERROR(__xludf.DUMMYFUNCTION("""COMPUTED_VALUE"""),"385,")</f>
        <v>385,</v>
      </c>
    </row>
    <row r="326" spans="1:3" ht="15.75" customHeight="1">
      <c r="A326" s="16" t="str">
        <f ca="1">IFERROR(__xludf.DUMMYFUNCTION("""COMPUTED_VALUE"""),"Palit - 8GB GeForce RTX5060Ti DUAL GDDR7 128bit 3-DP HDMI (NE7506T019P1-GB2062D)")</f>
        <v>Palit - 8GB GeForce RTX5060Ti DUAL GDDR7 128bit 3-DP HDMI (NE7506T019P1-GB2062D)</v>
      </c>
      <c r="B326" s="16" t="str">
        <f ca="1">IFERROR(__xludf.DUMMYFUNCTION("""COMPUTED_VALUE"""),"NE7506T019P1-GB2062D")</f>
        <v>NE7506T019P1-GB2062D</v>
      </c>
      <c r="C326" s="16" t="str">
        <f ca="1">IFERROR(__xludf.DUMMYFUNCTION("""COMPUTED_VALUE"""),"410,")</f>
        <v>410,</v>
      </c>
    </row>
    <row r="327" spans="1:3" ht="15.75" customHeight="1">
      <c r="A327" s="16" t="str">
        <f ca="1">IFERROR(__xludf.DUMMYFUNCTION("""COMPUTED_VALUE"""),"Palit - 8GB GeForce RTX5060Ti DUAL OC GDDR7 128bit 3-DP HDMI (NE7506TT19P1-GB2062D)")</f>
        <v>Palit - 8GB GeForce RTX5060Ti DUAL OC GDDR7 128bit 3-DP HDMI (NE7506TT19P1-GB2062D)</v>
      </c>
      <c r="B327" s="16" t="str">
        <f ca="1">IFERROR(__xludf.DUMMYFUNCTION("""COMPUTED_VALUE"""),"NE7506TT19P1-GB2062D")</f>
        <v>NE7506TT19P1-GB2062D</v>
      </c>
      <c r="C327" s="16" t="str">
        <f ca="1">IFERROR(__xludf.DUMMYFUNCTION("""COMPUTED_VALUE"""),"415,")</f>
        <v>415,</v>
      </c>
    </row>
    <row r="328" spans="1:3" ht="15.75" customHeight="1">
      <c r="A328" s="16" t="str">
        <f ca="1">IFERROR(__xludf.DUMMYFUNCTION("""COMPUTED_VALUE"""),"Palit - 16GB GeForce RTX5060Ti WHITE OC GDDR7 128bit 3-DP HDMI (NE7506TU19T1-GB2061M) (1 штук)")</f>
        <v>Palit - 16GB GeForce RTX5060Ti WHITE OC GDDR7 128bit 3-DP HDMI (NE7506TU19T1-GB2061M) (1 штук)</v>
      </c>
      <c r="B328" s="16" t="str">
        <f ca="1">IFERROR(__xludf.DUMMYFUNCTION("""COMPUTED_VALUE"""),"NE7506TU19T1-GB2061M")</f>
        <v>NE7506TU19T1-GB2061M</v>
      </c>
      <c r="C328" s="16" t="str">
        <f ca="1">IFERROR(__xludf.DUMMYFUNCTION("""COMPUTED_VALUE"""),"580,")</f>
        <v>580,</v>
      </c>
    </row>
    <row r="329" spans="1:3" ht="15.75" customHeight="1">
      <c r="A329" s="16" t="str">
        <f ca="1">IFERROR(__xludf.DUMMYFUNCTION("""COMPUTED_VALUE"""),"Palit - 16GB GeForce RTX5060Ti INFINITY 3 GDDR7 128bit 3-DP HDMI (NE7506T019T1-GB2061S) (4 штук)")</f>
        <v>Palit - 16GB GeForce RTX5060Ti INFINITY 3 GDDR7 128bit 3-DP HDMI (NE7506T019T1-GB2061S) (4 штук)</v>
      </c>
      <c r="B329" s="16" t="str">
        <f ca="1">IFERROR(__xludf.DUMMYFUNCTION("""COMPUTED_VALUE"""),"NE7506T019T1-GB2061S")</f>
        <v>NE7506T019T1-GB2061S</v>
      </c>
      <c r="C329" s="16" t="str">
        <f ca="1">IFERROR(__xludf.DUMMYFUNCTION("""COMPUTED_VALUE"""),"580,")</f>
        <v>580,</v>
      </c>
    </row>
    <row r="330" spans="1:3" ht="15.75" customHeight="1">
      <c r="A330" s="16" t="str">
        <f ca="1">IFERROR(__xludf.DUMMYFUNCTION("""COMPUTED_VALUE"""),"Palit - 16GB GeForce RTX5060Ti INFINITY 3 OC GDDR7 128bit 3-DP HDMI (NE7506TS19T1-GB2061S)")</f>
        <v>Palit - 16GB GeForce RTX5060Ti INFINITY 3 OC GDDR7 128bit 3-DP HDMI (NE7506TS19T1-GB2061S)</v>
      </c>
      <c r="B330" s="16" t="str">
        <f ca="1">IFERROR(__xludf.DUMMYFUNCTION("""COMPUTED_VALUE"""),"NE7506TS19T1-GB2061S")</f>
        <v>NE7506TS19T1-GB2061S</v>
      </c>
      <c r="C330" s="16" t="str">
        <f ca="1">IFERROR(__xludf.DUMMYFUNCTION("""COMPUTED_VALUE"""),"590,")</f>
        <v>590,</v>
      </c>
    </row>
    <row r="331" spans="1:3" ht="15.75" customHeight="1">
      <c r="A331" s="16" t="str">
        <f ca="1">IFERROR(__xludf.DUMMYFUNCTION("""COMPUTED_VALUE"""),"Palit - 12GB GeForce RTX5070 INFINITY 3 GDDR7 192bit 3-DP HDMI (NE75070019K9-GB2050S)")</f>
        <v>Palit - 12GB GeForce RTX5070 INFINITY 3 GDDR7 192bit 3-DP HDMI (NE75070019K9-GB2050S)</v>
      </c>
      <c r="B331" s="16" t="str">
        <f ca="1">IFERROR(__xludf.DUMMYFUNCTION("""COMPUTED_VALUE"""),"NE75070019K9-GB2050S")</f>
        <v>NE75070019K9-GB2050S</v>
      </c>
      <c r="C331" s="16" t="str">
        <f ca="1">IFERROR(__xludf.DUMMYFUNCTION("""COMPUTED_VALUE"""),"660,")</f>
        <v>660,</v>
      </c>
    </row>
    <row r="332" spans="1:3" ht="15.75" customHeight="1">
      <c r="A332" s="16" t="str">
        <f ca="1">IFERROR(__xludf.DUMMYFUNCTION("""COMPUTED_VALUE"""),"Palit - 12GB GeForce RTX5070 INFINITY 3 OC GDDR7 192bit 3-DP HDMI (NE75070S19K9-GB2050S)")</f>
        <v>Palit - 12GB GeForce RTX5070 INFINITY 3 OC GDDR7 192bit 3-DP HDMI (NE75070S19K9-GB2050S)</v>
      </c>
      <c r="B332" s="16" t="str">
        <f ca="1">IFERROR(__xludf.DUMMYFUNCTION("""COMPUTED_VALUE"""),"NE75070S19K9-GB2050S")</f>
        <v>NE75070S19K9-GB2050S</v>
      </c>
      <c r="C332" s="16" t="str">
        <f ca="1">IFERROR(__xludf.DUMMYFUNCTION("""COMPUTED_VALUE"""),"665,")</f>
        <v>665,</v>
      </c>
    </row>
    <row r="333" spans="1:3" ht="15.75" customHeight="1">
      <c r="A333" s="16" t="str">
        <f ca="1">IFERROR(__xludf.DUMMYFUNCTION("""COMPUTED_VALUE"""),"Palit - 12GB GeForce RTX5070 WHITE OC GDDR7 192bit 3-DP HDMI (NE75070U19K9-GB2050W)")</f>
        <v>Palit - 12GB GeForce RTX5070 WHITE OC GDDR7 192bit 3-DP HDMI (NE75070U19K9-GB2050W)</v>
      </c>
      <c r="B333" s="16" t="str">
        <f ca="1">IFERROR(__xludf.DUMMYFUNCTION("""COMPUTED_VALUE"""),"NE75070U19K9-GB2050W")</f>
        <v>NE75070U19K9-GB2050W</v>
      </c>
      <c r="C333" s="16" t="str">
        <f ca="1">IFERROR(__xludf.DUMMYFUNCTION("""COMPUTED_VALUE"""),"670,")</f>
        <v>670,</v>
      </c>
    </row>
    <row r="334" spans="1:3" ht="15.75" customHeight="1">
      <c r="A334" s="16" t="str">
        <f ca="1">IFERROR(__xludf.DUMMYFUNCTION("""COMPUTED_VALUE"""),"Palit - 16GB GeForce RTX5070Ti GAMINGPRO-S OC GDDR7 256bit 3-DP HDMI (NE7507TS19T2-GB2031U)")</f>
        <v>Palit - 16GB GeForce RTX5070Ti GAMINGPRO-S OC GDDR7 256bit 3-DP HDMI (NE7507TS19T2-GB2031U)</v>
      </c>
      <c r="B334" s="16" t="str">
        <f ca="1">IFERROR(__xludf.DUMMYFUNCTION("""COMPUTED_VALUE"""),"NE7507TS19T2-GB2031U")</f>
        <v>NE7507TS19T2-GB2031U</v>
      </c>
      <c r="C334" s="16" t="str">
        <f ca="1">IFERROR(__xludf.DUMMYFUNCTION("""COMPUTED_VALUE"""),"980,")</f>
        <v>980,</v>
      </c>
    </row>
    <row r="335" spans="1:3" ht="15.75" customHeight="1">
      <c r="A335" s="16" t="str">
        <f ca="1">IFERROR(__xludf.DUMMYFUNCTION("""COMPUTED_VALUE"""),"Palit - 16GB GeForce RTX5080 GAMINGPRO GDDR7 256bit 3-DP HDMI (NE75080019T2-GB2031A)")</f>
        <v>Palit - 16GB GeForce RTX5080 GAMINGPRO GDDR7 256bit 3-DP HDMI (NE75080019T2-GB2031A)</v>
      </c>
      <c r="B335" s="16" t="str">
        <f ca="1">IFERROR(__xludf.DUMMYFUNCTION("""COMPUTED_VALUE"""),"NE75080019T2-GB2031A")</f>
        <v>NE75080019T2-GB2031A</v>
      </c>
      <c r="C335" s="16" t="str">
        <f ca="1">IFERROR(__xludf.DUMMYFUNCTION("""COMPUTED_VALUE"""),"1350,")</f>
        <v>1350,</v>
      </c>
    </row>
    <row r="336" spans="1:3" ht="15.75" customHeight="1">
      <c r="A336" s="16" t="str">
        <f ca="1">IFERROR(__xludf.DUMMYFUNCTION("""COMPUTED_VALUE"""),"Palit - 16GB GeForce RTX5080 GAMINGPRO OC GDDR7 256bit 3-DP HDMI (NE75080S19T2-GB2031A)")</f>
        <v>Palit - 16GB GeForce RTX5080 GAMINGPRO OC GDDR7 256bit 3-DP HDMI (NE75080S19T2-GB2031A)</v>
      </c>
      <c r="B336" s="16" t="str">
        <f ca="1">IFERROR(__xludf.DUMMYFUNCTION("""COMPUTED_VALUE"""),"NE75080S19T2-GB2031A")</f>
        <v>NE75080S19T2-GB2031A</v>
      </c>
      <c r="C336" s="16" t="str">
        <f ca="1">IFERROR(__xludf.DUMMYFUNCTION("""COMPUTED_VALUE"""),"1400,")</f>
        <v>1400,</v>
      </c>
    </row>
    <row r="337" spans="1:3" ht="15.75" customHeight="1">
      <c r="A337" s="16" t="str">
        <f ca="1">IFERROR(__xludf.DUMMYFUNCTION("""COMPUTED_VALUE"""),"Peladin - 8GB ATI Radeon RX580 256Bit GDDR5")</f>
        <v>Peladin - 8GB ATI Radeon RX580 256Bit GDDR5</v>
      </c>
      <c r="B337" s="16" t="str">
        <f ca="1">IFERROR(__xludf.DUMMYFUNCTION("""COMPUTED_VALUE"""),"Peladn RX580 8GB GDDR5")</f>
        <v>Peladn RX580 8GB GDDR5</v>
      </c>
      <c r="C337" s="16" t="str">
        <f ca="1">IFERROR(__xludf.DUMMYFUNCTION("""COMPUTED_VALUE"""),"112,")</f>
        <v>112,</v>
      </c>
    </row>
    <row r="338" spans="1:3" ht="15.75" customHeight="1">
      <c r="A338" s="16" t="str">
        <f ca="1">IFERROR(__xludf.DUMMYFUNCTION("""COMPUTED_VALUE"""),"Peladin - 4GB GeForce GTX1650 128Bits GDDR6")</f>
        <v>Peladin - 4GB GeForce GTX1650 128Bits GDDR6</v>
      </c>
      <c r="B338" s="16" t="str">
        <f ca="1">IFERROR(__xludf.DUMMYFUNCTION("""COMPUTED_VALUE"""),"Peladn GTX1650 4GB GDDR6")</f>
        <v>Peladn GTX1650 4GB GDDR6</v>
      </c>
      <c r="C338" s="16" t="str">
        <f ca="1">IFERROR(__xludf.DUMMYFUNCTION("""COMPUTED_VALUE"""),"140,")</f>
        <v>140,</v>
      </c>
    </row>
    <row r="339" spans="1:3" ht="15.75" customHeight="1">
      <c r="A339" s="16" t="str">
        <f ca="1">IFERROR(__xludf.DUMMYFUNCTION("""COMPUTED_VALUE"""),"Peladin - 8GB GeForce GTX3050 128Bits GDDR6")</f>
        <v>Peladin - 8GB GeForce GTX3050 128Bits GDDR6</v>
      </c>
      <c r="B339" s="16" t="str">
        <f ca="1">IFERROR(__xludf.DUMMYFUNCTION("""COMPUTED_VALUE"""),"Peladn GTX3050 8GB GDDR6")</f>
        <v>Peladn GTX3050 8GB GDDR6</v>
      </c>
      <c r="C339" s="16" t="str">
        <f ca="1">IFERROR(__xludf.DUMMYFUNCTION("""COMPUTED_VALUE"""),"185,")</f>
        <v>185,</v>
      </c>
    </row>
    <row r="340" spans="1:3" ht="15.75" customHeight="1">
      <c r="A340" s="16" t="str">
        <f ca="1">IFERROR(__xludf.DUMMYFUNCTION("""COMPUTED_VALUE"""),"Peladin - 6GB GeForce GTX1660 Super 192Bits GDDR6")</f>
        <v>Peladin - 6GB GeForce GTX1660 Super 192Bits GDDR6</v>
      </c>
      <c r="B340" s="16" t="str">
        <f ca="1">IFERROR(__xludf.DUMMYFUNCTION("""COMPUTED_VALUE"""),"Peladn GTX1660 6GB GDDR6")</f>
        <v>Peladn GTX1660 6GB GDDR6</v>
      </c>
      <c r="C340" s="16" t="str">
        <f ca="1">IFERROR(__xludf.DUMMYFUNCTION("""COMPUTED_VALUE"""),"165,")</f>
        <v>165,</v>
      </c>
    </row>
    <row r="341" spans="1:3" ht="15.75" customHeight="1">
      <c r="A341" s="16" t="str">
        <f ca="1">IFERROR(__xludf.DUMMYFUNCTION("""COMPUTED_VALUE"""),"Peladin - 8GB GeForce GTX2060 Super 256Bits GDDR6")</f>
        <v>Peladin - 8GB GeForce GTX2060 Super 256Bits GDDR6</v>
      </c>
      <c r="B341" s="16" t="str">
        <f ca="1">IFERROR(__xludf.DUMMYFUNCTION("""COMPUTED_VALUE"""),"Peladn GTX2060 8GB GDDR6")</f>
        <v>Peladn GTX2060 8GB GDDR6</v>
      </c>
      <c r="C341" s="16" t="str">
        <f ca="1">IFERROR(__xludf.DUMMYFUNCTION("""COMPUTED_VALUE"""),"217,")</f>
        <v>217,</v>
      </c>
    </row>
    <row r="342" spans="1:3" ht="15.75" customHeight="1">
      <c r="A342" s="16" t="str">
        <f ca="1">IFERROR(__xludf.DUMMYFUNCTION("""COMPUTED_VALUE"""),"Peladin - 8GB GeForce RTX5050 DDR6 128bit ")</f>
        <v xml:space="preserve">Peladin - 8GB GeForce RTX5050 DDR6 128bit </v>
      </c>
      <c r="B342" s="16" t="str">
        <f ca="1">IFERROR(__xludf.DUMMYFUNCTION("""COMPUTED_VALUE"""),"Peladn RTX5050 8GB GDDR6")</f>
        <v>Peladn RTX5050 8GB GDDR6</v>
      </c>
      <c r="C342" s="16" t="str">
        <f ca="1">IFERROR(__xludf.DUMMYFUNCTION("""COMPUTED_VALUE"""),"290,")</f>
        <v>290,</v>
      </c>
    </row>
    <row r="343" spans="1:3" ht="15.75" customHeight="1">
      <c r="A343" s="16" t="str">
        <f ca="1">IFERROR(__xludf.DUMMYFUNCTION("""COMPUTED_VALUE"""),"Peladin - 12GB GeForce RTX3060 192Bits GDDR6")</f>
        <v>Peladin - 12GB GeForce RTX3060 192Bits GDDR6</v>
      </c>
      <c r="B343" s="16" t="str">
        <f ca="1">IFERROR(__xludf.DUMMYFUNCTION("""COMPUTED_VALUE"""),"Peladn RTX3060 12GB GDDR6")</f>
        <v>Peladn RTX3060 12GB GDDR6</v>
      </c>
      <c r="C343" s="16" t="str">
        <f ca="1">IFERROR(__xludf.DUMMYFUNCTION("""COMPUTED_VALUE"""),"305,")</f>
        <v>305,</v>
      </c>
    </row>
    <row r="344" spans="1:3" ht="15.75" customHeight="1">
      <c r="A344" s="16" t="str">
        <f ca="1">IFERROR(__xludf.DUMMYFUNCTION("""COMPUTED_VALUE"""),"Peladin - 8GB GeForce RTX5060 128Bits GDDR6")</f>
        <v>Peladin - 8GB GeForce RTX5060 128Bits GDDR6</v>
      </c>
      <c r="B344" s="16" t="str">
        <f ca="1">IFERROR(__xludf.DUMMYFUNCTION("""COMPUTED_VALUE"""),"Peladn RTX5060 8GB GDDR6")</f>
        <v>Peladn RTX5060 8GB GDDR6</v>
      </c>
      <c r="C344" s="16" t="str">
        <f ca="1">IFERROR(__xludf.DUMMYFUNCTION("""COMPUTED_VALUE"""),"350,")</f>
        <v>350,</v>
      </c>
    </row>
    <row r="345" spans="1:3" ht="15.75" customHeight="1">
      <c r="A345" s="16" t="str">
        <f ca="1">IFERROR(__xludf.DUMMYFUNCTION("""COMPUTED_VALUE"""),"Arktek - 4GB GeForce GTX1650 128Bits GDDR6")</f>
        <v>Arktek - 4GB GeForce GTX1650 128Bits GDDR6</v>
      </c>
      <c r="B345" s="16" t="str">
        <f ca="1">IFERROR(__xludf.DUMMYFUNCTION("""COMPUTED_VALUE"""),"AKN1650D6S4GH1")</f>
        <v>AKN1650D6S4GH1</v>
      </c>
      <c r="C345" s="16" t="str">
        <f ca="1">IFERROR(__xludf.DUMMYFUNCTION("""COMPUTED_VALUE"""),"143,")</f>
        <v>143,</v>
      </c>
    </row>
    <row r="346" spans="1:3" ht="15.75" customHeight="1">
      <c r="A346" s="16" t="str">
        <f ca="1">IFERROR(__xludf.DUMMYFUNCTION("""COMPUTED_VALUE"""),"Arktek - 6GB GeForce GTX1660 Super 192Bits GDDR6")</f>
        <v>Arktek - 6GB GeForce GTX1660 Super 192Bits GDDR6</v>
      </c>
      <c r="B346" s="16" t="str">
        <f ca="1">IFERROR(__xludf.DUMMYFUNCTION("""COMPUTED_VALUE"""),"AKN1660SD6S6GH1")</f>
        <v>AKN1660SD6S6GH1</v>
      </c>
      <c r="C346" s="16" t="str">
        <f ca="1">IFERROR(__xludf.DUMMYFUNCTION("""COMPUTED_VALUE"""),"170,")</f>
        <v>170,</v>
      </c>
    </row>
    <row r="347" spans="1:3" ht="15.75" customHeight="1">
      <c r="A347" s="16" t="str">
        <f ca="1">IFERROR(__xludf.DUMMYFUNCTION("""COMPUTED_VALUE"""),"Arktek - 8GB GeForce GTX3050 128Bits GDDR6")</f>
        <v>Arktek - 8GB GeForce GTX3050 128Bits GDDR6</v>
      </c>
      <c r="B347" s="16" t="str">
        <f ca="1">IFERROR(__xludf.DUMMYFUNCTION("""COMPUTED_VALUE"""),"AKN2060SD6S8GH1")</f>
        <v>AKN2060SD6S8GH1</v>
      </c>
      <c r="C347" s="16" t="str">
        <f ca="1">IFERROR(__xludf.DUMMYFUNCTION("""COMPUTED_VALUE"""),"200,")</f>
        <v>200,</v>
      </c>
    </row>
    <row r="348" spans="1:3" ht="15.75" customHeight="1">
      <c r="A348" s="16" t="str">
        <f ca="1">IFERROR(__xludf.DUMMYFUNCTION("""COMPUTED_VALUE"""),"Arktek - 8GB GeForce GTX2060 Super 256Bits GDDR6")</f>
        <v>Arktek - 8GB GeForce GTX2060 Super 256Bits GDDR6</v>
      </c>
      <c r="B348" s="16" t="str">
        <f ca="1">IFERROR(__xludf.DUMMYFUNCTION("""COMPUTED_VALUE"""),"AKN3050D6S8GH1")</f>
        <v>AKN3050D6S8GH1</v>
      </c>
      <c r="C348" s="16" t="str">
        <f ca="1">IFERROR(__xludf.DUMMYFUNCTION("""COMPUTED_VALUE"""),"220,")</f>
        <v>220,</v>
      </c>
    </row>
    <row r="349" spans="1:3" ht="15.75" customHeight="1">
      <c r="A349" s="16" t="str">
        <f ca="1">IFERROR(__xludf.DUMMYFUNCTION("""COMPUTED_VALUE"""),"Arktek - 12GB GeForce RTX3060 192Bits GDDR6")</f>
        <v>Arktek - 12GB GeForce RTX3060 192Bits GDDR6</v>
      </c>
      <c r="B349" s="16" t="str">
        <f ca="1">IFERROR(__xludf.DUMMYFUNCTION("""COMPUTED_VALUE"""),"AKN3060D6S12GH1")</f>
        <v>AKN3060D6S12GH1</v>
      </c>
      <c r="C349" s="16" t="str">
        <f ca="1">IFERROR(__xludf.DUMMYFUNCTION("""COMPUTED_VALUE"""),"316,")</f>
        <v>316,</v>
      </c>
    </row>
    <row r="350" spans="1:3" ht="15.75" customHeight="1">
      <c r="A350" s="16" t="str">
        <f ca="1">IFERROR(__xludf.DUMMYFUNCTION("""COMPUTED_VALUE"""),"Axle - 4GB GeForce GT730 128Bits GDDR6")</f>
        <v>Axle - 4GB GeForce GT730 128Bits GDDR6</v>
      </c>
      <c r="B350" s="16" t="str">
        <f ca="1">IFERROR(__xludf.DUMMYFUNCTION("""COMPUTED_VALUE"""),"AX-GT730/4GD3P8CDIL")</f>
        <v>AX-GT730/4GD3P8CDIL</v>
      </c>
      <c r="C350" s="16" t="str">
        <f ca="1">IFERROR(__xludf.DUMMYFUNCTION("""COMPUTED_VALUE"""),"45,")</f>
        <v>45,</v>
      </c>
    </row>
    <row r="351" spans="1:3" ht="15.75" customHeight="1">
      <c r="A351" s="16" t="str">
        <f ca="1">IFERROR(__xludf.DUMMYFUNCTION("""COMPUTED_VALUE"""),"Axle - 4GB ATI Radeon RX550 128Bit GDDR5")</f>
        <v>Axle - 4GB ATI Radeon RX550 128Bit GDDR5</v>
      </c>
      <c r="B351" s="16" t="str">
        <f ca="1">IFERROR(__xludf.DUMMYFUNCTION("""COMPUTED_VALUE"""),"AX-RX550/4GD5P8DIP")</f>
        <v>AX-RX550/4GD5P8DIP</v>
      </c>
      <c r="C351" s="16" t="str">
        <f ca="1">IFERROR(__xludf.DUMMYFUNCTION("""COMPUTED_VALUE"""),"74,")</f>
        <v>74,</v>
      </c>
    </row>
    <row r="352" spans="1:3" ht="15.75" customHeight="1">
      <c r="A352" s="16" t="str">
        <f ca="1">IFERROR(__xludf.DUMMYFUNCTION("""COMPUTED_VALUE"""),"Axle - 8GB ATI Radeon RX580 256Bit GDDR5")</f>
        <v>Axle - 8GB ATI Radeon RX580 256Bit GDDR5</v>
      </c>
      <c r="B352" s="16" t="str">
        <f ca="1">IFERROR(__xludf.DUMMYFUNCTION("""COMPUTED_VALUE"""),"Axle RX580 8GB GDDR5")</f>
        <v>Axle RX580 8GB GDDR5</v>
      </c>
      <c r="C352" s="16" t="str">
        <f ca="1">IFERROR(__xludf.DUMMYFUNCTION("""COMPUTED_VALUE"""),"115,")</f>
        <v>115,</v>
      </c>
    </row>
    <row r="353" spans="1:3" ht="15.75" customHeight="1">
      <c r="A353" s="16" t="str">
        <f ca="1">IFERROR(__xludf.DUMMYFUNCTION("""COMPUTED_VALUE"""),"Axle - 6GB GeForce GTX1660 Super 128Bits GDDR6")</f>
        <v>Axle - 6GB GeForce GTX1660 Super 128Bits GDDR6</v>
      </c>
      <c r="B353" s="16" t="str">
        <f ca="1">IFERROR(__xludf.DUMMYFUNCTION("""COMPUTED_VALUE"""),"AX-GTX1660S/6GD6P2DIP")</f>
        <v>AX-GTX1660S/6GD6P2DIP</v>
      </c>
      <c r="C353" s="16" t="str">
        <f ca="1">IFERROR(__xludf.DUMMYFUNCTION("""COMPUTED_VALUE"""),"170,")</f>
        <v>170,</v>
      </c>
    </row>
    <row r="354" spans="1:3" ht="15.75" customHeight="1">
      <c r="A354" s="16" t="str">
        <f ca="1">IFERROR(__xludf.DUMMYFUNCTION("""COMPUTED_VALUE"""),"Axle - 8GB GeForce GTX2060 Super 256Bits GDDR6")</f>
        <v>Axle - 8GB GeForce GTX2060 Super 256Bits GDDR6</v>
      </c>
      <c r="B354" s="16" t="str">
        <f ca="1">IFERROR(__xludf.DUMMYFUNCTION("""COMPUTED_VALUE"""),"Axle RTX2060 Super 8GB GDDR6")</f>
        <v>Axle RTX2060 Super 8GB GDDR6</v>
      </c>
      <c r="C354" s="16" t="str">
        <f ca="1">IFERROR(__xludf.DUMMYFUNCTION("""COMPUTED_VALUE"""),"220,")</f>
        <v>220,</v>
      </c>
    </row>
    <row r="355" spans="1:3" ht="15.75" customHeight="1">
      <c r="A355" s="16" t="str">
        <f ca="1">IFERROR(__xludf.DUMMYFUNCTION("""COMPUTED_VALUE"""),"Axle - 8GB GeForce RTX3050 128Bits GDDR6")</f>
        <v>Axle - 8GB GeForce RTX3050 128Bits GDDR6</v>
      </c>
      <c r="B355" s="16" t="str">
        <f ca="1">IFERROR(__xludf.DUMMYFUNCTION("""COMPUTED_VALUE"""),"Axle RTX3050 8GB GDDR6")</f>
        <v>Axle RTX3050 8GB GDDR6</v>
      </c>
      <c r="C355" s="16" t="str">
        <f ca="1">IFERROR(__xludf.DUMMYFUNCTION("""COMPUTED_VALUE"""),"200,")</f>
        <v>200,</v>
      </c>
    </row>
    <row r="356" spans="1:3" ht="15.75" customHeight="1">
      <c r="A356" s="16" t="str">
        <f ca="1">IFERROR(__xludf.DUMMYFUNCTION("""COMPUTED_VALUE"""),"Axle - 12GB GeForce RTX3060 192Bits GDDR6")</f>
        <v>Axle - 12GB GeForce RTX3060 192Bits GDDR6</v>
      </c>
      <c r="B356" s="16" t="str">
        <f ca="1">IFERROR(__xludf.DUMMYFUNCTION("""COMPUTED_VALUE"""),"AX-RTX3060/12GD6P2IP3")</f>
        <v>AX-RTX3060/12GD6P2IP3</v>
      </c>
      <c r="C356" s="16" t="str">
        <f ca="1">IFERROR(__xludf.DUMMYFUNCTION("""COMPUTED_VALUE"""),"300,")</f>
        <v>300,</v>
      </c>
    </row>
    <row r="357" spans="1:3" ht="15.75" customHeight="1">
      <c r="A357" s="16" t="str">
        <f ca="1">IFERROR(__xludf.DUMMYFUNCTION("""COMPUTED_VALUE"""),"MSI - 8GB GeForce RTX3050 VENTUS 2X XS OC (912-V809-4419) (1 штук)")</f>
        <v>MSI - 8GB GeForce RTX3050 VENTUS 2X XS OC (912-V809-4419) (1 штук)</v>
      </c>
      <c r="B357" s="16" t="str">
        <f ca="1">IFERROR(__xludf.DUMMYFUNCTION("""COMPUTED_VALUE"""),"912-V809-4419")</f>
        <v>912-V809-4419</v>
      </c>
      <c r="C357" s="16" t="str">
        <f ca="1">IFERROR(__xludf.DUMMYFUNCTION("""COMPUTED_VALUE"""),"220,")</f>
        <v>220,</v>
      </c>
    </row>
    <row r="358" spans="1:3" ht="15.75" customHeight="1">
      <c r="A358" s="16" t="str">
        <f ca="1">IFERROR(__xludf.DUMMYFUNCTION("""COMPUTED_VALUE"""),"MSI - 8GB GeForce RTX5060 SHADOW 2X (912-V537-064) ")</f>
        <v xml:space="preserve">MSI - 8GB GeForce RTX5060 SHADOW 2X (912-V537-064) </v>
      </c>
      <c r="B358" s="16" t="str">
        <f ca="1">IFERROR(__xludf.DUMMYFUNCTION("""COMPUTED_VALUE"""),"")</f>
        <v/>
      </c>
      <c r="C358" s="16" t="str">
        <f ca="1">IFERROR(__xludf.DUMMYFUNCTION("""COMPUTED_VALUE"""),"375,")</f>
        <v>375,</v>
      </c>
    </row>
    <row r="359" spans="1:3" ht="15.75" customHeight="1">
      <c r="A359" s="16" t="str">
        <f ca="1">IFERROR(__xludf.DUMMYFUNCTION("""COMPUTED_VALUE"""),"MSI - 8GB GeForce RTX5060 SHADOW 2X OC (912-V537-095) ")</f>
        <v xml:space="preserve">MSI - 8GB GeForce RTX5060 SHADOW 2X OC (912-V537-095) </v>
      </c>
      <c r="B359" s="16" t="str">
        <f ca="1">IFERROR(__xludf.DUMMYFUNCTION("""COMPUTED_VALUE"""),"")</f>
        <v/>
      </c>
      <c r="C359" s="16" t="str">
        <f ca="1">IFERROR(__xludf.DUMMYFUNCTION("""COMPUTED_VALUE"""),"380,")</f>
        <v>380,</v>
      </c>
    </row>
    <row r="360" spans="1:3" ht="15.75" customHeight="1">
      <c r="A360" s="16" t="str">
        <f ca="1">IFERROR(__xludf.DUMMYFUNCTION("""COMPUTED_VALUE"""),"MSI - 8GB GeForce RTX5060 VENTUS 2X WHITE (912-V537-013) (3 штук)")</f>
        <v>MSI - 8GB GeForce RTX5060 VENTUS 2X WHITE (912-V537-013) (3 штук)</v>
      </c>
      <c r="B360" s="16" t="str">
        <f ca="1">IFERROR(__xludf.DUMMYFUNCTION("""COMPUTED_VALUE"""),"912-V537-013")</f>
        <v>912-V537-013</v>
      </c>
      <c r="C360" s="16" t="str">
        <f ca="1">IFERROR(__xludf.DUMMYFUNCTION("""COMPUTED_VALUE"""),"380,")</f>
        <v>380,</v>
      </c>
    </row>
    <row r="361" spans="1:3" ht="15.75" customHeight="1">
      <c r="A361" s="16" t="str">
        <f ca="1">IFERROR(__xludf.DUMMYFUNCTION("""COMPUTED_VALUE"""),"MSI - 8GB GeForce RTX5060 INSPIRE ITX (912-V537-200) (3 штук)")</f>
        <v>MSI - 8GB GeForce RTX5060 INSPIRE ITX (912-V537-200) (3 штук)</v>
      </c>
      <c r="B361" s="16" t="str">
        <f ca="1">IFERROR(__xludf.DUMMYFUNCTION("""COMPUTED_VALUE"""),"912-V537-200")</f>
        <v>912-V537-200</v>
      </c>
      <c r="C361" s="16" t="str">
        <f ca="1">IFERROR(__xludf.DUMMYFUNCTION("""COMPUTED_VALUE"""),"380,")</f>
        <v>380,</v>
      </c>
    </row>
    <row r="362" spans="1:3" ht="15.75" customHeight="1">
      <c r="A362" s="16" t="str">
        <f ca="1">IFERROR(__xludf.DUMMYFUNCTION("""COMPUTED_VALUE"""),"MSI - 8GB GeForce RTX5060 GAMING OC (912-V537-005)")</f>
        <v>MSI - 8GB GeForce RTX5060 GAMING OC (912-V537-005)</v>
      </c>
      <c r="B362" s="16" t="str">
        <f ca="1">IFERROR(__xludf.DUMMYFUNCTION("""COMPUTED_VALUE"""),"912-V537-005")</f>
        <v>912-V537-005</v>
      </c>
      <c r="C362" s="16" t="str">
        <f ca="1">IFERROR(__xludf.DUMMYFUNCTION("""COMPUTED_VALUE"""),"390,")</f>
        <v>390,</v>
      </c>
    </row>
    <row r="363" spans="1:3" ht="15.75" customHeight="1">
      <c r="A363" s="16" t="str">
        <f ca="1">IFERROR(__xludf.DUMMYFUNCTION("""COMPUTED_VALUE"""),"MSI - 8GB GeForce RTX5060Ti VENTUS 2X OC PLUS (912-V536-003)")</f>
        <v>MSI - 8GB GeForce RTX5060Ti VENTUS 2X OC PLUS (912-V536-003)</v>
      </c>
      <c r="B363" s="16" t="str">
        <f ca="1">IFERROR(__xludf.DUMMYFUNCTION("""COMPUTED_VALUE"""),"912-V536-003")</f>
        <v>912-V536-003</v>
      </c>
      <c r="C363" s="16" t="str">
        <f ca="1">IFERROR(__xludf.DUMMYFUNCTION("""COMPUTED_VALUE"""),"450,")</f>
        <v>450,</v>
      </c>
    </row>
    <row r="364" spans="1:3" ht="15.75" customHeight="1">
      <c r="A364" s="16" t="str">
        <f ca="1">IFERROR(__xludf.DUMMYFUNCTION("""COMPUTED_VALUE"""),"MSI - 16GB GeForce RTX5060Ti SHADOW 2X PLUS (912-V535-071)")</f>
        <v>MSI - 16GB GeForce RTX5060Ti SHADOW 2X PLUS (912-V535-071)</v>
      </c>
      <c r="B364" s="16" t="str">
        <f ca="1">IFERROR(__xludf.DUMMYFUNCTION("""COMPUTED_VALUE"""),"912-V535-071")</f>
        <v>912-V535-071</v>
      </c>
      <c r="C364" s="16" t="str">
        <f ca="1">IFERROR(__xludf.DUMMYFUNCTION("""COMPUTED_VALUE"""),"565,")</f>
        <v>565,</v>
      </c>
    </row>
    <row r="365" spans="1:3" ht="15.75" customHeight="1">
      <c r="A365" s="16" t="str">
        <f ca="1">IFERROR(__xludf.DUMMYFUNCTION("""COMPUTED_VALUE"""),"MSI - 16GB GeForce RTX5060Ti SHADOW 2X OC PLUS (912-V535-003)")</f>
        <v>MSI - 16GB GeForce RTX5060Ti SHADOW 2X OC PLUS (912-V535-003)</v>
      </c>
      <c r="B365" s="16" t="str">
        <f ca="1">IFERROR(__xludf.DUMMYFUNCTION("""COMPUTED_VALUE"""),"912-V535-003")</f>
        <v>912-V535-003</v>
      </c>
      <c r="C365" s="16" t="str">
        <f ca="1">IFERROR(__xludf.DUMMYFUNCTION("""COMPUTED_VALUE"""),"570,")</f>
        <v>570,</v>
      </c>
    </row>
    <row r="366" spans="1:3" ht="15.75" customHeight="1">
      <c r="A366" s="16" t="str">
        <f ca="1">IFERROR(__xludf.DUMMYFUNCTION("""COMPUTED_VALUE"""),"MSI - 16GB GeForce RTX5060Ti VENTUS 2X PLUS (912-V535-059)")</f>
        <v>MSI - 16GB GeForce RTX5060Ti VENTUS 2X PLUS (912-V535-059)</v>
      </c>
      <c r="B366" s="16" t="str">
        <f ca="1">IFERROR(__xludf.DUMMYFUNCTION("""COMPUTED_VALUE"""),"")</f>
        <v/>
      </c>
      <c r="C366" s="16" t="str">
        <f ca="1">IFERROR(__xludf.DUMMYFUNCTION("""COMPUTED_VALUE"""),"590,")</f>
        <v>590,</v>
      </c>
    </row>
    <row r="367" spans="1:3" ht="15.75" customHeight="1">
      <c r="A367" s="16" t="str">
        <f ca="1">IFERROR(__xludf.DUMMYFUNCTION("""COMPUTED_VALUE"""),"MSI - 16GB GeForce RTX5060Ti VENTUS 2X OC PLUS (912-V535-005)")</f>
        <v>MSI - 16GB GeForce RTX5060Ti VENTUS 2X OC PLUS (912-V535-005)</v>
      </c>
      <c r="B367" s="16" t="str">
        <f ca="1">IFERROR(__xludf.DUMMYFUNCTION("""COMPUTED_VALUE"""),"912-V535-005")</f>
        <v>912-V535-005</v>
      </c>
      <c r="C367" s="16" t="str">
        <f ca="1">IFERROR(__xludf.DUMMYFUNCTION("""COMPUTED_VALUE"""),"590,")</f>
        <v>590,</v>
      </c>
    </row>
    <row r="368" spans="1:3" ht="15.75" customHeight="1">
      <c r="A368" s="16" t="str">
        <f ca="1">IFERROR(__xludf.DUMMYFUNCTION("""COMPUTED_VALUE"""),"MSI - 16GB GeForce RTX5060Ti INSPIRE 2X OC (912-V535-007)")</f>
        <v>MSI - 16GB GeForce RTX5060Ti INSPIRE 2X OC (912-V535-007)</v>
      </c>
      <c r="B368" s="16" t="str">
        <f ca="1">IFERROR(__xludf.DUMMYFUNCTION("""COMPUTED_VALUE"""),"912-V535-007")</f>
        <v>912-V535-007</v>
      </c>
      <c r="C368" s="16" t="str">
        <f ca="1">IFERROR(__xludf.DUMMYFUNCTION("""COMPUTED_VALUE"""),"590,")</f>
        <v>590,</v>
      </c>
    </row>
    <row r="369" spans="1:3" ht="15.75" customHeight="1">
      <c r="A369" s="16" t="str">
        <f ca="1">IFERROR(__xludf.DUMMYFUNCTION("""COMPUTED_VALUE"""),"MSI - 16GB GeForce RTX5060Ti GAMING OC (912-V535-006)")</f>
        <v>MSI - 16GB GeForce RTX5060Ti GAMING OC (912-V535-006)</v>
      </c>
      <c r="B369" s="16" t="str">
        <f ca="1">IFERROR(__xludf.DUMMYFUNCTION("""COMPUTED_VALUE"""),"")</f>
        <v/>
      </c>
      <c r="C369" s="16" t="str">
        <f ca="1">IFERROR(__xludf.DUMMYFUNCTION("""COMPUTED_VALUE"""),"620,")</f>
        <v>620,</v>
      </c>
    </row>
    <row r="370" spans="1:3" ht="15.75" customHeight="1">
      <c r="A370" s="16" t="str">
        <f ca="1">IFERROR(__xludf.DUMMYFUNCTION("""COMPUTED_VALUE"""),"MSI - 12GB GeForce RTX5070 VENTUS 3X OC (912-V532-204)")</f>
        <v>MSI - 12GB GeForce RTX5070 VENTUS 3X OC (912-V532-204)</v>
      </c>
      <c r="B370" s="16" t="str">
        <f ca="1">IFERROR(__xludf.DUMMYFUNCTION("""COMPUTED_VALUE"""),"912-V532-204")</f>
        <v>912-V532-204</v>
      </c>
      <c r="C370" s="16" t="str">
        <f ca="1">IFERROR(__xludf.DUMMYFUNCTION("""COMPUTED_VALUE"""),"700,")</f>
        <v>700,</v>
      </c>
    </row>
    <row r="371" spans="1:3" ht="15.75" customHeight="1">
      <c r="A371" s="16" t="str">
        <f ca="1">IFERROR(__xludf.DUMMYFUNCTION("""COMPUTED_VALUE"""),"MSI - 12GB GeForce RTX5070 SHADOW 2X OC (912-V532-005)")</f>
        <v>MSI - 12GB GeForce RTX5070 SHADOW 2X OC (912-V532-005)</v>
      </c>
      <c r="B371" s="16" t="str">
        <f ca="1">IFERROR(__xludf.DUMMYFUNCTION("""COMPUTED_VALUE"""),"912-V532-005")</f>
        <v>912-V532-005</v>
      </c>
      <c r="C371" s="16" t="str">
        <f ca="1">IFERROR(__xludf.DUMMYFUNCTION("""COMPUTED_VALUE"""),"630,")</f>
        <v>630,</v>
      </c>
    </row>
    <row r="372" spans="1:3" ht="15.75" customHeight="1">
      <c r="A372" s="16" t="str">
        <f ca="1">IFERROR(__xludf.DUMMYFUNCTION("""COMPUTED_VALUE"""),"MSI - 12GB GeForce RTX5070 SHADOW 3X OC (912-V532-241)")</f>
        <v>MSI - 12GB GeForce RTX5070 SHADOW 3X OC (912-V532-241)</v>
      </c>
      <c r="B372" s="16" t="str">
        <f ca="1">IFERROR(__xludf.DUMMYFUNCTION("""COMPUTED_VALUE"""),"912-V532-241")</f>
        <v>912-V532-241</v>
      </c>
      <c r="C372" s="16" t="str">
        <f ca="1">IFERROR(__xludf.DUMMYFUNCTION("""COMPUTED_VALUE"""),"680,")</f>
        <v>680,</v>
      </c>
    </row>
    <row r="373" spans="1:3" ht="15.75" customHeight="1">
      <c r="A373" s="16" t="str">
        <f ca="1">IFERROR(__xludf.DUMMYFUNCTION("""COMPUTED_VALUE"""),"MSI - 12GB GeForce RTX5070 INSPIRE 3X OC (912-V532-006)")</f>
        <v>MSI - 12GB GeForce RTX5070 INSPIRE 3X OC (912-V532-006)</v>
      </c>
      <c r="B373" s="16" t="str">
        <f ca="1">IFERROR(__xludf.DUMMYFUNCTION("""COMPUTED_VALUE"""),"912-V532-006")</f>
        <v>912-V532-006</v>
      </c>
      <c r="C373" s="16" t="str">
        <f ca="1">IFERROR(__xludf.DUMMYFUNCTION("""COMPUTED_VALUE"""),"690,")</f>
        <v>690,</v>
      </c>
    </row>
    <row r="374" spans="1:3" ht="15.75" customHeight="1">
      <c r="A374" s="16" t="str">
        <f ca="1">IFERROR(__xludf.DUMMYFUNCTION("""COMPUTED_VALUE"""),"MSI - 12GB GeForce RTX5070 GAMING TRIO OC (912-V532-029)")</f>
        <v>MSI - 12GB GeForce RTX5070 GAMING TRIO OC (912-V532-029)</v>
      </c>
      <c r="B374" s="16" t="str">
        <f ca="1">IFERROR(__xludf.DUMMYFUNCTION("""COMPUTED_VALUE"""),"912-V532-029")</f>
        <v>912-V532-029</v>
      </c>
      <c r="C374" s="16" t="str">
        <f ca="1">IFERROR(__xludf.DUMMYFUNCTION("""COMPUTED_VALUE"""),"770,")</f>
        <v>770,</v>
      </c>
    </row>
    <row r="375" spans="1:3" ht="15.75" customHeight="1">
      <c r="A375" s="16" t="str">
        <f ca="1">IFERROR(__xludf.DUMMYFUNCTION("""COMPUTED_VALUE"""),"MSI - 12GB GeForce RTX5070 GAMING TRIO (912-V532-030)")</f>
        <v>MSI - 12GB GeForce RTX5070 GAMING TRIO (912-V532-030)</v>
      </c>
      <c r="B375" s="16" t="str">
        <f ca="1">IFERROR(__xludf.DUMMYFUNCTION("""COMPUTED_VALUE"""),"912-V532-030")</f>
        <v>912-V532-030</v>
      </c>
      <c r="C375" s="16" t="str">
        <f ca="1">IFERROR(__xludf.DUMMYFUNCTION("""COMPUTED_VALUE"""),"760,")</f>
        <v>760,</v>
      </c>
    </row>
    <row r="376" spans="1:3" ht="15.75" customHeight="1">
      <c r="A376" s="16" t="str">
        <f ca="1">IFERROR(__xludf.DUMMYFUNCTION("""COMPUTED_VALUE"""),"MSI - 16GB GeForce RTX5070Ti VENTUS 3X OC (912-V531-445)")</f>
        <v>MSI - 16GB GeForce RTX5070Ti VENTUS 3X OC (912-V531-445)</v>
      </c>
      <c r="B376" s="16" t="str">
        <f ca="1">IFERROR(__xludf.DUMMYFUNCTION("""COMPUTED_VALUE"""),"912-V531-445")</f>
        <v>912-V531-445</v>
      </c>
      <c r="C376" s="16" t="str">
        <f ca="1">IFERROR(__xludf.DUMMYFUNCTION("""COMPUTED_VALUE"""),"1000,")</f>
        <v>1000,</v>
      </c>
    </row>
    <row r="377" spans="1:3" ht="15.75" customHeight="1">
      <c r="A377" s="16" t="str">
        <f ca="1">IFERROR(__xludf.DUMMYFUNCTION("""COMPUTED_VALUE"""),"MSI - 16GB GeForce RTX5070Ti GAMING TRIO OC (912-V531-433) (1 штук)")</f>
        <v>MSI - 16GB GeForce RTX5070Ti GAMING TRIO OC (912-V531-433) (1 штук)</v>
      </c>
      <c r="B377" s="16" t="str">
        <f ca="1">IFERROR(__xludf.DUMMYFUNCTION("""COMPUTED_VALUE"""),"912-V531-433")</f>
        <v>912-V531-433</v>
      </c>
      <c r="C377" s="16" t="str">
        <f ca="1">IFERROR(__xludf.DUMMYFUNCTION("""COMPUTED_VALUE"""),"1100,")</f>
        <v>1100,</v>
      </c>
    </row>
    <row r="378" spans="1:3" ht="15.75" customHeight="1">
      <c r="A378" s="16" t="str">
        <f ca="1">IFERROR(__xludf.DUMMYFUNCTION("""COMPUTED_VALUE"""),"MSI - 16GB GeForce RTX5070Ti MLG EDITION OC (912-V531-604)")</f>
        <v>MSI - 16GB GeForce RTX5070Ti MLG EDITION OC (912-V531-604)</v>
      </c>
      <c r="B378" s="16" t="str">
        <f ca="1">IFERROR(__xludf.DUMMYFUNCTION("""COMPUTED_VALUE"""),"912-V531-604")</f>
        <v>912-V531-604</v>
      </c>
      <c r="C378" s="16" t="str">
        <f ca="1">IFERROR(__xludf.DUMMYFUNCTION("""COMPUTED_VALUE"""),"1050,")</f>
        <v>1050,</v>
      </c>
    </row>
    <row r="379" spans="1:3" ht="15.75" customHeight="1">
      <c r="A379" s="16" t="str">
        <f ca="1">IFERROR(__xludf.DUMMYFUNCTION("""COMPUTED_VALUE"""),"MSI - 16GB GeForce RTX5080 VENTUS 3X PLUS (912-V531-298) (1 штук)")</f>
        <v>MSI - 16GB GeForce RTX5080 VENTUS 3X PLUS (912-V531-298) (1 штук)</v>
      </c>
      <c r="B379" s="16" t="str">
        <f ca="1">IFERROR(__xludf.DUMMYFUNCTION("""COMPUTED_VALUE"""),"912-V531-298")</f>
        <v>912-V531-298</v>
      </c>
      <c r="C379" s="16" t="str">
        <f ca="1">IFERROR(__xludf.DUMMYFUNCTION("""COMPUTED_VALUE"""),"1550,")</f>
        <v>1550,</v>
      </c>
    </row>
    <row r="380" spans="1:3" ht="15.75" customHeight="1">
      <c r="A380" s="16" t="str">
        <f ca="1">IFERROR(__xludf.DUMMYFUNCTION("""COMPUTED_VALUE"""),"MSI - 16GB GeForce RTX5080 GAMING TRIO WHITE (912-V531-050)")</f>
        <v>MSI - 16GB GeForce RTX5080 GAMING TRIO WHITE (912-V531-050)</v>
      </c>
      <c r="B380" s="16" t="str">
        <f ca="1">IFERROR(__xludf.DUMMYFUNCTION("""COMPUTED_VALUE"""),"912-V531-050")</f>
        <v>912-V531-050</v>
      </c>
      <c r="C380" s="16" t="str">
        <f ca="1">IFERROR(__xludf.DUMMYFUNCTION("""COMPUTED_VALUE"""),"1530,")</f>
        <v>1530,</v>
      </c>
    </row>
    <row r="381" spans="1:3" ht="15.75" customHeight="1">
      <c r="A381" s="16" t="str">
        <f ca="1">IFERROR(__xludf.DUMMYFUNCTION("""COMPUTED_VALUE"""),"MSI - 16GB GeForce RTX5080 GAMING TRIO OC WHITE (912-V531-049)")</f>
        <v>MSI - 16GB GeForce RTX5080 GAMING TRIO OC WHITE (912-V531-049)</v>
      </c>
      <c r="B381" s="16" t="str">
        <f ca="1">IFERROR(__xludf.DUMMYFUNCTION("""COMPUTED_VALUE"""),"912-V531-049")</f>
        <v>912-V531-049</v>
      </c>
      <c r="C381" s="16" t="str">
        <f ca="1">IFERROR(__xludf.DUMMYFUNCTION("""COMPUTED_VALUE"""),"1550,")</f>
        <v>1550,</v>
      </c>
    </row>
    <row r="382" spans="1:3" ht="15.75" customHeight="1">
      <c r="A382" s="16" t="str">
        <f ca="1">IFERROR(__xludf.DUMMYFUNCTION("""COMPUTED_VALUE"""),"Gigabyte - 8GB GeForce RTX3050 WINDFORCE V2 GV-N3050WF2V2-8GD (1 штук)")</f>
        <v>Gigabyte - 8GB GeForce RTX3050 WINDFORCE V2 GV-N3050WF2V2-8GD (1 штук)</v>
      </c>
      <c r="B382" s="16" t="str">
        <f ca="1">IFERROR(__xludf.DUMMYFUNCTION("""COMPUTED_VALUE"""),"GV-N3050WF2V2-8GD")</f>
        <v>GV-N3050WF2V2-8GD</v>
      </c>
      <c r="C382" s="16" t="str">
        <f ca="1">IFERROR(__xludf.DUMMYFUNCTION("""COMPUTED_VALUE"""),"245,")</f>
        <v>245,</v>
      </c>
    </row>
    <row r="383" spans="1:3" ht="15.75" customHeight="1">
      <c r="A383" s="16" t="str">
        <f ca="1">IFERROR(__xludf.DUMMYFUNCTION("""COMPUTED_VALUE"""),"Gigabyte - 8GB GeForce RTX3050 WINDFORCE OC V2 GV-N3050WF2OCV2-8GD")</f>
        <v>Gigabyte - 8GB GeForce RTX3050 WINDFORCE OC V2 GV-N3050WF2OCV2-8GD</v>
      </c>
      <c r="B383" s="16" t="str">
        <f ca="1">IFERROR(__xludf.DUMMYFUNCTION("""COMPUTED_VALUE"""),"GV-N3050WF2OCV2-8GD")</f>
        <v>GV-N3050WF2OCV2-8GD</v>
      </c>
      <c r="C383" s="16" t="str">
        <f ca="1">IFERROR(__xludf.DUMMYFUNCTION("""COMPUTED_VALUE"""),"245,")</f>
        <v>245,</v>
      </c>
    </row>
    <row r="384" spans="1:3" ht="15.75" customHeight="1">
      <c r="A384" s="16" t="str">
        <f ca="1">IFERROR(__xludf.DUMMYFUNCTION("""COMPUTED_VALUE"""),"Gigabyte - 8GB GeForce RTX5050 WINDFORCE OC V2 GV-N5050WF2OCV2-8GD")</f>
        <v>Gigabyte - 8GB GeForce RTX5050 WINDFORCE OC V2 GV-N5050WF2OCV2-8GD</v>
      </c>
      <c r="B384" s="16" t="str">
        <f ca="1">IFERROR(__xludf.DUMMYFUNCTION("""COMPUTED_VALUE"""),"")</f>
        <v/>
      </c>
      <c r="C384" s="16" t="str">
        <f ca="1">IFERROR(__xludf.DUMMYFUNCTION("""COMPUTED_VALUE"""),"315,")</f>
        <v>315,</v>
      </c>
    </row>
    <row r="385" spans="1:3" ht="15.75" customHeight="1">
      <c r="A385" s="16" t="str">
        <f ca="1">IFERROR(__xludf.DUMMYFUNCTION("""COMPUTED_VALUE"""),"Gigabyte - 8GB GeForce RTX5060 WINDFORCE MAX OC GV-N5060WF2MAX OC-8GD (2 штук)")</f>
        <v>Gigabyte - 8GB GeForce RTX5060 WINDFORCE MAX OC GV-N5060WF2MAX OC-8GD (2 штук)</v>
      </c>
      <c r="B385" s="16" t="str">
        <f ca="1">IFERROR(__xludf.DUMMYFUNCTION("""COMPUTED_VALUE"""),"GV-N5060WF2MAX OC-8GD")</f>
        <v>GV-N5060WF2MAX OC-8GD</v>
      </c>
      <c r="C385" s="16" t="str">
        <f ca="1">IFERROR(__xludf.DUMMYFUNCTION("""COMPUTED_VALUE"""),"380,")</f>
        <v>380,</v>
      </c>
    </row>
    <row r="386" spans="1:3" ht="15.75" customHeight="1">
      <c r="A386" s="16" t="str">
        <f ca="1">IFERROR(__xludf.DUMMYFUNCTION("""COMPUTED_VALUE"""),"Gigabyte - 8GB GeForce RTX5060 EAGLE OC GV-N5060EAGLE OC-8GD")</f>
        <v>Gigabyte - 8GB GeForce RTX5060 EAGLE OC GV-N5060EAGLE OC-8GD</v>
      </c>
      <c r="B386" s="16" t="str">
        <f ca="1">IFERROR(__xludf.DUMMYFUNCTION("""COMPUTED_VALUE"""),"")</f>
        <v/>
      </c>
      <c r="C386" s="16" t="str">
        <f ca="1">IFERROR(__xludf.DUMMYFUNCTION("""COMPUTED_VALUE"""),"380,")</f>
        <v>380,</v>
      </c>
    </row>
    <row r="387" spans="1:3" ht="15.75" customHeight="1">
      <c r="A387" s="16" t="str">
        <f ca="1">IFERROR(__xludf.DUMMYFUNCTION("""COMPUTED_VALUE"""),"Gigabyte - 8GB GeForce RTX5060 GAMING OC GV-N5060GAMING OC-8GD")</f>
        <v>Gigabyte - 8GB GeForce RTX5060 GAMING OC GV-N5060GAMING OC-8GD</v>
      </c>
      <c r="B387" s="16" t="str">
        <f ca="1">IFERROR(__xludf.DUMMYFUNCTION("""COMPUTED_VALUE"""),"")</f>
        <v/>
      </c>
      <c r="C387" s="16" t="str">
        <f ca="1">IFERROR(__xludf.DUMMYFUNCTION("""COMPUTED_VALUE"""),"390,")</f>
        <v>390,</v>
      </c>
    </row>
    <row r="388" spans="1:3" ht="15.75" customHeight="1">
      <c r="A388" s="16" t="str">
        <f ca="1">IFERROR(__xludf.DUMMYFUNCTION("""COMPUTED_VALUE"""),"Gigabyte - 8GB GeForce RTX4060Ti WINDFORCE OC GV-N406TWF2OC-8GD (3 штук)")</f>
        <v>Gigabyte - 8GB GeForce RTX4060Ti WINDFORCE OC GV-N406TWF2OC-8GD (3 штук)</v>
      </c>
      <c r="B388" s="16" t="str">
        <f ca="1">IFERROR(__xludf.DUMMYFUNCTION("""COMPUTED_VALUE"""),"GV-N406TWF2OC-8GD")</f>
        <v>GV-N406TWF2OC-8GD</v>
      </c>
      <c r="C388" s="16" t="str">
        <f ca="1">IFERROR(__xludf.DUMMYFUNCTION("""COMPUTED_VALUE"""),"410,")</f>
        <v>410,</v>
      </c>
    </row>
    <row r="389" spans="1:3" ht="15.75" customHeight="1">
      <c r="A389" s="16" t="str">
        <f ca="1">IFERROR(__xludf.DUMMYFUNCTION("""COMPUTED_VALUE"""),"Gigabyte - 8GB GeForce RTX5060Ti WINDFORCE GV-N506TWF2-8GD")</f>
        <v>Gigabyte - 8GB GeForce RTX5060Ti WINDFORCE GV-N506TWF2-8GD</v>
      </c>
      <c r="B389" s="16" t="str">
        <f ca="1">IFERROR(__xludf.DUMMYFUNCTION("""COMPUTED_VALUE"""),"GV-N506TWF2-8GD")</f>
        <v>GV-N506TWF2-8GD</v>
      </c>
      <c r="C389" s="16" t="str">
        <f ca="1">IFERROR(__xludf.DUMMYFUNCTION("""COMPUTED_VALUE"""),"430,")</f>
        <v>430,</v>
      </c>
    </row>
    <row r="390" spans="1:3" ht="15.75" customHeight="1">
      <c r="A390" s="16" t="str">
        <f ca="1">IFERROR(__xludf.DUMMYFUNCTION("""COMPUTED_VALUE"""),"Gigabyte - 8GB GeForce RTX5060Ti WINDFORCE OC GV-N506TWF2OC-8GD")</f>
        <v>Gigabyte - 8GB GeForce RTX5060Ti WINDFORCE OC GV-N506TWF2OC-8GD</v>
      </c>
      <c r="B390" s="16" t="str">
        <f ca="1">IFERROR(__xludf.DUMMYFUNCTION("""COMPUTED_VALUE"""),"GV-N506TWF2OC-8GD")</f>
        <v>GV-N506TWF2OC-8GD</v>
      </c>
      <c r="C390" s="16" t="str">
        <f ca="1">IFERROR(__xludf.DUMMYFUNCTION("""COMPUTED_VALUE"""),"430,")</f>
        <v>430,</v>
      </c>
    </row>
    <row r="391" spans="1:3" ht="15.75" customHeight="1">
      <c r="A391" s="16" t="str">
        <f ca="1">IFERROR(__xludf.DUMMYFUNCTION("""COMPUTED_VALUE"""),"Gigabyte - 8GB GeForce RTX5060Ti EAGLE OC GV-N506TEAGLE OC-8GD")</f>
        <v>Gigabyte - 8GB GeForce RTX5060Ti EAGLE OC GV-N506TEAGLE OC-8GD</v>
      </c>
      <c r="B391" s="16" t="str">
        <f ca="1">IFERROR(__xludf.DUMMYFUNCTION("""COMPUTED_VALUE"""),"GV-N506TEAGLE OC-8GD")</f>
        <v>GV-N506TEAGLE OC-8GD</v>
      </c>
      <c r="C391" s="16" t="str">
        <f ca="1">IFERROR(__xludf.DUMMYFUNCTION("""COMPUTED_VALUE"""),"430,")</f>
        <v>430,</v>
      </c>
    </row>
    <row r="392" spans="1:3" ht="15.75" customHeight="1">
      <c r="A392" s="16" t="str">
        <f ca="1">IFERROR(__xludf.DUMMYFUNCTION("""COMPUTED_VALUE"""),"Gigabyte - 16GB GeForce RTX5060Ti WINDFORCE GV-N506TWF2-16GD (2 штук)")</f>
        <v>Gigabyte - 16GB GeForce RTX5060Ti WINDFORCE GV-N506TWF2-16GD (2 штук)</v>
      </c>
      <c r="B392" s="16" t="str">
        <f ca="1">IFERROR(__xludf.DUMMYFUNCTION("""COMPUTED_VALUE"""),"GV-N506TWF2-16GD")</f>
        <v>GV-N506TWF2-16GD</v>
      </c>
      <c r="C392" s="16" t="str">
        <f ca="1">IFERROR(__xludf.DUMMYFUNCTION("""COMPUTED_VALUE"""),"600,")</f>
        <v>600,</v>
      </c>
    </row>
    <row r="393" spans="1:3" ht="15.75" customHeight="1">
      <c r="A393" s="16" t="str">
        <f ca="1">IFERROR(__xludf.DUMMYFUNCTION("""COMPUTED_VALUE"""),"Gigabyte - 12GB GeForce RTX5070 WINDFORCE GV-N5070WF3OC-12GD")</f>
        <v>Gigabyte - 12GB GeForce RTX5070 WINDFORCE GV-N5070WF3OC-12GD</v>
      </c>
      <c r="B393" s="16" t="str">
        <f ca="1">IFERROR(__xludf.DUMMYFUNCTION("""COMPUTED_VALUE"""),"")</f>
        <v/>
      </c>
      <c r="C393" s="16" t="str">
        <f ca="1">IFERROR(__xludf.DUMMYFUNCTION("""COMPUTED_VALUE"""),"680,")</f>
        <v>680,</v>
      </c>
    </row>
    <row r="394" spans="1:3" ht="15.75" customHeight="1">
      <c r="A394" s="16" t="str">
        <f ca="1">IFERROR(__xludf.DUMMYFUNCTION("""COMPUTED_VALUE"""),"Gigabyte - 12GB GeForce RTX5070 EAGLE OC SFF GV-N5070EAGLE OC-12GD")</f>
        <v>Gigabyte - 12GB GeForce RTX5070 EAGLE OC SFF GV-N5070EAGLE OC-12GD</v>
      </c>
      <c r="B394" s="16" t="str">
        <f ca="1">IFERROR(__xludf.DUMMYFUNCTION("""COMPUTED_VALUE"""),"GV-N5070EAGLE OC-12GD")</f>
        <v>GV-N5070EAGLE OC-12GD</v>
      </c>
      <c r="C394" s="16" t="str">
        <f ca="1">IFERROR(__xludf.DUMMYFUNCTION("""COMPUTED_VALUE"""),"710,")</f>
        <v>710,</v>
      </c>
    </row>
    <row r="395" spans="1:3" ht="15.75" customHeight="1">
      <c r="A395" s="16" t="str">
        <f ca="1">IFERROR(__xludf.DUMMYFUNCTION("""COMPUTED_VALUE"""),"Gigabyte - 12GB GeForce RTX5070 EAGLE OC ICE GV-N5070EAGLEOC ICE-12GD")</f>
        <v>Gigabyte - 12GB GeForce RTX5070 EAGLE OC ICE GV-N5070EAGLEOC ICE-12GD</v>
      </c>
      <c r="B395" s="16" t="str">
        <f ca="1">IFERROR(__xludf.DUMMYFUNCTION("""COMPUTED_VALUE"""),"GV-N5070EAGLEOC ICE-12GD")</f>
        <v>GV-N5070EAGLEOC ICE-12GD</v>
      </c>
      <c r="C395" s="16" t="str">
        <f ca="1">IFERROR(__xludf.DUMMYFUNCTION("""COMPUTED_VALUE"""),"710,")</f>
        <v>710,</v>
      </c>
    </row>
    <row r="396" spans="1:3" ht="15.75" customHeight="1">
      <c r="A396" s="16" t="str">
        <f ca="1">IFERROR(__xludf.DUMMYFUNCTION("""COMPUTED_VALUE"""),"Gigabyte - 12GB GeForce RTX5070 GAMING OC GV-N5070GAMING OC-12GD")</f>
        <v>Gigabyte - 12GB GeForce RTX5070 GAMING OC GV-N5070GAMING OC-12GD</v>
      </c>
      <c r="B396" s="16" t="str">
        <f ca="1">IFERROR(__xludf.DUMMYFUNCTION("""COMPUTED_VALUE"""),"GV-N5070GAMING OC-12GD")</f>
        <v>GV-N5070GAMING OC-12GD</v>
      </c>
      <c r="C396" s="16" t="str">
        <f ca="1">IFERROR(__xludf.DUMMYFUNCTION("""COMPUTED_VALUE"""),"730,")</f>
        <v>730,</v>
      </c>
    </row>
    <row r="397" spans="1:3" ht="15.75" customHeight="1">
      <c r="A397" s="16" t="str">
        <f ca="1">IFERROR(__xludf.DUMMYFUNCTION("""COMPUTED_VALUE"""),"Gigabyte - 12GB GeForce RTX5070 AERO OC GV-N5070AERO OC-12GD")</f>
        <v>Gigabyte - 12GB GeForce RTX5070 AERO OC GV-N5070AERO OC-12GD</v>
      </c>
      <c r="B397" s="16" t="str">
        <f ca="1">IFERROR(__xludf.DUMMYFUNCTION("""COMPUTED_VALUE"""),"GV-N5070AERO OC-12GD")</f>
        <v>GV-N5070AERO OC-12GD</v>
      </c>
      <c r="C397" s="16" t="str">
        <f ca="1">IFERROR(__xludf.DUMMYFUNCTION("""COMPUTED_VALUE"""),"750,")</f>
        <v>750,</v>
      </c>
    </row>
    <row r="398" spans="1:3" ht="15.75" customHeight="1">
      <c r="A398" s="16" t="str">
        <f ca="1">IFERROR(__xludf.DUMMYFUNCTION("""COMPUTED_VALUE"""),"Gigabyte - 12GB GeForce RTX5070 AORUS MASTER GV-N5070AORUS M-12GD")</f>
        <v>Gigabyte - 12GB GeForce RTX5070 AORUS MASTER GV-N5070AORUS M-12GD</v>
      </c>
      <c r="B398" s="16" t="str">
        <f ca="1">IFERROR(__xludf.DUMMYFUNCTION("""COMPUTED_VALUE"""),"")</f>
        <v/>
      </c>
      <c r="C398" s="16" t="str">
        <f ca="1">IFERROR(__xludf.DUMMYFUNCTION("""COMPUTED_VALUE"""),"860,")</f>
        <v>860,</v>
      </c>
    </row>
    <row r="399" spans="1:3" ht="15.75" customHeight="1">
      <c r="A399" s="16" t="str">
        <f ca="1">IFERROR(__xludf.DUMMYFUNCTION("""COMPUTED_VALUE"""),"Gigabyte - 16GB GeForce RTX5070Ti WINDFORCE OC V2 GV-N507TWF3OCV2-16GD")</f>
        <v>Gigabyte - 16GB GeForce RTX5070Ti WINDFORCE OC V2 GV-N507TWF3OCV2-16GD</v>
      </c>
      <c r="B399" s="16" t="str">
        <f ca="1">IFERROR(__xludf.DUMMYFUNCTION("""COMPUTED_VALUE"""),"GV-N507TWF3OCV2-16GD")</f>
        <v>GV-N507TWF3OCV2-16GD</v>
      </c>
      <c r="C399" s="16" t="str">
        <f ca="1">IFERROR(__xludf.DUMMYFUNCTION("""COMPUTED_VALUE"""),"1050,")</f>
        <v>1050,</v>
      </c>
    </row>
    <row r="400" spans="1:3" ht="15.75" customHeight="1">
      <c r="A400" s="16" t="str">
        <f ca="1">IFERROR(__xludf.DUMMYFUNCTION("""COMPUTED_VALUE"""),"Gigabyte - 16GB GeForce RTX5070Ti EAGLE OC GV-N507TEAGLEOC-16GD")</f>
        <v>Gigabyte - 16GB GeForce RTX5070Ti EAGLE OC GV-N507TEAGLEOC-16GD</v>
      </c>
      <c r="B400" s="16" t="str">
        <f ca="1">IFERROR(__xludf.DUMMYFUNCTION("""COMPUTED_VALUE"""),"GV-N507TEAGLE OC-16GD")</f>
        <v>GV-N507TEAGLE OC-16GD</v>
      </c>
      <c r="C400" s="16" t="str">
        <f ca="1">IFERROR(__xludf.DUMMYFUNCTION("""COMPUTED_VALUE"""),"1070,")</f>
        <v>1070,</v>
      </c>
    </row>
    <row r="401" spans="1:3" ht="15.75" customHeight="1">
      <c r="A401" s="16" t="str">
        <f ca="1">IFERROR(__xludf.DUMMYFUNCTION("""COMPUTED_VALUE"""),"Gigabyte - 16GB GeForce RTX5070Ti EAGLE OC ICE GV-N507TEAGLEOC ICE-16GD")</f>
        <v>Gigabyte - 16GB GeForce RTX5070Ti EAGLE OC ICE GV-N507TEAGLEOC ICE-16GD</v>
      </c>
      <c r="B401" s="16" t="str">
        <f ca="1">IFERROR(__xludf.DUMMYFUNCTION("""COMPUTED_VALUE"""),"GV-N507TEAGLEOC ICE-16GD")</f>
        <v>GV-N507TEAGLEOC ICE-16GD</v>
      </c>
      <c r="C401" s="16" t="str">
        <f ca="1">IFERROR(__xludf.DUMMYFUNCTION("""COMPUTED_VALUE"""),"1070,")</f>
        <v>1070,</v>
      </c>
    </row>
    <row r="402" spans="1:3" ht="15.75" customHeight="1">
      <c r="A402" s="16" t="str">
        <f ca="1">IFERROR(__xludf.DUMMYFUNCTION("""COMPUTED_VALUE"""),"Gigabyte - 16GB GeForce RTX5070Ti GAMING OC GV-N507TGAMING OC-16GD")</f>
        <v>Gigabyte - 16GB GeForce RTX5070Ti GAMING OC GV-N507TGAMING OC-16GD</v>
      </c>
      <c r="B402" s="16" t="str">
        <f ca="1">IFERROR(__xludf.DUMMYFUNCTION("""COMPUTED_VALUE"""),"GV-N507TGAMING OC-16GD")</f>
        <v>GV-N507TGAMING OC-16GD</v>
      </c>
      <c r="C402" s="16" t="str">
        <f ca="1">IFERROR(__xludf.DUMMYFUNCTION("""COMPUTED_VALUE"""),"1100,")</f>
        <v>1100,</v>
      </c>
    </row>
    <row r="403" spans="1:3" ht="15.75" customHeight="1">
      <c r="A403" s="16" t="str">
        <f ca="1">IFERROR(__xludf.DUMMYFUNCTION("""COMPUTED_VALUE"""),"Gigabyte - 16GB GeForce RTX5070Ti AERO GV-N507TAERO OC-16GD")</f>
        <v>Gigabyte - 16GB GeForce RTX5070Ti AERO GV-N507TAERO OC-16GD</v>
      </c>
      <c r="B403" s="16" t="str">
        <f ca="1">IFERROR(__xludf.DUMMYFUNCTION("""COMPUTED_VALUE"""),"GV-N507TAERO OC-16GD")</f>
        <v>GV-N507TAERO OC-16GD</v>
      </c>
      <c r="C403" s="16" t="str">
        <f ca="1">IFERROR(__xludf.DUMMYFUNCTION("""COMPUTED_VALUE"""),"1100,")</f>
        <v>1100,</v>
      </c>
    </row>
    <row r="404" spans="1:3" ht="15.75" customHeight="1">
      <c r="A404" s="16" t="str">
        <f ca="1">IFERROR(__xludf.DUMMYFUNCTION("""COMPUTED_VALUE"""),"Gigabyte - 16GB GeForce RTX5070Ti AORUS MASTER GV-N507TAORUS M-16GD (2 штук)")</f>
        <v>Gigabyte - 16GB GeForce RTX5070Ti AORUS MASTER GV-N507TAORUS M-16GD (2 штук)</v>
      </c>
      <c r="B404" s="16" t="str">
        <f ca="1">IFERROR(__xludf.DUMMYFUNCTION("""COMPUTED_VALUE"""),"GV-N507TAORUS M-16GD")</f>
        <v>GV-N507TAORUS M-16GD</v>
      </c>
      <c r="C404" s="16" t="str">
        <f ca="1">IFERROR(__xludf.DUMMYFUNCTION("""COMPUTED_VALUE"""),"1250,")</f>
        <v>1250,</v>
      </c>
    </row>
    <row r="405" spans="1:3" ht="15.75" customHeight="1">
      <c r="A405" s="16" t="str">
        <f ca="1">IFERROR(__xludf.DUMMYFUNCTION("""COMPUTED_VALUE"""),"Gigabyte - 16GB GeForce RTX5080 WINDFORCE DDR7 GV-N5080WF3OC-16GD")</f>
        <v>Gigabyte - 16GB GeForce RTX5080 WINDFORCE DDR7 GV-N5080WF3OC-16GD</v>
      </c>
      <c r="B405" s="16" t="str">
        <f ca="1">IFERROR(__xludf.DUMMYFUNCTION("""COMPUTED_VALUE"""),"GV-N5080WF3-16GD")</f>
        <v>GV-N5080WF3-16GD</v>
      </c>
      <c r="C405" s="16" t="str">
        <f ca="1">IFERROR(__xludf.DUMMYFUNCTION("""COMPUTED_VALUE"""),"1450,")</f>
        <v>1450,</v>
      </c>
    </row>
    <row r="406" spans="1:3" ht="15.75" customHeight="1">
      <c r="A406" s="16" t="str">
        <f ca="1">IFERROR(__xludf.DUMMYFUNCTION("""COMPUTED_VALUE"""),"Gigabyte - 16GB GeForce RTX5080 WINDFORCE OC DDR7 GV-N5080WF3OC-16GD")</f>
        <v>Gigabyte - 16GB GeForce RTX5080 WINDFORCE OC DDR7 GV-N5080WF3OC-16GD</v>
      </c>
      <c r="B406" s="16" t="str">
        <f ca="1">IFERROR(__xludf.DUMMYFUNCTION("""COMPUTED_VALUE"""),"GV-N5080WF3OC-16GD")</f>
        <v>GV-N5080WF3OC-16GD</v>
      </c>
      <c r="C406" s="16" t="str">
        <f ca="1">IFERROR(__xludf.DUMMYFUNCTION("""COMPUTED_VALUE"""),"1480,")</f>
        <v>1480,</v>
      </c>
    </row>
    <row r="407" spans="1:3" ht="15.75" customHeight="1">
      <c r="A407" s="16" t="str">
        <f ca="1">IFERROR(__xludf.DUMMYFUNCTION("""COMPUTED_VALUE"""),"Gigabyte - 16GB GeForce RTX5080 GAMING OC DDR7 GV-N5080GAMING OC-16GD")</f>
        <v>Gigabyte - 16GB GeForce RTX5080 GAMING OC DDR7 GV-N5080GAMING OC-16GD</v>
      </c>
      <c r="B407" s="16" t="str">
        <f ca="1">IFERROR(__xludf.DUMMYFUNCTION("""COMPUTED_VALUE"""),"GV-N5080GAMING OC-16GD")</f>
        <v>GV-N5080GAMING OC-16GD</v>
      </c>
      <c r="C407" s="16" t="str">
        <f ca="1">IFERROR(__xludf.DUMMYFUNCTION("""COMPUTED_VALUE"""),"1500,")</f>
        <v>1500,</v>
      </c>
    </row>
    <row r="408" spans="1:3" ht="15.75" customHeight="1">
      <c r="A408" s="16" t="str">
        <f ca="1">IFERROR(__xludf.DUMMYFUNCTION("""COMPUTED_VALUE"""),"Gigabyte - 16GB GeForce RTX5080 AERO OC DDR7 GV-N5080AERO OC-16GD")</f>
        <v>Gigabyte - 16GB GeForce RTX5080 AERO OC DDR7 GV-N5080AERO OC-16GD</v>
      </c>
      <c r="B408" s="16" t="str">
        <f ca="1">IFERROR(__xludf.DUMMYFUNCTION("""COMPUTED_VALUE"""),"")</f>
        <v/>
      </c>
      <c r="C408" s="16" t="str">
        <f ca="1">IFERROR(__xludf.DUMMYFUNCTION("""COMPUTED_VALUE"""),"1550,")</f>
        <v>1550,</v>
      </c>
    </row>
    <row r="409" spans="1:3" ht="15.75" customHeight="1">
      <c r="A409" s="16" t="str">
        <f ca="1">IFERROR(__xludf.DUMMYFUNCTION("""COMPUTED_VALUE"""),"Gigabyte - 16GB GeForce RTX5080 AORUS MASTER DDR7 GV-N5080AORUS M-16GD")</f>
        <v>Gigabyte - 16GB GeForce RTX5080 AORUS MASTER DDR7 GV-N5080AORUS M-16GD</v>
      </c>
      <c r="B409" s="16" t="str">
        <f ca="1">IFERROR(__xludf.DUMMYFUNCTION("""COMPUTED_VALUE"""),"")</f>
        <v/>
      </c>
      <c r="C409" s="16" t="str">
        <f ca="1">IFERROR(__xludf.DUMMYFUNCTION("""COMPUTED_VALUE"""),"1700,")</f>
        <v>1700,</v>
      </c>
    </row>
    <row r="410" spans="1:3" ht="15.75" customHeight="1">
      <c r="A410" s="16" t="str">
        <f ca="1">IFERROR(__xludf.DUMMYFUNCTION("""COMPUTED_VALUE"""),"Gigabyte - 16GB GeForce RTX5080 AORUS MASTER ICE DDR7 GV-N5080AORUSM ICE-16GD")</f>
        <v>Gigabyte - 16GB GeForce RTX5080 AORUS MASTER ICE DDR7 GV-N5080AORUSM ICE-16GD</v>
      </c>
      <c r="B410" s="16" t="str">
        <f ca="1">IFERROR(__xludf.DUMMYFUNCTION("""COMPUTED_VALUE"""),"GV-N5080AORUSM ICE-16GD")</f>
        <v>GV-N5080AORUSM ICE-16GD</v>
      </c>
      <c r="C410" s="16" t="str">
        <f ca="1">IFERROR(__xludf.DUMMYFUNCTION("""COMPUTED_VALUE"""),"1750,")</f>
        <v>1750,</v>
      </c>
    </row>
    <row r="411" spans="1:3" ht="15.75" customHeight="1">
      <c r="A411" s="16" t="str">
        <f ca="1">IFERROR(__xludf.DUMMYFUNCTION("""COMPUTED_VALUE"""),"Gigabyte - 32GB GeForce RTX5090 AORUS AI BOX Water-cooled External video card GV-N5090IXEB-32GD")</f>
        <v>Gigabyte - 32GB GeForce RTX5090 AORUS AI BOX Water-cooled External video card GV-N5090IXEB-32GD</v>
      </c>
      <c r="B411" s="16" t="str">
        <f ca="1">IFERROR(__xludf.DUMMYFUNCTION("""COMPUTED_VALUE"""),"GV-N5090AORUSX W-32GD")</f>
        <v>GV-N5090AORUSX W-32GD</v>
      </c>
      <c r="C411" s="16" t="str">
        <f ca="1">IFERROR(__xludf.DUMMYFUNCTION("""COMPUTED_VALUE"""),"5000,")</f>
        <v>5000,</v>
      </c>
    </row>
    <row r="412" spans="1:3" ht="15.75" customHeight="1">
      <c r="A412" s="16" t="str">
        <f ca="1">IFERROR(__xludf.DUMMYFUNCTION("""COMPUTED_VALUE"""),"Gigabyte - 8GB ATI Radeon RX9060XT GAMING OC GV-R9060XTGAMING OC-8GD")</f>
        <v>Gigabyte - 8GB ATI Radeon RX9060XT GAMING OC GV-R9060XTGAMING OC-8GD</v>
      </c>
      <c r="B412" s="16" t="str">
        <f ca="1">IFERROR(__xludf.DUMMYFUNCTION("""COMPUTED_VALUE"""),"GV-R9060XTGAMING OC-8GD")</f>
        <v>GV-R9060XTGAMING OC-8GD</v>
      </c>
      <c r="C412" s="16" t="str">
        <f ca="1">IFERROR(__xludf.DUMMYFUNCTION("""COMPUTED_VALUE"""),"380,")</f>
        <v>380,</v>
      </c>
    </row>
    <row r="413" spans="1:3" ht="15.75" customHeight="1">
      <c r="A413" s="16" t="str">
        <f ca="1">IFERROR(__xludf.DUMMYFUNCTION("""COMPUTED_VALUE"""),"Gigabyte - 16GB ATI Radeon RX9060XT GAMING OC GV-R9060XTGAMING OC-16GD")</f>
        <v>Gigabyte - 16GB ATI Radeon RX9060XT GAMING OC GV-R9060XTGAMING OC-16GD</v>
      </c>
      <c r="B413" s="16" t="str">
        <f ca="1">IFERROR(__xludf.DUMMYFUNCTION("""COMPUTED_VALUE"""),"GV-R9060XTGAMING OC-16GD")</f>
        <v>GV-R9060XTGAMING OC-16GD</v>
      </c>
      <c r="C413" s="16" t="str">
        <f ca="1">IFERROR(__xludf.DUMMYFUNCTION("""COMPUTED_VALUE"""),"490,")</f>
        <v>490,</v>
      </c>
    </row>
    <row r="414" spans="1:3" ht="15.75" customHeight="1">
      <c r="A414" s="16" t="str">
        <f ca="1">IFERROR(__xludf.DUMMYFUNCTION("""COMPUTED_VALUE"""),"Gigabyte - 16GB ATI Radeon RX9060XT GAMING OC ICE GV-R906XGAMINGOCICE-16GD")</f>
        <v>Gigabyte - 16GB ATI Radeon RX9060XT GAMING OC ICE GV-R906XGAMINGOCICE-16GD</v>
      </c>
      <c r="B414" s="16" t="str">
        <f ca="1">IFERROR(__xludf.DUMMYFUNCTION("""COMPUTED_VALUE"""),"GV-R906XGAMINGOCICE-16GD")</f>
        <v>GV-R906XGAMINGOCICE-16GD</v>
      </c>
      <c r="C414" s="16" t="str">
        <f ca="1">IFERROR(__xludf.DUMMYFUNCTION("""COMPUTED_VALUE"""),"500,")</f>
        <v>500,</v>
      </c>
    </row>
    <row r="415" spans="1:3" ht="15.75" customHeight="1">
      <c r="A415" s="16" t="str">
        <f ca="1">IFERROR(__xludf.DUMMYFUNCTION("""COMPUTED_VALUE"""),"Gigabyte - 16GB ATI Radeon RX9070XT GAMING GV-R9070XTGAMING-16GD")</f>
        <v>Gigabyte - 16GB ATI Radeon RX9070XT GAMING GV-R9070XTGAMING-16GD</v>
      </c>
      <c r="B415" s="16" t="str">
        <f ca="1">IFERROR(__xludf.DUMMYFUNCTION("""COMPUTED_VALUE"""),"GV-R9070XTGAMING-16GD")</f>
        <v>GV-R9070XTGAMING-16GD</v>
      </c>
      <c r="C415" s="16" t="str">
        <f ca="1">IFERROR(__xludf.DUMMYFUNCTION("""COMPUTED_VALUE"""),"830,")</f>
        <v>830,</v>
      </c>
    </row>
    <row r="416" spans="1:3" ht="15.75" customHeight="1">
      <c r="A416" s="16" t="str">
        <f ca="1">IFERROR(__xludf.DUMMYFUNCTION("""COMPUTED_VALUE"""),"Gigabyte - 16GB ATI Radeon RX9070XT AORUS Elite GV-R9070XTAORUS E-16GD")</f>
        <v>Gigabyte - 16GB ATI Radeon RX9070XT AORUS Elite GV-R9070XTAORUS E-16GD</v>
      </c>
      <c r="B416" s="16" t="str">
        <f ca="1">IFERROR(__xludf.DUMMYFUNCTION("""COMPUTED_VALUE"""),"GV-R9070XTAORUS E-16GD")</f>
        <v>GV-R9070XTAORUS E-16GD</v>
      </c>
      <c r="C416" s="16" t="str">
        <f ca="1">IFERROR(__xludf.DUMMYFUNCTION("""COMPUTED_VALUE"""),"850,")</f>
        <v>850,</v>
      </c>
    </row>
    <row r="417" spans="1:3" ht="15.75" customHeight="1">
      <c r="A417" s="16" t="str">
        <f ca="1">IFERROR(__xludf.DUMMYFUNCTION("""COMPUTED_VALUE"""),"Sapphire - 8GB PULSE AMD RADEON RX7600 GAMING OC GDDR6 HDMI (11324-01-20G)")</f>
        <v>Sapphire - 8GB PULSE AMD RADEON RX7600 GAMING OC GDDR6 HDMI (11324-01-20G)</v>
      </c>
      <c r="B417" s="16" t="str">
        <f ca="1">IFERROR(__xludf.DUMMYFUNCTION("""COMPUTED_VALUE"""),"11324-01-20G")</f>
        <v>11324-01-20G</v>
      </c>
      <c r="C417" s="16" t="str">
        <f ca="1">IFERROR(__xludf.DUMMYFUNCTION("""COMPUTED_VALUE"""),"265,")</f>
        <v>265,</v>
      </c>
    </row>
    <row r="418" spans="1:3" ht="15.75" customHeight="1">
      <c r="A418" s="16" t="str">
        <f ca="1">IFERROR(__xludf.DUMMYFUNCTION("""COMPUTED_VALUE"""),"Sapphire - 12GB PULSE AMD RADEON RX7700XT GAMING GDDR6 DUAL HDMI (11335-04-20G) (4 штук)")</f>
        <v>Sapphire - 12GB PULSE AMD RADEON RX7700XT GAMING GDDR6 DUAL HDMI (11335-04-20G) (4 штук)</v>
      </c>
      <c r="B418" s="16" t="str">
        <f ca="1">IFERROR(__xludf.DUMMYFUNCTION("""COMPUTED_VALUE"""),"11335-04-20G")</f>
        <v>11335-04-20G</v>
      </c>
      <c r="C418" s="16" t="str">
        <f ca="1">IFERROR(__xludf.DUMMYFUNCTION("""COMPUTED_VALUE"""),"480,")</f>
        <v>480,</v>
      </c>
    </row>
    <row r="419" spans="1:3" ht="15.75" customHeight="1">
      <c r="A419" s="16" t="str">
        <f ca="1">IFERROR(__xludf.DUMMYFUNCTION("""COMPUTED_VALUE"""),"Sapphire - 16GB PURE AMD RADEON RX9060XT GAMING OC HDMI / DP (11350-02-20G)")</f>
        <v>Sapphire - 16GB PURE AMD RADEON RX9060XT GAMING OC HDMI / DP (11350-02-20G)</v>
      </c>
      <c r="B419" s="16" t="str">
        <f ca="1">IFERROR(__xludf.DUMMYFUNCTION("""COMPUTED_VALUE"""),"11350-02-20G")</f>
        <v>11350-02-20G</v>
      </c>
      <c r="C419" s="16" t="str">
        <f ca="1">IFERROR(__xludf.DUMMYFUNCTION("""COMPUTED_VALUE"""),"510,")</f>
        <v>510,</v>
      </c>
    </row>
    <row r="420" spans="1:3" ht="15.75" customHeight="1">
      <c r="A420" s="16" t="str">
        <f ca="1">IFERROR(__xludf.DUMMYFUNCTION("""COMPUTED_VALUE"""),"Sapphire - 16GB NITRO+ AMD RADEON RX9060XT GAMING OC HDMI / DP (11350-01-20G)")</f>
        <v>Sapphire - 16GB NITRO+ AMD RADEON RX9060XT GAMING OC HDMI / DP (11350-01-20G)</v>
      </c>
      <c r="B420" s="16" t="str">
        <f ca="1">IFERROR(__xludf.DUMMYFUNCTION("""COMPUTED_VALUE"""),"11350-01-20G")</f>
        <v>11350-01-20G</v>
      </c>
      <c r="C420" s="16" t="str">
        <f ca="1">IFERROR(__xludf.DUMMYFUNCTION("""COMPUTED_VALUE"""),"530,")</f>
        <v>530,</v>
      </c>
    </row>
    <row r="421" spans="1:3" ht="15.75" customHeight="1">
      <c r="A421" s="16" t="str">
        <f ca="1">IFERROR(__xludf.DUMMYFUNCTION("""COMPUTED_VALUE"""),"Sapphire - 16GB PULSE AMD RADEON RX9070 GAMING HDMI / DP (11349-03-20G) (2 штук)")</f>
        <v>Sapphire - 16GB PULSE AMD RADEON RX9070 GAMING HDMI / DP (11349-03-20G) (2 штук)</v>
      </c>
      <c r="B421" s="16" t="str">
        <f ca="1">IFERROR(__xludf.DUMMYFUNCTION("""COMPUTED_VALUE"""),"11349-03-20G")</f>
        <v>11349-03-20G</v>
      </c>
      <c r="C421" s="16" t="str">
        <f ca="1">IFERROR(__xludf.DUMMYFUNCTION("""COMPUTED_VALUE"""),"730,")</f>
        <v>730,</v>
      </c>
    </row>
    <row r="422" spans="1:3" ht="15.75" customHeight="1">
      <c r="A422" s="16" t="str">
        <f ca="1">IFERROR(__xludf.DUMMYFUNCTION("""COMPUTED_VALUE"""),"Sapphire - 16GB PURE AMD RADEON RX9070 GAMING OC HDMI / DP (11349-02-20G)")</f>
        <v>Sapphire - 16GB PURE AMD RADEON RX9070 GAMING OC HDMI / DP (11349-02-20G)</v>
      </c>
      <c r="B422" s="16" t="str">
        <f ca="1">IFERROR(__xludf.DUMMYFUNCTION("""COMPUTED_VALUE"""),"11349-02-20G")</f>
        <v>11349-02-20G</v>
      </c>
      <c r="C422" s="16" t="str">
        <f ca="1">IFERROR(__xludf.DUMMYFUNCTION("""COMPUTED_VALUE"""),"750,")</f>
        <v>750,</v>
      </c>
    </row>
    <row r="423" spans="1:3" ht="15.75" customHeight="1">
      <c r="A423" s="16" t="str">
        <f ca="1">IFERROR(__xludf.DUMMYFUNCTION("""COMPUTED_VALUE"""),"Sapphire - 16GB NITRO+ AMD RADEON RX9070 GAMING OC HDMI / DP (11349-01-20G)")</f>
        <v>Sapphire - 16GB NITRO+ AMD RADEON RX9070 GAMING OC HDMI / DP (11349-01-20G)</v>
      </c>
      <c r="B423" s="16" t="str">
        <f ca="1">IFERROR(__xludf.DUMMYFUNCTION("""COMPUTED_VALUE"""),"11349-01-20G")</f>
        <v>11349-01-20G</v>
      </c>
      <c r="C423" s="16" t="str">
        <f ca="1">IFERROR(__xludf.DUMMYFUNCTION("""COMPUTED_VALUE"""),"780,")</f>
        <v>780,</v>
      </c>
    </row>
    <row r="424" spans="1:3" ht="15.75" customHeight="1">
      <c r="A424" s="16" t="str">
        <f ca="1">IFERROR(__xludf.DUMMYFUNCTION("""COMPUTED_VALUE"""),"Sapphire - 16GB NITRO+ AMD RADEON RX9070XT GAMING OC HDMI / DP (11348-01-20G)")</f>
        <v>Sapphire - 16GB NITRO+ AMD RADEON RX9070XT GAMING OC HDMI / DP (11348-01-20G)</v>
      </c>
      <c r="B424" s="16" t="str">
        <f ca="1">IFERROR(__xludf.DUMMYFUNCTION("""COMPUTED_VALUE"""),"11348-01-20G")</f>
        <v>11348-01-20G</v>
      </c>
      <c r="C424" s="16" t="str">
        <f ca="1">IFERROR(__xludf.DUMMYFUNCTION("""COMPUTED_VALUE"""),"880,")</f>
        <v>880,</v>
      </c>
    </row>
    <row r="425" spans="1:3" ht="15.75" customHeight="1">
      <c r="A425" s="16" t="str">
        <f ca="1">IFERROR(__xludf.DUMMYFUNCTION("""COMPUTED_VALUE"""),"Sapphire - 16GB NITRO+ AMD Radeon RX9070XT CRIMSON DESERT EDITION GAMING OC (11348-10-20G)")</f>
        <v>Sapphire - 16GB NITRO+ AMD Radeon RX9070XT CRIMSON DESERT EDITION GAMING OC (11348-10-20G)</v>
      </c>
      <c r="B425" s="16" t="str">
        <f ca="1">IFERROR(__xludf.DUMMYFUNCTION("""COMPUTED_VALUE"""),"11348-10-20G")</f>
        <v>11348-10-20G</v>
      </c>
      <c r="C425" s="16" t="str">
        <f ca="1">IFERROR(__xludf.DUMMYFUNCTION("""COMPUTED_VALUE"""),"890,")</f>
        <v>890,</v>
      </c>
    </row>
    <row r="426" spans="1:3" ht="15.75" customHeight="1">
      <c r="A426" s="16" t="str">
        <f ca="1">IFERROR(__xludf.DUMMYFUNCTION("""COMPUTED_VALUE"""),"ASUS - 6GB GeForce RTX3050 DUAL GDDR7 (90YV0K60-M0NA00)")</f>
        <v>ASUS - 6GB GeForce RTX3050 DUAL GDDR7 (90YV0K60-M0NA00)</v>
      </c>
      <c r="B426" s="16" t="str">
        <f ca="1">IFERROR(__xludf.DUMMYFUNCTION("""COMPUTED_VALUE"""),"90YV0K60-M0NA00")</f>
        <v>90YV0K60-M0NA00</v>
      </c>
      <c r="C426" s="16" t="str">
        <f ca="1">IFERROR(__xludf.DUMMYFUNCTION("""COMPUTED_VALUE"""),"180,")</f>
        <v>180,</v>
      </c>
    </row>
    <row r="427" spans="1:3" ht="15.75" customHeight="1">
      <c r="A427" s="16" t="str">
        <f ca="1">IFERROR(__xludf.DUMMYFUNCTION("""COMPUTED_VALUE"""),"ASUS - 8GB GeForce RTX5060 DUAL OC GDDR7 (90YV0N12-M0NA00)")</f>
        <v>ASUS - 8GB GeForce RTX5060 DUAL OC GDDR7 (90YV0N12-M0NA00)</v>
      </c>
      <c r="B427" s="16" t="str">
        <f ca="1">IFERROR(__xludf.DUMMYFUNCTION("""COMPUTED_VALUE"""),"90YV0N12-M0NA00")</f>
        <v>90YV0N12-M0NA00</v>
      </c>
      <c r="C427" s="16" t="str">
        <f ca="1">IFERROR(__xludf.DUMMYFUNCTION("""COMPUTED_VALUE"""),"390,")</f>
        <v>390,</v>
      </c>
    </row>
    <row r="428" spans="1:3" ht="15.75" customHeight="1">
      <c r="A428" s="16" t="str">
        <f ca="1">IFERROR(__xludf.DUMMYFUNCTION("""COMPUTED_VALUE"""),"ASUS - 8GB GeForce RTX5060 PRIME OC GDDR7 (90YV0N10-M0NA00)")</f>
        <v>ASUS - 8GB GeForce RTX5060 PRIME OC GDDR7 (90YV0N10-M0NA00)</v>
      </c>
      <c r="B428" s="16" t="str">
        <f ca="1">IFERROR(__xludf.DUMMYFUNCTION("""COMPUTED_VALUE"""),"90YV0N10-M0NA00")</f>
        <v>90YV0N10-M0NA00</v>
      </c>
      <c r="C428" s="16" t="str">
        <f ca="1">IFERROR(__xludf.DUMMYFUNCTION("""COMPUTED_VALUE"""),"400,")</f>
        <v>400,</v>
      </c>
    </row>
    <row r="429" spans="1:3" ht="15.75" customHeight="1">
      <c r="A429" s="16" t="str">
        <f ca="1">IFERROR(__xludf.DUMMYFUNCTION("""COMPUTED_VALUE"""),"ASUS - 16GB GeForce RTX5060Ti Dual GDDR7 (90YV0MH0-M0NA00)")</f>
        <v>ASUS - 16GB GeForce RTX5060Ti Dual GDDR7 (90YV0MH0-M0NA00)</v>
      </c>
      <c r="B429" s="16" t="str">
        <f ca="1">IFERROR(__xludf.DUMMYFUNCTION("""COMPUTED_VALUE"""),"90YV0MH0-M0NA00")</f>
        <v>90YV0MH0-M0NA00</v>
      </c>
      <c r="C429" s="16" t="str">
        <f ca="1">IFERROR(__xludf.DUMMYFUNCTION("""COMPUTED_VALUE"""),"600,")</f>
        <v>600,</v>
      </c>
    </row>
    <row r="430" spans="1:3" ht="15.75" customHeight="1">
      <c r="A430" s="16" t="str">
        <f ca="1">IFERROR(__xludf.DUMMYFUNCTION("""COMPUTED_VALUE"""),"ASUS - 16GB GeForce RTX5060Ti Prime OC Edition (90YV0MH2-M0NA00)")</f>
        <v>ASUS - 16GB GeForce RTX5060Ti Prime OC Edition (90YV0MH2-M0NA00)</v>
      </c>
      <c r="B430" s="16" t="str">
        <f ca="1">IFERROR(__xludf.DUMMYFUNCTION("""COMPUTED_VALUE"""),"90YV0MH2-M0NA00")</f>
        <v>90YV0MH2-M0NA00</v>
      </c>
      <c r="C430" s="16" t="str">
        <f ca="1">IFERROR(__xludf.DUMMYFUNCTION("""COMPUTED_VALUE"""),"620,")</f>
        <v>620,</v>
      </c>
    </row>
    <row r="431" spans="1:3" ht="15.75" customHeight="1">
      <c r="A431" s="16" t="str">
        <f ca="1">IFERROR(__xludf.DUMMYFUNCTION("""COMPUTED_VALUE"""),"ASUS - 12GB GeForce RTX5070 DUAL OC GDDR7 (90YV0M17-M0NA00)")</f>
        <v>ASUS - 12GB GeForce RTX5070 DUAL OC GDDR7 (90YV0M17-M0NA00)</v>
      </c>
      <c r="B431" s="16" t="str">
        <f ca="1">IFERROR(__xludf.DUMMYFUNCTION("""COMPUTED_VALUE"""),"90YV0M17-M0NA00")</f>
        <v>90YV0M17-M0NA00</v>
      </c>
      <c r="C431" s="16" t="str">
        <f ca="1">IFERROR(__xludf.DUMMYFUNCTION("""COMPUTED_VALUE"""),"700,")</f>
        <v>700,</v>
      </c>
    </row>
    <row r="432" spans="1:3" ht="15.75" customHeight="1">
      <c r="A432" s="16" t="str">
        <f ca="1">IFERROR(__xludf.DUMMYFUNCTION("""COMPUTED_VALUE"""),"ASUS - 12GB GeForce RTX5070 PRIME GDDR7 (90YV0M11-MVAA00)")</f>
        <v>ASUS - 12GB GeForce RTX5070 PRIME GDDR7 (90YV0M11-MVAA00)</v>
      </c>
      <c r="B432" s="16" t="str">
        <f ca="1">IFERROR(__xludf.DUMMYFUNCTION("""COMPUTED_VALUE"""),"")</f>
        <v/>
      </c>
      <c r="C432" s="16" t="str">
        <f ca="1">IFERROR(__xludf.DUMMYFUNCTION("""COMPUTED_VALUE"""),"710,")</f>
        <v>710,</v>
      </c>
    </row>
    <row r="433" spans="1:3" ht="15.75" customHeight="1">
      <c r="A433" s="16" t="str">
        <f ca="1">IFERROR(__xludf.DUMMYFUNCTION("""COMPUTED_VALUE"""),"ASUS - 12GB GeForce RTX5070 PRIME OC GDDR7 (90YV0M10-MVAA00)")</f>
        <v>ASUS - 12GB GeForce RTX5070 PRIME OC GDDR7 (90YV0M10-MVAA00)</v>
      </c>
      <c r="B433" s="16" t="str">
        <f ca="1">IFERROR(__xludf.DUMMYFUNCTION("""COMPUTED_VALUE"""),"")</f>
        <v/>
      </c>
      <c r="C433" s="16" t="str">
        <f ca="1">IFERROR(__xludf.DUMMYFUNCTION("""COMPUTED_VALUE"""),"720,")</f>
        <v>720,</v>
      </c>
    </row>
    <row r="434" spans="1:3" ht="15.75" customHeight="1">
      <c r="A434" s="16" t="str">
        <f ca="1">IFERROR(__xludf.DUMMYFUNCTION("""COMPUTED_VALUE"""),"ASUS - 12GB GeForce RTX5070 PRIME OC GDDR7 (90YV0M10-M0NA00)")</f>
        <v>ASUS - 12GB GeForce RTX5070 PRIME OC GDDR7 (90YV0M10-M0NA00)</v>
      </c>
      <c r="B434" s="16" t="str">
        <f ca="1">IFERROR(__xludf.DUMMYFUNCTION("""COMPUTED_VALUE"""),"90YV0M10-M0NA00")</f>
        <v>90YV0M10-M0NA00</v>
      </c>
      <c r="C434" s="16" t="str">
        <f ca="1">IFERROR(__xludf.DUMMYFUNCTION("""COMPUTED_VALUE"""),"720,")</f>
        <v>720,</v>
      </c>
    </row>
    <row r="435" spans="1:3" ht="15.75" customHeight="1">
      <c r="A435" s="16" t="str">
        <f ca="1">IFERROR(__xludf.DUMMYFUNCTION("""COMPUTED_VALUE"""),"ASUS - 12GB GeForce RTX5070 PRIME WHITE OC GDDR7 (90YV0M19-MVAA00)")</f>
        <v>ASUS - 12GB GeForce RTX5070 PRIME WHITE OC GDDR7 (90YV0M19-MVAA00)</v>
      </c>
      <c r="B435" s="16" t="str">
        <f ca="1">IFERROR(__xludf.DUMMYFUNCTION("""COMPUTED_VALUE"""),"")</f>
        <v/>
      </c>
      <c r="C435" s="16" t="str">
        <f ca="1">IFERROR(__xludf.DUMMYFUNCTION("""COMPUTED_VALUE"""),"730,")</f>
        <v>730,</v>
      </c>
    </row>
    <row r="436" spans="1:3" ht="15.75" customHeight="1">
      <c r="A436" s="16" t="str">
        <f ca="1">IFERROR(__xludf.DUMMYFUNCTION("""COMPUTED_VALUE"""),"ASUS - 12GB GeForce RTX5070 TUF GAMING OC GDDR7 (90YV0LZ0-M0NA00)")</f>
        <v>ASUS - 12GB GeForce RTX5070 TUF GAMING OC GDDR7 (90YV0LZ0-M0NA00)</v>
      </c>
      <c r="B436" s="16" t="str">
        <f ca="1">IFERROR(__xludf.DUMMYFUNCTION("""COMPUTED_VALUE"""),"90YV0LZ0-M0NA00")</f>
        <v>90YV0LZ0-M0NA00</v>
      </c>
      <c r="C436" s="16" t="str">
        <f ca="1">IFERROR(__xludf.DUMMYFUNCTION("""COMPUTED_VALUE"""),"830,")</f>
        <v>830,</v>
      </c>
    </row>
    <row r="437" spans="1:3" ht="15.75" customHeight="1">
      <c r="A437" s="16" t="str">
        <f ca="1">IFERROR(__xludf.DUMMYFUNCTION("""COMPUTED_VALUE"""),"ASUS - 12GB GeForce RTX5070 ROG STRIX GAMING OC GDDR7 (90YV0M80-MVAA00)")</f>
        <v>ASUS - 12GB GeForce RTX5070 ROG STRIX GAMING OC GDDR7 (90YV0M80-MVAA00)</v>
      </c>
      <c r="B437" s="16" t="str">
        <f ca="1">IFERROR(__xludf.DUMMYFUNCTION("""COMPUTED_VALUE"""),"")</f>
        <v/>
      </c>
      <c r="C437" s="16" t="str">
        <f ca="1">IFERROR(__xludf.DUMMYFUNCTION("""COMPUTED_VALUE"""),"850,")</f>
        <v>850,</v>
      </c>
    </row>
    <row r="438" spans="1:3" ht="15.75" customHeight="1">
      <c r="A438" s="16" t="str">
        <f ca="1">IFERROR(__xludf.DUMMYFUNCTION("""COMPUTED_VALUE"""),"ASUS - 16GB GeForce RTX5070Ti PRIME OC GDDR7 (90YV0MF0-M0NA00)")</f>
        <v>ASUS - 16GB GeForce RTX5070Ti PRIME OC GDDR7 (90YV0MF0-M0NA00)</v>
      </c>
      <c r="B438" s="16" t="str">
        <f ca="1">IFERROR(__xludf.DUMMYFUNCTION("""COMPUTED_VALUE"""),"90YV0MF0-M0NA00")</f>
        <v>90YV0MF0-M0NA00</v>
      </c>
      <c r="C438" s="16" t="str">
        <f ca="1">IFERROR(__xludf.DUMMYFUNCTION("""COMPUTED_VALUE"""),"1180,")</f>
        <v>1180,</v>
      </c>
    </row>
    <row r="439" spans="1:3" ht="15.75" customHeight="1">
      <c r="A439" s="16" t="str">
        <f ca="1">IFERROR(__xludf.DUMMYFUNCTION("""COMPUTED_VALUE"""),"ASUS - 16GB GeForce RTX5080 PRIME GDDR7 (90YV0LX1-MVAA00)")</f>
        <v>ASUS - 16GB GeForce RTX5080 PRIME GDDR7 (90YV0LX1-MVAA00)</v>
      </c>
      <c r="B439" s="16" t="str">
        <f ca="1">IFERROR(__xludf.DUMMYFUNCTION("""COMPUTED_VALUE"""),"90YV0NR0-M0NA00")</f>
        <v>90YV0NR0-M0NA00</v>
      </c>
      <c r="C439" s="16" t="str">
        <f ca="1">IFERROR(__xludf.DUMMYFUNCTION("""COMPUTED_VALUE"""),"1550,")</f>
        <v>1550,</v>
      </c>
    </row>
    <row r="440" spans="1:3" ht="15.75" customHeight="1">
      <c r="A440" s="16" t="str">
        <f ca="1">IFERROR(__xludf.DUMMYFUNCTION("""COMPUTED_VALUE"""),"ASUS - 16GB GeForce RTX5080 PROART OC GDDR7 (90YV0N30-M0NA00)")</f>
        <v>ASUS - 16GB GeForce RTX5080 PROART OC GDDR7 (90YV0N30-M0NA00)</v>
      </c>
      <c r="B440" s="16" t="str">
        <f ca="1">IFERROR(__xludf.DUMMYFUNCTION("""COMPUTED_VALUE"""),"90YV0N30-M0NA00")</f>
        <v>90YV0N30-M0NA00</v>
      </c>
      <c r="C440" s="16" t="str">
        <f ca="1">IFERROR(__xludf.DUMMYFUNCTION("""COMPUTED_VALUE"""),"1650,")</f>
        <v>1650,</v>
      </c>
    </row>
    <row r="441" spans="1:3" ht="15.75" customHeight="1">
      <c r="A441" s="16" t="str">
        <f ca="1">IFERROR(__xludf.DUMMYFUNCTION("""COMPUTED_VALUE"""),"ASUS - 16GB GeForce RTX5080 ROG ASTRAL OC (90YV0LV0-MVAA00)")</f>
        <v>ASUS - 16GB GeForce RTX5080 ROG ASTRAL OC (90YV0LV0-MVAA00)</v>
      </c>
      <c r="B441" s="16" t="str">
        <f ca="1">IFERROR(__xludf.DUMMYFUNCTION("""COMPUTED_VALUE"""),"")</f>
        <v/>
      </c>
      <c r="C441" s="16" t="str">
        <f ca="1">IFERROR(__xludf.DUMMYFUNCTION("""COMPUTED_VALUE"""),"1900,")</f>
        <v>1900,</v>
      </c>
    </row>
    <row r="442" spans="1:3" ht="15.75" customHeight="1">
      <c r="A442" s="16" t="str">
        <f ca="1">IFERROR(__xludf.DUMMYFUNCTION("""COMPUTED_VALUE"""),"ASUS - 32GB GeForce RTX5090 ROG ASTRAL WHITE OC (90YV0LWA-MVAA00)")</f>
        <v>ASUS - 32GB GeForce RTX5090 ROG ASTRAL WHITE OC (90YV0LWA-MVAA00)</v>
      </c>
      <c r="B442" s="16" t="str">
        <f ca="1">IFERROR(__xludf.DUMMYFUNCTION("""COMPUTED_VALUE"""),"")</f>
        <v/>
      </c>
      <c r="C442" s="16" t="str">
        <f ca="1">IFERROR(__xludf.DUMMYFUNCTION("""COMPUTED_VALUE"""),"4600,")</f>
        <v>4600,</v>
      </c>
    </row>
    <row r="443" spans="1:3" ht="15.75" customHeight="1">
      <c r="A443" s="16" t="str">
        <f ca="1">IFERROR(__xludf.DUMMYFUNCTION("""COMPUTED_VALUE"""),"ASUS - 32GB GeForce RTX5090 ROG ASTRAL OC (90YV0LW2-MVAA00) (с водянкой)")</f>
        <v>ASUS - 32GB GeForce RTX5090 ROG ASTRAL OC (90YV0LW2-MVAA00) (с водянкой)</v>
      </c>
      <c r="B443" s="16" t="str">
        <f ca="1">IFERROR(__xludf.DUMMYFUNCTION("""COMPUTED_VALUE"""),"")</f>
        <v/>
      </c>
      <c r="C443" s="16" t="str">
        <f ca="1">IFERROR(__xludf.DUMMYFUNCTION("""COMPUTED_VALUE"""),"4800,")</f>
        <v>4800,</v>
      </c>
    </row>
    <row r="444" spans="1:3" ht="15.75" customHeight="1">
      <c r="A444" s="16" t="str">
        <f ca="1">IFERROR(__xludf.DUMMYFUNCTION("""COMPUTED_VALUE"""),"ASUS - 16GB Radeon RX9060XT DUAL GDDR6 (90YV0LG2-M0NA00)")</f>
        <v>ASUS - 16GB Radeon RX9060XT DUAL GDDR6 (90YV0LG2-M0NA00)</v>
      </c>
      <c r="B444" s="16" t="str">
        <f ca="1">IFERROR(__xludf.DUMMYFUNCTION("""COMPUTED_VALUE"""),"90YV0LG2-M0NA00")</f>
        <v>90YV0LG2-M0NA00</v>
      </c>
      <c r="C444" s="16" t="str">
        <f ca="1">IFERROR(__xludf.DUMMYFUNCTION("""COMPUTED_VALUE"""),"530,")</f>
        <v>530,</v>
      </c>
    </row>
    <row r="445" spans="1:3" ht="15.75" customHeight="1">
      <c r="A445" s="16" t="str">
        <f ca="1">IFERROR(__xludf.DUMMYFUNCTION("""COMPUTED_VALUE"""),"ASUS - 16GB Radeon RX9060XT Prime OC Edition GDDR6 (90YV0LF1-M0NA00)")</f>
        <v>ASUS - 16GB Radeon RX9060XT Prime OC Edition GDDR6 (90YV0LF1-M0NA00)</v>
      </c>
      <c r="B445" s="16" t="str">
        <f ca="1">IFERROR(__xludf.DUMMYFUNCTION("""COMPUTED_VALUE"""),"90YV0LF1-M0NA00")</f>
        <v>90YV0LF1-M0NA00</v>
      </c>
      <c r="C445" s="16" t="str">
        <f ca="1">IFERROR(__xludf.DUMMYFUNCTION("""COMPUTED_VALUE"""),"550,")</f>
        <v>550,</v>
      </c>
    </row>
    <row r="446" spans="1:3" ht="15.75" customHeight="1">
      <c r="A446" s="16" t="str">
        <f ca="1">IFERROR(__xludf.DUMMYFUNCTION("""COMPUTED_VALUE"""),"ASUS - 16GB Radeon RX9070 Prime OC Edition GDDR6 (90YV0LI1-M0NA00)")</f>
        <v>ASUS - 16GB Radeon RX9070 Prime OC Edition GDDR6 (90YV0LI1-M0NA00)</v>
      </c>
      <c r="B446" s="16" t="str">
        <f ca="1">IFERROR(__xludf.DUMMYFUNCTION("""COMPUTED_VALUE"""),"90YV0LI1-M0NA00")</f>
        <v>90YV0LI1-M0NA00</v>
      </c>
      <c r="C446" s="16" t="str">
        <f ca="1">IFERROR(__xludf.DUMMYFUNCTION("""COMPUTED_VALUE"""),"730,")</f>
        <v>730,</v>
      </c>
    </row>
    <row r="447" spans="1:3" ht="15.75" customHeight="1">
      <c r="A447" s="16" t="str">
        <f ca="1">IFERROR(__xludf.DUMMYFUNCTION("""COMPUTED_VALUE"""),"ASUS - 16GB Radeon RX9070 Prime EVO OC Edition GDDR6 (90YV0MQ0-M0NA00)")</f>
        <v>ASUS - 16GB Radeon RX9070 Prime EVO OC Edition GDDR6 (90YV0MQ0-M0NA00)</v>
      </c>
      <c r="B447" s="16" t="str">
        <f ca="1">IFERROR(__xludf.DUMMYFUNCTION("""COMPUTED_VALUE"""),"90YV0MQ0-M0NA00")</f>
        <v>90YV0MQ0-M0NA00</v>
      </c>
      <c r="C447" s="16" t="str">
        <f ca="1">IFERROR(__xludf.DUMMYFUNCTION("""COMPUTED_VALUE"""),"740,")</f>
        <v>740,</v>
      </c>
    </row>
    <row r="448" spans="1:3" ht="15.75" customHeight="1">
      <c r="A448" s="16" t="str">
        <f ca="1">IFERROR(__xludf.DUMMYFUNCTION("""COMPUTED_VALUE"""),"ASUS - 16GB Radeon RX9070XT Prime OC Edition GDDR6 (90YV0L71-M0NA00)")</f>
        <v>ASUS - 16GB Radeon RX9070XT Prime OC Edition GDDR6 (90YV0L71-M0NA00)</v>
      </c>
      <c r="B448" s="16" t="str">
        <f ca="1">IFERROR(__xludf.DUMMYFUNCTION("""COMPUTED_VALUE"""),"90YV0L71-M0NA00")</f>
        <v>90YV0L71-M0NA00</v>
      </c>
      <c r="C448" s="16" t="str">
        <f ca="1">IFERROR(__xludf.DUMMYFUNCTION("""COMPUTED_VALUE"""),"850,")</f>
        <v>850,</v>
      </c>
    </row>
    <row r="449" spans="1:3" ht="15.75" customHeight="1">
      <c r="A449" s="16" t="str">
        <f ca="1">IFERROR(__xludf.DUMMYFUNCTION("""COMPUTED_VALUE"""),"Transcend  - Ext DVD-RW, BOX, original (TS8XDVDS-K)")</f>
        <v>Transcend  - Ext DVD-RW, BOX, original (TS8XDVDS-K)</v>
      </c>
      <c r="B449" s="16" t="str">
        <f ca="1">IFERROR(__xludf.DUMMYFUNCTION("""COMPUTED_VALUE"""),"TS8XDVDS-K")</f>
        <v>TS8XDVDS-K</v>
      </c>
      <c r="C449" s="16" t="str">
        <f ca="1">IFERROR(__xludf.DUMMYFUNCTION("""COMPUTED_VALUE"""),"30,")</f>
        <v>30,</v>
      </c>
    </row>
    <row r="450" spans="1:3" ht="15.75" customHeight="1">
      <c r="A450" s="16" t="str">
        <f ca="1">IFERROR(__xludf.DUMMYFUNCTION("""COMPUTED_VALUE"""),"Noname  - Ext DVD-RW (LiteON DS-8ACSH-01-PLDS) ")</f>
        <v xml:space="preserve">Noname  - Ext DVD-RW (LiteON DS-8ACSH-01-PLDS) </v>
      </c>
      <c r="B450" s="16" t="str">
        <f ca="1">IFERROR(__xludf.DUMMYFUNCTION("""COMPUTED_VALUE"""),"LiteON DS-8ACSH-01-PLDS")</f>
        <v>LiteON DS-8ACSH-01-PLDS</v>
      </c>
      <c r="C450" s="16" t="str">
        <f ca="1">IFERROR(__xludf.DUMMYFUNCTION("""COMPUTED_VALUE"""),"11,")</f>
        <v>11,</v>
      </c>
    </row>
    <row r="451" spans="1:3" ht="15.75" customHeight="1">
      <c r="A451" s="16" t="str">
        <f ca="1">IFERROR(__xludf.DUMMYFUNCTION("""COMPUTED_VALUE"""),"Gembird EG-UPS-B850, 850VA/510W, AVR, Аккумулятор: 12 В/8 А·ч * 1штук,  2xSchuko")</f>
        <v>Gembird EG-UPS-B850, 850VA/510W, AVR, Аккумулятор: 12 В/8 А·ч * 1штук,  2xSchuko</v>
      </c>
      <c r="B451" s="16" t="str">
        <f ca="1">IFERROR(__xludf.DUMMYFUNCTION("""COMPUTED_VALUE"""),"EG-UPS-B850")</f>
        <v>EG-UPS-B850</v>
      </c>
      <c r="C451" s="16" t="str">
        <f ca="1">IFERROR(__xludf.DUMMYFUNCTION("""COMPUTED_VALUE"""),"48,")</f>
        <v>48,</v>
      </c>
    </row>
    <row r="452" spans="1:3" ht="15.75" customHeight="1">
      <c r="A452" s="16" t="str">
        <f ca="1">IFERROR(__xludf.DUMMYFUNCTION("""COMPUTED_VALUE"""),"Gembird EG-UPS-033, 1200VA/720W, AVR, Аккумулятор: 12 В/7 А·ч * 2штук,  2xSchuko, LCD")</f>
        <v>Gembird EG-UPS-033, 1200VA/720W, AVR, Аккумулятор: 12 В/7 А·ч * 2штук,  2xSchuko, LCD</v>
      </c>
      <c r="B452" s="16" t="str">
        <f ca="1">IFERROR(__xludf.DUMMYFUNCTION("""COMPUTED_VALUE"""),"EG-UPS-033")</f>
        <v>EG-UPS-033</v>
      </c>
      <c r="C452" s="16" t="str">
        <f ca="1">IFERROR(__xludf.DUMMYFUNCTION("""COMPUTED_VALUE"""),"83,")</f>
        <v>83,</v>
      </c>
    </row>
    <row r="453" spans="1:3" ht="15.75" customHeight="1">
      <c r="A453" s="16" t="str">
        <f ca="1">IFERROR(__xludf.DUMMYFUNCTION("""COMPUTED_VALUE"""),"Gembird EG-UPS-034, 1500VA/900W, AVR, Аккумулятор: 12 В/8 А·ч *3штук,  2xSchuko, LCD")</f>
        <v>Gembird EG-UPS-034, 1500VA/900W, AVR, Аккумулятор: 12 В/8 А·ч *3штук,  2xSchuko, LCD</v>
      </c>
      <c r="B453" s="16" t="str">
        <f ca="1">IFERROR(__xludf.DUMMYFUNCTION("""COMPUTED_VALUE"""),"EG-UPS-034")</f>
        <v>EG-UPS-034</v>
      </c>
      <c r="C453" s="16" t="str">
        <f ca="1">IFERROR(__xludf.DUMMYFUNCTION("""COMPUTED_VALUE"""),"115,")</f>
        <v>115,</v>
      </c>
    </row>
    <row r="454" spans="1:3" ht="15.75" customHeight="1">
      <c r="A454" s="16" t="str">
        <f ca="1">IFERROR(__xludf.DUMMYFUNCTION("""COMPUTED_VALUE"""),"Gembird EG-UPS-036, 3000VA/1800W, AVR, Аккумулятор: 12 В/7 А·ч *4штук,  3xSchuko, LCD")</f>
        <v>Gembird EG-UPS-036, 3000VA/1800W, AVR, Аккумулятор: 12 В/7 А·ч *4штук,  3xSchuko, LCD</v>
      </c>
      <c r="B454" s="16" t="str">
        <f ca="1">IFERROR(__xludf.DUMMYFUNCTION("""COMPUTED_VALUE"""),"EG-UPS-036")</f>
        <v>EG-UPS-036</v>
      </c>
      <c r="C454" s="16" t="str">
        <f ca="1">IFERROR(__xludf.DUMMYFUNCTION("""COMPUTED_VALUE"""),"200,")</f>
        <v>200,</v>
      </c>
    </row>
    <row r="455" spans="1:3" ht="15.75" customHeight="1">
      <c r="A455" s="16" t="str">
        <f ca="1">IFERROR(__xludf.DUMMYFUNCTION("""COMPUTED_VALUE"""),"Gembird EG-UPS-PS3000-01, 3000VA/2400W, AVR, Аккумулятор: 12 В/9 А·ч *4штук,  3xSchuko, LCD")</f>
        <v>Gembird EG-UPS-PS3000-01, 3000VA/2400W, AVR, Аккумулятор: 12 В/9 А·ч *4штук,  3xSchuko, LCD</v>
      </c>
      <c r="B455" s="16" t="str">
        <f ca="1">IFERROR(__xludf.DUMMYFUNCTION("""COMPUTED_VALUE"""),"EG-UPS-PS3000-01")</f>
        <v>EG-UPS-PS3000-01</v>
      </c>
      <c r="C455" s="16" t="str">
        <f ca="1">IFERROR(__xludf.DUMMYFUNCTION("""COMPUTED_VALUE"""),"310,")</f>
        <v>310,</v>
      </c>
    </row>
    <row r="456" spans="1:3" ht="15.75" customHeight="1">
      <c r="A456" s="16" t="str">
        <f ca="1">IFERROR(__xludf.DUMMYFUNCTION("""COMPUTED_VALUE"""),"ELT i-800 800VA/480W, LED, 1x9Ah")</f>
        <v>ELT i-800 800VA/480W, LED, 1x9Ah</v>
      </c>
      <c r="B456" s="16" t="str">
        <f ca="1">IFERROR(__xludf.DUMMYFUNCTION("""COMPUTED_VALUE"""),"ELT i-800")</f>
        <v>ELT i-800</v>
      </c>
      <c r="C456" s="16" t="str">
        <f ca="1">IFERROR(__xludf.DUMMYFUNCTION("""COMPUTED_VALUE"""),"39,")</f>
        <v>39,</v>
      </c>
    </row>
    <row r="457" spans="1:3" ht="15.75" customHeight="1">
      <c r="A457" s="16" t="str">
        <f ca="1">IFERROR(__xludf.DUMMYFUNCTION("""COMPUTED_VALUE"""),"ELT i-1200 1200VA/720W, LED, 2x7Ah")</f>
        <v>ELT i-1200 1200VA/720W, LED, 2x7Ah</v>
      </c>
      <c r="B457" s="16" t="str">
        <f ca="1">IFERROR(__xludf.DUMMYFUNCTION("""COMPUTED_VALUE"""),"ELT i-1200")</f>
        <v>ELT i-1200</v>
      </c>
      <c r="C457" s="16" t="str">
        <f ca="1">IFERROR(__xludf.DUMMYFUNCTION("""COMPUTED_VALUE"""),"67,")</f>
        <v>67,</v>
      </c>
    </row>
    <row r="458" spans="1:3" ht="15.75" customHeight="1">
      <c r="A458" s="16" t="str">
        <f ca="1">IFERROR(__xludf.DUMMYFUNCTION("""COMPUTED_VALUE"""),"ELT i-1500 1500VA/900W, LED, 2x9Ah")</f>
        <v>ELT i-1500 1500VA/900W, LED, 2x9Ah</v>
      </c>
      <c r="B458" s="16" t="str">
        <f ca="1">IFERROR(__xludf.DUMMYFUNCTION("""COMPUTED_VALUE"""),"ELT i-1500")</f>
        <v>ELT i-1500</v>
      </c>
      <c r="C458" s="16" t="str">
        <f ca="1">IFERROR(__xludf.DUMMYFUNCTION("""COMPUTED_VALUE"""),"88,")</f>
        <v>88,</v>
      </c>
    </row>
    <row r="459" spans="1:3" ht="15.75" customHeight="1">
      <c r="A459" s="16" t="str">
        <f ca="1">IFERROR(__xludf.DUMMYFUNCTION("""COMPUTED_VALUE"""),"ELT i-2000 2000VA/1200W, LCD, USB, 2x9Ah")</f>
        <v>ELT i-2000 2000VA/1200W, LCD, USB, 2x9Ah</v>
      </c>
      <c r="B459" s="16" t="str">
        <f ca="1">IFERROR(__xludf.DUMMYFUNCTION("""COMPUTED_VALUE"""),"ELT i-2000")</f>
        <v>ELT i-2000</v>
      </c>
      <c r="C459" s="16" t="str">
        <f ca="1">IFERROR(__xludf.DUMMYFUNCTION("""COMPUTED_VALUE"""),"115,")</f>
        <v>115,</v>
      </c>
    </row>
    <row r="460" spans="1:3" ht="15.75" customHeight="1">
      <c r="A460" s="16" t="str">
        <f ca="1">IFERROR(__xludf.DUMMYFUNCTION("""COMPUTED_VALUE"""),"ELT i-3000 3000VA/1800W, LCD, USB, 4x9Ah")</f>
        <v>ELT i-3000 3000VA/1800W, LCD, USB, 4x9Ah</v>
      </c>
      <c r="B460" s="16" t="str">
        <f ca="1">IFERROR(__xludf.DUMMYFUNCTION("""COMPUTED_VALUE"""),"ELT i-3000")</f>
        <v>ELT i-3000</v>
      </c>
      <c r="C460" s="16" t="str">
        <f ca="1">IFERROR(__xludf.DUMMYFUNCTION("""COMPUTED_VALUE"""),"190,")</f>
        <v>190,</v>
      </c>
    </row>
    <row r="461" spans="1:3" ht="15.75" customHeight="1">
      <c r="A461" s="16" t="str">
        <f ca="1">IFERROR(__xludf.DUMMYFUNCTION("""COMPUTED_VALUE"""),"ION A-600T, 600VA / 360W,  with 4,5Ah battery х 1,   RJ-11,  2xSchuko, Simulated Sinewave")</f>
        <v>ION A-600T, 600VA / 360W,  with 4,5Ah battery х 1,   RJ-11,  2xSchuko, Simulated Sinewave</v>
      </c>
      <c r="B461" s="16" t="str">
        <f ca="1">IFERROR(__xludf.DUMMYFUNCTION("""COMPUTED_VALUE"""),"iON A-600T")</f>
        <v>iON A-600T</v>
      </c>
      <c r="C461" s="16" t="str">
        <f ca="1">IFERROR(__xludf.DUMMYFUNCTION("""COMPUTED_VALUE"""),"32,")</f>
        <v>32,</v>
      </c>
    </row>
    <row r="462" spans="1:3" ht="15.75" customHeight="1">
      <c r="A462" s="16" t="str">
        <f ca="1">IFERROR(__xludf.DUMMYFUNCTION("""COMPUTED_VALUE"""),"ION A-600, 600VA / 360W, with 7Ah battery х 1,  RJ-11,  2xSchuko, Simulated Sinewave")</f>
        <v>ION A-600, 600VA / 360W, with 7Ah battery х 1,  RJ-11,  2xSchuko, Simulated Sinewave</v>
      </c>
      <c r="B462" s="16" t="str">
        <f ca="1">IFERROR(__xludf.DUMMYFUNCTION("""COMPUTED_VALUE"""),"iON A-600")</f>
        <v>iON A-600</v>
      </c>
      <c r="C462" s="16" t="str">
        <f ca="1">IFERROR(__xludf.DUMMYFUNCTION("""COMPUTED_VALUE"""),"34,")</f>
        <v>34,</v>
      </c>
    </row>
    <row r="463" spans="1:3" ht="15.75" customHeight="1">
      <c r="A463" s="16" t="str">
        <f ca="1">IFERROR(__xludf.DUMMYFUNCTION("""COMPUTED_VALUE"""),"ION A-800, 800VA / 480W, with 9Ah battery х 1,  RJ-11,  2 Schuko, Simulated Sinewave")</f>
        <v>ION A-800, 800VA / 480W, with 9Ah battery х 1,  RJ-11,  2 Schuko, Simulated Sinewave</v>
      </c>
      <c r="B463" s="16" t="str">
        <f ca="1">IFERROR(__xludf.DUMMYFUNCTION("""COMPUTED_VALUE"""),"iON A-800")</f>
        <v>iON A-800</v>
      </c>
      <c r="C463" s="16" t="str">
        <f ca="1">IFERROR(__xludf.DUMMYFUNCTION("""COMPUTED_VALUE"""),"46,")</f>
        <v>46,</v>
      </c>
    </row>
    <row r="464" spans="1:3" ht="15.75" customHeight="1">
      <c r="A464" s="16" t="str">
        <f ca="1">IFERROR(__xludf.DUMMYFUNCTION("""COMPUTED_VALUE"""),"ION V-1000T, 1000VA / 500W, with 9Ah battery х 1, RJ-11/45 , USB port ,  2xSchuko, Simulated Sinewave,  RU software ")</f>
        <v xml:space="preserve">ION V-1000T, 1000VA / 500W, with 9Ah battery х 1, RJ-11/45 , USB port ,  2xSchuko, Simulated Sinewave,  RU software </v>
      </c>
      <c r="B464" s="16" t="str">
        <f ca="1">IFERROR(__xludf.DUMMYFUNCTION("""COMPUTED_VALUE"""),"iON V-1000T")</f>
        <v>iON V-1000T</v>
      </c>
      <c r="C464" s="16" t="str">
        <f ca="1">IFERROR(__xludf.DUMMYFUNCTION("""COMPUTED_VALUE"""),"63,")</f>
        <v>63,</v>
      </c>
    </row>
    <row r="465" spans="1:3" ht="15.75" customHeight="1">
      <c r="A465" s="16" t="str">
        <f ca="1">IFERROR(__xludf.DUMMYFUNCTION("""COMPUTED_VALUE"""),"ION V-1200T , 1200VA / 600W, with7Ah battery х 2, RJ-11/45 , USB port , 4xSchuko, Simulated Sinewave,  RU software ")</f>
        <v xml:space="preserve">ION V-1200T , 1200VA / 600W, with7Ah battery х 2, RJ-11/45 , USB port , 4xSchuko, Simulated Sinewave,  RU software </v>
      </c>
      <c r="B465" s="16" t="str">
        <f ca="1">IFERROR(__xludf.DUMMYFUNCTION("""COMPUTED_VALUE"""),"iON V-1200T")</f>
        <v>iON V-1200T</v>
      </c>
      <c r="C465" s="16" t="str">
        <f ca="1">IFERROR(__xludf.DUMMYFUNCTION("""COMPUTED_VALUE"""),"83,")</f>
        <v>83,</v>
      </c>
    </row>
    <row r="466" spans="1:3" ht="15.75" customHeight="1">
      <c r="A466" s="16" t="str">
        <f ca="1">IFERROR(__xludf.DUMMYFUNCTION("""COMPUTED_VALUE"""),"ION A-1500 1500VA/900W with 12V/9Ah battery х 2  RJ-11/45  4xSchuko  Simulated Sinewave")</f>
        <v>ION A-1500 1500VA/900W with 12V/9Ah battery х 2  RJ-11/45  4xSchuko  Simulated Sinewave</v>
      </c>
      <c r="B466" s="16" t="str">
        <f ca="1">IFERROR(__xludf.DUMMYFUNCTION("""COMPUTED_VALUE"""),"iON A-1500")</f>
        <v>iON A-1500</v>
      </c>
      <c r="C466" s="16" t="str">
        <f ca="1">IFERROR(__xludf.DUMMYFUNCTION("""COMPUTED_VALUE"""),"105,")</f>
        <v>105,</v>
      </c>
    </row>
    <row r="467" spans="1:3" ht="15.75" customHeight="1">
      <c r="A467" s="16" t="str">
        <f ca="1">IFERROR(__xludf.DUMMYFUNCTION("""COMPUTED_VALUE"""),"ION A-2000, 2000VA/1200W,  with9Ah battery х 2, RJ-11/45 , 4xSchuko, Simulated Sinewave")</f>
        <v>ION A-2000, 2000VA/1200W,  with9Ah battery х 2, RJ-11/45 , 4xSchuko, Simulated Sinewave</v>
      </c>
      <c r="B467" s="16" t="str">
        <f ca="1">IFERROR(__xludf.DUMMYFUNCTION("""COMPUTED_VALUE"""),"iON A-2000")</f>
        <v>iON A-2000</v>
      </c>
      <c r="C467" s="16" t="str">
        <f ca="1">IFERROR(__xludf.DUMMYFUNCTION("""COMPUTED_VALUE"""),"140,")</f>
        <v>140,</v>
      </c>
    </row>
    <row r="468" spans="1:3" ht="15.75" customHeight="1">
      <c r="A468" s="16" t="str">
        <f ca="1">IFERROR(__xludf.DUMMYFUNCTION("""COMPUTED_VALUE"""),"ION V-3000 LCD, 3000VA / 1800W, with Tescom 9Ah battery x 4pcs, RJ-11/45, USB port, LCD display,4хSchuko, Simulated Sinewave,  RU software  ")</f>
        <v xml:space="preserve">ION V-3000 LCD, 3000VA / 1800W, with Tescom 9Ah battery x 4pcs, RJ-11/45, USB port, LCD display,4хSchuko, Simulated Sinewave,  RU software  </v>
      </c>
      <c r="B468" s="16" t="str">
        <f ca="1">IFERROR(__xludf.DUMMYFUNCTION("""COMPUTED_VALUE"""),"iON V-3000 LCD")</f>
        <v>iON V-3000 LCD</v>
      </c>
      <c r="C468" s="16" t="str">
        <f ca="1">IFERROR(__xludf.DUMMYFUNCTION("""COMPUTED_VALUE"""),"320,")</f>
        <v>320,</v>
      </c>
    </row>
    <row r="469" spans="1:3" ht="15.75" customHeight="1">
      <c r="A469" s="16" t="str">
        <f ca="1">IFERROR(__xludf.DUMMYFUNCTION("""COMPUTED_VALUE"""),"MUST 600VA  / 145-290 VAC AVR /  with 7Ah х 1,  2 розетки")</f>
        <v>MUST 600VA  / 145-290 VAC AVR /  with 7Ah х 1,  2 розетки</v>
      </c>
      <c r="B469" s="16" t="str">
        <f ca="1">IFERROR(__xludf.DUMMYFUNCTION("""COMPUTED_VALUE"""),"MUST 600VA")</f>
        <v>MUST 600VA</v>
      </c>
      <c r="C469" s="16" t="str">
        <f ca="1">IFERROR(__xludf.DUMMYFUNCTION("""COMPUTED_VALUE"""),"33,")</f>
        <v>33,</v>
      </c>
    </row>
    <row r="470" spans="1:3" ht="15.75" customHeight="1">
      <c r="A470" s="16" t="str">
        <f ca="1">IFERROR(__xludf.DUMMYFUNCTION("""COMPUTED_VALUE"""),"Pixel - Корпус Микро АТХ ")</f>
        <v xml:space="preserve">Pixel - Корпус Микро АТХ </v>
      </c>
      <c r="B470" s="16" t="str">
        <f ca="1">IFERROR(__xludf.DUMMYFUNCTION("""COMPUTED_VALUE"""),"")</f>
        <v/>
      </c>
      <c r="C470" s="16" t="str">
        <f ca="1">IFERROR(__xludf.DUMMYFUNCTION("""COMPUTED_VALUE"""),"17,")</f>
        <v>17,</v>
      </c>
    </row>
    <row r="471" spans="1:3" ht="15.75" customHeight="1">
      <c r="A471" s="16" t="str">
        <f ca="1">IFERROR(__xludf.DUMMYFUNCTION("""COMPUTED_VALUE"""),"ID Cooling DK-03 Halo AMD RED")</f>
        <v>ID Cooling DK-03 Halo AMD RED</v>
      </c>
      <c r="B471" s="16" t="str">
        <f ca="1">IFERROR(__xludf.DUMMYFUNCTION("""COMPUTED_VALUE"""),"")</f>
        <v/>
      </c>
      <c r="C471" s="16" t="str">
        <f ca="1">IFERROR(__xludf.DUMMYFUNCTION("""COMPUTED_VALUE"""),"3,")</f>
        <v>3,</v>
      </c>
    </row>
    <row r="472" spans="1:3" ht="15.75" customHeight="1">
      <c r="A472" s="16" t="str">
        <f ca="1">IFERROR(__xludf.DUMMYFUNCTION("""COMPUTED_VALUE"""),"ID Cooling  Брикет  ABF-1700")</f>
        <v>ID Cooling  Брикет  ABF-1700</v>
      </c>
      <c r="B472" s="16" t="str">
        <f ca="1">IFERROR(__xludf.DUMMYFUNCTION("""COMPUTED_VALUE"""),"")</f>
        <v/>
      </c>
      <c r="C472" s="16" t="str">
        <f ca="1">IFERROR(__xludf.DUMMYFUNCTION("""COMPUTED_VALUE"""),"7,")</f>
        <v>7,</v>
      </c>
    </row>
    <row r="473" spans="1:3" ht="15.75" customHeight="1">
      <c r="A473" s="16" t="str">
        <f ca="1">IFERROR(__xludf.DUMMYFUNCTION("""COMPUTED_VALUE"""),"ID Cooling  Брикет  ABF-1851")</f>
        <v>ID Cooling  Брикет  ABF-1851</v>
      </c>
      <c r="B473" s="16" t="str">
        <f ca="1">IFERROR(__xludf.DUMMYFUNCTION("""COMPUTED_VALUE"""),"")</f>
        <v/>
      </c>
      <c r="C473" s="16" t="str">
        <f ca="1">IFERROR(__xludf.DUMMYFUNCTION("""COMPUTED_VALUE"""),"7,")</f>
        <v>7,</v>
      </c>
    </row>
    <row r="474" spans="1:3" ht="15.75" customHeight="1">
      <c r="A474" s="16" t="str">
        <f ca="1">IFERROR(__xludf.DUMMYFUNCTION("""COMPUTED_VALUE"""),"ID Cooling  Брикет  ABF-AM5")</f>
        <v>ID Cooling  Брикет  ABF-AM5</v>
      </c>
      <c r="B474" s="16" t="str">
        <f ca="1">IFERROR(__xludf.DUMMYFUNCTION("""COMPUTED_VALUE"""),"")</f>
        <v/>
      </c>
      <c r="C474" s="16" t="str">
        <f ca="1">IFERROR(__xludf.DUMMYFUNCTION("""COMPUTED_VALUE"""),"7,")</f>
        <v>7,</v>
      </c>
    </row>
    <row r="475" spans="1:3" ht="15.75" customHeight="1">
      <c r="A475" s="16" t="str">
        <f ca="1">IFERROR(__xludf.DUMMYFUNCTION("""COMPUTED_VALUE"""),"ID Cooling  SE-802-SD V3")</f>
        <v>ID Cooling  SE-802-SD V3</v>
      </c>
      <c r="B475" s="16" t="str">
        <f ca="1">IFERROR(__xludf.DUMMYFUNCTION("""COMPUTED_VALUE"""),"")</f>
        <v/>
      </c>
      <c r="C475" s="16" t="str">
        <f ca="1">IFERROR(__xludf.DUMMYFUNCTION("""COMPUTED_VALUE"""),"7,")</f>
        <v>7,</v>
      </c>
    </row>
    <row r="476" spans="1:3" ht="15.75" customHeight="1">
      <c r="A476" s="16" t="str">
        <f ca="1">IFERROR(__xludf.DUMMYFUNCTION("""COMPUTED_VALUE"""),"ID Cooling  SE-903-XT FRGB")</f>
        <v>ID Cooling  SE-903-XT FRGB</v>
      </c>
      <c r="B476" s="16" t="str">
        <f ca="1">IFERROR(__xludf.DUMMYFUNCTION("""COMPUTED_VALUE"""),"")</f>
        <v/>
      </c>
      <c r="C476" s="16" t="str">
        <f ca="1">IFERROR(__xludf.DUMMYFUNCTION("""COMPUTED_VALUE"""),"11,")</f>
        <v>11,</v>
      </c>
    </row>
    <row r="477" spans="1:3" ht="15.75" customHeight="1">
      <c r="A477" s="16" t="str">
        <f ca="1">IFERROR(__xludf.DUMMYFUNCTION("""COMPUTED_VALUE"""),"ID Cooling BLITZ X4")</f>
        <v>ID Cooling BLITZ X4</v>
      </c>
      <c r="B477" s="16" t="str">
        <f ca="1">IFERROR(__xludf.DUMMYFUNCTION("""COMPUTED_VALUE"""),"")</f>
        <v/>
      </c>
      <c r="C477" s="16" t="str">
        <f ca="1">IFERROR(__xludf.DUMMYFUNCTION("""COMPUTED_VALUE"""),"16,")</f>
        <v>16,</v>
      </c>
    </row>
    <row r="478" spans="1:3" ht="15.75" customHeight="1">
      <c r="A478" s="16" t="str">
        <f ca="1">IFERROR(__xludf.DUMMYFUNCTION("""COMPUTED_VALUE"""),"ID Cooling SE-214-XT ARGB")</f>
        <v>ID Cooling SE-214-XT ARGB</v>
      </c>
      <c r="B478" s="16" t="str">
        <f ca="1">IFERROR(__xludf.DUMMYFUNCTION("""COMPUTED_VALUE"""),"")</f>
        <v/>
      </c>
      <c r="C478" s="16" t="str">
        <f ca="1">IFERROR(__xludf.DUMMYFUNCTION("""COMPUTED_VALUE"""),"16,")</f>
        <v>16,</v>
      </c>
    </row>
    <row r="479" spans="1:3" ht="15.75" customHeight="1">
      <c r="A479" s="16" t="str">
        <f ca="1">IFERROR(__xludf.DUMMYFUNCTION("""COMPUTED_VALUE"""),"ID Cooling SE-214-XT PLUS")</f>
        <v>ID Cooling SE-214-XT PLUS</v>
      </c>
      <c r="B479" s="16" t="str">
        <f ca="1">IFERROR(__xludf.DUMMYFUNCTION("""COMPUTED_VALUE"""),"")</f>
        <v/>
      </c>
      <c r="C479" s="16" t="str">
        <f ca="1">IFERROR(__xludf.DUMMYFUNCTION("""COMPUTED_VALUE"""),"17,")</f>
        <v>17,</v>
      </c>
    </row>
    <row r="480" spans="1:3" ht="15.75" customHeight="1">
      <c r="A480" s="16" t="str">
        <f ca="1">IFERROR(__xludf.DUMMYFUNCTION("""COMPUTED_VALUE"""),"ID Cooling SE-224-XTS")</f>
        <v>ID Cooling SE-224-XTS</v>
      </c>
      <c r="B480" s="16" t="str">
        <f ca="1">IFERROR(__xludf.DUMMYFUNCTION("""COMPUTED_VALUE"""),"")</f>
        <v/>
      </c>
      <c r="C480" s="16" t="str">
        <f ca="1">IFERROR(__xludf.DUMMYFUNCTION("""COMPUTED_VALUE"""),"18,")</f>
        <v>18,</v>
      </c>
    </row>
    <row r="481" spans="1:3" ht="15.75" customHeight="1">
      <c r="A481" s="16" t="str">
        <f ca="1">IFERROR(__xludf.DUMMYFUNCTION("""COMPUTED_VALUE"""),"ID Cooling SE-224-XTS ARGB")</f>
        <v>ID Cooling SE-224-XTS ARGB</v>
      </c>
      <c r="B481" s="16" t="str">
        <f ca="1">IFERROR(__xludf.DUMMYFUNCTION("""COMPUTED_VALUE"""),"")</f>
        <v/>
      </c>
      <c r="C481" s="16" t="str">
        <f ca="1">IFERROR(__xludf.DUMMYFUNCTION("""COMPUTED_VALUE"""),"22,")</f>
        <v>22,</v>
      </c>
    </row>
    <row r="482" spans="1:3" ht="15.75" customHeight="1">
      <c r="A482" s="16" t="str">
        <f ca="1">IFERROR(__xludf.DUMMYFUNCTION("""COMPUTED_VALUE"""),"ID Cooling FROZN A410 BLACK")</f>
        <v>ID Cooling FROZN A410 BLACK</v>
      </c>
      <c r="B482" s="16" t="str">
        <f ca="1">IFERROR(__xludf.DUMMYFUNCTION("""COMPUTED_VALUE"""),"")</f>
        <v/>
      </c>
      <c r="C482" s="16" t="str">
        <f ca="1">IFERROR(__xludf.DUMMYFUNCTION("""COMPUTED_VALUE"""),"20,")</f>
        <v>20,</v>
      </c>
    </row>
    <row r="483" spans="1:3" ht="15.75" customHeight="1">
      <c r="A483" s="16" t="str">
        <f ca="1">IFERROR(__xludf.DUMMYFUNCTION("""COMPUTED_VALUE"""),"ID Cooling FROZN A400 BLACK")</f>
        <v>ID Cooling FROZN A400 BLACK</v>
      </c>
      <c r="B483" s="16" t="str">
        <f ca="1">IFERROR(__xludf.DUMMYFUNCTION("""COMPUTED_VALUE"""),"")</f>
        <v/>
      </c>
      <c r="C483" s="16" t="str">
        <f ca="1">IFERROR(__xludf.DUMMYFUNCTION("""COMPUTED_VALUE"""),"17,")</f>
        <v>17,</v>
      </c>
    </row>
    <row r="484" spans="1:3" ht="15.75" customHeight="1">
      <c r="A484" s="16" t="str">
        <f ca="1">IFERROR(__xludf.DUMMYFUNCTION("""COMPUTED_VALUE"""),"ID Cooling FROZN A410 DK")</f>
        <v>ID Cooling FROZN A410 DK</v>
      </c>
      <c r="B484" s="16" t="str">
        <f ca="1">IFERROR(__xludf.DUMMYFUNCTION("""COMPUTED_VALUE"""),"")</f>
        <v/>
      </c>
      <c r="C484" s="16" t="str">
        <f ca="1">IFERROR(__xludf.DUMMYFUNCTION("""COMPUTED_VALUE"""),"24,")</f>
        <v>24,</v>
      </c>
    </row>
    <row r="485" spans="1:3" ht="15.75" customHeight="1">
      <c r="A485" s="16" t="str">
        <f ca="1">IFERROR(__xludf.DUMMYFUNCTION("""COMPUTED_VALUE"""),"ID Cooling FROZN A410 DW")</f>
        <v>ID Cooling FROZN A410 DW</v>
      </c>
      <c r="B485" s="16" t="str">
        <f ca="1">IFERROR(__xludf.DUMMYFUNCTION("""COMPUTED_VALUE"""),"")</f>
        <v/>
      </c>
      <c r="C485" s="16" t="str">
        <f ca="1">IFERROR(__xludf.DUMMYFUNCTION("""COMPUTED_VALUE"""),"24,")</f>
        <v>24,</v>
      </c>
    </row>
    <row r="486" spans="1:3" ht="15.75" customHeight="1">
      <c r="A486" s="16" t="str">
        <f ca="1">IFERROR(__xludf.DUMMYFUNCTION("""COMPUTED_VALUE"""),"ID Cooling FROZN A410 GDL")</f>
        <v>ID Cooling FROZN A410 GDL</v>
      </c>
      <c r="B486" s="16" t="str">
        <f ca="1">IFERROR(__xludf.DUMMYFUNCTION("""COMPUTED_VALUE"""),"")</f>
        <v/>
      </c>
      <c r="C486" s="16" t="str">
        <f ca="1">IFERROR(__xludf.DUMMYFUNCTION("""COMPUTED_VALUE"""),"24,")</f>
        <v>24,</v>
      </c>
    </row>
    <row r="487" spans="1:3" ht="15.75" customHeight="1">
      <c r="A487" s="16" t="str">
        <f ca="1">IFERROR(__xludf.DUMMYFUNCTION("""COMPUTED_VALUE"""),"ID Cooling FROZN A410 ARGB")</f>
        <v>ID Cooling FROZN A410 ARGB</v>
      </c>
      <c r="B487" s="16" t="str">
        <f ca="1">IFERROR(__xludf.DUMMYFUNCTION("""COMPUTED_VALUE"""),"")</f>
        <v/>
      </c>
      <c r="C487" s="16" t="str">
        <f ca="1">IFERROR(__xludf.DUMMYFUNCTION("""COMPUTED_VALUE"""),"27,")</f>
        <v>27,</v>
      </c>
    </row>
    <row r="488" spans="1:3" ht="15.75" customHeight="1">
      <c r="A488" s="16" t="str">
        <f ca="1">IFERROR(__xludf.DUMMYFUNCTION("""COMPUTED_VALUE"""),"ID Cooling FROZN A410 ARGB WHITE")</f>
        <v>ID Cooling FROZN A410 ARGB WHITE</v>
      </c>
      <c r="B488" s="16" t="str">
        <f ca="1">IFERROR(__xludf.DUMMYFUNCTION("""COMPUTED_VALUE"""),"")</f>
        <v/>
      </c>
      <c r="C488" s="16" t="str">
        <f ca="1">IFERROR(__xludf.DUMMYFUNCTION("""COMPUTED_VALUE"""),"30,")</f>
        <v>30,</v>
      </c>
    </row>
    <row r="489" spans="1:3" ht="15.75" customHeight="1">
      <c r="A489" s="16" t="str">
        <f ca="1">IFERROR(__xludf.DUMMYFUNCTION("""COMPUTED_VALUE"""),"ID Cooling FROZN A620 PRO SE ARGB SNOW")</f>
        <v>ID Cooling FROZN A620 PRO SE ARGB SNOW</v>
      </c>
      <c r="B489" s="16" t="str">
        <f ca="1">IFERROR(__xludf.DUMMYFUNCTION("""COMPUTED_VALUE"""),"")</f>
        <v/>
      </c>
      <c r="C489" s="16" t="str">
        <f ca="1">IFERROR(__xludf.DUMMYFUNCTION("""COMPUTED_VALUE"""),"34,")</f>
        <v>34,</v>
      </c>
    </row>
    <row r="490" spans="1:3" ht="15.75" customHeight="1">
      <c r="A490" s="16" t="str">
        <f ca="1">IFERROR(__xludf.DUMMYFUNCTION("""COMPUTED_VALUE"""),"ID Cooling SE-225-XT BLACK V2")</f>
        <v>ID Cooling SE-225-XT BLACK V2</v>
      </c>
      <c r="B490" s="16" t="str">
        <f ca="1">IFERROR(__xludf.DUMMYFUNCTION("""COMPUTED_VALUE"""),"")</f>
        <v/>
      </c>
      <c r="C490" s="16" t="str">
        <f ca="1">IFERROR(__xludf.DUMMYFUNCTION("""COMPUTED_VALUE"""),"35,")</f>
        <v>35,</v>
      </c>
    </row>
    <row r="491" spans="1:3" ht="15.75" customHeight="1">
      <c r="A491" s="16" t="str">
        <f ca="1">IFERROR(__xludf.DUMMYFUNCTION("""COMPUTED_VALUE"""),"ID Cooling FROZN A610 BLACK")</f>
        <v>ID Cooling FROZN A610 BLACK</v>
      </c>
      <c r="B491" s="16" t="str">
        <f ca="1">IFERROR(__xludf.DUMMYFUNCTION("""COMPUTED_VALUE"""),"")</f>
        <v/>
      </c>
      <c r="C491" s="16" t="str">
        <f ca="1">IFERROR(__xludf.DUMMYFUNCTION("""COMPUTED_VALUE"""),"32,")</f>
        <v>32,</v>
      </c>
    </row>
    <row r="492" spans="1:3" ht="15.75" customHeight="1">
      <c r="A492" s="16" t="str">
        <f ca="1">IFERROR(__xludf.DUMMYFUNCTION("""COMPUTED_VALUE"""),"ID Cooling FROZN A610 ARGB WHITE")</f>
        <v>ID Cooling FROZN A610 ARGB WHITE</v>
      </c>
      <c r="B492" s="16" t="str">
        <f ca="1">IFERROR(__xludf.DUMMYFUNCTION("""COMPUTED_VALUE"""),"")</f>
        <v/>
      </c>
      <c r="C492" s="16" t="str">
        <f ca="1">IFERROR(__xludf.DUMMYFUNCTION("""COMPUTED_VALUE"""),"36,")</f>
        <v>36,</v>
      </c>
    </row>
    <row r="493" spans="1:3" ht="15.75" customHeight="1">
      <c r="A493" s="16" t="str">
        <f ca="1">IFERROR(__xludf.DUMMYFUNCTION("""COMPUTED_VALUE"""),"ID Cooling FX360 PRO")</f>
        <v>ID Cooling FX360 PRO</v>
      </c>
      <c r="B493" s="16" t="str">
        <f ca="1">IFERROR(__xludf.DUMMYFUNCTION("""COMPUTED_VALUE"""),"")</f>
        <v/>
      </c>
      <c r="C493" s="16" t="str">
        <f ca="1">IFERROR(__xludf.DUMMYFUNCTION("""COMPUTED_VALUE"""),"51,")</f>
        <v>51,</v>
      </c>
    </row>
    <row r="494" spans="1:3" ht="15.75" customHeight="1">
      <c r="A494" s="16" t="str">
        <f ca="1">IFERROR(__xludf.DUMMYFUNCTION("""COMPUTED_VALUE"""),"ID Cooling FX360 PRO WHITE")</f>
        <v>ID Cooling FX360 PRO WHITE</v>
      </c>
      <c r="B494" s="16" t="str">
        <f ca="1">IFERROR(__xludf.DUMMYFUNCTION("""COMPUTED_VALUE"""),"")</f>
        <v/>
      </c>
      <c r="C494" s="16" t="str">
        <f ca="1">IFERROR(__xludf.DUMMYFUNCTION("""COMPUTED_VALUE"""),"53,")</f>
        <v>53,</v>
      </c>
    </row>
    <row r="495" spans="1:3" ht="15.75" customHeight="1">
      <c r="A495" s="16" t="str">
        <f ca="1">IFERROR(__xludf.DUMMYFUNCTION("""COMPUTED_VALUE"""),"ID Cooling FX360 INF")</f>
        <v>ID Cooling FX360 INF</v>
      </c>
      <c r="B495" s="16" t="str">
        <f ca="1">IFERROR(__xludf.DUMMYFUNCTION("""COMPUTED_VALUE"""),"")</f>
        <v/>
      </c>
      <c r="C495" s="16" t="str">
        <f ca="1">IFERROR(__xludf.DUMMYFUNCTION("""COMPUTED_VALUE"""),"63,")</f>
        <v>63,</v>
      </c>
    </row>
    <row r="496" spans="1:3" ht="15.75" customHeight="1">
      <c r="A496" s="16" t="str">
        <f ca="1">IFERROR(__xludf.DUMMYFUNCTION("""COMPUTED_VALUE"""),"ID Cooling FX360 INF WHITE")</f>
        <v>ID Cooling FX360 INF WHITE</v>
      </c>
      <c r="B496" s="16" t="str">
        <f ca="1">IFERROR(__xludf.DUMMYFUNCTION("""COMPUTED_VALUE"""),"")</f>
        <v/>
      </c>
      <c r="C496" s="16" t="str">
        <f ca="1">IFERROR(__xludf.DUMMYFUNCTION("""COMPUTED_VALUE"""),"66,")</f>
        <v>66,</v>
      </c>
    </row>
    <row r="497" spans="1:3" ht="15.75" customHeight="1">
      <c r="A497" s="16" t="str">
        <f ca="1">IFERROR(__xludf.DUMMYFUNCTION("""COMPUTED_VALUE"""),"ID Cooling DX360 MAX")</f>
        <v>ID Cooling DX360 MAX</v>
      </c>
      <c r="B497" s="16" t="str">
        <f ca="1">IFERROR(__xludf.DUMMYFUNCTION("""COMPUTED_VALUE"""),"")</f>
        <v/>
      </c>
      <c r="C497" s="16" t="str">
        <f ca="1">IFERROR(__xludf.DUMMYFUNCTION("""COMPUTED_VALUE"""),"68,")</f>
        <v>68,</v>
      </c>
    </row>
    <row r="498" spans="1:3" ht="15.75" customHeight="1">
      <c r="A498" s="16" t="str">
        <f ca="1">IFERROR(__xludf.DUMMYFUNCTION("""COMPUTED_VALUE"""),"ID Cooling PINKFLOW 240 ARGB (водяной кулер)")</f>
        <v>ID Cooling PINKFLOW 240 ARGB (водяной кулер)</v>
      </c>
      <c r="B498" s="16" t="str">
        <f ca="1">IFERROR(__xludf.DUMMYFUNCTION("""COMPUTED_VALUE"""),"")</f>
        <v/>
      </c>
      <c r="C498" s="16" t="str">
        <f ca="1">IFERROR(__xludf.DUMMYFUNCTION("""COMPUTED_VALUE"""),"60,")</f>
        <v>60,</v>
      </c>
    </row>
    <row r="499" spans="1:3" ht="15.75" customHeight="1">
      <c r="A499" s="16" t="str">
        <f ca="1">IFERROR(__xludf.DUMMYFUNCTION("""COMPUTED_VALUE"""),"ID Cooling PINKFLOW 240 DIAMOND (водяной кулер)")</f>
        <v>ID Cooling PINKFLOW 240 DIAMOND (водяной кулер)</v>
      </c>
      <c r="B499" s="16" t="str">
        <f ca="1">IFERROR(__xludf.DUMMYFUNCTION("""COMPUTED_VALUE"""),"")</f>
        <v/>
      </c>
      <c r="C499" s="16" t="str">
        <f ca="1">IFERROR(__xludf.DUMMYFUNCTION("""COMPUTED_VALUE"""),"60,")</f>
        <v>60,</v>
      </c>
    </row>
    <row r="500" spans="1:3" ht="15.75" customHeight="1">
      <c r="A500" s="16" t="str">
        <f ca="1">IFERROR(__xludf.DUMMYFUNCTION("""COMPUTED_VALUE"""),"ID Cooling DASHFLOW 360 BASIC BLACK Liquid Cooling")</f>
        <v>ID Cooling DASHFLOW 360 BASIC BLACK Liquid Cooling</v>
      </c>
      <c r="B500" s="16" t="str">
        <f ca="1">IFERROR(__xludf.DUMMYFUNCTION("""COMPUTED_VALUE"""),"")</f>
        <v/>
      </c>
      <c r="C500" s="16" t="str">
        <f ca="1">IFERROR(__xludf.DUMMYFUNCTION("""COMPUTED_VALUE"""),"60,")</f>
        <v>60,</v>
      </c>
    </row>
    <row r="501" spans="1:3" ht="15.75" customHeight="1">
      <c r="A501" s="16" t="str">
        <f ca="1">IFERROR(__xludf.DUMMYFUNCTION("""COMPUTED_VALUE"""),"ID Cooling SL240")</f>
        <v>ID Cooling SL240</v>
      </c>
      <c r="B501" s="16" t="str">
        <f ca="1">IFERROR(__xludf.DUMMYFUNCTION("""COMPUTED_VALUE"""),"")</f>
        <v/>
      </c>
      <c r="C501" s="16" t="str">
        <f ca="1">IFERROR(__xludf.DUMMYFUNCTION("""COMPUTED_VALUE"""),"65,")</f>
        <v>65,</v>
      </c>
    </row>
    <row r="502" spans="1:3" ht="15.75" customHeight="1">
      <c r="A502" s="16" t="str">
        <f ca="1">IFERROR(__xludf.DUMMYFUNCTION("""COMPUTED_VALUE"""),"ID Cooling DASHFLOW 360 XT PRO")</f>
        <v>ID Cooling DASHFLOW 360 XT PRO</v>
      </c>
      <c r="B502" s="16" t="str">
        <f ca="1">IFERROR(__xludf.DUMMYFUNCTION("""COMPUTED_VALUE"""),"")</f>
        <v/>
      </c>
      <c r="C502" s="16" t="str">
        <f ca="1">IFERROR(__xludf.DUMMYFUNCTION("""COMPUTED_VALUE"""),"85,")</f>
        <v>85,</v>
      </c>
    </row>
    <row r="503" spans="1:3" ht="15.75" customHeight="1">
      <c r="A503" s="16" t="str">
        <f ca="1">IFERROR(__xludf.DUMMYFUNCTION("""COMPUTED_VALUE"""),"ID Cooling SL360 PRO SE")</f>
        <v>ID Cooling SL360 PRO SE</v>
      </c>
      <c r="B503" s="16" t="str">
        <f ca="1">IFERROR(__xludf.DUMMYFUNCTION("""COMPUTED_VALUE"""),"")</f>
        <v/>
      </c>
      <c r="C503" s="16" t="str">
        <f ca="1">IFERROR(__xludf.DUMMYFUNCTION("""COMPUTED_VALUE"""),"100,")</f>
        <v>100,</v>
      </c>
    </row>
    <row r="504" spans="1:3" ht="15.75" customHeight="1">
      <c r="A504" s="16" t="str">
        <f ca="1">IFERROR(__xludf.DUMMYFUNCTION("""COMPUTED_VALUE"""),"ID Cooling SL360 XE")</f>
        <v>ID Cooling SL360 XE</v>
      </c>
      <c r="B504" s="16" t="str">
        <f ca="1">IFERROR(__xludf.DUMMYFUNCTION("""COMPUTED_VALUE"""),"")</f>
        <v/>
      </c>
      <c r="C504" s="16" t="str">
        <f ca="1">IFERROR(__xludf.DUMMYFUNCTION("""COMPUTED_VALUE"""),"105,")</f>
        <v>105,</v>
      </c>
    </row>
    <row r="505" spans="1:3" ht="15.75" customHeight="1">
      <c r="A505" s="16" t="str">
        <f ca="1">IFERROR(__xludf.DUMMYFUNCTION("""COMPUTED_VALUE"""),"ID Cooling SL360 XE WHITE")</f>
        <v>ID Cooling SL360 XE WHITE</v>
      </c>
      <c r="B505" s="16" t="str">
        <f ca="1">IFERROR(__xludf.DUMMYFUNCTION("""COMPUTED_VALUE"""),"")</f>
        <v/>
      </c>
      <c r="C505" s="16" t="str">
        <f ca="1">IFERROR(__xludf.DUMMYFUNCTION("""COMPUTED_VALUE"""),"107,")</f>
        <v>107,</v>
      </c>
    </row>
    <row r="506" spans="1:3" ht="15.75" customHeight="1">
      <c r="A506" s="16" t="str">
        <f ca="1">IFERROR(__xludf.DUMMYFUNCTION("""COMPUTED_VALUE"""),"ID Cooling SL360")</f>
        <v>ID Cooling SL360</v>
      </c>
      <c r="B506" s="16" t="str">
        <f ca="1">IFERROR(__xludf.DUMMYFUNCTION("""COMPUTED_VALUE"""),"")</f>
        <v/>
      </c>
      <c r="C506" s="16" t="str">
        <f ca="1">IFERROR(__xludf.DUMMYFUNCTION("""COMPUTED_VALUE"""),"125,")</f>
        <v>125,</v>
      </c>
    </row>
    <row r="507" spans="1:3" ht="15.75" customHeight="1">
      <c r="A507" s="16" t="str">
        <f ca="1">IFERROR(__xludf.DUMMYFUNCTION("""COMPUTED_VALUE"""),"ID Cooling SL360 WHITE")</f>
        <v>ID Cooling SL360 WHITE</v>
      </c>
      <c r="B507" s="16" t="str">
        <f ca="1">IFERROR(__xludf.DUMMYFUNCTION("""COMPUTED_VALUE"""),"")</f>
        <v/>
      </c>
      <c r="C507" s="16" t="str">
        <f ca="1">IFERROR(__xludf.DUMMYFUNCTION("""COMPUTED_VALUE"""),"127,")</f>
        <v>127,</v>
      </c>
    </row>
    <row r="508" spans="1:3" ht="15.75" customHeight="1">
      <c r="A508" s="16" t="str">
        <f ca="1">IFERROR(__xludf.DUMMYFUNCTION("""COMPUTED_VALUE"""),"ASUS - 24"" TUF Gaming VG249QM1A Gaming Monitor, FHD (1920x1080), Fast IPS, 270Hz, 1ms (GTG), FreeSync, G-Sync, Black (90LM06J0-B02370)")</f>
        <v>ASUS - 24" TUF Gaming VG249QM1A Gaming Monitor, FHD (1920x1080), Fast IPS, 270Hz, 1ms (GTG), FreeSync, G-Sync, Black (90LM06J0-B02370)</v>
      </c>
      <c r="B508" s="16" t="str">
        <f ca="1">IFERROR(__xludf.DUMMYFUNCTION("""COMPUTED_VALUE"""),"90LM06J0-B02370")</f>
        <v>90LM06J0-B02370</v>
      </c>
      <c r="C508" s="16" t="str">
        <f ca="1">IFERROR(__xludf.DUMMYFUNCTION("""COMPUTED_VALUE"""),"230,")</f>
        <v>230,</v>
      </c>
    </row>
    <row r="509" spans="1:3" ht="15.75" customHeight="1">
      <c r="A509" s="16" t="str">
        <f ca="1">IFERROR(__xludf.DUMMYFUNCTION("""COMPUTED_VALUE"""),"ASUS - 25"" TUF Gaming VG259QMRL5A Gaming Monitor,  FHD (1920x1080), 310Hz, Fast IPS, 0.3ms, Freesync, G-Sync, Height adjustment, Black (90LM0BQ0-B01O71)")</f>
        <v>ASUS - 25" TUF Gaming VG259QMRL5A Gaming Monitor,  FHD (1920x1080), 310Hz, Fast IPS, 0.3ms, Freesync, G-Sync, Height adjustment, Black (90LM0BQ0-B01O71)</v>
      </c>
      <c r="B509" s="16" t="str">
        <f ca="1">IFERROR(__xludf.DUMMYFUNCTION("""COMPUTED_VALUE"""),"90LM0BQ0-B01O71")</f>
        <v>90LM0BQ0-B01O71</v>
      </c>
      <c r="C509" s="16" t="str">
        <f ca="1">IFERROR(__xludf.DUMMYFUNCTION("""COMPUTED_VALUE"""),"210,")</f>
        <v>210,</v>
      </c>
    </row>
    <row r="510" spans="1:3" ht="15.75" customHeight="1">
      <c r="A510" s="16" t="str">
        <f ca="1">IFERROR(__xludf.DUMMYFUNCTION("""COMPUTED_VALUE"""),"ASUS - 27"" TUF Gaming VG279Q3A Gaming Monitor, FHD(1920x1080), 180Hz, Fast IPS, 1ms (GTG), FreeSync, G-Sync, Black (90LM0990-B01170)")</f>
        <v>ASUS - 27" TUF Gaming VG279Q3A Gaming Monitor, FHD(1920x1080), 180Hz, Fast IPS, 1ms (GTG), FreeSync, G-Sync, Black (90LM0990-B01170)</v>
      </c>
      <c r="B510" s="16" t="str">
        <f ca="1">IFERROR(__xludf.DUMMYFUNCTION("""COMPUTED_VALUE"""),"90LM0990-B01170")</f>
        <v>90LM0990-B01170</v>
      </c>
      <c r="C510" s="16" t="str">
        <f ca="1">IFERROR(__xludf.DUMMYFUNCTION("""COMPUTED_VALUE"""),"180,")</f>
        <v>180,</v>
      </c>
    </row>
    <row r="511" spans="1:3" ht="15.75" customHeight="1">
      <c r="A511" s="16" t="str">
        <f ca="1">IFERROR(__xludf.DUMMYFUNCTION("""COMPUTED_VALUE"""),"ASUS - 27"" TUF Gaming VG279Q3A-W Gaming Monitor, FHD (1920x1080), 180Hz, Fast IPS, 1ms (GTG), FreeSync, G-Sync, White (90LM099D-B01170) (2 штук)")</f>
        <v>ASUS - 27" TUF Gaming VG279Q3A-W Gaming Monitor, FHD (1920x1080), 180Hz, Fast IPS, 1ms (GTG), FreeSync, G-Sync, White (90LM099D-B01170) (2 штук)</v>
      </c>
      <c r="B511" s="16" t="str">
        <f ca="1">IFERROR(__xludf.DUMMYFUNCTION("""COMPUTED_VALUE"""),"90LM099D-B01170")</f>
        <v>90LM099D-B01170</v>
      </c>
      <c r="C511" s="16" t="str">
        <f ca="1">IFERROR(__xludf.DUMMYFUNCTION("""COMPUTED_VALUE"""),"190,")</f>
        <v>190,</v>
      </c>
    </row>
    <row r="512" spans="1:3" ht="15.75" customHeight="1">
      <c r="A512" s="16" t="str">
        <f ca="1">IFERROR(__xludf.DUMMYFUNCTION("""COMPUTED_VALUE"""),"ASUS - 27"" TUF Gaming  VG279QM5A Gaming Monitor, FHD (1920x1080), Fast-IPS, 240Hz, 0.3ms, G-SYNC®, AMD FreeSync™ Black (90LM0B80-B01171)")</f>
        <v>ASUS - 27" TUF Gaming  VG279QM5A Gaming Monitor, FHD (1920x1080), Fast-IPS, 240Hz, 0.3ms, G-SYNC®, AMD FreeSync™ Black (90LM0B80-B01171)</v>
      </c>
      <c r="B512" s="16" t="str">
        <f ca="1">IFERROR(__xludf.DUMMYFUNCTION("""COMPUTED_VALUE"""),"90LM0B80-B01171")</f>
        <v>90LM0B80-B01171</v>
      </c>
      <c r="C512" s="16" t="str">
        <f ca="1">IFERROR(__xludf.DUMMYFUNCTION("""COMPUTED_VALUE"""),"190,")</f>
        <v>190,</v>
      </c>
    </row>
    <row r="513" spans="1:3" ht="15.75" customHeight="1">
      <c r="A513" s="16" t="str">
        <f ca="1">IFERROR(__xludf.DUMMYFUNCTION("""COMPUTED_VALUE"""),"ASUS - 27"" TUF Gaming VG279QM Gaming Monitor, Fast IPS, 280Hz, 1ms, FHD (1920x1080), HDR400, Black (90LM05H0-B03370) (распродажа)")</f>
        <v>ASUS - 27" TUF Gaming VG279QM Gaming Monitor, Fast IPS, 280Hz, 1ms, FHD (1920x1080), HDR400, Black (90LM05H0-B03370) (распродажа)</v>
      </c>
      <c r="B513" s="16" t="str">
        <f ca="1">IFERROR(__xludf.DUMMYFUNCTION("""COMPUTED_VALUE"""),"90LM05H0-B03370")</f>
        <v>90LM05H0-B03370</v>
      </c>
      <c r="C513" s="16" t="str">
        <f ca="1">IFERROR(__xludf.DUMMYFUNCTION("""COMPUTED_VALUE"""),"240,")</f>
        <v>240,</v>
      </c>
    </row>
    <row r="514" spans="1:3" ht="15.75" customHeight="1">
      <c r="A514" s="16" t="str">
        <f ca="1">IFERROR(__xludf.DUMMYFUNCTION("""COMPUTED_VALUE"""),"ASUS - 27"" TUF Gaming VG27AQM5A Gaming Monitor, QHD(2560x1440), 300Hz, Fast IPS, 0.3ms, ELMB Sync, Sterio, Black (90LM0BG0-B01971)")</f>
        <v>ASUS - 27" TUF Gaming VG27AQM5A Gaming Monitor, QHD(2560x1440), 300Hz, Fast IPS, 0.3ms, ELMB Sync, Sterio, Black (90LM0BG0-B01971)</v>
      </c>
      <c r="B514" s="16" t="str">
        <f ca="1">IFERROR(__xludf.DUMMYFUNCTION("""COMPUTED_VALUE"""),"90LM0BG0-B01971")</f>
        <v>90LM0BG0-B01971</v>
      </c>
      <c r="C514" s="16" t="str">
        <f ca="1">IFERROR(__xludf.DUMMYFUNCTION("""COMPUTED_VALUE"""),"320,")</f>
        <v>320,</v>
      </c>
    </row>
    <row r="515" spans="1:3" ht="15.75" customHeight="1">
      <c r="A515" s="16" t="str">
        <f ca="1">IFERROR(__xludf.DUMMYFUNCTION("""COMPUTED_VALUE"""),"ASUS - 27"" TUF Gaming VG27AQML5A Gaming Monitor, QHD(2560x1440), 300Hz, Fast IPS, 0.3ms, Freesync, G-Sync, ELMB Sync, Black (90LM0BG0-B02971)")</f>
        <v>ASUS - 27" TUF Gaming VG27AQML5A Gaming Monitor, QHD(2560x1440), 300Hz, Fast IPS, 0.3ms, Freesync, G-Sync, ELMB Sync, Black (90LM0BG0-B02971)</v>
      </c>
      <c r="B515" s="16" t="str">
        <f ca="1">IFERROR(__xludf.DUMMYFUNCTION("""COMPUTED_VALUE"""),"90LM0BG0-B02971")</f>
        <v>90LM0BG0-B02971</v>
      </c>
      <c r="C515" s="16" t="str">
        <f ca="1">IFERROR(__xludf.DUMMYFUNCTION("""COMPUTED_VALUE"""),"340,")</f>
        <v>340,</v>
      </c>
    </row>
    <row r="516" spans="1:3" ht="15.75" customHeight="1">
      <c r="A516" s="16" t="str">
        <f ca="1">IFERROR(__xludf.DUMMYFUNCTION("""COMPUTED_VALUE"""),"ASUS - 27"" TUF Gaming VG27UQ1A Gaming Monitor, UHD (3840x2160), 160Hz, 1ms, AMD FreeSync, NVIDIA® G-SYNC®, HDR, Black (90LM0AR0-B01371)")</f>
        <v>ASUS - 27" TUF Gaming VG27UQ1A Gaming Monitor, UHD (3840x2160), 160Hz, 1ms, AMD FreeSync, NVIDIA® G-SYNC®, HDR, Black (90LM0AR0-B01371)</v>
      </c>
      <c r="B516" s="16" t="str">
        <f ca="1">IFERROR(__xludf.DUMMYFUNCTION("""COMPUTED_VALUE"""),"90LM0AR0-B01371")</f>
        <v>90LM0AR0-B01371</v>
      </c>
      <c r="C516" s="16" t="str">
        <f ca="1">IFERROR(__xludf.DUMMYFUNCTION("""COMPUTED_VALUE"""),"480,")</f>
        <v>480,</v>
      </c>
    </row>
    <row r="517" spans="1:3" ht="15.75" customHeight="1">
      <c r="A517" s="16" t="str">
        <f ca="1">IFERROR(__xludf.DUMMYFUNCTION("""COMPUTED_VALUE"""),"ASUS - 27"" ROG Strix XG27ACS Gaming Monitor, QHD (2560x1440), 180Hz, 1ms, Fast IPS, USB Type-C, G-Sync, HDR, Black (90LM09Q0-B01170)")</f>
        <v>ASUS - 27" ROG Strix XG27ACS Gaming Monitor, QHD (2560x1440), 180Hz, 1ms, Fast IPS, USB Type-C, G-Sync, HDR, Black (90LM09Q0-B01170)</v>
      </c>
      <c r="B517" s="16" t="str">
        <f ca="1">IFERROR(__xludf.DUMMYFUNCTION("""COMPUTED_VALUE"""),"90LM09Q0-B01170")</f>
        <v>90LM09Q0-B01170</v>
      </c>
      <c r="C517" s="16" t="str">
        <f ca="1">IFERROR(__xludf.DUMMYFUNCTION("""COMPUTED_VALUE"""),"365,")</f>
        <v>365,</v>
      </c>
    </row>
    <row r="518" spans="1:3" ht="15.75" customHeight="1">
      <c r="A518" s="16" t="str">
        <f ca="1">IFERROR(__xludf.DUMMYFUNCTION("""COMPUTED_VALUE"""),"ASUS - 27"" ROG Strix XG27ACS-W Gaming Monitor, QHD (2560x1440), 180Hz, 1ms, Fast IPS, USB Type-C, G-Sync, HDR, White (90LM09Q1-B01170) (2 штук)")</f>
        <v>ASUS - 27" ROG Strix XG27ACS-W Gaming Monitor, QHD (2560x1440), 180Hz, 1ms, Fast IPS, USB Type-C, G-Sync, HDR, White (90LM09Q1-B01170) (2 штук)</v>
      </c>
      <c r="B518" s="16" t="str">
        <f ca="1">IFERROR(__xludf.DUMMYFUNCTION("""COMPUTED_VALUE"""),"90LM09Q1-B01170")</f>
        <v>90LM09Q1-B01170</v>
      </c>
      <c r="C518" s="16" t="str">
        <f ca="1">IFERROR(__xludf.DUMMYFUNCTION("""COMPUTED_VALUE"""),"390,")</f>
        <v>390,</v>
      </c>
    </row>
    <row r="519" spans="1:3" ht="15.75" customHeight="1">
      <c r="A519" s="16" t="str">
        <f ca="1">IFERROR(__xludf.DUMMYFUNCTION("""COMPUTED_VALUE"""),"ASUS - 27"" ROG Strix XG27ACG Gaming Monitor, QHD (2560x1440), 180Hz, 1ms, Fast IPS, USB Type-C, G-Sync, HDR, Aura Sync, Black (90LM0A70-B01370)")</f>
        <v>ASUS - 27" ROG Strix XG27ACG Gaming Monitor, QHD (2560x1440), 180Hz, 1ms, Fast IPS, USB Type-C, G-Sync, HDR, Aura Sync, Black (90LM0A70-B01370)</v>
      </c>
      <c r="B519" s="16" t="str">
        <f ca="1">IFERROR(__xludf.DUMMYFUNCTION("""COMPUTED_VALUE"""),"90LM0A70-B01370")</f>
        <v>90LM0A70-B01370</v>
      </c>
      <c r="C519" s="16" t="str">
        <f ca="1">IFERROR(__xludf.DUMMYFUNCTION("""COMPUTED_VALUE"""),"400,")</f>
        <v>400,</v>
      </c>
    </row>
    <row r="520" spans="1:3" ht="15.75" customHeight="1">
      <c r="A520" s="16" t="str">
        <f ca="1">IFERROR(__xludf.DUMMYFUNCTION("""COMPUTED_VALUE"""),"ASUS - 27"" ROG Strix XG27ACMEG-G Hatsune Miku Edition Gaming Monitor, IPS, 260Hz, QHD(2560 x 1440)2K, 0,03ms, USB Type-C, HDR400, Black (90LM0C7U-B01371)")</f>
        <v>ASUS - 27" ROG Strix XG27ACMEG-G Hatsune Miku Edition Gaming Monitor, IPS, 260Hz, QHD(2560 x 1440)2K, 0,03ms, USB Type-C, HDR400, Black (90LM0C7U-B01371)</v>
      </c>
      <c r="B520" s="16" t="str">
        <f ca="1">IFERROR(__xludf.DUMMYFUNCTION("""COMPUTED_VALUE"""),"90LM0C7U-B01371")</f>
        <v>90LM0C7U-B01371</v>
      </c>
      <c r="C520" s="16" t="str">
        <f ca="1">IFERROR(__xludf.DUMMYFUNCTION("""COMPUTED_VALUE"""),"430,")</f>
        <v>430,</v>
      </c>
    </row>
    <row r="521" spans="1:3" ht="15.75" customHeight="1">
      <c r="A521" s="16" t="str">
        <f ca="1">IFERROR(__xludf.DUMMYFUNCTION("""COMPUTED_VALUE"""),"ASUS - 25"" ROG Strix XG259QNS eSports Gaming Monitor, FHD (1920x1080), 380Hz, Fast IPS, 0,3ms, HDR, Black (90LM09M0-B01370)")</f>
        <v>ASUS - 25" ROG Strix XG259QNS eSports Gaming Monitor, FHD (1920x1080), 380Hz, Fast IPS, 0,3ms, HDR, Black (90LM09M0-B01370)</v>
      </c>
      <c r="B521" s="16" t="str">
        <f ca="1">IFERROR(__xludf.DUMMYFUNCTION("""COMPUTED_VALUE"""),"90LM09M0-B01370")</f>
        <v>90LM09M0-B01370</v>
      </c>
      <c r="C521" s="16" t="str">
        <f ca="1">IFERROR(__xludf.DUMMYFUNCTION("""COMPUTED_VALUE"""),"430,")</f>
        <v>430,</v>
      </c>
    </row>
    <row r="522" spans="1:3" ht="15.75" customHeight="1">
      <c r="A522" s="16" t="str">
        <f ca="1">IFERROR(__xludf.DUMMYFUNCTION("""COMPUTED_VALUE"""),"ASUS - 27"" ROG Strix XG279CNS Gaming Monitor, FHD(1920x1080), IPS, 380Hz, 0.3ms GTG, USB Type-C, DisplayHDR™ 400, Black (90LM0AW0-B01371)")</f>
        <v>ASUS - 27" ROG Strix XG279CNS Gaming Monitor, FHD(1920x1080), IPS, 380Hz, 0.3ms GTG, USB Type-C, DisplayHDR™ 400, Black (90LM0AW0-B01371)</v>
      </c>
      <c r="B522" s="16" t="str">
        <f ca="1">IFERROR(__xludf.DUMMYFUNCTION("""COMPUTED_VALUE"""),"90LM0AW0-B01371")</f>
        <v>90LM0AW0-B01371</v>
      </c>
      <c r="C522" s="16" t="str">
        <f ca="1">IFERROR(__xludf.DUMMYFUNCTION("""COMPUTED_VALUE"""),"450,")</f>
        <v>450,</v>
      </c>
    </row>
    <row r="523" spans="1:3" ht="15.75" customHeight="1">
      <c r="A523" s="16" t="str">
        <f ca="1">IFERROR(__xludf.DUMMYFUNCTION("""COMPUTED_VALUE"""),"ASUS - 27"" ROG Strix XG27WCMS Curved Gaming Monitor, QHD (2560x1440), 280Hz, 1ms, USB Type-C, HDR, Black (90LM09Y1-B01370)")</f>
        <v>ASUS - 27" ROG Strix XG27WCMS Curved Gaming Monitor, QHD (2560x1440), 280Hz, 1ms, USB Type-C, HDR, Black (90LM09Y1-B01370)</v>
      </c>
      <c r="B523" s="16" t="str">
        <f ca="1">IFERROR(__xludf.DUMMYFUNCTION("""COMPUTED_VALUE"""),"90LM09Y1-B01370")</f>
        <v>90LM09Y1-B01370</v>
      </c>
      <c r="C523" s="16" t="str">
        <f ca="1">IFERROR(__xludf.DUMMYFUNCTION("""COMPUTED_VALUE"""),"480,")</f>
        <v>480,</v>
      </c>
    </row>
    <row r="524" spans="1:3" ht="15.75" customHeight="1">
      <c r="A524" s="16" t="str">
        <f ca="1">IFERROR(__xludf.DUMMYFUNCTION("""COMPUTED_VALUE"""),"ASUS - 27"" ROG Strix XG27ACMG Gaming Monitor, QHD (2560x1440), 270Hz OC, 1ms, Fast IPS, USB Type-C, G-Sync, HDR, Aura Sync (90LM0A60-B01370) (1 штук)")</f>
        <v>ASUS - 27" ROG Strix XG27ACMG Gaming Monitor, QHD (2560x1440), 270Hz OC, 1ms, Fast IPS, USB Type-C, G-Sync, HDR, Aura Sync (90LM0A60-B01370) (1 штук)</v>
      </c>
      <c r="B524" s="16" t="str">
        <f ca="1">IFERROR(__xludf.DUMMYFUNCTION("""COMPUTED_VALUE"""),"90LM0A60-B01370")</f>
        <v>90LM0A60-B01370</v>
      </c>
      <c r="C524" s="16" t="str">
        <f ca="1">IFERROR(__xludf.DUMMYFUNCTION("""COMPUTED_VALUE"""),"500,")</f>
        <v>500,</v>
      </c>
    </row>
    <row r="525" spans="1:3" ht="15.75" customHeight="1">
      <c r="A525" s="16" t="str">
        <f ca="1">IFERROR(__xludf.DUMMYFUNCTION("""COMPUTED_VALUE"""),"ASUS - 32"" ROG Strix XG32WCMS Curved Gaming Monitor, QHD (2560x1440), 280Hz, Fast VA, 1ms, USB Type-C, HDR, Black (90LM09X0-B01970)")</f>
        <v>ASUS - 32" ROG Strix XG32WCMS Curved Gaming Monitor, QHD (2560x1440), 280Hz, Fast VA, 1ms, USB Type-C, HDR, Black (90LM09X0-B01970)</v>
      </c>
      <c r="B525" s="16" t="str">
        <f ca="1">IFERROR(__xludf.DUMMYFUNCTION("""COMPUTED_VALUE"""),"90LM09X0-B01970")</f>
        <v>90LM09X0-B01970</v>
      </c>
      <c r="C525" s="16" t="str">
        <f ca="1">IFERROR(__xludf.DUMMYFUNCTION("""COMPUTED_VALUE"""),"500,")</f>
        <v>500,</v>
      </c>
    </row>
    <row r="526" spans="1:3" ht="15.75" customHeight="1">
      <c r="A526" s="16" t="str">
        <f ca="1">IFERROR(__xludf.DUMMYFUNCTION("""COMPUTED_VALUE"""),"ASUS - 27"" ROG Strix OLED XG27UCDMG Gaming Monitor, UHD (3840 x 2160) 4K, 240Hz, 0,03ms, USB Type-C, HDR, Black (90LM0B20-B01971)")</f>
        <v>ASUS - 27" ROG Strix OLED XG27UCDMG Gaming Monitor, UHD (3840 x 2160) 4K, 240Hz, 0,03ms, USB Type-C, HDR, Black (90LM0B20-B01971)</v>
      </c>
      <c r="B526" s="16" t="str">
        <f ca="1">IFERROR(__xludf.DUMMYFUNCTION("""COMPUTED_VALUE"""),"90LM0B20-B01971")</f>
        <v>90LM0B20-B01971</v>
      </c>
      <c r="C526" s="16" t="str">
        <f ca="1">IFERROR(__xludf.DUMMYFUNCTION("""COMPUTED_VALUE"""),"1100,")</f>
        <v>1100,</v>
      </c>
    </row>
    <row r="527" spans="1:3" ht="15.75" customHeight="1">
      <c r="A527" s="16" t="str">
        <f ca="1">IFERROR(__xludf.DUMMYFUNCTION("""COMPUTED_VALUE"""),"ASUS - 27"" ROG Strix OLED XG27AQDPG Gaming Monitor, QHD (2560 x 1440) 2K, 500Hz, 0,03ms, USB Type-C, HDR, Black (90LM0C50-B01971)")</f>
        <v>ASUS - 27" ROG Strix OLED XG27AQDPG Gaming Monitor, QHD (2560 x 1440) 2K, 500Hz, 0,03ms, USB Type-C, HDR, Black (90LM0C50-B01971)</v>
      </c>
      <c r="B527" s="16" t="str">
        <f ca="1">IFERROR(__xludf.DUMMYFUNCTION("""COMPUTED_VALUE"""),"90LM0C50-B01971")</f>
        <v>90LM0C50-B01971</v>
      </c>
      <c r="C527" s="16" t="str">
        <f ca="1">IFERROR(__xludf.DUMMYFUNCTION("""COMPUTED_VALUE"""),"1100,")</f>
        <v>1100,</v>
      </c>
    </row>
    <row r="528" spans="1:3" ht="15.75" customHeight="1">
      <c r="A528" s="16" t="str">
        <f ca="1">IFERROR(__xludf.DUMMYFUNCTION("""COMPUTED_VALUE"""),"ASUS - 27"" ROG Strix OLED XG32UCWMG Gaming Monitor, dual mode (4K@240Hz, FHD@480Hz), 0.03ms, G-SYNC, DisplayHDR™ 400, Type-C, Black (90LM0BW0-B01371)")</f>
        <v>ASUS - 27" ROG Strix OLED XG32UCWMG Gaming Monitor, dual mode (4K@240Hz, FHD@480Hz), 0.03ms, G-SYNC, DisplayHDR™ 400, Type-C, Black (90LM0BW0-B01371)</v>
      </c>
      <c r="B528" s="16" t="str">
        <f ca="1">IFERROR(__xludf.DUMMYFUNCTION("""COMPUTED_VALUE"""),"90LM0BW0-B01371")</f>
        <v>90LM0BW0-B01371</v>
      </c>
      <c r="C528" s="16" t="str">
        <f ca="1">IFERROR(__xludf.DUMMYFUNCTION("""COMPUTED_VALUE"""),"1200,")</f>
        <v>1200,</v>
      </c>
    </row>
    <row r="529" spans="1:3" ht="15.75" customHeight="1">
      <c r="A529" s="16" t="str">
        <f ca="1">IFERROR(__xludf.DUMMYFUNCTION("""COMPUTED_VALUE"""),"ASUS - 27"" PA279CV ProArt Monitor, IPS, 5mc, 60Hz, UHD (3840x2160) 4K, HDMI, DisplayPort, Type-C, HDR, Black (90LM06M1-B01170)")</f>
        <v>ASUS - 27" PA279CV ProArt Monitor, IPS, 5mc, 60Hz, UHD (3840x2160) 4K, HDMI, DisplayPort, Type-C, HDR, Black (90LM06M1-B01170)</v>
      </c>
      <c r="B529" s="16" t="str">
        <f ca="1">IFERROR(__xludf.DUMMYFUNCTION("""COMPUTED_VALUE"""),"90LM06M1-B01170")</f>
        <v>90LM06M1-B01170</v>
      </c>
      <c r="C529" s="16" t="str">
        <f ca="1">IFERROR(__xludf.DUMMYFUNCTION("""COMPUTED_VALUE"""),"480,")</f>
        <v>480,</v>
      </c>
    </row>
    <row r="530" spans="1:3" ht="15.75" customHeight="1">
      <c r="A530" s="16" t="str">
        <f ca="1">IFERROR(__xludf.DUMMYFUNCTION("""COMPUTED_VALUE"""),"ASUS - 27"" PA279CRV ProArt Monitor, IPS, 5mc, 60Hz, UHD (3840x2160) 4K, HDMI, DisplayPort, Type-C, HDR400, Black (90LM08E0-B01K70)")</f>
        <v>ASUS - 27" PA279CRV ProArt Monitor, IPS, 5mc, 60Hz, UHD (3840x2160) 4K, HDMI, DisplayPort, Type-C, HDR400, Black (90LM08E0-B01K70)</v>
      </c>
      <c r="B530" s="16" t="str">
        <f ca="1">IFERROR(__xludf.DUMMYFUNCTION("""COMPUTED_VALUE"""),"90LM08E0-B01K70")</f>
        <v>90LM08E0-B01K70</v>
      </c>
      <c r="C530" s="16" t="str">
        <f ca="1">IFERROR(__xludf.DUMMYFUNCTION("""COMPUTED_VALUE"""),"540,")</f>
        <v>540,</v>
      </c>
    </row>
    <row r="531" spans="1:3" ht="15.75" customHeight="1">
      <c r="A531" s="16" t="str">
        <f ca="1">IFERROR(__xludf.DUMMYFUNCTION("""COMPUTED_VALUE"""),"ASUS - 32"" PA328QV ProArt Monitor, IPS, 5mc, 75Hz, WQHD (2560x1440) 2K, HDMI, DisplayPort, Black (90LM00X0-B02370)")</f>
        <v>ASUS - 32" PA328QV ProArt Monitor, IPS, 5mc, 75Hz, WQHD (2560x1440) 2K, HDMI, DisplayPort, Black (90LM00X0-B02370)</v>
      </c>
      <c r="B531" s="16" t="str">
        <f ca="1">IFERROR(__xludf.DUMMYFUNCTION("""COMPUTED_VALUE"""),"90LM00X0-B02370")</f>
        <v>90LM00X0-B02370</v>
      </c>
      <c r="C531" s="16" t="str">
        <f ca="1">IFERROR(__xludf.DUMMYFUNCTION("""COMPUTED_VALUE"""),"570,")</f>
        <v>570,</v>
      </c>
    </row>
    <row r="532" spans="1:3" ht="15.75" customHeight="1">
      <c r="A532" s="16" t="str">
        <f ca="1">IFERROR(__xludf.DUMMYFUNCTION("""COMPUTED_VALUE"""),"ASUS - 32"" ProArt PA329CV Monitor, UHD (3840x2160), 60Hz, 5ms, IPS, USB Type-C, HDR, Black (90LM06P1-B01170)")</f>
        <v>ASUS - 32" ProArt PA329CV Monitor, UHD (3840x2160), 60Hz, 5ms, IPS, USB Type-C, HDR, Black (90LM06P1-B01170)</v>
      </c>
      <c r="B532" s="16" t="str">
        <f ca="1">IFERROR(__xludf.DUMMYFUNCTION("""COMPUTED_VALUE"""),"90LM06P1-B01170")</f>
        <v>90LM06P1-B01170</v>
      </c>
      <c r="C532" s="16" t="str">
        <f ca="1">IFERROR(__xludf.DUMMYFUNCTION("""COMPUTED_VALUE"""),"770,")</f>
        <v>770,</v>
      </c>
    </row>
    <row r="533" spans="1:3" ht="15.75" customHeight="1">
      <c r="A533" s="16" t="str">
        <f ca="1">IFERROR(__xludf.DUMMYFUNCTION("""COMPUTED_VALUE"""),"ASUS - 32"" ProArt PA329CRV Monitor, UHD (3840x2160), 60Hz, 5ms, IPS, USB Type-C, HDR400, Black (90LM02C0-B01K70)")</f>
        <v>ASUS - 32" ProArt PA329CRV Monitor, UHD (3840x2160), 60Hz, 5ms, IPS, USB Type-C, HDR400, Black (90LM02C0-B01K70)</v>
      </c>
      <c r="B533" s="16" t="str">
        <f ca="1">IFERROR(__xludf.DUMMYFUNCTION("""COMPUTED_VALUE"""),"90LM02C0-B01K70")</f>
        <v>90LM02C0-B01K70</v>
      </c>
      <c r="C533" s="16" t="str">
        <f ca="1">IFERROR(__xludf.DUMMYFUNCTION("""COMPUTED_VALUE"""),"800,")</f>
        <v>800,</v>
      </c>
    </row>
    <row r="534" spans="1:3" ht="15.75" customHeight="1">
      <c r="A534" s="16" t="str">
        <f ca="1">IFERROR(__xludf.DUMMYFUNCTION("""COMPUTED_VALUE"""),"ASUS - 27"" PA27JCV ProArt Monitor, IPS, 5mc, 60Hz, 5K (5120 x 2880), HDMI, DisplayPort, Type-C, HDR500, Black (90LM0AL0-B01K70)")</f>
        <v>ASUS - 27" PA27JCV ProArt Monitor, IPS, 5mc, 60Hz, 5K (5120 x 2880), HDMI, DisplayPort, Type-C, HDR500, Black (90LM0AL0-B01K70)</v>
      </c>
      <c r="B534" s="16" t="str">
        <f ca="1">IFERROR(__xludf.DUMMYFUNCTION("""COMPUTED_VALUE"""),"90LM0AL0-B01K70")</f>
        <v>90LM0AL0-B01K70</v>
      </c>
      <c r="C534" s="16" t="str">
        <f ca="1">IFERROR(__xludf.DUMMYFUNCTION("""COMPUTED_VALUE"""),"900,")</f>
        <v>900,</v>
      </c>
    </row>
    <row r="535" spans="1:3" ht="15.75" customHeight="1">
      <c r="A535" s="16" t="str">
        <f ca="1">IFERROR(__xludf.DUMMYFUNCTION("""COMPUTED_VALUE"""),"ASUS - 32"" PA32UCDM ProArt OLED Monitor, IPS, 0.1mc, 240Hz, UHD (3840x2160) 4K, HDMI, DisplayPort, Type-C, HDR, Black (90LM03HE-B01K70)")</f>
        <v>ASUS - 32" PA32UCDM ProArt OLED Monitor, IPS, 0.1mc, 240Hz, UHD (3840x2160) 4K, HDMI, DisplayPort, Type-C, HDR, Black (90LM03HE-B01K70)</v>
      </c>
      <c r="B535" s="16" t="str">
        <f ca="1">IFERROR(__xludf.DUMMYFUNCTION("""COMPUTED_VALUE"""),"90LM03HE-B01K70")</f>
        <v>90LM03HE-B01K70</v>
      </c>
      <c r="C535" s="16" t="str">
        <f ca="1">IFERROR(__xludf.DUMMYFUNCTION("""COMPUTED_VALUE"""),"1600,")</f>
        <v>1600,</v>
      </c>
    </row>
    <row r="536" spans="1:3" ht="15.75" customHeight="1">
      <c r="A536" s="16" t="str">
        <f ca="1">IFERROR(__xludf.DUMMYFUNCTION("""COMPUTED_VALUE"""),"ASUS - 32"" PA32QCV ProArt OLED Monitor, IPS, 5mc, 60Hz, 6К (6016 x 3384), HDMI, DisplayPort, Type-C, HDR110, Black (90LM0BD0-B01K71)")</f>
        <v>ASUS - 32" PA32QCV ProArt OLED Monitor, IPS, 5mc, 60Hz, 6К (6016 x 3384), HDMI, DisplayPort, Type-C, HDR110, Black (90LM0BD0-B01K71)</v>
      </c>
      <c r="B536" s="16" t="str">
        <f ca="1">IFERROR(__xludf.DUMMYFUNCTION("""COMPUTED_VALUE"""),"90LM0BD0-B01K71")</f>
        <v>90LM0BD0-B01K71</v>
      </c>
      <c r="C536" s="16" t="str">
        <f ca="1">IFERROR(__xludf.DUMMYFUNCTION("""COMPUTED_VALUE"""),"1600,")</f>
        <v>1600,</v>
      </c>
    </row>
    <row r="537" spans="1:3" ht="15.75" customHeight="1">
      <c r="A537" s="16" t="str">
        <f ca="1">IFERROR(__xludf.DUMMYFUNCTION("""COMPUTED_VALUE"""),"ASUS - 39"" ROG Swift OLED PG39WCDM Curved Gaming Monitor, 240 Hz, 0.03 ms, UWQHD (3440x1440),  G-SYNC, ROG Smart KVM, Type-C, Black (90LM09R0-B01170) (1 штук)")</f>
        <v>ASUS - 39" ROG Swift OLED PG39WCDM Curved Gaming Monitor, 240 Hz, 0.03 ms, UWQHD (3440x1440),  G-SYNC, ROG Smart KVM, Type-C, Black (90LM09R0-B01170) (1 штук)</v>
      </c>
      <c r="B537" s="16" t="str">
        <f ca="1">IFERROR(__xludf.DUMMYFUNCTION("""COMPUTED_VALUE"""),"90LM09R0-B01170")</f>
        <v>90LM09R0-B01170</v>
      </c>
      <c r="C537" s="16" t="str">
        <f ca="1">IFERROR(__xludf.DUMMYFUNCTION("""COMPUTED_VALUE"""),"1450,")</f>
        <v>1450,</v>
      </c>
    </row>
    <row r="538" spans="1:3" ht="15.75" customHeight="1">
      <c r="A538" s="16" t="str">
        <f ca="1">IFERROR(__xludf.DUMMYFUNCTION("""COMPUTED_VALUE"""),"BenQ - 27"" DesignVue PD2706U 4K Monitor, IPS, 60Hz, 5mc, UHD(3840x2160), HDMI, Type C, Audio, Pivot, Ergo Stand, Black, Monitor for Mac (9H.LLJLB.QEP)")</f>
        <v>BenQ - 27" DesignVue PD2706U 4K Monitor, IPS, 60Hz, 5mc, UHD(3840x2160), HDMI, Type C, Audio, Pivot, Ergo Stand, Black, Monitor for Mac (9H.LLJLB.QEP)</v>
      </c>
      <c r="B538" s="16" t="str">
        <f ca="1">IFERROR(__xludf.DUMMYFUNCTION("""COMPUTED_VALUE"""),"9H.LLJLB.QEP")</f>
        <v>9H.LLJLB.QEP</v>
      </c>
      <c r="C538" s="16" t="str">
        <f ca="1">IFERROR(__xludf.DUMMYFUNCTION("""COMPUTED_VALUE"""),"510,")</f>
        <v>510,</v>
      </c>
    </row>
    <row r="539" spans="1:3" ht="15.75" customHeight="1">
      <c r="A539" s="16" t="str">
        <f ca="1">IFERROR(__xludf.DUMMYFUNCTION("""COMPUTED_VALUE"""),"BenQ - 27"" MA270U 4K Monitor, IPS, 60Hz, 5mc, UHD(3840x2160), HDMI, Type C, Audio, Pivot, Black, Monitor for Mac (9H.LMWLB.QBP)")</f>
        <v>BenQ - 27" MA270U 4K Monitor, IPS, 60Hz, 5mc, UHD(3840x2160), HDMI, Type C, Audio, Pivot, Black, Monitor for Mac (9H.LMWLB.QBP)</v>
      </c>
      <c r="B539" s="16" t="str">
        <f ca="1">IFERROR(__xludf.DUMMYFUNCTION("""COMPUTED_VALUE"""),"9H.LMWLB.QBP")</f>
        <v>9H.LMWLB.QBP</v>
      </c>
      <c r="C539" s="16" t="str">
        <f ca="1">IFERROR(__xludf.DUMMYFUNCTION("""COMPUTED_VALUE"""),"510,")</f>
        <v>510,</v>
      </c>
    </row>
    <row r="540" spans="1:3" ht="15.75" customHeight="1">
      <c r="A540" s="16" t="str">
        <f ca="1">IFERROR(__xludf.DUMMYFUNCTION("""COMPUTED_VALUE"""),"BenQ - 27"" DesignVue PD2706UA 4K Monitor, IPS, 60Hz, 5mc, UHD (3840x2160), HDMI, Type C, KVM, Audio, Pivot, Ergo Stand, Black, Monitor for Mac (9H.LLKLB.QEP)")</f>
        <v>BenQ - 27" DesignVue PD2706UA 4K Monitor, IPS, 60Hz, 5mc, UHD (3840x2160), HDMI, Type C, KVM, Audio, Pivot, Ergo Stand, Black, Monitor for Mac (9H.LLKLB.QEP)</v>
      </c>
      <c r="B540" s="16" t="str">
        <f ca="1">IFERROR(__xludf.DUMMYFUNCTION("""COMPUTED_VALUE"""),"9H.LLKLB.QEP")</f>
        <v>9H.LLKLB.QEP</v>
      </c>
      <c r="C540" s="16" t="str">
        <f ca="1">IFERROR(__xludf.DUMMYFUNCTION("""COMPUTED_VALUE"""),"580,")</f>
        <v>580,</v>
      </c>
    </row>
    <row r="541" spans="1:3" ht="15.75" customHeight="1">
      <c r="A541" s="16" t="str">
        <f ca="1">IFERROR(__xludf.DUMMYFUNCTION("""COMPUTED_VALUE"""),"BenQ - 32"" MA320U 4K Monitor, IPS, 60Hz, 5mc, UHD(3840x2160), HDMI, Type C, Audio, Pivot, Black, Monitor for Mac (9H.LMXLB.QBP)")</f>
        <v>BenQ - 32" MA320U 4K Monitor, IPS, 60Hz, 5mc, UHD(3840x2160), HDMI, Type C, Audio, Pivot, Black, Monitor for Mac (9H.LMXLB.QBP)</v>
      </c>
      <c r="B541" s="16" t="str">
        <f ca="1">IFERROR(__xludf.DUMMYFUNCTION("""COMPUTED_VALUE"""),"9H.LMXLB.QBP")</f>
        <v>9H.LMXLB.QBP</v>
      </c>
      <c r="C541" s="16" t="str">
        <f ca="1">IFERROR(__xludf.DUMMYFUNCTION("""COMPUTED_VALUE"""),"620,")</f>
        <v>620,</v>
      </c>
    </row>
    <row r="542" spans="1:3" ht="15.75" customHeight="1">
      <c r="A542" s="16" t="str">
        <f ca="1">IFERROR(__xludf.DUMMYFUNCTION("""COMPUTED_VALUE"""),"BenQ - 32"" PD3205U 4K Monitor, IPS, 60Hz, 5mc, UHD(3840x2160), HDMI, Type C, KVM, Audio, Black, Monitor for Mac (9H.LKGLA.TBP)")</f>
        <v>BenQ - 32" PD3205U 4K Monitor, IPS, 60Hz, 5mc, UHD(3840x2160), HDMI, Type C, KVM, Audio, Black, Monitor for Mac (9H.LKGLA.TBP)</v>
      </c>
      <c r="B542" s="16" t="str">
        <f ca="1">IFERROR(__xludf.DUMMYFUNCTION("""COMPUTED_VALUE"""),"9H.LKGLA.TBP")</f>
        <v>9H.LKGLA.TBP</v>
      </c>
      <c r="C542" s="16" t="str">
        <f ca="1">IFERROR(__xludf.DUMMYFUNCTION("""COMPUTED_VALUE"""),"630,")</f>
        <v>630,</v>
      </c>
    </row>
    <row r="543" spans="1:3" ht="15.75" customHeight="1">
      <c r="A543" s="16" t="str">
        <f ca="1">IFERROR(__xludf.DUMMYFUNCTION("""COMPUTED_VALUE"""),"BenQ - 32"" DesignVue PD3205UA 4K Monitor, IPS, 60Hz, 5mc, UHD(3840x2160), HDMI, Type C, Audio, Pivot, Ergo Stand, Black, Monitor for Mac (9H.LKGLA.TPP)")</f>
        <v>BenQ - 32" DesignVue PD3205UA 4K Monitor, IPS, 60Hz, 5mc, UHD(3840x2160), HDMI, Type C, Audio, Pivot, Ergo Stand, Black, Monitor for Mac (9H.LKGLA.TPP)</v>
      </c>
      <c r="B543" s="16" t="str">
        <f ca="1">IFERROR(__xludf.DUMMYFUNCTION("""COMPUTED_VALUE"""),"9H.LKGLA.TPP")</f>
        <v>9H.LKGLA.TPP</v>
      </c>
      <c r="C543" s="16" t="str">
        <f ca="1">IFERROR(__xludf.DUMMYFUNCTION("""COMPUTED_VALUE"""),"670,")</f>
        <v>670,</v>
      </c>
    </row>
    <row r="544" spans="1:3" ht="15.75" customHeight="1">
      <c r="A544" s="16" t="str">
        <f ca="1">IFERROR(__xludf.DUMMYFUNCTION("""COMPUTED_VALUE"""),"BenQ - 25"" ZOWIE XL2546X+ Gaming Monitor, Fast TN, 0.5mc, 280Hz, FHD(1920x1080), HDMI, DP, HAS, DyAc™2, Black (9H.LN1LB.QBP)")</f>
        <v>BenQ - 25" ZOWIE XL2546X+ Gaming Monitor, Fast TN, 0.5mc, 280Hz, FHD(1920x1080), HDMI, DP, HAS, DyAc™2, Black (9H.LN1LB.QBP)</v>
      </c>
      <c r="B544" s="16" t="str">
        <f ca="1">IFERROR(__xludf.DUMMYFUNCTION("""COMPUTED_VALUE"""),"9H.LN1LB.QBP")</f>
        <v>9H.LN1LB.QBP</v>
      </c>
      <c r="C544" s="16" t="str">
        <f ca="1">IFERROR(__xludf.DUMMYFUNCTION("""COMPUTED_VALUE"""),"600,")</f>
        <v>600,</v>
      </c>
    </row>
    <row r="545" spans="1:3" ht="15.75" customHeight="1">
      <c r="A545" s="16" t="str">
        <f ca="1">IFERROR(__xludf.DUMMYFUNCTION("""COMPUTED_VALUE"""),"BenQ - 25"" ZOWIE XL2566X+ Gaming Monitor, Fast TN, 1mc, 400Hz, FHD(1920x1080), HDMI, DP, HAS, DyAc™2, Black (9H.LMRLB.QBP)")</f>
        <v>BenQ - 25" ZOWIE XL2566X+ Gaming Monitor, Fast TN, 1mc, 400Hz, FHD(1920x1080), HDMI, DP, HAS, DyAc™2, Black (9H.LMRLB.QBP)</v>
      </c>
      <c r="B545" s="16" t="str">
        <f ca="1">IFERROR(__xludf.DUMMYFUNCTION("""COMPUTED_VALUE"""),"9H.LMRLB.QBP")</f>
        <v>9H.LMRLB.QBP</v>
      </c>
      <c r="C545" s="16" t="str">
        <f ca="1">IFERROR(__xludf.DUMMYFUNCTION("""COMPUTED_VALUE"""),"700,")</f>
        <v>700,</v>
      </c>
    </row>
    <row r="546" spans="1:3" ht="15.75" customHeight="1">
      <c r="A546" s="16" t="str">
        <f ca="1">IFERROR(__xludf.DUMMYFUNCTION("""COMPUTED_VALUE"""),"Redmi - 27"" A27 Desktop Monitor, IPS, 100Hz, 6mc, FHD (1920x1080), HDMI+DP, (P27FBB-RA) (маркировка)")</f>
        <v>Redmi - 27" A27 Desktop Monitor, IPS, 100Hz, 6mc, FHD (1920x1080), HDMI+DP, (P27FBB-RA) (маркировка)</v>
      </c>
      <c r="B546" s="16" t="str">
        <f ca="1">IFERROR(__xludf.DUMMYFUNCTION("""COMPUTED_VALUE"""),"P27FBB-RA")</f>
        <v>P27FBB-RA</v>
      </c>
      <c r="C546" s="16" t="str">
        <f ca="1">IFERROR(__xludf.DUMMYFUNCTION("""COMPUTED_VALUE"""),"95,")</f>
        <v>95,</v>
      </c>
    </row>
    <row r="547" spans="1:3" ht="15.75" customHeight="1">
      <c r="A547" s="16" t="str">
        <f ca="1">IFERROR(__xludf.DUMMYFUNCTION("""COMPUTED_VALUE"""),"Redmi - 27"" G27 (XG27G) Gaming Monitor, IPS, 180Hz, 1mc, FHD (1920x1080), HDMI+DP, (P27FBA-RX) ")</f>
        <v xml:space="preserve">Redmi - 27" G27 (XG27G) Gaming Monitor, IPS, 180Hz, 1mc, FHD (1920x1080), HDMI+DP, (P27FBA-RX) </v>
      </c>
      <c r="B547" s="16" t="str">
        <f ca="1">IFERROR(__xludf.DUMMYFUNCTION("""COMPUTED_VALUE"""),"P27FBA-RX")</f>
        <v>P27FBA-RX</v>
      </c>
      <c r="C547" s="16" t="str">
        <f ca="1">IFERROR(__xludf.DUMMYFUNCTION("""COMPUTED_VALUE"""),"115,")</f>
        <v>115,</v>
      </c>
    </row>
    <row r="548" spans="1:3" ht="15.75" customHeight="1">
      <c r="A548" s="16" t="str">
        <f ca="1">IFERROR(__xludf.DUMMYFUNCTION("""COMPUTED_VALUE"""),"Redmi - 27"" A27Q 2025 Monitor, IPS, 100Hz, 1mc, QHD (2560x1440), HDMI+DP, (P27QCB-RA) (маркировка)")</f>
        <v>Redmi - 27" A27Q 2025 Monitor, IPS, 100Hz, 1mc, QHD (2560x1440), HDMI+DP, (P27QCB-RA) (маркировка)</v>
      </c>
      <c r="B548" s="16" t="str">
        <f ca="1">IFERROR(__xludf.DUMMYFUNCTION("""COMPUTED_VALUE"""),"P27QCB-RA")</f>
        <v>P27QCB-RA</v>
      </c>
      <c r="C548" s="16" t="str">
        <f ca="1">IFERROR(__xludf.DUMMYFUNCTION("""COMPUTED_VALUE"""),"125,")</f>
        <v>125,</v>
      </c>
    </row>
    <row r="549" spans="1:3" ht="15.75" customHeight="1">
      <c r="A549" s="16" t="str">
        <f ca="1">IFERROR(__xludf.DUMMYFUNCTION("""COMPUTED_VALUE"""),"Redmi - 27"" A27Q 2026 Monitor, IPS, 120Hz, 1mc, QHD (2560x1440), HDMI+DP, (P27QDA-RA)")</f>
        <v>Redmi - 27" A27Q 2026 Monitor, IPS, 120Hz, 1mc, QHD (2560x1440), HDMI+DP, (P27QDA-RA)</v>
      </c>
      <c r="B549" s="16" t="str">
        <f ca="1">IFERROR(__xludf.DUMMYFUNCTION("""COMPUTED_VALUE"""),"P27QDA-RA")</f>
        <v>P27QDA-RA</v>
      </c>
      <c r="C549" s="16" t="str">
        <f ca="1">IFERROR(__xludf.DUMMYFUNCTION("""COMPUTED_VALUE"""),"140,")</f>
        <v>140,</v>
      </c>
    </row>
    <row r="550" spans="1:3" ht="15.75" customHeight="1">
      <c r="A550" s="16" t="str">
        <f ca="1">IFERROR(__xludf.DUMMYFUNCTION("""COMPUTED_VALUE"""),"Redmi - 27"" G27Q Gaming Monitor, IPS, 240Hz, 1mc, QHD (2560x1440), HDMI+DP, Pivot, HAS (P27QDA-RG)")</f>
        <v>Redmi - 27" G27Q Gaming Monitor, IPS, 240Hz, 1mc, QHD (2560x1440), HDMI+DP, Pivot, HAS (P27QDA-RG)</v>
      </c>
      <c r="B550" s="16" t="str">
        <f ca="1">IFERROR(__xludf.DUMMYFUNCTION("""COMPUTED_VALUE"""),"P27QDA-RG")</f>
        <v>P27QDA-RG</v>
      </c>
      <c r="C550" s="16" t="str">
        <f ca="1">IFERROR(__xludf.DUMMYFUNCTION("""COMPUTED_VALUE"""),"199,")</f>
        <v>199,</v>
      </c>
    </row>
    <row r="551" spans="1:3" ht="15.75" customHeight="1">
      <c r="A551" s="16" t="str">
        <f ca="1">IFERROR(__xludf.DUMMYFUNCTION("""COMPUTED_VALUE"""),"Redmi - 27"" A27U 4K Monitor, IPS, 60Hz, 6mc, UHD (3840x2160), HDMI+DP, (P27UCA-RA)  (маркировка)")</f>
        <v>Redmi - 27" A27U 4K Monitor, IPS, 60Hz, 6mc, UHD (3840x2160), HDMI+DP, (P27UCA-RA)  (маркировка)</v>
      </c>
      <c r="B551" s="16" t="str">
        <f ca="1">IFERROR(__xludf.DUMMYFUNCTION("""COMPUTED_VALUE"""),"P27UCA-RA")</f>
        <v>P27UCA-RA</v>
      </c>
      <c r="C551" s="16" t="str">
        <f ca="1">IFERROR(__xludf.DUMMYFUNCTION("""COMPUTED_VALUE"""),"245,")</f>
        <v>245,</v>
      </c>
    </row>
    <row r="552" spans="1:3" ht="15.75" customHeight="1">
      <c r="A552" s="16" t="str">
        <f ca="1">IFERROR(__xludf.DUMMYFUNCTION("""COMPUTED_VALUE"""),"Redmi - 27"" G PRO Gaming Monitor, IPS, miniLED, 180Hz, 1mc, QHD (2560x1440), HDMI+DP, Pivot, Black (P27QBA-RGP)")</f>
        <v>Redmi - 27" G PRO Gaming Monitor, IPS, miniLED, 180Hz, 1mc, QHD (2560x1440), HDMI+DP, Pivot, Black (P27QBA-RGP)</v>
      </c>
      <c r="B552" s="16" t="str">
        <f ca="1">IFERROR(__xludf.DUMMYFUNCTION("""COMPUTED_VALUE"""),"P27QBA-RGP")</f>
        <v>P27QBA-RGP</v>
      </c>
      <c r="C552" s="16" t="str">
        <f ca="1">IFERROR(__xludf.DUMMYFUNCTION("""COMPUTED_VALUE"""),"290,")</f>
        <v>290,</v>
      </c>
    </row>
    <row r="553" spans="1:3" ht="15.75" customHeight="1">
      <c r="A553" s="16" t="str">
        <f ca="1">IFERROR(__xludf.DUMMYFUNCTION("""COMPUTED_VALUE"""),"Gigabyte - 25"" GS25F14 EK Gaming Monitor, IPS, 144hz, 1mc, FHD (1920x1080), HDMI, DisplayPort, Black")</f>
        <v>Gigabyte - 25" GS25F14 EK Gaming Monitor, IPS, 144hz, 1mc, FHD (1920x1080), HDMI, DisplayPort, Black</v>
      </c>
      <c r="B553" s="16" t="str">
        <f ca="1">IFERROR(__xludf.DUMMYFUNCTION("""COMPUTED_VALUE"""),"GS25F14 EK ")</f>
        <v xml:space="preserve">GS25F14 EK </v>
      </c>
      <c r="C553" s="16" t="str">
        <f ca="1">IFERROR(__xludf.DUMMYFUNCTION("""COMPUTED_VALUE"""),"90,")</f>
        <v>90,</v>
      </c>
    </row>
    <row r="554" spans="1:3" ht="15.75" customHeight="1">
      <c r="A554" s="16" t="str">
        <f ca="1">IFERROR(__xludf.DUMMYFUNCTION("""COMPUTED_VALUE"""),"Gigabyte - 25"" GS25F2A Gaming Monitor, IPS, 240hz, 1mc, FHD (1920x1080), HDMI, DisplayPort, Speaker, Black")</f>
        <v>Gigabyte - 25" GS25F2A Gaming Monitor, IPS, 240hz, 1mc, FHD (1920x1080), HDMI, DisplayPort, Speaker, Black</v>
      </c>
      <c r="B554" s="16" t="str">
        <f ca="1">IFERROR(__xludf.DUMMYFUNCTION("""COMPUTED_VALUE"""),"GS25F2A")</f>
        <v>GS25F2A</v>
      </c>
      <c r="C554" s="16" t="str">
        <f ca="1">IFERROR(__xludf.DUMMYFUNCTION("""COMPUTED_VALUE"""),"125,")</f>
        <v>125,</v>
      </c>
    </row>
    <row r="555" spans="1:3" ht="15.75" customHeight="1">
      <c r="A555" s="16" t="str">
        <f ca="1">IFERROR(__xludf.DUMMYFUNCTION("""COMPUTED_VALUE"""),"Gigabyte - 25"" G25F2A Gaming Monitor, IPS, 240hz, 1mc, FHD (1920x1080), HAS, HDMI, DisplayPort, Speaker, Black")</f>
        <v>Gigabyte - 25" G25F2A Gaming Monitor, IPS, 240hz, 1mc, FHD (1920x1080), HAS, HDMI, DisplayPort, Speaker, Black</v>
      </c>
      <c r="B555" s="16" t="str">
        <f ca="1">IFERROR(__xludf.DUMMYFUNCTION("""COMPUTED_VALUE"""),"G25F2A")</f>
        <v>G25F2A</v>
      </c>
      <c r="C555" s="16" t="str">
        <f ca="1">IFERROR(__xludf.DUMMYFUNCTION("""COMPUTED_VALUE"""),"135,")</f>
        <v>135,</v>
      </c>
    </row>
    <row r="556" spans="1:3" ht="15.75" customHeight="1">
      <c r="A556" s="16" t="str">
        <f ca="1">IFERROR(__xludf.DUMMYFUNCTION("""COMPUTED_VALUE"""),"Gigabyte - 27"" GS27FA Gaming Monitor, IPS, 180hz, 1mc, FHD (1920x1080), HDMI, DisplayPort, Black")</f>
        <v>Gigabyte - 27" GS27FA Gaming Monitor, IPS, 180hz, 1mc, FHD (1920x1080), HDMI, DisplayPort, Black</v>
      </c>
      <c r="B556" s="16" t="str">
        <f ca="1">IFERROR(__xludf.DUMMYFUNCTION("""COMPUTED_VALUE"""),"GS27FA")</f>
        <v>GS27FA</v>
      </c>
      <c r="C556" s="16" t="str">
        <f ca="1">IFERROR(__xludf.DUMMYFUNCTION("""COMPUTED_VALUE"""),"145,")</f>
        <v>145,</v>
      </c>
    </row>
    <row r="557" spans="1:3" ht="15.75" customHeight="1">
      <c r="A557" s="16" t="str">
        <f ca="1">IFERROR(__xludf.DUMMYFUNCTION("""COMPUTED_VALUE"""),"Gigabyte - 34"" GS34WQCP-EK Curved Gaming Monitor, VA, 180hz, 1mc, WQHD (3440 х 1440), HDMI, DisplayPort, Black")</f>
        <v>Gigabyte - 34" GS34WQCP-EK Curved Gaming Monitor, VA, 180hz, 1mc, WQHD (3440 х 1440), HDMI, DisplayPort, Black</v>
      </c>
      <c r="B557" s="16" t="str">
        <f ca="1">IFERROR(__xludf.DUMMYFUNCTION("""COMPUTED_VALUE"""),"GS34WQCP-EK")</f>
        <v>GS34WQCP-EK</v>
      </c>
      <c r="C557" s="16" t="str">
        <f ca="1">IFERROR(__xludf.DUMMYFUNCTION("""COMPUTED_VALUE"""),"280,")</f>
        <v>280,</v>
      </c>
    </row>
    <row r="558" spans="1:3" ht="15.75" customHeight="1">
      <c r="A558" s="16" t="str">
        <f ca="1">IFERROR(__xludf.DUMMYFUNCTION("""COMPUTED_VALUE"""),"Gigabyte - 27"" M27Q2 EK Gaming Monitor, IPS, 200hz, 1mc, QHD (2560х 440), HDMI, DisplayPort, Type-C, USB, Black")</f>
        <v>Gigabyte - 27" M27Q2 EK Gaming Monitor, IPS, 200hz, 1mc, QHD (2560х 440), HDMI, DisplayPort, Type-C, USB, Black</v>
      </c>
      <c r="B558" s="16" t="str">
        <f ca="1">IFERROR(__xludf.DUMMYFUNCTION("""COMPUTED_VALUE"""),"M27Q2 EK")</f>
        <v>M27Q2 EK</v>
      </c>
      <c r="C558" s="16" t="str">
        <f ca="1">IFERROR(__xludf.DUMMYFUNCTION("""COMPUTED_VALUE"""),"220,")</f>
        <v>220,</v>
      </c>
    </row>
    <row r="559" spans="1:3" ht="15.75" customHeight="1">
      <c r="A559" s="16" t="str">
        <f ca="1">IFERROR(__xludf.DUMMYFUNCTION("""COMPUTED_VALUE"""),"Gigabyte - 32"" GS32QCA EU Curved Gaming Monitor, VA, 180hz, 1mc, QHD (2560 х 1440), HDMI, DisplayPort, HDR, Black")</f>
        <v>Gigabyte - 32" GS32QCA EU Curved Gaming Monitor, VA, 180hz, 1mc, QHD (2560 х 1440), HDMI, DisplayPort, HDR, Black</v>
      </c>
      <c r="B559" s="16" t="str">
        <f ca="1">IFERROR(__xludf.DUMMYFUNCTION("""COMPUTED_VALUE"""),"GS32QCA EU ")</f>
        <v xml:space="preserve">GS32QCA EU </v>
      </c>
      <c r="C559" s="16" t="str">
        <f ca="1">IFERROR(__xludf.DUMMYFUNCTION("""COMPUTED_VALUE"""),"230,")</f>
        <v>230,</v>
      </c>
    </row>
    <row r="560" spans="1:3" ht="15.75" customHeight="1">
      <c r="A560" s="16" t="str">
        <f ca="1">IFERROR(__xludf.DUMMYFUNCTION("""COMPUTED_VALUE"""),"Gigabyte - 27"" M27Q2 ICE EK Gaming Monitor, IPS, 200hz, 1mc, QHD (2560х 440), HDMI, DisplayPort, Type-C, USB, White")</f>
        <v>Gigabyte - 27" M27Q2 ICE EK Gaming Monitor, IPS, 200hz, 1mc, QHD (2560х 440), HDMI, DisplayPort, Type-C, USB, White</v>
      </c>
      <c r="B560" s="16" t="str">
        <f ca="1">IFERROR(__xludf.DUMMYFUNCTION("""COMPUTED_VALUE"""),"M27Q2 ICE EK")</f>
        <v>M27Q2 ICE EK</v>
      </c>
      <c r="C560" s="16" t="str">
        <f ca="1">IFERROR(__xludf.DUMMYFUNCTION("""COMPUTED_VALUE"""),"270,")</f>
        <v>270,</v>
      </c>
    </row>
    <row r="561" spans="1:3" ht="15.75" customHeight="1">
      <c r="A561" s="16" t="str">
        <f ca="1">IFERROR(__xludf.DUMMYFUNCTION("""COMPUTED_VALUE"""),"Gigabyte - 27"" M27Q3 EK Gaming Monitor, IPS, 300hz, 1mc, QHD (2560 х 1440), HDMI, DisplayPort, Type-C, USB, Black")</f>
        <v>Gigabyte - 27" M27Q3 EK Gaming Monitor, IPS, 300hz, 1mc, QHD (2560 х 1440), HDMI, DisplayPort, Type-C, USB, Black</v>
      </c>
      <c r="B561" s="16" t="str">
        <f ca="1">IFERROR(__xludf.DUMMYFUNCTION("""COMPUTED_VALUE"""),"M27Q3 EK")</f>
        <v>M27Q3 EK</v>
      </c>
      <c r="C561" s="16" t="str">
        <f ca="1">IFERROR(__xludf.DUMMYFUNCTION("""COMPUTED_VALUE"""),"330,")</f>
        <v>330,</v>
      </c>
    </row>
    <row r="562" spans="1:3" ht="15.75" customHeight="1">
      <c r="A562" s="16" t="str">
        <f ca="1">IFERROR(__xludf.DUMMYFUNCTION("""COMPUTED_VALUE"""),"Gigabyte - 27"" G27U 4К Gaming Monitor, IPS, 160hz, 1mc, UHD (3440 х 1440), HDMI, DisplayPort, Black")</f>
        <v>Gigabyte - 27" G27U 4К Gaming Monitor, IPS, 160hz, 1mc, UHD (3440 х 1440), HDMI, DisplayPort, Black</v>
      </c>
      <c r="B562" s="16" t="str">
        <f ca="1">IFERROR(__xludf.DUMMYFUNCTION("""COMPUTED_VALUE"""),"G27U")</f>
        <v>G27U</v>
      </c>
      <c r="C562" s="16" t="str">
        <f ca="1">IFERROR(__xludf.DUMMYFUNCTION("""COMPUTED_VALUE"""),"320,")</f>
        <v>320,</v>
      </c>
    </row>
    <row r="563" spans="1:3" ht="15.75" customHeight="1">
      <c r="A563" s="16" t="str">
        <f ca="1">IFERROR(__xludf.DUMMYFUNCTION("""COMPUTED_VALUE"""),"Gigabyte - 28"" M28U-AE  Gaming Monitor, IPS, 144hz, 1mc, UHD (3440 х 1440), HDMI, DisplayPort, Type C, USB, Black (распродажа)")</f>
        <v>Gigabyte - 28" M28U-AE  Gaming Monitor, IPS, 144hz, 1mc, UHD (3440 х 1440), HDMI, DisplayPort, Type C, USB, Black (распродажа)</v>
      </c>
      <c r="B563" s="16" t="str">
        <f ca="1">IFERROR(__xludf.DUMMYFUNCTION("""COMPUTED_VALUE"""),"M28U-AE")</f>
        <v>M28U-AE</v>
      </c>
      <c r="C563" s="16" t="str">
        <f ca="1">IFERROR(__xludf.DUMMYFUNCTION("""COMPUTED_VALUE"""),"410,")</f>
        <v>410,</v>
      </c>
    </row>
    <row r="564" spans="1:3" ht="15.75" customHeight="1">
      <c r="A564" s="16" t="str">
        <f ca="1">IFERROR(__xludf.DUMMYFUNCTION("""COMPUTED_VALUE"""),"Gigabyte - 27"" GO27Q24 EK Gaming Monitor, QD-OLED, 240hz, 0,03mc, QHD (2560х1440), HDMI, DisplayPort, Type C, Black (1 штук)")</f>
        <v>Gigabyte - 27" GO27Q24 EK Gaming Monitor, QD-OLED, 240hz, 0,03mc, QHD (2560х1440), HDMI, DisplayPort, Type C, Black (1 штук)</v>
      </c>
      <c r="B564" s="16" t="str">
        <f ca="1">IFERROR(__xludf.DUMMYFUNCTION("""COMPUTED_VALUE"""),"GO27Q24-EK")</f>
        <v>GO27Q24-EK</v>
      </c>
      <c r="C564" s="16" t="str">
        <f ca="1">IFERROR(__xludf.DUMMYFUNCTION("""COMPUTED_VALUE"""),"400,")</f>
        <v>400,</v>
      </c>
    </row>
    <row r="565" spans="1:3" ht="15.75" customHeight="1">
      <c r="A565" s="16" t="str">
        <f ca="1">IFERROR(__xludf.DUMMYFUNCTION("""COMPUTED_VALUE"""),"Gigabyte - 27"" MO27Q2A Gaming Monitor, QD-OLED, 280hz, 0,03mc, QHD (2560 х 1440), HDMI, DisplayPort, Type C, USB, Black ")</f>
        <v xml:space="preserve">Gigabyte - 27" MO27Q2A Gaming Monitor, QD-OLED, 280hz, 0,03mc, QHD (2560 х 1440), HDMI, DisplayPort, Type C, USB, Black </v>
      </c>
      <c r="B565" s="16" t="str">
        <f ca="1">IFERROR(__xludf.DUMMYFUNCTION("""COMPUTED_VALUE"""),"MO27Q2A")</f>
        <v>MO27Q2A</v>
      </c>
      <c r="C565" s="16" t="str">
        <f ca="1">IFERROR(__xludf.DUMMYFUNCTION("""COMPUTED_VALUE"""),"530,")</f>
        <v>530,</v>
      </c>
    </row>
    <row r="566" spans="1:3" ht="15.75" customHeight="1">
      <c r="A566" s="16" t="str">
        <f ca="1">IFERROR(__xludf.DUMMYFUNCTION("""COMPUTED_VALUE"""),"Gigabyte - 27"" MO27Q3 EK Gaming Monitor, QD-OLED, 360hz, 0,03mc, QHD (2560 х 1440), HDMI, DisplayPort, Type C, USB, Black ")</f>
        <v xml:space="preserve">Gigabyte - 27" MO27Q3 EK Gaming Monitor, QD-OLED, 360hz, 0,03mc, QHD (2560 х 1440), HDMI, DisplayPort, Type C, USB, Black </v>
      </c>
      <c r="B566" s="16" t="str">
        <f ca="1">IFERROR(__xludf.DUMMYFUNCTION("""COMPUTED_VALUE"""),"MO27Q3 EK ")</f>
        <v xml:space="preserve">MO27Q3 EK </v>
      </c>
      <c r="C566" s="16" t="str">
        <f ca="1">IFERROR(__xludf.DUMMYFUNCTION("""COMPUTED_VALUE"""),"700,")</f>
        <v>700,</v>
      </c>
    </row>
    <row r="567" spans="1:3" ht="15.75" customHeight="1">
      <c r="A567" s="16" t="str">
        <f ca="1">IFERROR(__xludf.DUMMYFUNCTION("""COMPUTED_VALUE"""),"Gigabyte - 27"" MO27U2 Gaming Monitor, QD-OLED, 240hz, 0,03mc, UHD (3440 х 1440), HDMI, DisplayPort, Type C, USB, Black")</f>
        <v>Gigabyte - 27" MO27U2 Gaming Monitor, QD-OLED, 240hz, 0,03mc, UHD (3440 х 1440), HDMI, DisplayPort, Type C, USB, Black</v>
      </c>
      <c r="B567" s="16" t="str">
        <f ca="1">IFERROR(__xludf.DUMMYFUNCTION("""COMPUTED_VALUE"""),"MO27U2")</f>
        <v>MO27U2</v>
      </c>
      <c r="C567" s="16" t="str">
        <f ca="1">IFERROR(__xludf.DUMMYFUNCTION("""COMPUTED_VALUE"""),"750,")</f>
        <v>750,</v>
      </c>
    </row>
    <row r="568" spans="1:3" ht="15.75" customHeight="1">
      <c r="A568" s="16" t="str">
        <f ca="1">IFERROR(__xludf.DUMMYFUNCTION("""COMPUTED_VALUE"""),"Gigabyte - 32"" MO32U2 EK Gaming Monitor, QD-OLED, 240hz, 0,03mc, QHD (2560 х 1440), HDMI, DisplayPort, Type C, USB, Black ")</f>
        <v xml:space="preserve">Gigabyte - 32" MO32U2 EK Gaming Monitor, QD-OLED, 240hz, 0,03mc, QHD (2560 х 1440), HDMI, DisplayPort, Type C, USB, Black </v>
      </c>
      <c r="B568" s="16" t="str">
        <f ca="1">IFERROR(__xludf.DUMMYFUNCTION("""COMPUTED_VALUE"""),"MO32U2 EK")</f>
        <v>MO32U2 EK</v>
      </c>
      <c r="C568" s="16" t="str">
        <f ca="1">IFERROR(__xludf.DUMMYFUNCTION("""COMPUTED_VALUE"""),"850,")</f>
        <v>850,</v>
      </c>
    </row>
    <row r="569" spans="1:3" ht="15.75" customHeight="1">
      <c r="A569" s="16" t="str">
        <f ca="1">IFERROR(__xludf.DUMMYFUNCTION("""COMPUTED_VALUE"""),"Gigabyte - 34"" MO34WQC2 EK Gaming Monitor, QD-OLED, 240hz, 0,03mc, UHD (3440 х 1440), HDMI, DisplayPort, Type C, USB, Black (1 штук)")</f>
        <v>Gigabyte - 34" MO34WQC2 EK Gaming Monitor, QD-OLED, 240hz, 0,03mc, UHD (3440 х 1440), HDMI, DisplayPort, Type C, USB, Black (1 штук)</v>
      </c>
      <c r="B569" s="16" t="str">
        <f ca="1">IFERROR(__xludf.DUMMYFUNCTION("""COMPUTED_VALUE"""),"MO34WQC2-EK")</f>
        <v>MO34WQC2-EK</v>
      </c>
      <c r="C569" s="16" t="str">
        <f ca="1">IFERROR(__xludf.DUMMYFUNCTION("""COMPUTED_VALUE"""),"900,")</f>
        <v>900,</v>
      </c>
    </row>
    <row r="570" spans="1:3" ht="15.75" customHeight="1">
      <c r="A570" s="16" t="str">
        <f ca="1">IFERROR(__xludf.DUMMYFUNCTION("""COMPUTED_VALUE"""),"Aorus - 27"" FO27Q5P Gaming Monitor, QD-OLED, 500Hz, 0,03mc, QHD (2560x1440), 2K, HDR1000, HDMI, DisplayPort, Type-C, USB, RGB, Black")</f>
        <v>Aorus - 27" FO27Q5P Gaming Monitor, QD-OLED, 500Hz, 0,03mc, QHD (2560x1440), 2K, HDR1000, HDMI, DisplayPort, Type-C, USB, RGB, Black</v>
      </c>
      <c r="B570" s="16" t="str">
        <f ca="1">IFERROR(__xludf.DUMMYFUNCTION("""COMPUTED_VALUE"""),"FO27Q5P")</f>
        <v>FO27Q5P</v>
      </c>
      <c r="C570" s="16" t="str">
        <f ca="1">IFERROR(__xludf.DUMMYFUNCTION("""COMPUTED_VALUE"""),"900,")</f>
        <v>900,</v>
      </c>
    </row>
    <row r="571" spans="1:3" ht="15.75" customHeight="1">
      <c r="A571" s="16" t="str">
        <f ca="1">IFERROR(__xludf.DUMMYFUNCTION("""COMPUTED_VALUE"""),"Aorus - 49"" CO49DQ Gaming Monitor, 144Hz, 0,03mc, DQHD (5120x1440), 4K, HDMI, DisplayPort, Type-C, USB, RGB, Black (1 штук)")</f>
        <v>Aorus - 49" CO49DQ Gaming Monitor, 144Hz, 0,03mc, DQHD (5120x1440), 4K, HDMI, DisplayPort, Type-C, USB, RGB, Black (1 штук)</v>
      </c>
      <c r="B571" s="16" t="str">
        <f ca="1">IFERROR(__xludf.DUMMYFUNCTION("""COMPUTED_VALUE"""),"CO49DQ")</f>
        <v>CO49DQ</v>
      </c>
      <c r="C571" s="16" t="str">
        <f ca="1">IFERROR(__xludf.DUMMYFUNCTION("""COMPUTED_VALUE"""),"1400,")</f>
        <v>1400,</v>
      </c>
    </row>
    <row r="572" spans="1:3" ht="15.75" customHeight="1">
      <c r="A572" s="16" t="str">
        <f ca="1">IFERROR(__xludf.DUMMYFUNCTION("""COMPUTED_VALUE"""),"Acer - 27″ SA273 Monitor, IPS, 120Hz, 1mc, FHD (1920×1080), HDMI+VGA, White (UM.HS3EE.017) (маркировка)")</f>
        <v>Acer - 27″ SA273 Monitor, IPS, 120Hz, 1mc, FHD (1920×1080), HDMI+VGA, White (UM.HS3EE.017) (маркировка)</v>
      </c>
      <c r="B572" s="16" t="str">
        <f ca="1">IFERROR(__xludf.DUMMYFUNCTION("""COMPUTED_VALUE"""),"UM.HS3EE.017")</f>
        <v>UM.HS3EE.017</v>
      </c>
      <c r="C572" s="16" t="str">
        <f ca="1">IFERROR(__xludf.DUMMYFUNCTION("""COMPUTED_VALUE"""),"106,")</f>
        <v>106,</v>
      </c>
    </row>
    <row r="573" spans="1:3" ht="15.75" customHeight="1">
      <c r="A573" s="16" t="str">
        <f ca="1">IFERROR(__xludf.DUMMYFUNCTION("""COMPUTED_VALUE"""),"Acer - 27″ Nitro KG273 Gaming Monitor, IPS, 200Hz, 0,5mc, FHD (1920×1080), HDMI+DP, Black (UM.HX3SG.101) (распродажа)")</f>
        <v>Acer - 27″ Nitro KG273 Gaming Monitor, IPS, 200Hz, 0,5mc, FHD (1920×1080), HDMI+DP, Black (UM.HX3SG.101) (распродажа)</v>
      </c>
      <c r="B573" s="16" t="str">
        <f ca="1">IFERROR(__xludf.DUMMYFUNCTION("""COMPUTED_VALUE"""),"UM.HX3SG.101")</f>
        <v>UM.HX3SG.101</v>
      </c>
      <c r="C573" s="16" t="str">
        <f ca="1">IFERROR(__xludf.DUMMYFUNCTION("""COMPUTED_VALUE"""),"150,")</f>
        <v>150,</v>
      </c>
    </row>
    <row r="574" spans="1:3" ht="15.75" customHeight="1">
      <c r="A574" s="16" t="str">
        <f ca="1">IFERROR(__xludf.DUMMYFUNCTION("""COMPUTED_VALUE"""),"Acer - 27"" Nitro VG270U Gaming Monitor, IPS, 200Hz, 0,5mc, WQHD (2560x1440), HDMI+DP, Audio, Black (UM.HV0SS.102)")</f>
        <v>Acer - 27" Nitro VG270U Gaming Monitor, IPS, 200Hz, 0,5mc, WQHD (2560x1440), HDMI+DP, Audio, Black (UM.HV0SS.102)</v>
      </c>
      <c r="B574" s="16" t="str">
        <f ca="1">IFERROR(__xludf.DUMMYFUNCTION("""COMPUTED_VALUE"""),"UM.HV0SS.102")</f>
        <v>UM.HV0SS.102</v>
      </c>
      <c r="C574" s="16" t="str">
        <f ca="1">IFERROR(__xludf.DUMMYFUNCTION("""COMPUTED_VALUE"""),"190,")</f>
        <v>190,</v>
      </c>
    </row>
    <row r="575" spans="1:3" ht="15.75" customHeight="1">
      <c r="A575" s="16" t="str">
        <f ca="1">IFERROR(__xludf.DUMMYFUNCTION("""COMPUTED_VALUE"""),"Acer - 27"" Nitro VG270K Gaming Monitor, IPS, 72Hz/144Hz, 4mc, UHD (3840x2160), HDMI+DP, Audio, Black (UM.HV0SG.102)")</f>
        <v>Acer - 27" Nitro VG270K Gaming Monitor, IPS, 72Hz/144Hz, 4mc, UHD (3840x2160), HDMI+DP, Audio, Black (UM.HV0SG.102)</v>
      </c>
      <c r="B575" s="16" t="str">
        <f ca="1">IFERROR(__xludf.DUMMYFUNCTION("""COMPUTED_VALUE"""),"UM.HV0SG.102")</f>
        <v>UM.HV0SG.102</v>
      </c>
      <c r="C575" s="16" t="str">
        <f ca="1">IFERROR(__xludf.DUMMYFUNCTION("""COMPUTED_VALUE"""),"220,")</f>
        <v>220,</v>
      </c>
    </row>
    <row r="576" spans="1:3" ht="15.75" customHeight="1">
      <c r="A576" s="16" t="str">
        <f ca="1">IFERROR(__xludf.DUMMYFUNCTION("""COMPUTED_VALUE"""),"Dell - 24"" S2425H Monitor, IPS, 100Hz, 8mc, FHD(1920x1080), HDMI, White")</f>
        <v>Dell - 24" S2425H Monitor, IPS, 100Hz, 8mc, FHD(1920x1080), HDMI, White</v>
      </c>
      <c r="B576" s="16" t="str">
        <f ca="1">IFERROR(__xludf.DUMMYFUNCTION("""COMPUTED_VALUE"""),"S2425H")</f>
        <v>S2425H</v>
      </c>
      <c r="C576" s="16" t="str">
        <f ca="1">IFERROR(__xludf.DUMMYFUNCTION("""COMPUTED_VALUE"""),"135,")</f>
        <v>135,</v>
      </c>
    </row>
    <row r="577" spans="1:3" ht="15.75" customHeight="1">
      <c r="A577" s="16" t="str">
        <f ca="1">IFERROR(__xludf.DUMMYFUNCTION("""COMPUTED_VALUE"""),"Dell - 24"" U2424H UltraSharp Monitor, IPS, 120Hz, FHD(1920x1080), HDMI, DP, Type-C, USB Hub, Audio, Height-Adjustable Stand, Silver (маркировка)")</f>
        <v>Dell - 24" U2424H UltraSharp Monitor, IPS, 120Hz, FHD(1920x1080), HDMI, DP, Type-C, USB Hub, Audio, Height-Adjustable Stand, Silver (маркировка)</v>
      </c>
      <c r="B577" s="16" t="str">
        <f ca="1">IFERROR(__xludf.DUMMYFUNCTION("""COMPUTED_VALUE"""),"U2424H")</f>
        <v>U2424H</v>
      </c>
      <c r="C577" s="16" t="str">
        <f ca="1">IFERROR(__xludf.DUMMYFUNCTION("""COMPUTED_VALUE"""),"189,")</f>
        <v>189,</v>
      </c>
    </row>
    <row r="578" spans="1:3" ht="15.75" customHeight="1">
      <c r="A578" s="16" t="str">
        <f ca="1">IFERROR(__xludf.DUMMYFUNCTION("""COMPUTED_VALUE"""),"Dell - 27"" S2725H Monitor, IPS, 100Hz, 8mc, FHD(1920x1080), HDMI, White")</f>
        <v>Dell - 27" S2725H Monitor, IPS, 100Hz, 8mc, FHD(1920x1080), HDMI, White</v>
      </c>
      <c r="B578" s="16" t="str">
        <f ca="1">IFERROR(__xludf.DUMMYFUNCTION("""COMPUTED_VALUE"""),"S2725H")</f>
        <v>S2725H</v>
      </c>
      <c r="C578" s="16" t="str">
        <f ca="1">IFERROR(__xludf.DUMMYFUNCTION("""COMPUTED_VALUE"""),"175,")</f>
        <v>175,</v>
      </c>
    </row>
    <row r="579" spans="1:3" ht="15.75" customHeight="1">
      <c r="A579" s="16" t="str">
        <f ca="1">IFERROR(__xludf.DUMMYFUNCTION("""COMPUTED_VALUE"""),"Dell - 27"" S2725HS Monitor, IPS, 100Hz, 8mc, FHD(1920x1080), HDMI, Audio, Pivot, White")</f>
        <v>Dell - 27" S2725HS Monitor, IPS, 100Hz, 8mc, FHD(1920x1080), HDMI, Audio, Pivot, White</v>
      </c>
      <c r="B579" s="16" t="str">
        <f ca="1">IFERROR(__xludf.DUMMYFUNCTION("""COMPUTED_VALUE"""),"S2725HS")</f>
        <v>S2725HS</v>
      </c>
      <c r="C579" s="16" t="str">
        <f ca="1">IFERROR(__xludf.DUMMYFUNCTION("""COMPUTED_VALUE"""),"185,")</f>
        <v>185,</v>
      </c>
    </row>
    <row r="580" spans="1:3" ht="15.75" customHeight="1">
      <c r="A580" s="16" t="str">
        <f ca="1">IFERROR(__xludf.DUMMYFUNCTION("""COMPUTED_VALUE"""),"Dell - 27"" P2725H Pro Plus Monitor, IPS, 100Hz, 5mc, FHD(1920x1080), VGA, HDMI, DP, USB, Black (маркировка) (распродажа)")</f>
        <v>Dell - 27" P2725H Pro Plus Monitor, IPS, 100Hz, 5mc, FHD(1920x1080), VGA, HDMI, DP, USB, Black (маркировка) (распродажа)</v>
      </c>
      <c r="B580" s="16" t="str">
        <f ca="1">IFERROR(__xludf.DUMMYFUNCTION("""COMPUTED_VALUE"""),"S2725DS")</f>
        <v>S2725DS</v>
      </c>
      <c r="C580" s="16" t="str">
        <f ca="1">IFERROR(__xludf.DUMMYFUNCTION("""COMPUTED_VALUE"""),"199,")</f>
        <v>199,</v>
      </c>
    </row>
    <row r="581" spans="1:3" ht="15.75" customHeight="1">
      <c r="A581" s="16" t="str">
        <f ca="1">IFERROR(__xludf.DUMMYFUNCTION("""COMPUTED_VALUE"""),"Dell - 27"" S2725DS Monitor, IPS, 100Hz, 8mc, QHD (2560x1440), HDMI, DP, Audio, Pivot, White")</f>
        <v>Dell - 27" S2725DS Monitor, IPS, 100Hz, 8mc, QHD (2560x1440), HDMI, DP, Audio, Pivot, White</v>
      </c>
      <c r="B581" s="16" t="str">
        <f ca="1">IFERROR(__xludf.DUMMYFUNCTION("""COMPUTED_VALUE"""),"P2725H")</f>
        <v>P2725H</v>
      </c>
      <c r="C581" s="16" t="str">
        <f ca="1">IFERROR(__xludf.DUMMYFUNCTION("""COMPUTED_VALUE"""),"230,")</f>
        <v>230,</v>
      </c>
    </row>
    <row r="582" spans="1:3" ht="15.75" customHeight="1">
      <c r="A582" s="16" t="str">
        <f ca="1">IFERROR(__xludf.DUMMYFUNCTION("""COMPUTED_VALUE"""),"AOC - 24"" 24B1H Monitor, VA, 60Hz, 8mc, FHD (1920x1080), VGA+HDMI, Black (распродажа)")</f>
        <v>AOC - 24" 24B1H Monitor, VA, 60Hz, 8mc, FHD (1920x1080), VGA+HDMI, Black (распродажа)</v>
      </c>
      <c r="B582" s="16" t="str">
        <f ca="1">IFERROR(__xludf.DUMMYFUNCTION("""COMPUTED_VALUE"""),"24B1H")</f>
        <v>24B1H</v>
      </c>
      <c r="C582" s="16" t="str">
        <f ca="1">IFERROR(__xludf.DUMMYFUNCTION("""COMPUTED_VALUE"""),"63,")</f>
        <v>63,</v>
      </c>
    </row>
    <row r="583" spans="1:3" ht="15.75" customHeight="1">
      <c r="A583" s="16" t="str">
        <f ca="1">IFERROR(__xludf.DUMMYFUNCTION("""COMPUTED_VALUE"""),"Pixel - 25"" PXG25FXI Gaming Monitor, IPS, 300Hz, 1mc, FHD (1920*1080), VGA+HDMI, Black, Fixed stand")</f>
        <v>Pixel - 25" PXG25FXI Gaming Monitor, IPS, 300Hz, 1mc, FHD (1920*1080), VGA+HDMI, Black, Fixed stand</v>
      </c>
      <c r="B583" s="16" t="str">
        <f ca="1">IFERROR(__xludf.DUMMYFUNCTION("""COMPUTED_VALUE"""),"PXG25FXI")</f>
        <v>PXG25FXI</v>
      </c>
      <c r="C583" s="16" t="str">
        <f ca="1">IFERROR(__xludf.DUMMYFUNCTION("""COMPUTED_VALUE"""),"120,")</f>
        <v>120,</v>
      </c>
    </row>
    <row r="584" spans="1:3" ht="15.75" customHeight="1">
      <c r="A584" s="16" t="str">
        <f ca="1">IFERROR(__xludf.DUMMYFUNCTION("""COMPUTED_VALUE"""),"Pixel - 25"" PXG25FX Gaming Monitor, IPS, 300Hz, 1mc, FHD (1920*1080), HAS Stand, HDMI+DP, Black")</f>
        <v>Pixel - 25" PXG25FX Gaming Monitor, IPS, 300Hz, 1mc, FHD (1920*1080), HAS Stand, HDMI+DP, Black</v>
      </c>
      <c r="B584" s="16" t="str">
        <f ca="1">IFERROR(__xludf.DUMMYFUNCTION("""COMPUTED_VALUE"""),"PXG25FX")</f>
        <v>PXG25FX</v>
      </c>
      <c r="C584" s="16" t="str">
        <f ca="1">IFERROR(__xludf.DUMMYFUNCTION("""COMPUTED_VALUE"""),"130,")</f>
        <v>130,</v>
      </c>
    </row>
    <row r="585" spans="1:3" ht="15.75" customHeight="1">
      <c r="A585" s="16" t="str">
        <f ca="1">IFERROR(__xludf.DUMMYFUNCTION("""COMPUTED_VALUE"""),"Pixel - 27"" PXG27F Gaming Monitor, IPS, 200Hz, 1mc, FHD (1920*1080), HDMI, Display port")</f>
        <v>Pixel - 27" PXG27F Gaming Monitor, IPS, 200Hz, 1mc, FHD (1920*1080), HDMI, Display port</v>
      </c>
      <c r="B585" s="16" t="str">
        <f ca="1">IFERROR(__xludf.DUMMYFUNCTION("""COMPUTED_VALUE"""),"PXG27F")</f>
        <v>PXG27F</v>
      </c>
      <c r="C585" s="16" t="str">
        <f ca="1">IFERROR(__xludf.DUMMYFUNCTION("""COMPUTED_VALUE"""),"98,")</f>
        <v>98,</v>
      </c>
    </row>
    <row r="586" spans="1:3" ht="15.75" customHeight="1">
      <c r="A586" s="16" t="str">
        <f ca="1">IFERROR(__xludf.DUMMYFUNCTION("""COMPUTED_VALUE"""),"Pixel - 27"" PXG27FX Gaming Monitor, IPS, 280Hz, 1mc, FHD (1920*1080), HAS, HDMI, Display port")</f>
        <v>Pixel - 27" PXG27FX Gaming Monitor, IPS, 280Hz, 1mc, FHD (1920*1080), HAS, HDMI, Display port</v>
      </c>
      <c r="B586" s="16" t="str">
        <f ca="1">IFERROR(__xludf.DUMMYFUNCTION("""COMPUTED_VALUE"""),"PXG27FX")</f>
        <v>PXG27FX</v>
      </c>
      <c r="C586" s="16" t="str">
        <f ca="1">IFERROR(__xludf.DUMMYFUNCTION("""COMPUTED_VALUE"""),"145,")</f>
        <v>145,</v>
      </c>
    </row>
    <row r="587" spans="1:3" ht="15.75" customHeight="1">
      <c r="A587" s="16" t="str">
        <f ca="1">IFERROR(__xludf.DUMMYFUNCTION("""COMPUTED_VALUE"""),"Pixel - 27"" PXG27Q V2 Gaming Monitor, IPS, 200Hz, 1mc, QHD (2560*1440) 2K, HDMI, Display port, HAS")</f>
        <v>Pixel - 27" PXG27Q V2 Gaming Monitor, IPS, 200Hz, 1mc, QHD (2560*1440) 2K, HDMI, Display port, HAS</v>
      </c>
      <c r="B587" s="16" t="str">
        <f ca="1">IFERROR(__xludf.DUMMYFUNCTION("""COMPUTED_VALUE"""),"PXG27Q V2")</f>
        <v>PXG27Q V2</v>
      </c>
      <c r="C587" s="16" t="str">
        <f ca="1">IFERROR(__xludf.DUMMYFUNCTION("""COMPUTED_VALUE"""),"135,")</f>
        <v>135,</v>
      </c>
    </row>
    <row r="588" spans="1:3" ht="15.75" customHeight="1">
      <c r="A588" s="16" t="str">
        <f ca="1">IFERROR(__xludf.DUMMYFUNCTION("""COMPUTED_VALUE"""),"Pixel - 27"" PXG27QX Gaming Monitor, IPS, 240Hz, 1mc, QHD (2560*1440) 2K, HDMI, Display port, HAS")</f>
        <v>Pixel - 27" PXG27QX Gaming Monitor, IPS, 240Hz, 1mc, QHD (2560*1440) 2K, HDMI, Display port, HAS</v>
      </c>
      <c r="B588" s="16" t="str">
        <f ca="1">IFERROR(__xludf.DUMMYFUNCTION("""COMPUTED_VALUE"""),"PXG27QX")</f>
        <v>PXG27QX</v>
      </c>
      <c r="C588" s="16" t="str">
        <f ca="1">IFERROR(__xludf.DUMMYFUNCTION("""COMPUTED_VALUE"""),"155,")</f>
        <v>155,</v>
      </c>
    </row>
    <row r="589" spans="1:3" ht="15.75" customHeight="1">
      <c r="A589" s="16" t="str">
        <f ca="1">IFERROR(__xludf.DUMMYFUNCTION("""COMPUTED_VALUE"""),"Pixel - 27"" PXG27FP Gaming Monitor, IPS, 360Hz, 1mc, FHD (1920*1080), HDMI, Display port")</f>
        <v>Pixel - 27" PXG27FP Gaming Monitor, IPS, 360Hz, 1mc, FHD (1920*1080), HDMI, Display port</v>
      </c>
      <c r="B589" s="16" t="str">
        <f ca="1">IFERROR(__xludf.DUMMYFUNCTION("""COMPUTED_VALUE"""),"PXG27FP")</f>
        <v>PXG27FP</v>
      </c>
      <c r="C589" s="16" t="str">
        <f ca="1">IFERROR(__xludf.DUMMYFUNCTION("""COMPUTED_VALUE"""),"240,")</f>
        <v>240,</v>
      </c>
    </row>
    <row r="590" spans="1:3" ht="15.75" customHeight="1">
      <c r="A590" s="16" t="str">
        <f ca="1">IFERROR(__xludf.DUMMYFUNCTION("""COMPUTED_VALUE"""),"Pixel - 27"" PXG27FY Gaming Monitor, IPS, 520Hz, 1mc, FHD (1920*1080), HDMI, Display port, HAS")</f>
        <v>Pixel - 27" PXG27FY Gaming Monitor, IPS, 520Hz, 1mc, FHD (1920*1080), HDMI, Display port, HAS</v>
      </c>
      <c r="B590" s="16" t="str">
        <f ca="1">IFERROR(__xludf.DUMMYFUNCTION("""COMPUTED_VALUE"""),"PXG27FY")</f>
        <v>PXG27FY</v>
      </c>
      <c r="C590" s="16" t="str">
        <f ca="1">IFERROR(__xludf.DUMMYFUNCTION("""COMPUTED_VALUE"""),"350,")</f>
        <v>350,</v>
      </c>
    </row>
    <row r="591" spans="1:3" ht="15.75" customHeight="1">
      <c r="A591" s="16" t="str">
        <f ca="1">IFERROR(__xludf.DUMMYFUNCTION("""COMPUTED_VALUE"""),"Pixel - 32"" PXG32FCX Gaming Curved Monitor, VA, 240Hz, 1mc, FHD (1920*1080), HAS, HDMI, Display port (распродажа)")</f>
        <v>Pixel - 32" PXG32FCX Gaming Curved Monitor, VA, 240Hz, 1mc, FHD (1920*1080), HAS, HDMI, Display port (распродажа)</v>
      </c>
      <c r="B591" s="16" t="str">
        <f ca="1">IFERROR(__xludf.DUMMYFUNCTION("""COMPUTED_VALUE"""),"PXG32FCX")</f>
        <v>PXG32FCX</v>
      </c>
      <c r="C591" s="16" t="str">
        <f ca="1">IFERROR(__xludf.DUMMYFUNCTION("""COMPUTED_VALUE"""),"150,")</f>
        <v>150,</v>
      </c>
    </row>
    <row r="592" spans="1:3" ht="15.75" customHeight="1">
      <c r="A592" s="16" t="str">
        <f ca="1">IFERROR(__xludf.DUMMYFUNCTION("""COMPUTED_VALUE"""),"Pixel - 34"" PXG34WQC Gaming Curved Monitor, VA, 200Hz, 1mc, QHD (2560*1440), HAS, HDMI, Display port, Speakers")</f>
        <v>Pixel - 34" PXG34WQC Gaming Curved Monitor, VA, 200Hz, 1mc, QHD (2560*1440), HAS, HDMI, Display port, Speakers</v>
      </c>
      <c r="B592" s="16" t="str">
        <f ca="1">IFERROR(__xludf.DUMMYFUNCTION("""COMPUTED_VALUE"""),"PXG34WQC")</f>
        <v>PXG34WQC</v>
      </c>
      <c r="C592" s="16" t="str">
        <f ca="1">IFERROR(__xludf.DUMMYFUNCTION("""COMPUTED_VALUE"""),"199,")</f>
        <v>199,</v>
      </c>
    </row>
    <row r="593" spans="1:3" ht="15.75" customHeight="1">
      <c r="A593" s="16" t="str">
        <f ca="1">IFERROR(__xludf.DUMMYFUNCTION("""COMPUTED_VALUE"""),"Lenovo - 24"" ThinkVision S24-4e Monitor, IPS, 4ms, 100Hz, FHD (1920x1080), HDMI, VGA (64B5KAT1EU) (Маркировка)")</f>
        <v>Lenovo - 24" ThinkVision S24-4e Monitor, IPS, 4ms, 100Hz, FHD (1920x1080), HDMI, VGA (64B5KAT1EU) (Маркировка)</v>
      </c>
      <c r="B593" s="16" t="str">
        <f ca="1">IFERROR(__xludf.DUMMYFUNCTION("""COMPUTED_VALUE"""),"64B5KAT1EU")</f>
        <v>64B5KAT1EU</v>
      </c>
      <c r="C593" s="16" t="str">
        <f ca="1">IFERROR(__xludf.DUMMYFUNCTION("""COMPUTED_VALUE"""),"95,")</f>
        <v>95,</v>
      </c>
    </row>
    <row r="594" spans="1:3" ht="15.75" customHeight="1">
      <c r="A594" s="16" t="str">
        <f ca="1">IFERROR(__xludf.DUMMYFUNCTION("""COMPUTED_VALUE"""),"Lenovo - 27"" Qreator Monitor, IPS, 60Hz, 4mc, UHD(3840x2160) 4K, HDMI+DP+TypeC, Iron Grey (66B7RAC1EU) (распродажа)")</f>
        <v>Lenovo - 27" Qreator Monitor, IPS, 60Hz, 4mc, UHD(3840x2160) 4K, HDMI+DP+TypeC, Iron Grey (66B7RAC1EU) (распродажа)</v>
      </c>
      <c r="B594" s="16" t="str">
        <f ca="1">IFERROR(__xludf.DUMMYFUNCTION("""COMPUTED_VALUE"""),"66B7RAC1EU")</f>
        <v>66B7RAC1EU</v>
      </c>
      <c r="C594" s="16" t="str">
        <f ca="1">IFERROR(__xludf.DUMMYFUNCTION("""COMPUTED_VALUE"""),"400,")</f>
        <v>400,</v>
      </c>
    </row>
    <row r="595" spans="1:3" ht="15.75" customHeight="1">
      <c r="A595" s="16" t="str">
        <f ca="1">IFERROR(__xludf.DUMMYFUNCTION("""COMPUTED_VALUE"""),"Lenovo - 32"" D32-40  Monitor, VA, 75Hz, 4mc, FHD(1920x1080), HDMI, Black (66FCGAC2EU) (маркировка)")</f>
        <v>Lenovo - 32" D32-40  Monitor, VA, 75Hz, 4mc, FHD(1920x1080), HDMI, Black (66FCGAC2EU) (маркировка)</v>
      </c>
      <c r="B595" s="16" t="str">
        <f ca="1">IFERROR(__xludf.DUMMYFUNCTION("""COMPUTED_VALUE"""),"66FCGAC2EU")</f>
        <v>66FCGAC2EU</v>
      </c>
      <c r="C595" s="16" t="str">
        <f ca="1">IFERROR(__xludf.DUMMYFUNCTION("""COMPUTED_VALUE"""),"199,")</f>
        <v>199,</v>
      </c>
    </row>
    <row r="596" spans="1:3" ht="15.75" customHeight="1">
      <c r="A596" s="16" t="str">
        <f ca="1">IFERROR(__xludf.DUMMYFUNCTION("""COMPUTED_VALUE"""),"Lenovo - 32"" D32-45  Monitor, VA, 60Hz, 4mc, FHD(1920x1080), HDMI, Black (67A0GAC2EU) (маркировка) (распродажа)")</f>
        <v>Lenovo - 32" D32-45  Monitor, VA, 60Hz, 4mc, FHD(1920x1080), HDMI, Black (67A0GAC2EU) (маркировка) (распродажа)</v>
      </c>
      <c r="B596" s="16" t="str">
        <f ca="1">IFERROR(__xludf.DUMMYFUNCTION("""COMPUTED_VALUE"""),"67A0GAC2EU")</f>
        <v>67A0GAC2EU</v>
      </c>
      <c r="C596" s="16" t="str">
        <f ca="1">IFERROR(__xludf.DUMMYFUNCTION("""COMPUTED_VALUE"""),"199,")</f>
        <v>199,</v>
      </c>
    </row>
    <row r="597" spans="1:3" ht="15.75" customHeight="1">
      <c r="A597" s="16" t="str">
        <f ca="1">IFERROR(__xludf.DUMMYFUNCTION("""COMPUTED_VALUE"""),"Lenovo - 25"" Legion Y25-30 Gaming Monitor, IPS, 0.5mc, 280Hz, FHD(1920x1080), HDMI+DP, Black (66F0GACBEU) (распродажа)")</f>
        <v>Lenovo - 25" Legion Y25-30 Gaming Monitor, IPS, 0.5mc, 280Hz, FHD(1920x1080), HDMI+DP, Black (66F0GACBEU) (распродажа)</v>
      </c>
      <c r="B597" s="16" t="str">
        <f ca="1">IFERROR(__xludf.DUMMYFUNCTION("""COMPUTED_VALUE"""),"66F0GACBEU")</f>
        <v>66F0GACBEU</v>
      </c>
      <c r="C597" s="16" t="str">
        <f ca="1">IFERROR(__xludf.DUMMYFUNCTION("""COMPUTED_VALUE"""),"150,")</f>
        <v>150,</v>
      </c>
    </row>
    <row r="598" spans="1:3" ht="15.75" customHeight="1">
      <c r="A598" s="16" t="str">
        <f ca="1">IFERROR(__xludf.DUMMYFUNCTION("""COMPUTED_VALUE"""),"Lenovo - 27"" Legion 27Q-10 Gaming Monitor, IPS, 0,5mc, 240Hz, QHD (2560x1440), HDMI+DP, Black (68C6GAC4EU) (распродажа)")</f>
        <v>Lenovo - 27" Legion 27Q-10 Gaming Monitor, IPS, 0,5mc, 240Hz, QHD (2560x1440), HDMI+DP, Black (68C6GAC4EU) (распродажа)</v>
      </c>
      <c r="B598" s="16" t="str">
        <f ca="1">IFERROR(__xludf.DUMMYFUNCTION("""COMPUTED_VALUE"""),"68C6GAC4EU")</f>
        <v>68C6GAC4EU</v>
      </c>
      <c r="C598" s="16" t="str">
        <f ca="1">IFERROR(__xludf.DUMMYFUNCTION("""COMPUTED_VALUE"""),"205,")</f>
        <v>205,</v>
      </c>
    </row>
    <row r="599" spans="1:3" ht="15.75" customHeight="1">
      <c r="A599" s="16" t="str">
        <f ca="1">IFERROR(__xludf.DUMMYFUNCTION("""COMPUTED_VALUE"""),"Lenovo - 27"" ThinkVision S27-4e Monitor, IPS, 4ms, 100Hz, FHD (1920x1080), HDMI, VGA (64BEKAT1EU) (Маркировка)")</f>
        <v>Lenovo - 27" ThinkVision S27-4e Monitor, IPS, 4ms, 100Hz, FHD (1920x1080), HDMI, VGA (64BEKAT1EU) (Маркировка)</v>
      </c>
      <c r="B599" s="16" t="str">
        <f ca="1">IFERROR(__xludf.DUMMYFUNCTION("""COMPUTED_VALUE"""),"64BEKAT1EU")</f>
        <v>64BEKAT1EU</v>
      </c>
      <c r="C599" s="16" t="str">
        <f ca="1">IFERROR(__xludf.DUMMYFUNCTION("""COMPUTED_VALUE"""),"108,")</f>
        <v>108,</v>
      </c>
    </row>
    <row r="600" spans="1:3" ht="15.75" customHeight="1">
      <c r="A600" s="16" t="str">
        <f ca="1">IFERROR(__xludf.DUMMYFUNCTION("""COMPUTED_VALUE"""),"Lenovo - 27"" ThinkVision T27QD-4v, IPS WLED, 120Hz, 4mc, QHD (2560x1440) 2K, HDMI+DP+TypeC, Tilt, Swivel, Pivot, HAS, Webcam, Audio  Eclipse Black (64B8UAT1EU)")</f>
        <v>Lenovo - 27" ThinkVision T27QD-4v, IPS WLED, 120Hz, 4mc, QHD (2560x1440) 2K, HDMI+DP+TypeC, Tilt, Swivel, Pivot, HAS, Webcam, Audio  Eclipse Black (64B8UAT1EU)</v>
      </c>
      <c r="B600" s="16" t="str">
        <f ca="1">IFERROR(__xludf.DUMMYFUNCTION("""COMPUTED_VALUE"""),"64B8UAT1EU")</f>
        <v>64B8UAT1EU</v>
      </c>
      <c r="C600" s="16" t="str">
        <f ca="1">IFERROR(__xludf.DUMMYFUNCTION("""COMPUTED_VALUE"""),"338,")</f>
        <v>338,</v>
      </c>
    </row>
    <row r="601" spans="1:3" ht="15.75" customHeight="1">
      <c r="A601" s="16" t="str">
        <f ca="1">IFERROR(__xludf.DUMMYFUNCTION("""COMPUTED_VALUE"""),"Lenovo - 27"" ThinkVision T27UD-40, IPS WLED, 60Hz, 4mc, UHD (3840x2160) 4K, HDMI+DP+TypeC, Tilt, Swivel, Pivot, HAS, Eclipse Black (64AFGAT2EU)")</f>
        <v>Lenovo - 27" ThinkVision T27UD-40, IPS WLED, 60Hz, 4mc, UHD (3840x2160) 4K, HDMI+DP+TypeC, Tilt, Swivel, Pivot, HAS, Eclipse Black (64AFGAT2EU)</v>
      </c>
      <c r="B601" s="16" t="str">
        <f ca="1">IFERROR(__xludf.DUMMYFUNCTION("""COMPUTED_VALUE"""),"64AFGAT2EU")</f>
        <v>64AFGAT2EU</v>
      </c>
      <c r="C601" s="16" t="str">
        <f ca="1">IFERROR(__xludf.DUMMYFUNCTION("""COMPUTED_VALUE"""),"378,")</f>
        <v>378,</v>
      </c>
    </row>
    <row r="602" spans="1:3" ht="15.75" customHeight="1">
      <c r="A602" s="16" t="str">
        <f ca="1">IFERROR(__xludf.DUMMYFUNCTION("""COMPUTED_VALUE"""),"Lenovo - 32"" ThinkVision T32H-30, IPS WLED, 60Hz, 4mc, QHD (2560x1440) 2K, HDMI+DP+TypeC, Tilt, Swivel, Pivot, HAS, Eclipse Black (63D3GAT1EU)")</f>
        <v>Lenovo - 32" ThinkVision T32H-30, IPS WLED, 60Hz, 4mc, QHD (2560x1440) 2K, HDMI+DP+TypeC, Tilt, Swivel, Pivot, HAS, Eclipse Black (63D3GAT1EU)</v>
      </c>
      <c r="B602" s="16" t="str">
        <f ca="1">IFERROR(__xludf.DUMMYFUNCTION("""COMPUTED_VALUE"""),"63D3GAT1EU")</f>
        <v>63D3GAT1EU</v>
      </c>
      <c r="C602" s="16" t="str">
        <f ca="1">IFERROR(__xludf.DUMMYFUNCTION("""COMPUTED_VALUE"""),"339,")</f>
        <v>339,</v>
      </c>
    </row>
    <row r="603" spans="1:3" ht="15.75" customHeight="1">
      <c r="A603" s="16" t="str">
        <f ca="1">IFERROR(__xludf.DUMMYFUNCTION("""COMPUTED_VALUE"""),"Lenovo - 32"" ThinkVision T32UD-40, IPS WLED, 60Hz, 4mc, UHD (3840x2160) 4K, HDMI+DP+TypeC, Tilt, Swivel, Pivot, HAS, Eclipse Black (64B0GAT1EU)")</f>
        <v>Lenovo - 32" ThinkVision T32UD-40, IPS WLED, 60Hz, 4mc, UHD (3840x2160) 4K, HDMI+DP+TypeC, Tilt, Swivel, Pivot, HAS, Eclipse Black (64B0GAT1EU)</v>
      </c>
      <c r="B603" s="16" t="str">
        <f ca="1">IFERROR(__xludf.DUMMYFUNCTION("""COMPUTED_VALUE"""),"64B0GAT1EU")</f>
        <v>64B0GAT1EU</v>
      </c>
      <c r="C603" s="16" t="str">
        <f ca="1">IFERROR(__xludf.DUMMYFUNCTION("""COMPUTED_VALUE"""),"449,")</f>
        <v>449,</v>
      </c>
    </row>
    <row r="604" spans="1:3" ht="15.75" customHeight="1">
      <c r="A604" s="16" t="str">
        <f ca="1">IFERROR(__xludf.DUMMYFUNCTION("""COMPUTED_VALUE"""),"Lenovo - 44.5"" Legion R45w-30 Gaming Monitor, VA, 1mc,170Hz, QHD (5120x1440), HDMI+DP+USB-C 3.2 Gen,Black (67B1GAC3EU)(маркировка)")</f>
        <v>Lenovo - 44.5" Legion R45w-30 Gaming Monitor, VA, 1mc,170Hz, QHD (5120x1440), HDMI+DP+USB-C 3.2 Gen,Black (67B1GAC3EU)(маркировка)</v>
      </c>
      <c r="B604" s="16" t="str">
        <f ca="1">IFERROR(__xludf.DUMMYFUNCTION("""COMPUTED_VALUE"""),"67B1GAC3EU")</f>
        <v>67B1GAC3EU</v>
      </c>
      <c r="C604" s="16" t="str">
        <f ca="1">IFERROR(__xludf.DUMMYFUNCTION("""COMPUTED_VALUE"""),"780,")</f>
        <v>780,</v>
      </c>
    </row>
    <row r="605" spans="1:3" ht="15.75" customHeight="1">
      <c r="A605" s="16" t="str">
        <f ca="1">IFERROR(__xludf.DUMMYFUNCTION("""COMPUTED_VALUE"""),"LG - 27"" 27GP750-B.ADG, IPS, 1mc, 240Hz, FHD (1920×1080), HDMI+Display Port,NVIDIA® G-SYNC®, AMD FreeSync™ (маркировка)")</f>
        <v>LG - 27" 27GP750-B.ADG, IPS, 1mc, 240Hz, FHD (1920×1080), HDMI+Display Port,NVIDIA® G-SYNC®, AMD FreeSync™ (маркировка)</v>
      </c>
      <c r="B605" s="16" t="str">
        <f ca="1">IFERROR(__xludf.DUMMYFUNCTION("""COMPUTED_VALUE"""),"27GP750")</f>
        <v>27GP750</v>
      </c>
      <c r="C605" s="16" t="str">
        <f ca="1">IFERROR(__xludf.DUMMYFUNCTION("""COMPUTED_VALUE"""),"290,")</f>
        <v>290,</v>
      </c>
    </row>
    <row r="606" spans="1:3" ht="15.75" customHeight="1">
      <c r="A606" s="16" t="str">
        <f ca="1">IFERROR(__xludf.DUMMYFUNCTION("""COMPUTED_VALUE"""),"LG - 29"" 29WP500-B Ultra Wide LED Monitor, IPS, 5mc, 75Hz, UWHD (2560 x 1080)")</f>
        <v>LG - 29" 29WP500-B Ultra Wide LED Monitor, IPS, 5mc, 75Hz, UWHD (2560 x 1080)</v>
      </c>
      <c r="B606" s="16" t="str">
        <f ca="1">IFERROR(__xludf.DUMMYFUNCTION("""COMPUTED_VALUE"""),"29WP500-B")</f>
        <v>29WP500-B</v>
      </c>
      <c r="C606" s="16" t="str">
        <f ca="1">IFERROR(__xludf.DUMMYFUNCTION("""COMPUTED_VALUE"""),"255,")</f>
        <v>255,</v>
      </c>
    </row>
    <row r="607" spans="1:3" ht="15.75" customHeight="1">
      <c r="A607" s="16" t="str">
        <f ca="1">IFERROR(__xludf.DUMMYFUNCTION("""COMPUTED_VALUE"""),"LG - 43"" 43UN700-B 4K Monitor, IPS, 8mc, 65Hz, UHD (3840x2160), HDMI+Display Port, Type-C, Black")</f>
        <v>LG - 43" 43UN700-B 4K Monitor, IPS, 8mc, 65Hz, UHD (3840x2160), HDMI+Display Port, Type-C, Black</v>
      </c>
      <c r="B607" s="16" t="str">
        <f ca="1">IFERROR(__xludf.DUMMYFUNCTION("""COMPUTED_VALUE"""),"43UN700-B")</f>
        <v>43UN700-B</v>
      </c>
      <c r="C607" s="16" t="str">
        <f ca="1">IFERROR(__xludf.DUMMYFUNCTION("""COMPUTED_VALUE"""),"770,")</f>
        <v>770,</v>
      </c>
    </row>
    <row r="608" spans="1:3" ht="15.75" customHeight="1">
      <c r="A608" s="16" t="str">
        <f ca="1">IFERROR(__xludf.DUMMYFUNCTION("""COMPUTED_VALUE"""),"MSI - 24"" MAG 244F Gaming Monitor, IPS, 0,5mc, 200hz, FHD (1920x1080), HDMI+DP, Black (9S6-3BC41H-011)")</f>
        <v>MSI - 24" MAG 244F Gaming Monitor, IPS, 0,5mc, 200hz, FHD (1920x1080), HDMI+DP, Black (9S6-3BC41H-011)</v>
      </c>
      <c r="B608" s="16" t="str">
        <f ca="1">IFERROR(__xludf.DUMMYFUNCTION("""COMPUTED_VALUE"""),"9S6-3BC41H-011")</f>
        <v>9S6-3BC41H-011</v>
      </c>
      <c r="C608" s="16" t="str">
        <f ca="1">IFERROR(__xludf.DUMMYFUNCTION("""COMPUTED_VALUE"""),"115,")</f>
        <v>115,</v>
      </c>
    </row>
    <row r="609" spans="1:3" ht="15.75" customHeight="1">
      <c r="A609" s="16" t="str">
        <f ca="1">IFERROR(__xludf.DUMMYFUNCTION("""COMPUTED_VALUE"""),"MSI - 27"" Modern MD272XP Monitor, IPS, 1mc, 100hz, FHD (1920x1080), HDMI+DP+TypeC, KVM, HAS, Black (маркировка) (1 штук)")</f>
        <v>MSI - 27" Modern MD272XP Monitor, IPS, 1mc, 100hz, FHD (1920x1080), HDMI+DP+TypeC, KVM, HAS, Black (маркировка) (1 штук)</v>
      </c>
      <c r="B609" s="16" t="str">
        <f ca="1">IFERROR(__xludf.DUMMYFUNCTION("""COMPUTED_VALUE"""),"9S6-3PB19H-232")</f>
        <v>9S6-3PB19H-232</v>
      </c>
      <c r="C609" s="16" t="str">
        <f ca="1">IFERROR(__xludf.DUMMYFUNCTION("""COMPUTED_VALUE"""),"170,")</f>
        <v>170,</v>
      </c>
    </row>
    <row r="610" spans="1:3" ht="15.75" customHeight="1">
      <c r="A610" s="16" t="str">
        <f ca="1">IFERROR(__xludf.DUMMYFUNCTION("""COMPUTED_VALUE"""),"MSI - 27"" Modern MD272XPW Monitor, IPS, 1mc, 100hz, FHD (1920x1080), HDMI+DP+TypeC, KVM, HAS, White (маркировка)")</f>
        <v>MSI - 27" Modern MD272XPW Monitor, IPS, 1mc, 100hz, FHD (1920x1080), HDMI+DP+TypeC, KVM, HAS, White (маркировка)</v>
      </c>
      <c r="B610" s="16" t="str">
        <f ca="1">IFERROR(__xludf.DUMMYFUNCTION("""COMPUTED_VALUE"""),"9S6-3PB19H-099")</f>
        <v>9S6-3PB19H-099</v>
      </c>
      <c r="C610" s="16" t="str">
        <f ca="1">IFERROR(__xludf.DUMMYFUNCTION("""COMPUTED_VALUE"""),"170,")</f>
        <v>170,</v>
      </c>
    </row>
    <row r="611" spans="1:3" ht="15.75" customHeight="1">
      <c r="A611" s="16" t="str">
        <f ca="1">IFERROR(__xludf.DUMMYFUNCTION("""COMPUTED_VALUE"""),"MSI - 27"" MAG 274QPF X30MV Gaming Monitor, MiniLED, 1mc, 300hz, WQHD (2560x1440), HDMI+DP, HAS, Black (9S6-3CF09H-028)")</f>
        <v>MSI - 27" MAG 274QPF X30MV Gaming Monitor, MiniLED, 1mc, 300hz, WQHD (2560x1440), HDMI+DP, HAS, Black (9S6-3CF09H-028)</v>
      </c>
      <c r="B611" s="16" t="str">
        <f ca="1">IFERROR(__xludf.DUMMYFUNCTION("""COMPUTED_VALUE"""),"9S6-3CF09H-040")</f>
        <v>9S6-3CF09H-040</v>
      </c>
      <c r="C611" s="16" t="str">
        <f ca="1">IFERROR(__xludf.DUMMYFUNCTION("""COMPUTED_VALUE"""),"420,")</f>
        <v>420,</v>
      </c>
    </row>
    <row r="612" spans="1:3" ht="15.75" customHeight="1">
      <c r="A612" s="16" t="str">
        <f ca="1">IFERROR(__xludf.DUMMYFUNCTION("""COMPUTED_VALUE"""),"MSI - 27"" Modern MD272UPHW 4K Monitor, IPS, 4mc, 60Hz, UHD (3840x2160), HDMI+DP+TypeC, KVM, HAS, White (маркировка)")</f>
        <v>MSI - 27" Modern MD272UPHW 4K Monitor, IPS, 4mc, 60Hz, UHD (3840x2160), HDMI+DP+TypeC, KVM, HAS, White (маркировка)</v>
      </c>
      <c r="B612" s="16" t="str">
        <f ca="1">IFERROR(__xludf.DUMMYFUNCTION("""COMPUTED_VALUE"""),"9S6-3PB19H-407")</f>
        <v>9S6-3PB19H-407</v>
      </c>
      <c r="C612" s="16" t="str">
        <f ca="1">IFERROR(__xludf.DUMMYFUNCTION("""COMPUTED_VALUE"""),"345,")</f>
        <v>345,</v>
      </c>
    </row>
    <row r="613" spans="1:3" ht="15.75" customHeight="1">
      <c r="A613" s="16" t="str">
        <f ca="1">IFERROR(__xludf.DUMMYFUNCTION("""COMPUTED_VALUE"""),"MSI - 27"" MPG 275CQRXF Curved Gaming Monitor, VA, 0,5mc, 240hz, WQHD (2560x1440), HDMI+DP+TypeC, Black (маркировка) (распродажа)")</f>
        <v>MSI - 27" MPG 275CQRXF Curved Gaming Monitor, VA, 0,5mc, 240hz, WQHD (2560x1440), HDMI+DP+TypeC, Black (маркировка) (распродажа)</v>
      </c>
      <c r="B613" s="16" t="str">
        <f ca="1">IFERROR(__xludf.DUMMYFUNCTION("""COMPUTED_VALUE"""),"9S6-3CD04H-062")</f>
        <v>9S6-3CD04H-062</v>
      </c>
      <c r="C613" s="16" t="str">
        <f ca="1">IFERROR(__xludf.DUMMYFUNCTION("""COMPUTED_VALUE"""),"255,")</f>
        <v>255,</v>
      </c>
    </row>
    <row r="614" spans="1:3" ht="15.75" customHeight="1">
      <c r="A614" s="16" t="str">
        <f ca="1">IFERROR(__xludf.DUMMYFUNCTION("""COMPUTED_VALUE"""),"MSI - 40"" MAG401QR Gaming Monitor, IPS, 1mc, 155hz, UWQHD (3440x1440), HDMI+DP+TypeC, Black (9S6-3EA54H-016) (маркировка)")</f>
        <v>MSI - 40" MAG401QR Gaming Monitor, IPS, 1mc, 155hz, UWQHD (3440x1440), HDMI+DP+TypeC, Black (9S6-3EA54H-016) (маркировка)</v>
      </c>
      <c r="B614" s="16" t="str">
        <f ca="1">IFERROR(__xludf.DUMMYFUNCTION("""COMPUTED_VALUE"""),"9S6-3EA54H-016")</f>
        <v>9S6-3EA54H-016</v>
      </c>
      <c r="C614" s="16" t="str">
        <f ca="1">IFERROR(__xludf.DUMMYFUNCTION("""COMPUTED_VALUE"""),"480,")</f>
        <v>480,</v>
      </c>
    </row>
    <row r="615" spans="1:3" ht="15.75" customHeight="1">
      <c r="A615" s="16" t="str">
        <f ca="1">IFERROR(__xludf.DUMMYFUNCTION("""COMPUTED_VALUE"""),"MSI - 27"" MPG 271QRX Gaming Monitor, QOLED, 0,03mc, 360hz, WQHD (2560x1440), HDMI+DP+TypeC, Black (9S6-3CD79A-051) (маркировка)")</f>
        <v>MSI - 27" MPG 271QRX Gaming Monitor, QOLED, 0,03mc, 360hz, WQHD (2560x1440), HDMI+DP+TypeC, Black (9S6-3CD79A-051) (маркировка)</v>
      </c>
      <c r="B615" s="16" t="str">
        <f ca="1">IFERROR(__xludf.DUMMYFUNCTION("""COMPUTED_VALUE"""),"9S6-3CD79A-051")</f>
        <v>9S6-3CD79A-051</v>
      </c>
      <c r="C615" s="16" t="str">
        <f ca="1">IFERROR(__xludf.DUMMYFUNCTION("""COMPUTED_VALUE"""),"830,")</f>
        <v>830,</v>
      </c>
    </row>
    <row r="616" spans="1:3" ht="15.75" customHeight="1">
      <c r="A616" s="16" t="str">
        <f ca="1">IFERROR(__xludf.DUMMYFUNCTION("""COMPUTED_VALUE"""),"MSI - 34"" MPG 341CQPX Gaming Monitor, QOLED, 0,03mc, 240hz, UWQHD (3440x1440), HDMI+DP+TypeC, Black (9S6-3DD04T-036) (маркировка)")</f>
        <v>MSI - 34" MPG 341CQPX Gaming Monitor, QOLED, 0,03mc, 240hz, UWQHD (3440x1440), HDMI+DP+TypeC, Black (9S6-3DD04T-036) (маркировка)</v>
      </c>
      <c r="B616" s="16" t="str">
        <f ca="1">IFERROR(__xludf.DUMMYFUNCTION("""COMPUTED_VALUE"""),"9S6-3DD04T-036")</f>
        <v>9S6-3DD04T-036</v>
      </c>
      <c r="C616" s="16" t="str">
        <f ca="1">IFERROR(__xludf.DUMMYFUNCTION("""COMPUTED_VALUE"""),"1100,")</f>
        <v>1100,</v>
      </c>
    </row>
    <row r="617" spans="1:3" ht="15.75" customHeight="1">
      <c r="A617" s="16" t="str">
        <f ca="1">IFERROR(__xludf.DUMMYFUNCTION("""COMPUTED_VALUE"""),"MSI - 49"" MPG 491CQPX Gaming Monitor, QOLED, 0,03mc, 240hz, UWQHD (3440x1440), HDMI+DP+TypeC, Black (9S6-3FA84T-022) (маркировка)")</f>
        <v>MSI - 49" MPG 491CQPX Gaming Monitor, QOLED, 0,03mc, 240hz, UWQHD (3440x1440), HDMI+DP+TypeC, Black (9S6-3FA84T-022) (маркировка)</v>
      </c>
      <c r="B617" s="16" t="str">
        <f ca="1">IFERROR(__xludf.DUMMYFUNCTION("""COMPUTED_VALUE"""),"9S6-3FA84T-022")</f>
        <v>9S6-3FA84T-022</v>
      </c>
      <c r="C617" s="16" t="str">
        <f ca="1">IFERROR(__xludf.DUMMYFUNCTION("""COMPUTED_VALUE"""),"1250,")</f>
        <v>1250,</v>
      </c>
    </row>
    <row r="618" spans="1:3" ht="15.75" customHeight="1">
      <c r="A618" s="16" t="str">
        <f ca="1">IFERROR(__xludf.DUMMYFUNCTION("""COMPUTED_VALUE"""),"Samsung - 24"" LS24D300GAIXCI S3 LED Monitor, IPS, 100Hz, 5mc, FHD (1920x1080), HDMI, DVI, Black (маркировка) ")</f>
        <v xml:space="preserve">Samsung - 24" LS24D300GAIXCI S3 LED Monitor, IPS, 100Hz, 5mc, FHD (1920x1080), HDMI, DVI, Black (маркировка) </v>
      </c>
      <c r="B618" s="16" t="str">
        <f ca="1">IFERROR(__xludf.DUMMYFUNCTION("""COMPUTED_VALUE"""),"LS24D300GAIXCI")</f>
        <v>LS24D300GAIXCI</v>
      </c>
      <c r="C618" s="16" t="str">
        <f ca="1">IFERROR(__xludf.DUMMYFUNCTION("""COMPUTED_VALUE"""),"105,")</f>
        <v>105,</v>
      </c>
    </row>
    <row r="619" spans="1:3" ht="15.75" customHeight="1">
      <c r="A619" s="16" t="str">
        <f ca="1">IFERROR(__xludf.DUMMYFUNCTION("""COMPUTED_VALUE"""),"Samsung - 24"" LS24D400GAIXCI S4 LED Monitor, IPS, 100Hz, 5mc, FHD (1920x1080), High adjustable, HDMI, DVI, Black (маркировка)")</f>
        <v>Samsung - 24" LS24D400GAIXCI S4 LED Monitor, IPS, 100Hz, 5mc, FHD (1920x1080), High adjustable, HDMI, DVI, Black (маркировка)</v>
      </c>
      <c r="B619" s="16" t="str">
        <f ca="1">IFERROR(__xludf.DUMMYFUNCTION("""COMPUTED_VALUE"""),"LS24D400GAIXCI")</f>
        <v>LS24D400GAIXCI</v>
      </c>
      <c r="C619" s="16" t="str">
        <f ca="1">IFERROR(__xludf.DUMMYFUNCTION("""COMPUTED_VALUE"""),"125,")</f>
        <v>125,</v>
      </c>
    </row>
    <row r="620" spans="1:3" ht="15.75" customHeight="1">
      <c r="A620" s="16" t="str">
        <f ca="1">IFERROR(__xludf.DUMMYFUNCTION("""COMPUTED_VALUE"""),"Samsung - 24"" LS24AG320NEXXS Odyssey G3 G32A Gaming Monitor, VA, 165Hz, 1mc, FHD (1920x1080), Height Adjustable, Pivot,HDMI, DP, Black")</f>
        <v>Samsung - 24" LS24AG320NEXXS Odyssey G3 G32A Gaming Monitor, VA, 165Hz, 1mc, FHD (1920x1080), Height Adjustable, Pivot,HDMI, DP, Black</v>
      </c>
      <c r="B620" s="16" t="str">
        <f ca="1">IFERROR(__xludf.DUMMYFUNCTION("""COMPUTED_VALUE"""),"LS24AG320NEXXS")</f>
        <v>LS24AG320NEXXS</v>
      </c>
      <c r="C620" s="16" t="str">
        <f ca="1">IFERROR(__xludf.DUMMYFUNCTION("""COMPUTED_VALUE"""),"105,")</f>
        <v>105,</v>
      </c>
    </row>
    <row r="621" spans="1:3" ht="15.75" customHeight="1">
      <c r="A621" s="16" t="str">
        <f ca="1">IFERROR(__xludf.DUMMYFUNCTION("""COMPUTED_VALUE"""),"Samsung - 27"" LS27D300GAIXCI S3 LED Monitor, IPS, 100Hz, 5mc, FHD (1920x1080), HDMI, DVI, Black (маркировка)")</f>
        <v>Samsung - 27" LS27D300GAIXCI S3 LED Monitor, IPS, 100Hz, 5mc, FHD (1920x1080), HDMI, DVI, Black (маркировка)</v>
      </c>
      <c r="B621" s="16" t="str">
        <f ca="1">IFERROR(__xludf.DUMMYFUNCTION("""COMPUTED_VALUE"""),"LS27D300GAIXCI")</f>
        <v>LS27D300GAIXCI</v>
      </c>
      <c r="C621" s="16" t="str">
        <f ca="1">IFERROR(__xludf.DUMMYFUNCTION("""COMPUTED_VALUE"""),"130,")</f>
        <v>130,</v>
      </c>
    </row>
    <row r="622" spans="1:3" ht="15.75" customHeight="1">
      <c r="A622" s="16" t="str">
        <f ca="1">IFERROR(__xludf.DUMMYFUNCTION("""COMPUTED_VALUE"""),"Samsung - 27"" LS27AG320NEXXS Odyssey G3 G32A Gaming Monitor, VA, 165Hz, 1mc, FHD (1920x1080), Height Adjustable, Pivot, HDMI, DP, Black")</f>
        <v>Samsung - 27" LS27AG320NEXXS Odyssey G3 G32A Gaming Monitor, VA, 165Hz, 1mc, FHD (1920x1080), Height Adjustable, Pivot, HDMI, DP, Black</v>
      </c>
      <c r="B622" s="16" t="str">
        <f ca="1">IFERROR(__xludf.DUMMYFUNCTION("""COMPUTED_VALUE"""),"LS27AG320NEXXS")</f>
        <v>LS27AG320NEXXS</v>
      </c>
      <c r="C622" s="16" t="str">
        <f ca="1">IFERROR(__xludf.DUMMYFUNCTION("""COMPUTED_VALUE"""),"145,")</f>
        <v>145,</v>
      </c>
    </row>
    <row r="623" spans="1:3" ht="15.75" customHeight="1">
      <c r="A623" s="16" t="str">
        <f ca="1">IFERROR(__xludf.DUMMYFUNCTION("""COMPUTED_VALUE"""),"Samsung - 27"" LS27D400GAIXCI S4  LED Monitor, IPS, 100Hz, 5mc, FHD (1920x1080), High adjustable, HDMI, DVI, Black (маркировка)")</f>
        <v>Samsung - 27" LS27D400GAIXCI S4  LED Monitor, IPS, 100Hz, 5mc, FHD (1920x1080), High adjustable, HDMI, DVI, Black (маркировка)</v>
      </c>
      <c r="B623" s="16" t="str">
        <f ca="1">IFERROR(__xludf.DUMMYFUNCTION("""COMPUTED_VALUE"""),"LS27D400GAIXCI")</f>
        <v>LS27D400GAIXCI</v>
      </c>
      <c r="C623" s="16" t="str">
        <f ca="1">IFERROR(__xludf.DUMMYFUNCTION("""COMPUTED_VALUE"""),"160,")</f>
        <v>160,</v>
      </c>
    </row>
    <row r="624" spans="1:3" ht="15.75" customHeight="1">
      <c r="A624" s="16" t="str">
        <f ca="1">IFERROR(__xludf.DUMMYFUNCTION("""COMPUTED_VALUE"""),"Samsung - 24"" LS24F320GAIXCI S3 S32GF LED Monitor, IPS, 120Hz, 5mc, FHD (1920x1080), HDMI, Black (маркировка)")</f>
        <v>Samsung - 24" LS24F320GAIXCI S3 S32GF LED Monitor, IPS, 120Hz, 5mc, FHD (1920x1080), HDMI, Black (маркировка)</v>
      </c>
      <c r="B624" s="16" t="str">
        <f ca="1">IFERROR(__xludf.DUMMYFUNCTION("""COMPUTED_VALUE"""),"LS24F320GAIXCI")</f>
        <v>LS24F320GAIXCI</v>
      </c>
      <c r="C624" s="16" t="str">
        <f ca="1">IFERROR(__xludf.DUMMYFUNCTION("""COMPUTED_VALUE"""),"110,")</f>
        <v>110,</v>
      </c>
    </row>
    <row r="625" spans="1:3" ht="15.75" customHeight="1">
      <c r="A625" s="16" t="str">
        <f ca="1">IFERROR(__xludf.DUMMYFUNCTION("""COMPUTED_VALUE"""),"Samsung - 27"" LS27F320GAIXCI S3 S32GF LED Monitor, IPS, 120Hz, 5mc, FHD (1920x1080), HDMI, Black (маркировка)")</f>
        <v>Samsung - 27" LS27F320GAIXCI S3 S32GF LED Monitor, IPS, 120Hz, 5mc, FHD (1920x1080), HDMI, Black (маркировка)</v>
      </c>
      <c r="B625" s="16" t="str">
        <f ca="1">IFERROR(__xludf.DUMMYFUNCTION("""COMPUTED_VALUE"""),"LS27F320GAIXCI")</f>
        <v>LS27F320GAIXCI</v>
      </c>
      <c r="C625" s="16" t="str">
        <f ca="1">IFERROR(__xludf.DUMMYFUNCTION("""COMPUTED_VALUE"""),"145,")</f>
        <v>145,</v>
      </c>
    </row>
    <row r="626" spans="1:3" ht="15.75" customHeight="1">
      <c r="A626" s="16" t="str">
        <f ca="1">IFERROR(__xludf.DUMMYFUNCTION("""COMPUTED_VALUE"""),"Samsung - 24"" LS24F430UAIXCI S4 S43GC LED Monitor, IPS, 100Hz, 5mc, FHD (1920x1080), HDMI, Type C, Black (маркировка)")</f>
        <v>Samsung - 24" LS24F430UAIXCI S4 S43GC LED Monitor, IPS, 100Hz, 5mc, FHD (1920x1080), HDMI, Type C, Black (маркировка)</v>
      </c>
      <c r="B626" s="16" t="str">
        <f ca="1">IFERROR(__xludf.DUMMYFUNCTION("""COMPUTED_VALUE"""),"LS24F430UAI")</f>
        <v>LS24F430UAI</v>
      </c>
      <c r="C626" s="16" t="str">
        <f ca="1">IFERROR(__xludf.DUMMYFUNCTION("""COMPUTED_VALUE"""),"190,")</f>
        <v>190,</v>
      </c>
    </row>
    <row r="627" spans="1:3" ht="15.75" customHeight="1">
      <c r="A627" s="16" t="str">
        <f ca="1">IFERROR(__xludf.DUMMYFUNCTION("""COMPUTED_VALUE"""),"Samsung - 27"" LS27F430UAIXCI S4 S43GC LED Monitor, IPS, 100Hz, 5mc, FHD (1920x1080), HDMI, Type C, Black (маркировка)")</f>
        <v>Samsung - 27" LS27F430UAIXCI S4 S43GC LED Monitor, IPS, 100Hz, 5mc, FHD (1920x1080), HDMI, Type C, Black (маркировка)</v>
      </c>
      <c r="B627" s="16" t="str">
        <f ca="1">IFERROR(__xludf.DUMMYFUNCTION("""COMPUTED_VALUE"""),"LS27F430UAI")</f>
        <v>LS27F430UAI</v>
      </c>
      <c r="C627" s="16" t="str">
        <f ca="1">IFERROR(__xludf.DUMMYFUNCTION("""COMPUTED_VALUE"""),"200,")</f>
        <v>200,</v>
      </c>
    </row>
    <row r="628" spans="1:3" ht="15.75" customHeight="1">
      <c r="A628" s="16" t="str">
        <f ca="1">IFERROR(__xludf.DUMMYFUNCTION("""COMPUTED_VALUE"""),"Samsung - 27"" LS27BG400EPXUZ Odyssey G4 Gaming Monitor, IPS, 240Hz, 1mc, FHD (1920x1080), HDMI+DP, Black (маркировка) (распродажа)")</f>
        <v>Samsung - 27" LS27BG400EPXUZ Odyssey G4 Gaming Monitor, IPS, 240Hz, 1mc, FHD (1920x1080), HDMI+DP, Black (маркировка) (распродажа)</v>
      </c>
      <c r="B628" s="16" t="str">
        <f ca="1">IFERROR(__xludf.DUMMYFUNCTION("""COMPUTED_VALUE"""),"LS27BG400EPXUZ")</f>
        <v>LS27BG400EPXUZ</v>
      </c>
      <c r="C628" s="16" t="str">
        <f ca="1">IFERROR(__xludf.DUMMYFUNCTION("""COMPUTED_VALUE"""),"248,")</f>
        <v>248,</v>
      </c>
    </row>
    <row r="629" spans="1:3" ht="15.75" customHeight="1">
      <c r="A629" s="16" t="str">
        <f ca="1">IFERROR(__xludf.DUMMYFUNCTION("""COMPUTED_VALUE"""),"Samsung - 27"" LS27FG502SIXCI Odyssey OLED G5 G50SF, OLED, 180Hz, 0.03mc, QHD (2560x1440), HDMI+DP, Black (маркировка)")</f>
        <v>Samsung - 27" LS27FG502SIXCI Odyssey OLED G5 G50SF, OLED, 180Hz, 0.03mc, QHD (2560x1440), HDMI+DP, Black (маркировка)</v>
      </c>
      <c r="B629" s="16" t="str">
        <f ca="1">IFERROR(__xludf.DUMMYFUNCTION("""COMPUTED_VALUE"""),"LS27FG502SIXCI")</f>
        <v>LS27FG502SIXCI</v>
      </c>
      <c r="C629" s="16" t="str">
        <f ca="1">IFERROR(__xludf.DUMMYFUNCTION("""COMPUTED_VALUE"""),"410,")</f>
        <v>410,</v>
      </c>
    </row>
    <row r="630" spans="1:3" ht="15.75" customHeight="1">
      <c r="A630" s="16" t="str">
        <f ca="1">IFERROR(__xludf.DUMMYFUNCTION("""COMPUTED_VALUE"""),"Samsung - 32"" ViewFinity S6 S60UD S32D604UAIXCI, IPS, 100Hz, QHD (2560x1440) 2K, HDMI, DisplayPort, Type-C, Black (маркировка)")</f>
        <v>Samsung - 32" ViewFinity S6 S60UD S32D604UAIXCI, IPS, 100Hz, QHD (2560x1440) 2K, HDMI, DisplayPort, Type-C, Black (маркировка)</v>
      </c>
      <c r="B630" s="16" t="str">
        <f ca="1">IFERROR(__xludf.DUMMYFUNCTION("""COMPUTED_VALUE"""),"S32D604UAIXCI")</f>
        <v>S32D604UAIXCI</v>
      </c>
      <c r="C630" s="16" t="str">
        <f ca="1">IFERROR(__xludf.DUMMYFUNCTION("""COMPUTED_VALUE"""),"400,")</f>
        <v>400,</v>
      </c>
    </row>
    <row r="631" spans="1:3" ht="15.75" customHeight="1">
      <c r="A631" s="16" t="str">
        <f ca="1">IFERROR(__xludf.DUMMYFUNCTION("""COMPUTED_VALUE"""),"Samsung - 49"" Odyssey LS49DG910SIXCI Curved Monitor, OLED, 5мс, 144Hz, DQHD (5120x1440), HDMI+DP+Type-C, Black (Маркировка)")</f>
        <v>Samsung - 49" Odyssey LS49DG910SIXCI Curved Monitor, OLED, 5мс, 144Hz, DQHD (5120x1440), HDMI+DP+Type-C, Black (Маркировка)</v>
      </c>
      <c r="B631" s="16" t="str">
        <f ca="1">IFERROR(__xludf.DUMMYFUNCTION("""COMPUTED_VALUE"""),"LS49DG910SIXCI")</f>
        <v>LS49DG910SIXCI</v>
      </c>
      <c r="C631" s="16" t="str">
        <f ca="1">IFERROR(__xludf.DUMMYFUNCTION("""COMPUTED_VALUE"""),"1100,")</f>
        <v>1100,</v>
      </c>
    </row>
    <row r="632" spans="1:3" ht="15.75" customHeight="1">
      <c r="A632" s="16" t="str">
        <f ca="1">IFERROR(__xludf.DUMMYFUNCTION("""COMPUTED_VALUE"""),"HP - 24"" 524SF LED Monitor, IPS, 100Hz, 5mc, FHD (1920x1080), VGA+HDMI, Silver Black (94C18AA)")</f>
        <v>HP - 24" 524SF LED Monitor, IPS, 100Hz, 5mc, FHD (1920x1080), VGA+HDMI, Silver Black (94C18AA)</v>
      </c>
      <c r="B632" s="16" t="str">
        <f ca="1">IFERROR(__xludf.DUMMYFUNCTION("""COMPUTED_VALUE"""),"94C18AA")</f>
        <v>94C18AA</v>
      </c>
      <c r="C632" s="16" t="str">
        <f ca="1">IFERROR(__xludf.DUMMYFUNCTION("""COMPUTED_VALUE"""),"135,")</f>
        <v>135,</v>
      </c>
    </row>
    <row r="633" spans="1:3" ht="15.75" customHeight="1">
      <c r="A633" s="16" t="str">
        <f ca="1">IFERROR(__xludf.DUMMYFUNCTION("""COMPUTED_VALUE"""),"HP - 24"" 524SF LED Monitor, IPS, 100Hz, 5mc, FHD (1920x1080), VGA+HDMI, Silver Black (94C18A6)")</f>
        <v>HP - 24" 524SF LED Monitor, IPS, 100Hz, 5mc, FHD (1920x1080), VGA+HDMI, Silver Black (94C18A6)</v>
      </c>
      <c r="B633" s="16" t="str">
        <f ca="1">IFERROR(__xludf.DUMMYFUNCTION("""COMPUTED_VALUE"""),"94C18A6")</f>
        <v>94C18A6</v>
      </c>
      <c r="C633" s="16" t="str">
        <f ca="1">IFERROR(__xludf.DUMMYFUNCTION("""COMPUTED_VALUE"""),"135,")</f>
        <v>135,</v>
      </c>
    </row>
    <row r="634" spans="1:3" ht="15.75" customHeight="1">
      <c r="A634" s="16" t="str">
        <f ca="1">IFERROR(__xludf.DUMMYFUNCTION("""COMPUTED_VALUE"""),"HP - 24"" 524SW LED Monitor, IPS, 100Hz, 5mc, FHD (1920x1080), VGA+HDMI, Silver White (94C21AS)")</f>
        <v>HP - 24" 524SW LED Monitor, IPS, 100Hz, 5mc, FHD (1920x1080), VGA+HDMI, Silver White (94C21AS)</v>
      </c>
      <c r="B634" s="16" t="str">
        <f ca="1">IFERROR(__xludf.DUMMYFUNCTION("""COMPUTED_VALUE"""),"94C21AS")</f>
        <v>94C21AS</v>
      </c>
      <c r="C634" s="16" t="str">
        <f ca="1">IFERROR(__xludf.DUMMYFUNCTION("""COMPUTED_VALUE"""),"138,")</f>
        <v>138,</v>
      </c>
    </row>
    <row r="635" spans="1:3" ht="15.75" customHeight="1">
      <c r="A635" s="16" t="str">
        <f ca="1">IFERROR(__xludf.DUMMYFUNCTION("""COMPUTED_VALUE"""),"HP - 24"" 524SA LED Monitor, IPS, 100Hz, 5mc, FHD (1920x1080), VGA+HDMI, Silver Black (94C36E9) with audio")</f>
        <v>HP - 24" 524SA LED Monitor, IPS, 100Hz, 5mc, FHD (1920x1080), VGA+HDMI, Silver Black (94C36E9) with audio</v>
      </c>
      <c r="B635" s="16" t="str">
        <f ca="1">IFERROR(__xludf.DUMMYFUNCTION("""COMPUTED_VALUE"""),"94C36E9")</f>
        <v>94C36E9</v>
      </c>
      <c r="C635" s="16" t="str">
        <f ca="1">IFERROR(__xludf.DUMMYFUNCTION("""COMPUTED_VALUE"""),"140,")</f>
        <v>140,</v>
      </c>
    </row>
    <row r="636" spans="1:3" ht="15.75" customHeight="1">
      <c r="A636" s="16" t="str">
        <f ca="1">IFERROR(__xludf.DUMMYFUNCTION("""COMPUTED_VALUE"""),"HP - 24"" 524da LED Monitor, IPS, 100Hz, 5mc, FHD (1920x1080), VGA+HDMI,with audio,Black (B11W5AT) (маркировка)")</f>
        <v>HP - 24" 524da LED Monitor, IPS, 100Hz, 5mc, FHD (1920x1080), VGA+HDMI,with audio,Black (B11W5AT) (маркировка)</v>
      </c>
      <c r="B636" s="16" t="str">
        <f ca="1">IFERROR(__xludf.DUMMYFUNCTION("""COMPUTED_VALUE"""),"B11W5AT")</f>
        <v>B11W5AT</v>
      </c>
      <c r="C636" s="16" t="str">
        <f ca="1">IFERROR(__xludf.DUMMYFUNCTION("""COMPUTED_VALUE"""),"155,")</f>
        <v>155,</v>
      </c>
    </row>
    <row r="637" spans="1:3" ht="15.75" customHeight="1">
      <c r="A637" s="16" t="str">
        <f ca="1">IFERROR(__xludf.DUMMYFUNCTION("""COMPUTED_VALUE"""),"HP - 24"" 524SH LED Monitor, IPS, 100Hz, 5mc, FHD (1920x1080), VGA+HDMI, Silver Black (94C19AA) (маркировка)")</f>
        <v>HP - 24" 524SH LED Monitor, IPS, 100Hz, 5mc, FHD (1920x1080), VGA+HDMI, Silver Black (94C19AA) (маркировка)</v>
      </c>
      <c r="B637" s="16" t="str">
        <f ca="1">IFERROR(__xludf.DUMMYFUNCTION("""COMPUTED_VALUE"""),"94C19AA")</f>
        <v>94C19AA</v>
      </c>
      <c r="C637" s="16" t="str">
        <f ca="1">IFERROR(__xludf.DUMMYFUNCTION("""COMPUTED_VALUE"""),"160,")</f>
        <v>160,</v>
      </c>
    </row>
    <row r="638" spans="1:3" ht="15.75" customHeight="1">
      <c r="A638" s="16" t="str">
        <f ca="1">IFERROR(__xludf.DUMMYFUNCTION("""COMPUTED_VALUE"""),"HP - 27"" 527SF LED Monitor, IPS, 100Hz, 5mc, FHD (1920x1080), VGA+HDMI, Silver Black (94F45AA)")</f>
        <v>HP - 27" 527SF LED Monitor, IPS, 100Hz, 5mc, FHD (1920x1080), VGA+HDMI, Silver Black (94F45AA)</v>
      </c>
      <c r="B638" s="16" t="str">
        <f ca="1">IFERROR(__xludf.DUMMYFUNCTION("""COMPUTED_VALUE"""),"94F45AA")</f>
        <v>94F45AA</v>
      </c>
      <c r="C638" s="16" t="str">
        <f ca="1">IFERROR(__xludf.DUMMYFUNCTION("""COMPUTED_VALUE"""),"170,")</f>
        <v>170,</v>
      </c>
    </row>
    <row r="639" spans="1:3" ht="15.75" customHeight="1">
      <c r="A639" s="16" t="str">
        <f ca="1">IFERROR(__xludf.DUMMYFUNCTION("""COMPUTED_VALUE"""),"HP - 27"" 527SW LED Monitor, IPS, 100Hz, 5mc, FHD (1920x1080), VGA+HDMI, Silver White (94F46AA) (маркировка)")</f>
        <v>HP - 27" 527SW LED Monitor, IPS, 100Hz, 5mc, FHD (1920x1080), VGA+HDMI, Silver White (94F46AA) (маркировка)</v>
      </c>
      <c r="B639" s="16" t="str">
        <f ca="1">IFERROR(__xludf.DUMMYFUNCTION("""COMPUTED_VALUE"""),"94F46AA")</f>
        <v>94F46AA</v>
      </c>
      <c r="C639" s="16" t="str">
        <f ca="1">IFERROR(__xludf.DUMMYFUNCTION("""COMPUTED_VALUE"""),"175,")</f>
        <v>175,</v>
      </c>
    </row>
    <row r="640" spans="1:3" ht="15.75" customHeight="1">
      <c r="A640" s="16" t="str">
        <f ca="1">IFERROR(__xludf.DUMMYFUNCTION("""COMPUTED_VALUE"""),"HP - 27"" 527SA LED Monitor, IPS, 100Hz, 5mc, FHD (1920x1080), VGA+HDMI, Audio, Silver Black (94F48AA) (маркировка)")</f>
        <v>HP - 27" 527SA LED Monitor, IPS, 100Hz, 5mc, FHD (1920x1080), VGA+HDMI, Audio, Silver Black (94F48AA) (маркировка)</v>
      </c>
      <c r="B640" s="16" t="str">
        <f ca="1">IFERROR(__xludf.DUMMYFUNCTION("""COMPUTED_VALUE"""),"94F48AA")</f>
        <v>94F48AA</v>
      </c>
      <c r="C640" s="16" t="str">
        <f ca="1">IFERROR(__xludf.DUMMYFUNCTION("""COMPUTED_VALUE"""),"185,")</f>
        <v>185,</v>
      </c>
    </row>
    <row r="641" spans="1:3" ht="15.75" customHeight="1">
      <c r="A641" s="16" t="str">
        <f ca="1">IFERROR(__xludf.DUMMYFUNCTION("""COMPUTED_VALUE"""),"HP - 27"" 527SH LED Monitor, IPS, 100Hz, 5mc, FHD (1920x1080), VGA+HDMI, Silver Black (94C50AA) (маркировка)")</f>
        <v>HP - 27" 527SH LED Monitor, IPS, 100Hz, 5mc, FHD (1920x1080), VGA+HDMI, Silver Black (94C50AA) (маркировка)</v>
      </c>
      <c r="B641" s="16" t="str">
        <f ca="1">IFERROR(__xludf.DUMMYFUNCTION("""COMPUTED_VALUE"""),"94C50AA")</f>
        <v>94C50AA</v>
      </c>
      <c r="C641" s="16" t="str">
        <f ca="1">IFERROR(__xludf.DUMMYFUNCTION("""COMPUTED_VALUE"""),"183,")</f>
        <v>183,</v>
      </c>
    </row>
    <row r="642" spans="1:3" ht="15.75" customHeight="1">
      <c r="A642" s="16" t="str">
        <f ca="1">IFERROR(__xludf.DUMMYFUNCTION("""COMPUTED_VALUE"""),"HP - 27"" 527da LED Monitor, IPS, 100Hz, 5ms, FHD (1920x1080), VGA+2HDMI, Silver Black (B11W6AT) (маркировка)")</f>
        <v>HP - 27" 527da LED Monitor, IPS, 100Hz, 5ms, FHD (1920x1080), VGA+2HDMI, Silver Black (B11W6AT) (маркировка)</v>
      </c>
      <c r="B642" s="16" t="str">
        <f ca="1">IFERROR(__xludf.DUMMYFUNCTION("""COMPUTED_VALUE"""),"B11W6AT")</f>
        <v>B11W6AT</v>
      </c>
      <c r="C642" s="16" t="str">
        <f ca="1">IFERROR(__xludf.DUMMYFUNCTION("""COMPUTED_VALUE"""),"180,")</f>
        <v>180,</v>
      </c>
    </row>
    <row r="643" spans="1:3" ht="15.75" customHeight="1">
      <c r="A643" s="16" t="str">
        <f ca="1">IFERROR(__xludf.DUMMYFUNCTION("""COMPUTED_VALUE"""),"HP - 27"" M27FQ LED Monitor, IPS, 75Hz, 5mc, QHD (2560x1440), DisplayPort+HDMI, Silver Black (2H4B5E9) (маркировка)")</f>
        <v>HP - 27" M27FQ LED Monitor, IPS, 75Hz, 5mc, QHD (2560x1440), DisplayPort+HDMI, Silver Black (2H4B5E9) (маркировка)</v>
      </c>
      <c r="B643" s="16" t="str">
        <f ca="1">IFERROR(__xludf.DUMMYFUNCTION("""COMPUTED_VALUE"""),"2H4B5E9")</f>
        <v>2H4B5E9</v>
      </c>
      <c r="C643" s="16" t="str">
        <f ca="1">IFERROR(__xludf.DUMMYFUNCTION("""COMPUTED_VALUE"""),"240,")</f>
        <v>240,</v>
      </c>
    </row>
    <row r="644" spans="1:3" ht="15.75" customHeight="1">
      <c r="A644" s="16" t="str">
        <f ca="1">IFERROR(__xludf.DUMMYFUNCTION("""COMPUTED_VALUE"""),"HP - 32"" 532SF LED Monitor, VA, 100Hz, 5mc, FHD (1920x1080), HDMI, VGA, Black (94F50AA) (маркировка)")</f>
        <v>HP - 32" 532SF LED Monitor, VA, 100Hz, 5mc, FHD (1920x1080), HDMI, VGA, Black (94F50AA) (маркировка)</v>
      </c>
      <c r="B644" s="16" t="str">
        <f ca="1">IFERROR(__xludf.DUMMYFUNCTION("""COMPUTED_VALUE"""),"94F50AA")</f>
        <v>94F50AA</v>
      </c>
      <c r="C644" s="16" t="str">
        <f ca="1">IFERROR(__xludf.DUMMYFUNCTION("""COMPUTED_VALUE"""),"260,")</f>
        <v>260,</v>
      </c>
    </row>
    <row r="645" spans="1:3" ht="15.75" customHeight="1">
      <c r="A645" s="16" t="str">
        <f ca="1">IFERROR(__xludf.DUMMYFUNCTION("""COMPUTED_VALUE"""),"HP - 27"" OMEN 27q G2 [2H] Gaming Monitor, IPS, 1ms, 180 Hz, QHD (2560 x 1440),HDMI;DisplayPort (AV4H6AA) (маркировка)")</f>
        <v>HP - 27" OMEN 27q G2 [2H] Gaming Monitor, IPS, 1ms, 180 Hz, QHD (2560 x 1440),HDMI;DisplayPort (AV4H6AA) (маркировка)</v>
      </c>
      <c r="B645" s="16" t="str">
        <f ca="1">IFERROR(__xludf.DUMMYFUNCTION("""COMPUTED_VALUE"""),"AV4H6AA")</f>
        <v>AV4H6AA</v>
      </c>
      <c r="C645" s="16" t="str">
        <f ca="1">IFERROR(__xludf.DUMMYFUNCTION("""COMPUTED_VALUE"""),"305,")</f>
        <v>305,</v>
      </c>
    </row>
    <row r="646" spans="1:3" ht="15.75" customHeight="1">
      <c r="A646" s="16" t="str">
        <f ca="1">IFERROR(__xludf.DUMMYFUNCTION("""COMPUTED_VALUE"""),"HP - 32"" OMEN 32q [2H] Gaming Monitor, IPS, 1ms, 165 Hz, QHD (2560 x 1440),HDMI; Audio; DisplayPort (780K0AA) (маркировка)")</f>
        <v>HP - 32" OMEN 32q [2H] Gaming Monitor, IPS, 1ms, 165 Hz, QHD (2560 x 1440),HDMI; Audio; DisplayPort (780K0AA) (маркировка)</v>
      </c>
      <c r="B646" s="16" t="str">
        <f ca="1">IFERROR(__xludf.DUMMYFUNCTION("""COMPUTED_VALUE"""),"780K0AA")</f>
        <v>780K0AA</v>
      </c>
      <c r="C646" s="16" t="str">
        <f ca="1">IFERROR(__xludf.DUMMYFUNCTION("""COMPUTED_VALUE"""),"340,")</f>
        <v>340,</v>
      </c>
    </row>
    <row r="647" spans="1:3" ht="15.75" customHeight="1">
      <c r="A647" s="16" t="str">
        <f ca="1">IFERROR(__xludf.DUMMYFUNCTION("""COMPUTED_VALUE"""),"HP - 27"" OMEN 27s Gaming Monitor, IPS, 240 Hz, FHD (1920 x 1080), HDMI, Audio, USB hub; DisplayPort (780G5E9 / 780G5AA) (маркировка)")</f>
        <v>HP - 27" OMEN 27s Gaming Monitor, IPS, 240 Hz, FHD (1920 x 1080), HDMI, Audio, USB hub; DisplayPort (780G5E9 / 780G5AA) (маркировка)</v>
      </c>
      <c r="B647" s="16" t="str">
        <f ca="1">IFERROR(__xludf.DUMMYFUNCTION("""COMPUTED_VALUE"""),"780G5E9 / 780G5AA")</f>
        <v>780G5E9 / 780G5AA</v>
      </c>
      <c r="C647" s="16" t="str">
        <f ca="1">IFERROR(__xludf.DUMMYFUNCTION("""COMPUTED_VALUE"""),"350,")</f>
        <v>350,</v>
      </c>
    </row>
    <row r="648" spans="1:3" ht="15.75" customHeight="1">
      <c r="A648" s="16" t="str">
        <f ca="1">IFERROR(__xludf.DUMMYFUNCTION("""COMPUTED_VALUE"""),"HP - 27"" OMEN 27qs G2 [2H] Gaming Monitor, IPS, 1ms, 280 Hz, QHD (2560 x 1440),HDMI; Audio; USB hub; DisplayPort (AW3V0AA) (маркировка)")</f>
        <v>HP - 27" OMEN 27qs G2 [2H] Gaming Monitor, IPS, 1ms, 280 Hz, QHD (2560 x 1440),HDMI; Audio; USB hub; DisplayPort (AW3V0AA) (маркировка)</v>
      </c>
      <c r="B648" s="16" t="str">
        <f ca="1">IFERROR(__xludf.DUMMYFUNCTION("""COMPUTED_VALUE"""),"AW3V0AA")</f>
        <v>AW3V0AA</v>
      </c>
      <c r="C648" s="16" t="str">
        <f ca="1">IFERROR(__xludf.DUMMYFUNCTION("""COMPUTED_VALUE"""),"399,")</f>
        <v>399,</v>
      </c>
    </row>
    <row r="649" spans="1:3" ht="15.75" customHeight="1">
      <c r="A649" s="16" t="str">
        <f ca="1">IFERROR(__xludf.DUMMYFUNCTION("""COMPUTED_VALUE"""),"HP - 34"" OMEN 34c G2 [2H] Gaming Monitor, VA, 180 Hz, WQHD (3440 x 1440),HDMI; DisplayPort (AV4C1AA) ")</f>
        <v xml:space="preserve">HP - 34" OMEN 34c G2 [2H] Gaming Monitor, VA, 180 Hz, WQHD (3440 x 1440),HDMI; DisplayPort (AV4C1AA) </v>
      </c>
      <c r="B649" s="16" t="str">
        <f ca="1">IFERROR(__xludf.DUMMYFUNCTION("""COMPUTED_VALUE"""),"AV4C1AA")</f>
        <v>AV4C1AA</v>
      </c>
      <c r="C649" s="16" t="str">
        <f ca="1">IFERROR(__xludf.DUMMYFUNCTION("""COMPUTED_VALUE"""),"470,")</f>
        <v>470,</v>
      </c>
    </row>
    <row r="650" spans="1:3" ht="15.75" customHeight="1">
      <c r="A650" s="16" t="str">
        <f ca="1">IFERROR(__xludf.DUMMYFUNCTION("""COMPUTED_VALUE"""),"HP - 34"" P34hc G4 Curved Monitor, VA, 5mc, 100Hz, WQHD (3440x1440), HDMI, DisplayPort, TypeC, Black (21Y56AA)")</f>
        <v>HP - 34" P34hc G4 Curved Monitor, VA, 5mc, 100Hz, WQHD (3440x1440), HDMI, DisplayPort, TypeC, Black (21Y56AA)</v>
      </c>
      <c r="B650" s="16" t="str">
        <f ca="1">IFERROR(__xludf.DUMMYFUNCTION("""COMPUTED_VALUE"""),"21Y56AA")</f>
        <v>21Y56AA</v>
      </c>
      <c r="C650" s="16" t="str">
        <f ca="1">IFERROR(__xludf.DUMMYFUNCTION("""COMPUTED_VALUE"""),"450,")</f>
        <v>450,</v>
      </c>
    </row>
    <row r="651" spans="1:3" ht="15.75" customHeight="1">
      <c r="A651" s="16" t="str">
        <f ca="1">IFERROR(__xludf.DUMMYFUNCTION("""COMPUTED_VALUE"""),"HP - 23"" EliteDisplay E23 G4 Monitor, IPS, HDMI, 5mc, FHD (1920x1080), Silver (9VF96AA) (маркировка) (распродажа)")</f>
        <v>HP - 23" EliteDisplay E23 G4 Monitor, IPS, HDMI, 5mc, FHD (1920x1080), Silver (9VF96AA) (маркировка) (распродажа)</v>
      </c>
      <c r="B651" s="16" t="str">
        <f ca="1">IFERROR(__xludf.DUMMYFUNCTION("""COMPUTED_VALUE"""),"9VF96AA")</f>
        <v>9VF96AA</v>
      </c>
      <c r="C651" s="16" t="str">
        <f ca="1">IFERROR(__xludf.DUMMYFUNCTION("""COMPUTED_VALUE"""),"120,")</f>
        <v>120,</v>
      </c>
    </row>
    <row r="652" spans="1:3" ht="15.75" customHeight="1">
      <c r="A652" s="16" t="str">
        <f ca="1">IFERROR(__xludf.DUMMYFUNCTION("""COMPUTED_VALUE"""),"HP - 27"" EliteDisplay E27 G5 Monitor, IPS, HDMI, 5mc, FHD (1920x1080), Silver (6N4E2AA) (маркировка)")</f>
        <v>HP - 27" EliteDisplay E27 G5 Monitor, IPS, HDMI, 5mc, FHD (1920x1080), Silver (6N4E2AA) (маркировка)</v>
      </c>
      <c r="B652" s="16" t="str">
        <f ca="1">IFERROR(__xludf.DUMMYFUNCTION("""COMPUTED_VALUE"""),"6N4E2AA")</f>
        <v>6N4E2AA</v>
      </c>
      <c r="C652" s="16" t="str">
        <f ca="1">IFERROR(__xludf.DUMMYFUNCTION("""COMPUTED_VALUE"""),"225,")</f>
        <v>225,</v>
      </c>
    </row>
    <row r="653" spans="1:3" ht="15.75" customHeight="1">
      <c r="A653" s="16" t="str">
        <f ca="1">IFERROR(__xludf.DUMMYFUNCTION("""COMPUTED_VALUE"""),"HP - 27"" EliteDisplay E27k G5 4K Monitor, IPS, HDMI,USB-C, 5mc, UHD (3840x2160), Silver (6N4C4AA)(маркировка)")</f>
        <v>HP - 27" EliteDisplay E27k G5 4K Monitor, IPS, HDMI,USB-C, 5mc, UHD (3840x2160), Silver (6N4C4AA)(маркировка)</v>
      </c>
      <c r="B653" s="16" t="str">
        <f ca="1">IFERROR(__xludf.DUMMYFUNCTION("""COMPUTED_VALUE"""),"6N4C4AA")</f>
        <v>6N4C4AA</v>
      </c>
      <c r="C653" s="16" t="str">
        <f ca="1">IFERROR(__xludf.DUMMYFUNCTION("""COMPUTED_VALUE"""),"430,")</f>
        <v>430,</v>
      </c>
    </row>
    <row r="654" spans="1:3" ht="15.75" customHeight="1">
      <c r="A654" s="16" t="str">
        <f ca="1">IFERROR(__xludf.DUMMYFUNCTION("""COMPUTED_VALUE"""),"HP - 24"" Z24n G3 Monitor, IPS, 4mc, 60Hz, FHD (1920x1080), HDMI, DisplayPort, Silver (1C4Z5AA) (1 штук)")</f>
        <v>HP - 24" Z24n G3 Monitor, IPS, 4mc, 60Hz, FHD (1920x1080), HDMI, DisplayPort, Silver (1C4Z5AA) (1 штук)</v>
      </c>
      <c r="B654" s="16" t="str">
        <f ca="1">IFERROR(__xludf.DUMMYFUNCTION("""COMPUTED_VALUE"""),"1C4Z5AA")</f>
        <v>1C4Z5AA</v>
      </c>
      <c r="C654" s="16" t="str">
        <f ca="1">IFERROR(__xludf.DUMMYFUNCTION("""COMPUTED_VALUE"""),"250,")</f>
        <v>250,</v>
      </c>
    </row>
    <row r="655" spans="1:3" ht="15.75" customHeight="1">
      <c r="A655" s="16" t="str">
        <f ca="1">IFERROR(__xludf.DUMMYFUNCTION("""COMPUTED_VALUE"""),"HP - 38"" Z38c Curved Monitor, IPS, 5mc, 60Hz, UHD (3840x2160), HDMI, DisplayPort, TypeC, Silver (Z4W65A4) (распродажа) (1 штук)")</f>
        <v>HP - 38" Z38c Curved Monitor, IPS, 5mc, 60Hz, UHD (3840x2160), HDMI, DisplayPort, TypeC, Silver (Z4W65A4) (распродажа) (1 штук)</v>
      </c>
      <c r="B655" s="16" t="str">
        <f ca="1">IFERROR(__xludf.DUMMYFUNCTION("""COMPUTED_VALUE"""),"Z4W65A4")</f>
        <v>Z4W65A4</v>
      </c>
      <c r="C655" s="16" t="str">
        <f ca="1">IFERROR(__xludf.DUMMYFUNCTION("""COMPUTED_VALUE"""),"780,")</f>
        <v>780,</v>
      </c>
    </row>
    <row r="656" spans="1:3" ht="15.75" customHeight="1">
      <c r="A656" s="16" t="str">
        <f ca="1">IFERROR(__xludf.DUMMYFUNCTION("""COMPUTED_VALUE"""),"HP - 43"" Z43 4K UHD Monitor, IPS, 6mc, 60Hz, UHD (3840 x 2160), HDMI, DisplayPort, TypeC, Silver (1AA85A4) (распродажа)")</f>
        <v>HP - 43" Z43 4K UHD Monitor, IPS, 6mc, 60Hz, UHD (3840 x 2160), HDMI, DisplayPort, TypeC, Silver (1AA85A4) (распродажа)</v>
      </c>
      <c r="B656" s="16" t="str">
        <f ca="1">IFERROR(__xludf.DUMMYFUNCTION("""COMPUTED_VALUE"""),"1AA85A4")</f>
        <v>1AA85A4</v>
      </c>
      <c r="C656" s="16" t="str">
        <f ca="1">IFERROR(__xludf.DUMMYFUNCTION("""COMPUTED_VALUE"""),"800,")</f>
        <v>800,</v>
      </c>
    </row>
    <row r="657" spans="1:3" ht="15.75" customHeight="1">
      <c r="A657" s="16" t="str">
        <f ca="1">IFERROR(__xludf.DUMMYFUNCTION("""COMPUTED_VALUE"""),"HP - 27"" Series 7 Pro 727PK 4K Monitor, IPS, 5mc, 60Hz, HDMI, DP, Type-C, UHD (3840 x 2160), Black-Silver (8J9G2AA) (маркировка) (1 штук)")</f>
        <v>HP - 27" Series 7 Pro 727PK 4K Monitor, IPS, 5mc, 60Hz, HDMI, DP, Type-C, UHD (3840 x 2160), Black-Silver (8J9G2AA) (маркировка) (1 штук)</v>
      </c>
      <c r="B657" s="16" t="str">
        <f ca="1">IFERROR(__xludf.DUMMYFUNCTION("""COMPUTED_VALUE"""),"8J9G2AA")</f>
        <v>8J9G2AA</v>
      </c>
      <c r="C657" s="16" t="str">
        <f ca="1">IFERROR(__xludf.DUMMYFUNCTION("""COMPUTED_VALUE"""),"680,")</f>
        <v>680,</v>
      </c>
    </row>
    <row r="658" spans="1:3" ht="15.75" customHeight="1">
      <c r="A658" s="16" t="str">
        <f ca="1">IFERROR(__xludf.DUMMYFUNCTION("""COMPUTED_VALUE"""),"HP - 34"" S5 Pro 534PM Monitor, VA, 5mc, WQHD(3440x1440), HDMI+DP, USB, Black (9E0Z2UT) (маркировка)")</f>
        <v>HP - 34" S5 Pro 534PM Monitor, VA, 5mc, WQHD(3440x1440), HDMI+DP, USB, Black (9E0Z2UT) (маркировка)</v>
      </c>
      <c r="B658" s="16" t="str">
        <f ca="1">IFERROR(__xludf.DUMMYFUNCTION("""COMPUTED_VALUE"""),"9E0Z2UT")</f>
        <v>9E0Z2UT</v>
      </c>
      <c r="C658" s="16" t="str">
        <f ca="1">IFERROR(__xludf.DUMMYFUNCTION("""COMPUTED_VALUE"""),"570,")</f>
        <v>570,</v>
      </c>
    </row>
    <row r="659" spans="1:3" ht="15.75" customHeight="1">
      <c r="A659" s="16" t="str">
        <f ca="1">IFERROR(__xludf.DUMMYFUNCTION("""COMPUTED_VALUE"""),"HP - 32"" 7 Pro 732PK Monitor, IPS, 5mc,UHD (3840 x 2160), HDMI, Type-C; USB hub, DP, Black-Silver (8Y2K9AA) (маркировка)")</f>
        <v>HP - 32" 7 Pro 732PK Monitor, IPS, 5mc,UHD (3840 x 2160), HDMI, Type-C; USB hub, DP, Black-Silver (8Y2K9AA) (маркировка)</v>
      </c>
      <c r="B659" s="16" t="str">
        <f ca="1">IFERROR(__xludf.DUMMYFUNCTION("""COMPUTED_VALUE"""),"8Y2K9AA")</f>
        <v>8Y2K9AA</v>
      </c>
      <c r="C659" s="16" t="str">
        <f ca="1">IFERROR(__xludf.DUMMYFUNCTION("""COMPUTED_VALUE"""),"880,")</f>
        <v>880,</v>
      </c>
    </row>
    <row r="660" spans="1:3" ht="15.75" customHeight="1">
      <c r="A660" s="16" t="str">
        <f ca="1">IFERROR(__xludf.DUMMYFUNCTION("""COMPUTED_VALUE"""),"HP - 34"" 7 Pro 734PM Monitor, IPS, 5mc, WQHD (3440x1440), HDMI+DP,USB, Silver (8K157UT) (маркировка)")</f>
        <v>HP - 34" 7 Pro 734PM Monitor, IPS, 5mc, WQHD (3440x1440), HDMI+DP,USB, Silver (8K157UT) (маркировка)</v>
      </c>
      <c r="B660" s="16" t="str">
        <f ca="1">IFERROR(__xludf.DUMMYFUNCTION("""COMPUTED_VALUE"""),"8K157UT")</f>
        <v>8K157UT</v>
      </c>
      <c r="C660" s="16" t="str">
        <f ca="1">IFERROR(__xludf.DUMMYFUNCTION("""COMPUTED_VALUE"""),"1100,")</f>
        <v>1100,</v>
      </c>
    </row>
    <row r="661" spans="1:3" ht="15.75" customHeight="1">
      <c r="A661" s="16" t="str">
        <f ca="1">IFERROR(__xludf.DUMMYFUNCTION("""COMPUTED_VALUE"""),"HP - 37.5"" 7 Pro 738PU Monitor, IPS, 5mc, WQHD+ (3840 x 1600 ), HDMI+DP+Type-C,USB,Audio, Black-Silver (8K167AA) (маркировка)")</f>
        <v>HP - 37.5" 7 Pro 738PU Monitor, IPS, 5mc, WQHD+ (3840 x 1600 ), HDMI+DP+Type-C,USB,Audio, Black-Silver (8K167AA) (маркировка)</v>
      </c>
      <c r="B661" s="16" t="str">
        <f ca="1">IFERROR(__xludf.DUMMYFUNCTION("""COMPUTED_VALUE"""),"8K167AA")</f>
        <v>8K167AA</v>
      </c>
      <c r="C661" s="16" t="str">
        <f ca="1">IFERROR(__xludf.DUMMYFUNCTION("""COMPUTED_VALUE"""),"1250,")</f>
        <v>1250,</v>
      </c>
    </row>
    <row r="662" spans="1:3" ht="15.75" customHeight="1">
      <c r="A662" s="16" t="str">
        <f ca="1">IFERROR(__xludf.DUMMYFUNCTION("""COMPUTED_VALUE"""),"HP - 40"" 7 Pro, 5K2K  Monitor, IPS, HDMI+DP, USB, 5mc, WUHD (5120 x 2160), Silver  (8Y2R2AA)")</f>
        <v>HP - 40" 7 Pro, 5K2K  Monitor, IPS, HDMI+DP, USB, 5mc, WUHD (5120 x 2160), Silver  (8Y2R2AA)</v>
      </c>
      <c r="B662" s="16" t="str">
        <f ca="1">IFERROR(__xludf.DUMMYFUNCTION("""COMPUTED_VALUE"""),"8Y2R2AA")</f>
        <v>8Y2R2AA</v>
      </c>
      <c r="C662" s="16" t="str">
        <f ca="1">IFERROR(__xludf.DUMMYFUNCTION("""COMPUTED_VALUE"""),"1600,")</f>
        <v>1600,</v>
      </c>
    </row>
    <row r="663" spans="1:3" ht="15.75" customHeight="1">
      <c r="A663" s="16" t="str">
        <f ca="1">IFERROR(__xludf.DUMMYFUNCTION("""COMPUTED_VALUE"""),"HP - 32"" E32k G5 4K USB-C Monitor,IPS,HDMI+DP,USB-C,5mc,UHD (3840x2160),Black (6N4D6AA)")</f>
        <v>HP - 32" E32k G5 4K USB-C Monitor,IPS,HDMI+DP,USB-C,5mc,UHD (3840x2160),Black (6N4D6AA)</v>
      </c>
      <c r="B663" s="16" t="str">
        <f ca="1">IFERROR(__xludf.DUMMYFUNCTION("""COMPUTED_VALUE"""),"6N4D6AA")</f>
        <v>6N4D6AA</v>
      </c>
      <c r="C663" s="16" t="str">
        <f ca="1">IFERROR(__xludf.DUMMYFUNCTION("""COMPUTED_VALUE"""),"490,")</f>
        <v>490,</v>
      </c>
    </row>
    <row r="664" spans="1:3" ht="15.75" customHeight="1">
      <c r="A664" s="16" t="str">
        <f ca="1">IFERROR(__xludf.DUMMYFUNCTION("""COMPUTED_VALUE"""),"HP - 45"" E45c G5 USB-C Monitor,VA, 165Hz, HDMI; USB-C; DisplayPort,3mc,DQHD (5120 x 1440),Black (6N4C1AA)")</f>
        <v>HP - 45" E45c G5 USB-C Monitor,VA, 165Hz, HDMI; USB-C; DisplayPort,3mc,DQHD (5120 x 1440),Black (6N4C1AA)</v>
      </c>
      <c r="B664" s="16" t="str">
        <f ca="1">IFERROR(__xludf.DUMMYFUNCTION("""COMPUTED_VALUE"""),"6N4C1AA")</f>
        <v>6N4C1AA</v>
      </c>
      <c r="C664" s="16" t="str">
        <f ca="1">IFERROR(__xludf.DUMMYFUNCTION("""COMPUTED_VALUE"""),"1100,")</f>
        <v>1100,</v>
      </c>
    </row>
    <row r="665" spans="1:3" ht="15.75" customHeight="1">
      <c r="A665" s="16" t="str">
        <f ca="1">IFERROR(__xludf.DUMMYFUNCTION("""COMPUTED_VALUE"""),"GIGABYTE GAMING A16 GA6H (Intel Core i7-13620H/ DDR5 16GB/ SSD 1TB/ 16.0"" FHD 165Hz/ 6GB GF RTX4050/ Backlit/ NoOS/ RU) Black (CMHI2KZ894SD)")</f>
        <v>GIGABYTE GAMING A16 GA6H (Intel Core i7-13620H/ DDR5 16GB/ SSD 1TB/ 16.0" FHD 165Hz/ 6GB GF RTX4050/ Backlit/ NoOS/ RU) Black (CMHI2KZ894SD)</v>
      </c>
      <c r="B665" s="16" t="str">
        <f ca="1">IFERROR(__xludf.DUMMYFUNCTION("""COMPUTED_VALUE"""),"CMHI2KZ894SD")</f>
        <v>CMHI2KZ894SD</v>
      </c>
      <c r="C665" s="16" t="str">
        <f ca="1">IFERROR(__xludf.DUMMYFUNCTION("""COMPUTED_VALUE"""),"890,")</f>
        <v>890,</v>
      </c>
    </row>
    <row r="666" spans="1:3" ht="15.75" customHeight="1">
      <c r="A666" s="16" t="str">
        <f ca="1">IFERROR(__xludf.DUMMYFUNCTION("""COMPUTED_VALUE"""),"GIGABYTE GAMING A16 GA63H (AMD Ryzen 7-260/ DDR5 16GB/ SSD 512GB/ 16.0"" FHD 165Hz/ 8GB GF RTX5050/ Backlit/ NoOS/ RU) Black (3THK3KZ893SD)")</f>
        <v>GIGABYTE GAMING A16 GA63H (AMD Ryzen 7-260/ DDR5 16GB/ SSD 512GB/ 16.0" FHD 165Hz/ 8GB GF RTX5050/ Backlit/ NoOS/ RU) Black (3THK3KZ893SD)</v>
      </c>
      <c r="B666" s="16" t="str">
        <f ca="1">IFERROR(__xludf.DUMMYFUNCTION("""COMPUTED_VALUE"""),"3THK3KZ893SD")</f>
        <v>3THK3KZ893SD</v>
      </c>
      <c r="C666" s="16" t="str">
        <f ca="1">IFERROR(__xludf.DUMMYFUNCTION("""COMPUTED_VALUE"""),"1100,")</f>
        <v>1100,</v>
      </c>
    </row>
    <row r="667" spans="1:3" ht="15.75" customHeight="1">
      <c r="A667" s="16" t="str">
        <f ca="1">IFERROR(__xludf.DUMMYFUNCTION("""COMPUTED_VALUE"""),"GIGABYET AERO X16 (AMD Ryzen AI 7-350/ DDR5 16GB/ SSD 1TB/ 16.0"" QHD IPS 165Hz/ 8GB RTX 5050/ Backlit/ NoOS/ RU) Space Gray (1TH93KZC94AD)")</f>
        <v>GIGABYET AERO X16 (AMD Ryzen AI 7-350/ DDR5 16GB/ SSD 1TB/ 16.0" QHD IPS 165Hz/ 8GB RTX 5050/ Backlit/ NoOS/ RU) Space Gray (1TH93KZC94AD)</v>
      </c>
      <c r="B667" s="16" t="str">
        <f ca="1">IFERROR(__xludf.DUMMYFUNCTION("""COMPUTED_VALUE"""),"1TH93KZC94AD")</f>
        <v>1TH93KZC94AD</v>
      </c>
      <c r="C667" s="16" t="str">
        <f ca="1">IFERROR(__xludf.DUMMYFUNCTION("""COMPUTED_VALUE"""),"1500,")</f>
        <v>1500,</v>
      </c>
    </row>
    <row r="668" spans="1:3" ht="15.75" customHeight="1">
      <c r="A668" s="16" t="str">
        <f ca="1">IFERROR(__xludf.DUMMYFUNCTION("""COMPUTED_VALUE"""),"GIGABYTE AERO X16 (AMD Ryzen AI 7-350/ DDR5 16GB/ SSD 1TB/ 16"" WQXGA IPS 165Hz/ 8GB RTX5050/ Backlit/ Win11/ RU) Gray (1TH93UAC94AH)")</f>
        <v>GIGABYTE AERO X16 (AMD Ryzen AI 7-350/ DDR5 16GB/ SSD 1TB/ 16" WQXGA IPS 165Hz/ 8GB RTX5050/ Backlit/ Win11/ RU) Gray (1TH93UAC94AH)</v>
      </c>
      <c r="B668" s="16" t="str">
        <f ca="1">IFERROR(__xludf.DUMMYFUNCTION("""COMPUTED_VALUE"""),"1TH93UAC94AH")</f>
        <v>1TH93UAC94AH</v>
      </c>
      <c r="C668" s="16" t="str">
        <f ca="1">IFERROR(__xludf.DUMMYFUNCTION("""COMPUTED_VALUE"""),"1600,")</f>
        <v>1600,</v>
      </c>
    </row>
    <row r="669" spans="1:3" ht="15.75" customHeight="1">
      <c r="A669" s="16" t="str">
        <f ca="1">IFERROR(__xludf.DUMMYFUNCTION("""COMPUTED_VALUE"""),"GIGABYTE AERO X16 (AMD Ryzen AI 7-350/ DDR5 16GB/ SSD 1TB/ 16"" WQXGA IPS 165Hz/ 8GB RTX5060/ Backlit/ Win11/ RU) Gray (1VH93UAC94AH)")</f>
        <v>GIGABYTE AERO X16 (AMD Ryzen AI 7-350/ DDR5 16GB/ SSD 1TB/ 16" WQXGA IPS 165Hz/ 8GB RTX5060/ Backlit/ Win11/ RU) Gray (1VH93UAC94AH)</v>
      </c>
      <c r="B669" s="16" t="str">
        <f ca="1">IFERROR(__xludf.DUMMYFUNCTION("""COMPUTED_VALUE"""),"1VH93UAC94AH")</f>
        <v>1VH93UAC94AH</v>
      </c>
      <c r="C669" s="16" t="str">
        <f ca="1">IFERROR(__xludf.DUMMYFUNCTION("""COMPUTED_VALUE"""),"1750,")</f>
        <v>1750,</v>
      </c>
    </row>
    <row r="670" spans="1:3" ht="15.75" customHeight="1">
      <c r="A670" s="16" t="str">
        <f ca="1">IFERROR(__xludf.DUMMYFUNCTION("""COMPUTED_VALUE"""),"GIGABYTE AERO X16 (AMD Ryzen AI 7-350/ DDR5 32GB/ SSD 1TB/ 16"" WQXGA IPS 165Hz/ 8GB RTX5060/ Backlit/ Win11/ RU) Gray (1VH93UAC64AH)")</f>
        <v>GIGABYTE AERO X16 (AMD Ryzen AI 7-350/ DDR5 32GB/ SSD 1TB/ 16" WQXGA IPS 165Hz/ 8GB RTX5060/ Backlit/ Win11/ RU) Gray (1VH93UAC64AH)</v>
      </c>
      <c r="B670" s="16" t="str">
        <f ca="1">IFERROR(__xludf.DUMMYFUNCTION("""COMPUTED_VALUE"""),"1VH93UAC64AH")</f>
        <v>1VH93UAC64AH</v>
      </c>
      <c r="C670" s="16" t="str">
        <f ca="1">IFERROR(__xludf.DUMMYFUNCTION("""COMPUTED_VALUE"""),"1900,")</f>
        <v>1900,</v>
      </c>
    </row>
    <row r="671" spans="1:3" ht="15.75" customHeight="1">
      <c r="A671" s="16" t="str">
        <f ca="1">IFERROR(__xludf.DUMMYFUNCTION("""COMPUTED_VALUE"""),"GIGABYTE AERO X16 (AMD Ryzen AI 7-350/ DDR5 32GB/ SSD 1TB/ 16"" WQXGA IPS 165Hz/ 8GB RTX5070/ Backlit/ Win11/ RU) White (1WH93UAC64DH)")</f>
        <v>GIGABYTE AERO X16 (AMD Ryzen AI 7-350/ DDR5 32GB/ SSD 1TB/ 16" WQXGA IPS 165Hz/ 8GB RTX5070/ Backlit/ Win11/ RU) White (1WH93UAC64DH)</v>
      </c>
      <c r="B671" s="16" t="str">
        <f ca="1">IFERROR(__xludf.DUMMYFUNCTION("""COMPUTED_VALUE"""),"1WH93UAC64DH")</f>
        <v>1WH93UAC64DH</v>
      </c>
      <c r="C671" s="16" t="str">
        <f ca="1">IFERROR(__xludf.DUMMYFUNCTION("""COMPUTED_VALUE"""),"2050,")</f>
        <v>2050,</v>
      </c>
    </row>
    <row r="672" spans="1:3" ht="15.75" customHeight="1">
      <c r="A672" s="16" t="str">
        <f ca="1">IFERROR(__xludf.DUMMYFUNCTION("""COMPUTED_VALUE"""),"MSI Thin A15 (AMD Ryzen 7-7735HS/ DDR5 8GB/ SSD 512GB/ 15,6"" FHD IPS 144Hz/ 4GB RTX3050/ Backlit/ NoOS/ RU) Cosmos Grey (9S7-16RK11-653)")</f>
        <v>MSI Thin A15 (AMD Ryzen 7-7735HS/ DDR5 8GB/ SSD 512GB/ 15,6" FHD IPS 144Hz/ 4GB RTX3050/ Backlit/ NoOS/ RU) Cosmos Grey (9S7-16RK11-653)</v>
      </c>
      <c r="B672" s="16" t="str">
        <f ca="1">IFERROR(__xludf.DUMMYFUNCTION("""COMPUTED_VALUE"""),"9S7-16RK11-653")</f>
        <v>9S7-16RK11-653</v>
      </c>
      <c r="C672" s="16" t="str">
        <f ca="1">IFERROR(__xludf.DUMMYFUNCTION("""COMPUTED_VALUE"""),"710,")</f>
        <v>710,</v>
      </c>
    </row>
    <row r="673" spans="1:3" ht="15.75" customHeight="1">
      <c r="A673" s="16" t="str">
        <f ca="1">IFERROR(__xludf.DUMMYFUNCTION("""COMPUTED_VALUE"""),"MSI CYBORG 15 (Intel Core i5-13420H/ DDR5 16GB/ SSD 512GB/ 15,6"" FHD IPS 144Hz/ 6GB RTX4050/ Backlit/ NoOS/ RU) Black (9S7-15K111-2243)")</f>
        <v>MSI CYBORG 15 (Intel Core i5-13420H/ DDR5 16GB/ SSD 512GB/ 15,6" FHD IPS 144Hz/ 6GB RTX4050/ Backlit/ NoOS/ RU) Black (9S7-15K111-2243)</v>
      </c>
      <c r="B673" s="16" t="str">
        <f ca="1">IFERROR(__xludf.DUMMYFUNCTION("""COMPUTED_VALUE"""),"9S7-15K111-2243")</f>
        <v>9S7-15K111-2243</v>
      </c>
      <c r="C673" s="16" t="str">
        <f ca="1">IFERROR(__xludf.DUMMYFUNCTION("""COMPUTED_VALUE"""),"760,")</f>
        <v>760,</v>
      </c>
    </row>
    <row r="674" spans="1:3" ht="15.75" customHeight="1">
      <c r="A674" s="16" t="str">
        <f ca="1">IFERROR(__xludf.DUMMYFUNCTION("""COMPUTED_VALUE"""),"MSI CYBORB 15F (Intel Core i7-13620H/ DDR5 16GB/ SSD 1000GB/ 15.6”FHD IPS 144Hz/ 8GB RTX5050/ Backlit/ NoOS/ Eng) Black (9S7-15Q342-493)")</f>
        <v>MSI CYBORB 15F (Intel Core i7-13620H/ DDR5 16GB/ SSD 1000GB/ 15.6”FHD IPS 144Hz/ 8GB RTX5050/ Backlit/ NoOS/ Eng) Black (9S7-15Q342-493)</v>
      </c>
      <c r="B674" s="16" t="str">
        <f ca="1">IFERROR(__xludf.DUMMYFUNCTION("""COMPUTED_VALUE"""),"9S7-15Q342-493")</f>
        <v>9S7-15Q342-493</v>
      </c>
      <c r="C674" s="16" t="str">
        <f ca="1">IFERROR(__xludf.DUMMYFUNCTION("""COMPUTED_VALUE"""),"990,")</f>
        <v>990,</v>
      </c>
    </row>
    <row r="675" spans="1:3" ht="15.75" customHeight="1">
      <c r="A675" s="16" t="str">
        <f ca="1">IFERROR(__xludf.DUMMYFUNCTION("""COMPUTED_VALUE"""),"Dell Pro 15 PV15250 (Intel Core i3-100U/ DDR5 8GB/ SSD 512GB/ 15.6"" FHD LCD/ Intel UHD Graphics/ NoOS/ RU) Black (PV15250_rplu_004_p)")</f>
        <v>Dell Pro 15 PV15250 (Intel Core i3-100U/ DDR5 8GB/ SSD 512GB/ 15.6" FHD LCD/ Intel UHD Graphics/ NoOS/ RU) Black (PV15250_rplu_004_p)</v>
      </c>
      <c r="B675" s="16" t="str">
        <f ca="1">IFERROR(__xludf.DUMMYFUNCTION("""COMPUTED_VALUE"""),"PV15250_rplu_004_p")</f>
        <v>PV15250_rplu_004_p</v>
      </c>
      <c r="C675" s="16" t="str">
        <f ca="1">IFERROR(__xludf.DUMMYFUNCTION("""COMPUTED_VALUE"""),"390,")</f>
        <v>390,</v>
      </c>
    </row>
    <row r="676" spans="1:3" ht="15.75" customHeight="1">
      <c r="A676" s="16" t="str">
        <f ca="1">IFERROR(__xludf.DUMMYFUNCTION("""COMPUTED_VALUE"""),"Dell 15 DC15250 (Intel Core i5-1334U/ DDR5 8GB/ SSD 512GB/ 15.6"" FHD LCD Touch/ Intel UHD Graphics/ Win11/ ENG) Black (LDC15250-5315BLK-PUS)")</f>
        <v>Dell 15 DC15250 (Intel Core i5-1334U/ DDR5 8GB/ SSD 512GB/ 15.6" FHD LCD Touch/ Intel UHD Graphics/ Win11/ ENG) Black (LDC15250-5315BLK-PUS)</v>
      </c>
      <c r="B676" s="16" t="str">
        <f ca="1">IFERROR(__xludf.DUMMYFUNCTION("""COMPUTED_VALUE"""),"LDC15250-5315BLK-PUS")</f>
        <v>LDC15250-5315BLK-PUS</v>
      </c>
      <c r="C676" s="16" t="str">
        <f ca="1">IFERROR(__xludf.DUMMYFUNCTION("""COMPUTED_VALUE"""),"460,")</f>
        <v>460,</v>
      </c>
    </row>
    <row r="677" spans="1:3" ht="15.75" customHeight="1">
      <c r="A677" s="16" t="str">
        <f ca="1">IFERROR(__xludf.DUMMYFUNCTION("""COMPUTED_VALUE"""),"Dell 15 DC15250 (Intel Core i7-1355U/ DDR4 16GB/ SSD 1000GB/ 15.6"" FHD LCD/ Intel UHD Graphics/ Win11/ RU) Carbon Black (LDC15250-7292)")</f>
        <v>Dell 15 DC15250 (Intel Core i7-1355U/ DDR4 16GB/ SSD 1000GB/ 15.6" FHD LCD/ Intel UHD Graphics/ Win11/ RU) Carbon Black (LDC15250-7292)</v>
      </c>
      <c r="B677" s="16" t="str">
        <f ca="1">IFERROR(__xludf.DUMMYFUNCTION("""COMPUTED_VALUE"""),"LDC15250-7292")</f>
        <v>LDC15250-7292</v>
      </c>
      <c r="C677" s="16" t="str">
        <f ca="1">IFERROR(__xludf.DUMMYFUNCTION("""COMPUTED_VALUE"""),"680,")</f>
        <v>680,</v>
      </c>
    </row>
    <row r="678" spans="1:3" ht="15.75" customHeight="1">
      <c r="A678" s="16" t="str">
        <f ca="1">IFERROR(__xludf.DUMMYFUNCTION("""COMPUTED_VALUE"""),"Dell Pro 15 Essential PV15250 (Intel Core i7-1355U/ DDR5 8GB/ SSD 512GB/ 15.6"" FHD 120Hz/ Intel UHD Graphics/ NoOS/ RU) Black (1028219981)")</f>
        <v>Dell Pro 15 Essential PV15250 (Intel Core i7-1355U/ DDR5 8GB/ SSD 512GB/ 15.6" FHD 120Hz/ Intel UHD Graphics/ NoOS/ RU) Black (1028219981)</v>
      </c>
      <c r="B678" s="16" t="str">
        <f ca="1">IFERROR(__xludf.DUMMYFUNCTION("""COMPUTED_VALUE"""),"1028219981")</f>
        <v>1028219981</v>
      </c>
      <c r="C678" s="16" t="str">
        <f ca="1">IFERROR(__xludf.DUMMYFUNCTION("""COMPUTED_VALUE"""),"600,")</f>
        <v>600,</v>
      </c>
    </row>
    <row r="679" spans="1:3" ht="15.75" customHeight="1">
      <c r="A679" s="16" t="str">
        <f ca="1">IFERROR(__xludf.DUMMYFUNCTION("""COMPUTED_VALUE"""),"Dell Pro 14 (PC14250) (Intel Core 5-120U/ DDR5 8GB/ SSD 512GB/ 14"" FHD IPS/ Intel UHD Graphics/ NoOS/ RU) Black (1028219994)")</f>
        <v>Dell Pro 14 (PC14250) (Intel Core 5-120U/ DDR5 8GB/ SSD 512GB/ 14" FHD IPS/ Intel UHD Graphics/ NoOS/ RU) Black (1028219994)</v>
      </c>
      <c r="B679" s="16" t="str">
        <f ca="1">IFERROR(__xludf.DUMMYFUNCTION("""COMPUTED_VALUE"""),"1028219994")</f>
        <v>1028219994</v>
      </c>
      <c r="C679" s="16" t="str">
        <f ca="1">IFERROR(__xludf.DUMMYFUNCTION("""COMPUTED_VALUE"""),"730,")</f>
        <v>730,</v>
      </c>
    </row>
    <row r="680" spans="1:3" ht="15.75" customHeight="1">
      <c r="A680" s="16" t="str">
        <f ca="1">IFERROR(__xludf.DUMMYFUNCTION("""COMPUTED_VALUE"""),"Dell Pro 16 (PC16250)  (Intel Core 5-120U/ DDR5 8GB/ SSD 512GB/ 16"" FHD IPS/ Intel UHD Graphics/ NoOS/ RU) Black (1028220010)")</f>
        <v>Dell Pro 16 (PC16250)  (Intel Core 5-120U/ DDR5 8GB/ SSD 512GB/ 16" FHD IPS/ Intel UHD Graphics/ NoOS/ RU) Black (1028220010)</v>
      </c>
      <c r="B680" s="16" t="str">
        <f ca="1">IFERROR(__xludf.DUMMYFUNCTION("""COMPUTED_VALUE"""),"1028220010")</f>
        <v>1028220010</v>
      </c>
      <c r="C680" s="16" t="str">
        <f ca="1">IFERROR(__xludf.DUMMYFUNCTION("""COMPUTED_VALUE"""),"750,")</f>
        <v>750,</v>
      </c>
    </row>
    <row r="681" spans="1:3" ht="15.75" customHeight="1">
      <c r="A681" s="16" t="str">
        <f ca="1">IFERROR(__xludf.DUMMYFUNCTION("""COMPUTED_VALUE"""),"Dell Pro 13 Premium PA13250 (Intel Core Ultra 7-266V vPro/ DDR5 16GB/ SSD 512GB/ Ultralight 13.3 FHD+ / Integrated Intel Arc graphics/ Win11Pro/ RU) Black  (официальный)")</f>
        <v>Dell Pro 13 Premium PA13250 (Intel Core Ultra 7-266V vPro/ DDR5 16GB/ SSD 512GB/ Ultralight 13.3 FHD+ / Integrated Intel Arc graphics/ Win11Pro/ RU) Black  (официальный)</v>
      </c>
      <c r="B681" s="16" t="str">
        <f ca="1">IFERROR(__xludf.DUMMYFUNCTION("""COMPUTED_VALUE"""),"PA13250")</f>
        <v>PA13250</v>
      </c>
      <c r="C681" s="16" t="str">
        <f ca="1">IFERROR(__xludf.DUMMYFUNCTION("""COMPUTED_VALUE"""),"1599,")</f>
        <v>1599,</v>
      </c>
    </row>
    <row r="682" spans="1:3" ht="15.75" customHeight="1">
      <c r="A682" s="16" t="str">
        <f ca="1">IFERROR(__xludf.DUMMYFUNCTION("""COMPUTED_VALUE"""),"ASUS Vivobook Go 15 (Intel Core i3-N305/ DDR4 8GB/ SSD 256GB/ 15,6"" FHD/ Intel UHD Graphics/ Win11/ RU) Silver (90NB0ZT1-M02580 / E1504GA-WS35)")</f>
        <v>ASUS Vivobook Go 15 (Intel Core i3-N305/ DDR4 8GB/ SSD 256GB/ 15,6" FHD/ Intel UHD Graphics/ Win11/ RU) Silver (90NB0ZT1-M02580 / E1504GA-WS35)</v>
      </c>
      <c r="B682" s="16" t="str">
        <f ca="1">IFERROR(__xludf.DUMMYFUNCTION("""COMPUTED_VALUE"""),"90NB0ZT1-M02580 / E1504GA-WS35")</f>
        <v>90NB0ZT1-M02580 / E1504GA-WS35</v>
      </c>
      <c r="C682" s="16" t="str">
        <f ca="1">IFERROR(__xludf.DUMMYFUNCTION("""COMPUTED_VALUE"""),"350,")</f>
        <v>350,</v>
      </c>
    </row>
    <row r="683" spans="1:3" ht="15.75" customHeight="1">
      <c r="A683" s="16" t="str">
        <f ca="1">IFERROR(__xludf.DUMMYFUNCTION("""COMPUTED_VALUE"""),"ASUS Vivobook Go 15 (AMD Ryzen 5-7520U/ DDR4 8GB/ SSD 512GB/ 15.6"" FHD IPS/ AMD Radeon 610M/ NoOS/ RU) Black (90NB0ZR2-M03YY0 / E150FA-NJ009)")</f>
        <v>ASUS Vivobook Go 15 (AMD Ryzen 5-7520U/ DDR4 8GB/ SSD 512GB/ 15.6" FHD IPS/ AMD Radeon 610M/ NoOS/ RU) Black (90NB0ZR2-M03YY0 / E150FA-NJ009)</v>
      </c>
      <c r="B683" s="16" t="str">
        <f ca="1">IFERROR(__xludf.DUMMYFUNCTION("""COMPUTED_VALUE"""),"90NB0ZR2-M03YY0 / E150FA-NJ009")</f>
        <v>90NB0ZR2-M03YY0 / E150FA-NJ009</v>
      </c>
      <c r="C683" s="16" t="str">
        <f ca="1">IFERROR(__xludf.DUMMYFUNCTION("""COMPUTED_VALUE"""),"385,")</f>
        <v>385,</v>
      </c>
    </row>
    <row r="684" spans="1:3" ht="15.75" customHeight="1">
      <c r="A684" s="16" t="str">
        <f ca="1">IFERROR(__xludf.DUMMYFUNCTION("""COMPUTED_VALUE"""),"ASUS Vivobook Go 15 (AMD Ryzen 5-7520U/ DDR4 8GB/ SSD 512GB/ 15.6"" FHD IPS/ AMD Radeon 610M/ NoOS/ RU) Silver (90NB0ZR1-M02260 / E1504FA-BQ1163) (официальный)")</f>
        <v>ASUS Vivobook Go 15 (AMD Ryzen 5-7520U/ DDR4 8GB/ SSD 512GB/ 15.6" FHD IPS/ AMD Radeon 610M/ NoOS/ RU) Silver (90NB0ZR1-M02260 / E1504FA-BQ1163) (официальный)</v>
      </c>
      <c r="B684" s="16" t="str">
        <f ca="1">IFERROR(__xludf.DUMMYFUNCTION("""COMPUTED_VALUE"""),"90NB0ZR1-M02260 / E1504FA-BQ1163")</f>
        <v>90NB0ZR1-M02260 / E1504FA-BQ1163</v>
      </c>
      <c r="C684" s="16" t="str">
        <f ca="1">IFERROR(__xludf.DUMMYFUNCTION("""COMPUTED_VALUE"""),"390,")</f>
        <v>390,</v>
      </c>
    </row>
    <row r="685" spans="1:3" ht="15.75" customHeight="1">
      <c r="A685" s="16" t="str">
        <f ca="1">IFERROR(__xludf.DUMMYFUNCTION("""COMPUTED_VALUE"""),"ASUS Vivobook X1504VA (Intel Core 5-120U/ DDR5 8GB/ SSD 512GB/ 15,6"" FHD/ Intel Iris Xe graphics/ NoOS/ RU) Silver (90NB13Y2-M014W0 / X1504VA-BQ592)")</f>
        <v>ASUS Vivobook X1504VA (Intel Core 5-120U/ DDR5 8GB/ SSD 512GB/ 15,6" FHD/ Intel Iris Xe graphics/ NoOS/ RU) Silver (90NB13Y2-M014W0 / X1504VA-BQ592)</v>
      </c>
      <c r="B685" s="16" t="str">
        <f ca="1">IFERROR(__xludf.DUMMYFUNCTION("""COMPUTED_VALUE"""),"90NB13Y2-M014W0 / X1504VA-BQ592")</f>
        <v>90NB13Y2-M014W0 / X1504VA-BQ592</v>
      </c>
      <c r="C685" s="16" t="str">
        <f ca="1">IFERROR(__xludf.DUMMYFUNCTION("""COMPUTED_VALUE"""),"480,")</f>
        <v>480,</v>
      </c>
    </row>
    <row r="686" spans="1:3" ht="15.75" customHeight="1">
      <c r="A686" s="16" t="str">
        <f ca="1">IFERROR(__xludf.DUMMYFUNCTION("""COMPUTED_VALUE"""),"ASUS Vivobook X1504VA (Intel Core 5-120U/ DDR5 8GB/ SSD 512GB/ 15,6"" FHD/ Intel Iris Xe graphics/ NoOS/ RU) Silver (90NB13Y2-M01TT0 / X1504VA-BQ4172)")</f>
        <v>ASUS Vivobook X1504VA (Intel Core 5-120U/ DDR5 8GB/ SSD 512GB/ 15,6" FHD/ Intel Iris Xe graphics/ NoOS/ RU) Silver (90NB13Y2-M01TT0 / X1504VA-BQ4172)</v>
      </c>
      <c r="B686" s="16" t="str">
        <f ca="1">IFERROR(__xludf.DUMMYFUNCTION("""COMPUTED_VALUE"""),"90NB13Y2-M01TT0 / X1504VA-BQ4172")</f>
        <v>90NB13Y2-M01TT0 / X1504VA-BQ4172</v>
      </c>
      <c r="C686" s="16" t="str">
        <f ca="1">IFERROR(__xludf.DUMMYFUNCTION("""COMPUTED_VALUE"""),"480,")</f>
        <v>480,</v>
      </c>
    </row>
    <row r="687" spans="1:3" ht="15.75" customHeight="1">
      <c r="A687" s="16" t="str">
        <f ca="1">IFERROR(__xludf.DUMMYFUNCTION("""COMPUTED_VALUE"""),"ASUS Vivobook X1504VA (Intel Core 5-120U/ DDR4 8GB/ SSD 512GB/ 15,6"" FHD/ Intel Iris Xe graphics/ NoOS/ RU) Silver (90NB13Y2-M02WC0 / X1504VA-BQ4685)")</f>
        <v>ASUS Vivobook X1504VA (Intel Core 5-120U/ DDR4 8GB/ SSD 512GB/ 15,6" FHD/ Intel Iris Xe graphics/ NoOS/ RU) Silver (90NB13Y2-M02WC0 / X1504VA-BQ4685)</v>
      </c>
      <c r="B687" s="16" t="str">
        <f ca="1">IFERROR(__xludf.DUMMYFUNCTION("""COMPUTED_VALUE"""),"90NB13Y2-M02WC0 / X1504VA-BQ4685")</f>
        <v>90NB13Y2-M02WC0 / X1504VA-BQ4685</v>
      </c>
      <c r="C687" s="16" t="str">
        <f ca="1">IFERROR(__xludf.DUMMYFUNCTION("""COMPUTED_VALUE"""),"480,")</f>
        <v>480,</v>
      </c>
    </row>
    <row r="688" spans="1:3" ht="15.75" customHeight="1">
      <c r="A688" s="16" t="str">
        <f ca="1">IFERROR(__xludf.DUMMYFUNCTION("""COMPUTED_VALUE"""),"ASUS Vivobook X1504VA (Intel Core 5-120U/ DDR4 16GB/ SSD 512GB/ 15,6"" FHD/ Intel UHD Graphics/ NoOS/ RU) Blue (X1504VA-BQ4055 / 90NB13Y1-M01PX0) (официальный)")</f>
        <v>ASUS Vivobook X1504VA (Intel Core 5-120U/ DDR4 16GB/ SSD 512GB/ 15,6" FHD/ Intel UHD Graphics/ NoOS/ RU) Blue (X1504VA-BQ4055 / 90NB13Y1-M01PX0) (официальный)</v>
      </c>
      <c r="B688" s="16" t="str">
        <f ca="1">IFERROR(__xludf.DUMMYFUNCTION("""COMPUTED_VALUE"""),"90NB11D1-M00KW0 / K3605VC-RP380")</f>
        <v>90NB11D1-M00KW0 / K3605VC-RP380</v>
      </c>
      <c r="C688" s="16" t="str">
        <f ca="1">IFERROR(__xludf.DUMMYFUNCTION("""COMPUTED_VALUE"""),"590,")</f>
        <v>590,</v>
      </c>
    </row>
    <row r="689" spans="1:3" ht="15.75" customHeight="1">
      <c r="A689" s="16" t="str">
        <f ca="1">IFERROR(__xludf.DUMMYFUNCTION("""COMPUTED_VALUE"""),"ASUS Expertbook B1503CVA (Intel Core 3-100U/ DDR5 8GB/ SSD 256GB/ 15,6"" FHD/ Intel Iris Xe graphics/ NoOS/ RU) Grey (90NX0881-M02YN0 / P1503CVA-i38256G0D)")</f>
        <v>ASUS Expertbook B1503CVA (Intel Core 3-100U/ DDR5 8GB/ SSD 256GB/ 15,6" FHD/ Intel Iris Xe graphics/ NoOS/ RU) Grey (90NX0881-M02YN0 / P1503CVA-i38256G0D)</v>
      </c>
      <c r="B689" s="16" t="str">
        <f ca="1">IFERROR(__xludf.DUMMYFUNCTION("""COMPUTED_VALUE"""),"90NX0881-M02YN0 / P1503CVA-i38256G0D")</f>
        <v>90NX0881-M02YN0 / P1503CVA-i38256G0D</v>
      </c>
      <c r="C689" s="16" t="str">
        <f ca="1">IFERROR(__xludf.DUMMYFUNCTION("""COMPUTED_VALUE"""),"400,")</f>
        <v>400,</v>
      </c>
    </row>
    <row r="690" spans="1:3" ht="15.75" customHeight="1">
      <c r="A690" s="16" t="str">
        <f ca="1">IFERROR(__xludf.DUMMYFUNCTION("""COMPUTED_VALUE"""),"ASUS Expertbook B1503CVA (Intel Core 7-150U/ DDR5 16GB/ SSD 512GB/ 15,6"" FHD/ Intel Iris Xe graphics/ NoOS/ RU) Grey (90NX0801-M05US0 / B1503CVA-i716512B0D)")</f>
        <v>ASUS Expertbook B1503CVA (Intel Core 7-150U/ DDR5 16GB/ SSD 512GB/ 15,6" FHD/ Intel Iris Xe graphics/ NoOS/ RU) Grey (90NX0801-M05US0 / B1503CVA-i716512B0D)</v>
      </c>
      <c r="B690" s="16" t="str">
        <f ca="1">IFERROR(__xludf.DUMMYFUNCTION("""COMPUTED_VALUE"""),"90NX0801-M05US0 / B1503CVA-i716512B0D")</f>
        <v>90NX0801-M05US0 / B1503CVA-i716512B0D</v>
      </c>
      <c r="C690" s="16" t="str">
        <f ca="1">IFERROR(__xludf.DUMMYFUNCTION("""COMPUTED_VALUE"""),"640,")</f>
        <v>640,</v>
      </c>
    </row>
    <row r="691" spans="1:3" ht="15.75" customHeight="1">
      <c r="A691" s="16" t="str">
        <f ca="1">IFERROR(__xludf.DUMMYFUNCTION("""COMPUTED_VALUE"""),"ASUS TUF Gaming FX607 (Intel Core i5-210H/ DDR4 16GB/ SSD 512GB/ 16"" WUXGA 144Hz/ 6GB GF RTX3050/ Backlit/ NoOS/RU) Black (90NR0MZ6-M005K0 / FX607VJB-RL103) (перечисление)")</f>
        <v>ASUS TUF Gaming FX607 (Intel Core i5-210H/ DDR4 16GB/ SSD 512GB/ 16" WUXGA 144Hz/ 6GB GF RTX3050/ Backlit/ NoOS/RU) Black (90NR0MZ6-M005K0 / FX607VJB-RL103) (перечисление)</v>
      </c>
      <c r="B691" s="16" t="str">
        <f ca="1">IFERROR(__xludf.DUMMYFUNCTION("""COMPUTED_VALUE"""),"90NR0MZ6-M005K0 / FX607VJB-RL103")</f>
        <v>90NR0MZ6-M005K0 / FX607VJB-RL103</v>
      </c>
      <c r="C691" s="16" t="str">
        <f ca="1">IFERROR(__xludf.DUMMYFUNCTION("""COMPUTED_VALUE"""),"990,")</f>
        <v>990,</v>
      </c>
    </row>
    <row r="692" spans="1:3" ht="15.75" customHeight="1">
      <c r="A692" s="16" t="str">
        <f ca="1">IFERROR(__xludf.DUMMYFUNCTION("""COMPUTED_VALUE"""),"ASUS TUF Gaming FX607VU (Intel Core i7-13620H/ DDR5 16GB/ SSD 1TB/ 16"" WUXGA/ 6GB GF RTX4050/ Backlit/ NoOS/ RU) Mecha Gray (90NR0N06-M007E0 / FX607VU-RL112) (официальный) (1 штук)")</f>
        <v>ASUS TUF Gaming FX607VU (Intel Core i7-13620H/ DDR5 16GB/ SSD 1TB/ 16" WUXGA/ 6GB GF RTX4050/ Backlit/ NoOS/ RU) Mecha Gray (90NR0N06-M007E0 / FX607VU-RL112) (официальный) (1 штук)</v>
      </c>
      <c r="B692" s="16" t="str">
        <f ca="1">IFERROR(__xludf.DUMMYFUNCTION("""COMPUTED_VALUE"""),"90NR0N06-M007E0 / FX607VU-RL112")</f>
        <v>90NR0N06-M007E0 / FX607VU-RL112</v>
      </c>
      <c r="C692" s="16" t="str">
        <f ca="1">IFERROR(__xludf.DUMMYFUNCTION("""COMPUTED_VALUE"""),"1030,")</f>
        <v>1030,</v>
      </c>
    </row>
    <row r="693" spans="1:3" ht="15.75" customHeight="1">
      <c r="A693" s="16" t="str">
        <f ca="1">IFERROR(__xludf.DUMMYFUNCTION("""COMPUTED_VALUE"""),"ASUS TUF Gaming F17 (Intel Core i7-13620H/ DDR5 16GB/ SSD 512GB/ 17,3"" FHD IPS 144Hz/ 6GB GF RTX4050/ Backlit/ NoOS/ RU) Mecha Gray (90NR0CS5-M00E60 / FX707VU-HX175) (официальный)")</f>
        <v>ASUS TUF Gaming F17 (Intel Core i7-13620H/ DDR5 16GB/ SSD 512GB/ 17,3" FHD IPS 144Hz/ 6GB GF RTX4050/ Backlit/ NoOS/ RU) Mecha Gray (90NR0CS5-M00E60 / FX707VU-HX175) (официальный)</v>
      </c>
      <c r="B693" s="16" t="str">
        <f ca="1">IFERROR(__xludf.DUMMYFUNCTION("""COMPUTED_VALUE"""),"90NR0CS5-M00E60 / FX707VU-HX175")</f>
        <v>90NR0CS5-M00E60 / FX707VU-HX175</v>
      </c>
      <c r="C693" s="16" t="str">
        <f ca="1">IFERROR(__xludf.DUMMYFUNCTION("""COMPUTED_VALUE"""),"1080,")</f>
        <v>1080,</v>
      </c>
    </row>
    <row r="694" spans="1:3" ht="15.75" customHeight="1">
      <c r="A694" s="16" t="str">
        <f ca="1">IFERROR(__xludf.DUMMYFUNCTION("""COMPUTED_VALUE"""),"ASUS ROG Strix G18 (Intel Core i7-14650HX/ DDR5 16GB/ SSD 1TB/ 18"" WQXGA IPS 240Hz/ 8GB RTX5050/ Backlit/ NoOS/ RU) Eclipse Gray (G815JHR-S9024 / 90NR0LA1-M000S0) (официальный)")</f>
        <v>ASUS ROG Strix G18 (Intel Core i7-14650HX/ DDR5 16GB/ SSD 1TB/ 18" WQXGA IPS 240Hz/ 8GB RTX5050/ Backlit/ NoOS/ RU) Eclipse Gray (G815JHR-S9024 / 90NR0LA1-M000S0) (официальный)</v>
      </c>
      <c r="B694" s="16" t="str">
        <f ca="1">IFERROR(__xludf.DUMMYFUNCTION("""COMPUTED_VALUE"""),"G815JHR-S9024 / 90NR0LA1-M000S0")</f>
        <v>G815JHR-S9024 / 90NR0LA1-M000S0</v>
      </c>
      <c r="C694" s="16" t="str">
        <f ca="1">IFERROR(__xludf.DUMMYFUNCTION("""COMPUTED_VALUE"""),"1550,")</f>
        <v>1550,</v>
      </c>
    </row>
    <row r="695" spans="1:3" ht="15.75" customHeight="1">
      <c r="A695" s="16" t="str">
        <f ca="1">IFERROR(__xludf.DUMMYFUNCTION("""COMPUTED_VALUE"""),"ASUS ROG Strix G18 (AMD Ryzen 9-8940HX/ DDR5 32GB/ SSD 1TB/ 18.0 WQXGA IPS 240Hz/ 8GB RTX5070/ Backlit/ NoOS/ RU) Eclipse Gray (90NR0KY8-M001M0 / G814PP-S9032) (3 штук)")</f>
        <v>ASUS ROG Strix G18 (AMD Ryzen 9-8940HX/ DDR5 32GB/ SSD 1TB/ 18.0 WQXGA IPS 240Hz/ 8GB RTX5070/ Backlit/ NoOS/ RU) Eclipse Gray (90NR0KY8-M001M0 / G814PP-S9032) (3 штук)</v>
      </c>
      <c r="B695" s="16" t="str">
        <f ca="1">IFERROR(__xludf.DUMMYFUNCTION("""COMPUTED_VALUE"""),"90NR0KY8-M001M0 / G814PP-S9032")</f>
        <v>90NR0KY8-M001M0 / G814PP-S9032</v>
      </c>
      <c r="C695" s="16" t="str">
        <f ca="1">IFERROR(__xludf.DUMMYFUNCTION("""COMPUTED_VALUE"""),"2000,")</f>
        <v>2000,</v>
      </c>
    </row>
    <row r="696" spans="1:3" ht="15.75" customHeight="1">
      <c r="A696" s="16" t="str">
        <f ca="1">IFERROR(__xludf.DUMMYFUNCTION("""COMPUTED_VALUE"""),"ASUS ROG Strix G18 (Intel Core Ultra 9 -275HX/ DDR5 16GB/ SSD 1TB/ 18.0 WQXGA IPS 240Hz/ 8GB RTX5070/ Backlit/ NoOS/ RU) Eclipse Gray (90NR0LT1-M00080 / G815LR-S9007) (1 штук)")</f>
        <v>ASUS ROG Strix G18 (Intel Core Ultra 9 -275HX/ DDR5 16GB/ SSD 1TB/ 18.0 WQXGA IPS 240Hz/ 8GB RTX5070/ Backlit/ NoOS/ RU) Eclipse Gray (90NR0LT1-M00080 / G815LR-S9007) (1 штук)</v>
      </c>
      <c r="B696" s="16" t="str">
        <f ca="1">IFERROR(__xludf.DUMMYFUNCTION("""COMPUTED_VALUE"""),"90NR0LT1-M00080 / G815LR-S9007")</f>
        <v>90NR0LT1-M00080 / G815LR-S9007</v>
      </c>
      <c r="C696" s="16" t="str">
        <f ca="1">IFERROR(__xludf.DUMMYFUNCTION("""COMPUTED_VALUE"""),"2400,")</f>
        <v>2400,</v>
      </c>
    </row>
    <row r="697" spans="1:3" ht="15.75" customHeight="1">
      <c r="A697" s="16" t="str">
        <f ca="1">IFERROR(__xludf.DUMMYFUNCTION("""COMPUTED_VALUE"""),"ASUS ROG Strix G18 (Intel Core Ultra 9-275HX/ DDR5 32GB/ SSD 2TB/ 18.0 WQXGA IPS 240Hz/ 8GB RTX5070Ti/ Backlit/ NoOS/ RU) Eclipse Gray (90NR0LS1-M00050 / G835LR-SA005)")</f>
        <v>ASUS ROG Strix G18 (Intel Core Ultra 9-275HX/ DDR5 32GB/ SSD 2TB/ 18.0 WQXGA IPS 240Hz/ 8GB RTX5070Ti/ Backlit/ NoOS/ RU) Eclipse Gray (90NR0LS1-M00050 / G835LR-SA005)</v>
      </c>
      <c r="B697" s="16" t="str">
        <f ca="1">IFERROR(__xludf.DUMMYFUNCTION("""COMPUTED_VALUE"""),"90NR0LS1-M00050 / G835LR-SA005")</f>
        <v>90NR0LS1-M00050 / G835LR-SA005</v>
      </c>
      <c r="C697" s="16" t="str">
        <f ca="1">IFERROR(__xludf.DUMMYFUNCTION("""COMPUTED_VALUE"""),"2800,")</f>
        <v>2800,</v>
      </c>
    </row>
    <row r="698" spans="1:3" ht="15.75" customHeight="1">
      <c r="A698" s="16" t="str">
        <f ca="1">IFERROR(__xludf.DUMMYFUNCTION("""COMPUTED_VALUE"""),"ASUS ROG Strix G18 (Intel Core Ultra 9-275HX/ DDR5 32GB/ SSD 1TB/ 18"" WQXGA IPS 240Hz/ 16GB RTX5080/ Backlit/ NoOS/ RU) Eclipse Gray (90NR0LC1-M000F0 / G815LW-S9014) (официальный)")</f>
        <v>ASUS ROG Strix G18 (Intel Core Ultra 9-275HX/ DDR5 32GB/ SSD 1TB/ 18" WQXGA IPS 240Hz/ 16GB RTX5080/ Backlit/ NoOS/ RU) Eclipse Gray (90NR0LC1-M000F0 / G815LW-S9014) (официальный)</v>
      </c>
      <c r="B698" s="16" t="str">
        <f ca="1">IFERROR(__xludf.DUMMYFUNCTION("""COMPUTED_VALUE"""),"90NR0LC1-M000F0 / G815LW-S9014")</f>
        <v>90NR0LC1-M000F0 / G815LW-S9014</v>
      </c>
      <c r="C698" s="16" t="str">
        <f ca="1">IFERROR(__xludf.DUMMYFUNCTION("""COMPUTED_VALUE"""),"3100,")</f>
        <v>3100,</v>
      </c>
    </row>
    <row r="699" spans="1:3" ht="15.75" customHeight="1">
      <c r="A699" s="16" t="str">
        <f ca="1">IFERROR(__xludf.DUMMYFUNCTION("""COMPUTED_VALUE"""),"Lenovo V15 G6 ITN (Intel N100/ DDR5 8GB/ SSD 256GB/ 15.6 FHD/ Intel UHD Graphics/ No DVD/ DOS/ RU) Black (83M4000YGQ) (распродажа)")</f>
        <v>Lenovo V15 G6 ITN (Intel N100/ DDR5 8GB/ SSD 256GB/ 15.6 FHD/ Intel UHD Graphics/ No DVD/ DOS/ RU) Black (83M4000YGQ) (распродажа)</v>
      </c>
      <c r="B699" s="16" t="str">
        <f ca="1">IFERROR(__xludf.DUMMYFUNCTION("""COMPUTED_VALUE"""),"83M4000YGQ")</f>
        <v>83M4000YGQ</v>
      </c>
      <c r="C699" s="16" t="str">
        <f ca="1">IFERROR(__xludf.DUMMYFUNCTION("""COMPUTED_VALUE"""),"295,")</f>
        <v>295,</v>
      </c>
    </row>
    <row r="700" spans="1:3" ht="15.75" customHeight="1">
      <c r="A700" s="16" t="str">
        <f ca="1">IFERROR(__xludf.DUMMYFUNCTION("""COMPUTED_VALUE"""),"Lenovo IdeaPad Slim 3 15AMN8 (AMD Ryzen 5-7520U/ DDR5 8GB/ SSD 512GB/ 15,6"" FHD IPS/ AMD Radeon 610M Graphics/ NoOS/ RU) Arctic Grey (82XQ00JQRK) (официальный)")</f>
        <v>Lenovo IdeaPad Slim 3 15AMN8 (AMD Ryzen 5-7520U/ DDR5 8GB/ SSD 512GB/ 15,6" FHD IPS/ AMD Radeon 610M Graphics/ NoOS/ RU) Arctic Grey (82XQ00JQRK) (официальный)</v>
      </c>
      <c r="B700" s="16" t="str">
        <f ca="1">IFERROR(__xludf.DUMMYFUNCTION("""COMPUTED_VALUE"""),"82XQ00JQRK")</f>
        <v>82XQ00JQRK</v>
      </c>
      <c r="C700" s="16" t="str">
        <f ca="1">IFERROR(__xludf.DUMMYFUNCTION("""COMPUTED_VALUE"""),"390,")</f>
        <v>390,</v>
      </c>
    </row>
    <row r="701" spans="1:3" ht="15.75" customHeight="1">
      <c r="A701" s="16" t="str">
        <f ca="1">IFERROR(__xludf.DUMMYFUNCTION("""COMPUTED_VALUE"""),"Lenovo V15 G4 AMN (AMD Ryzen 5-7520U/ DDR5 8GB/ SSD 512GB/ 15,6"" FHD IPS/ AMD Radeon 610M Graphics/ NoOS/ RU) Black (82YU016XRU) (официальный)")</f>
        <v>Lenovo V15 G4 AMN (AMD Ryzen 5-7520U/ DDR5 8GB/ SSD 512GB/ 15,6" FHD IPS/ AMD Radeon 610M Graphics/ NoOS/ RU) Black (82YU016XRU) (официальный)</v>
      </c>
      <c r="B701" s="16" t="str">
        <f ca="1">IFERROR(__xludf.DUMMYFUNCTION("""COMPUTED_VALUE"""),"82YU016XRU")</f>
        <v>82YU016XRU</v>
      </c>
      <c r="C701" s="16" t="str">
        <f ca="1">IFERROR(__xludf.DUMMYFUNCTION("""COMPUTED_VALUE"""),"390,")</f>
        <v>390,</v>
      </c>
    </row>
    <row r="702" spans="1:3" ht="15.75" customHeight="1">
      <c r="A702" s="16" t="str">
        <f ca="1">IFERROR(__xludf.DUMMYFUNCTION("""COMPUTED_VALUE"""),"Lenovo V15 G5 IRL (Intel Core i3-1315U/ DDR5 8GB/ SSD 256GB/ 15.6"" FHD/ Integrated Intel® UHD Graphics/ NoOS/ RU) Black (83GW0076UE)")</f>
        <v>Lenovo V15 G5 IRL (Intel Core i3-1315U/ DDR5 8GB/ SSD 256GB/ 15.6" FHD/ Integrated Intel® UHD Graphics/ NoOS/ RU) Black (83GW0076UE)</v>
      </c>
      <c r="B702" s="16" t="str">
        <f ca="1">IFERROR(__xludf.DUMMYFUNCTION("""COMPUTED_VALUE"""),"83GW0076UE")</f>
        <v>83GW0076UE</v>
      </c>
      <c r="C702" s="16" t="str">
        <f ca="1">IFERROR(__xludf.DUMMYFUNCTION("""COMPUTED_VALUE"""),"360,")</f>
        <v>360,</v>
      </c>
    </row>
    <row r="703" spans="1:3" ht="15.75" customHeight="1">
      <c r="A703" s="16" t="str">
        <f ca="1">IFERROR(__xludf.DUMMYFUNCTION("""COMPUTED_VALUE"""),"Lenovo IdeaPad Slim 3 15IRU8 (Intel Core i3-1315U/ DDR5 8GB/ SSD 256GB/ 15.6"" FHD/ Integrated Intel® UHD Graphics/ NoOS/ RU) Arctic Grey (82X700DBUE)")</f>
        <v>Lenovo IdeaPad Slim 3 15IRU8 (Intel Core i3-1315U/ DDR5 8GB/ SSD 256GB/ 15.6" FHD/ Integrated Intel® UHD Graphics/ NoOS/ RU) Arctic Grey (82X700DBUE)</v>
      </c>
      <c r="B703" s="16" t="str">
        <f ca="1">IFERROR(__xludf.DUMMYFUNCTION("""COMPUTED_VALUE"""),"82X700DBUE ")</f>
        <v xml:space="preserve">82X700DBUE </v>
      </c>
      <c r="C703" s="16" t="str">
        <f ca="1">IFERROR(__xludf.DUMMYFUNCTION("""COMPUTED_VALUE"""),"365,")</f>
        <v>365,</v>
      </c>
    </row>
    <row r="704" spans="1:3" ht="15.75" customHeight="1">
      <c r="A704" s="16" t="str">
        <f ca="1">IFERROR(__xludf.DUMMYFUNCTION("""COMPUTED_VALUE"""),"Lenovo IdeaPad 1 15IRU7 (Intel Core i5-1335U/ DDR4 16GB/ SSD 256GB/ 15.6"" FHD/ Intel Iris Xe Graphics/ Win11/ ENG) Cloud Grey (83B40008US)")</f>
        <v>Lenovo IdeaPad 1 15IRU7 (Intel Core i5-1335U/ DDR4 16GB/ SSD 256GB/ 15.6" FHD/ Intel Iris Xe Graphics/ Win11/ ENG) Cloud Grey (83B40008US)</v>
      </c>
      <c r="B704" s="16" t="str">
        <f ca="1">IFERROR(__xludf.DUMMYFUNCTION("""COMPUTED_VALUE"""),"83B40008US")</f>
        <v>83B40008US</v>
      </c>
      <c r="C704" s="16" t="str">
        <f ca="1">IFERROR(__xludf.DUMMYFUNCTION("""COMPUTED_VALUE"""),"445,")</f>
        <v>445,</v>
      </c>
    </row>
    <row r="705" spans="1:3" ht="15.75" customHeight="1">
      <c r="A705" s="16" t="str">
        <f ca="1">IFERROR(__xludf.DUMMYFUNCTION("""COMPUTED_VALUE"""),"Lenovo IdeaPad Slim 3 15IRH10 (Intel Core i5-13420H/ DDR5 8GB/ SSD 512GB/ 15.6"" WXUGA IPS/ Intel UHD Graphics/ NoOS/ RU) Luna Grey (83K100P3FU)")</f>
        <v>Lenovo IdeaPad Slim 3 15IRH10 (Intel Core i5-13420H/ DDR5 8GB/ SSD 512GB/ 15.6" WXUGA IPS/ Intel UHD Graphics/ NoOS/ RU) Luna Grey (83K100P3FU)</v>
      </c>
      <c r="B705" s="16" t="str">
        <f ca="1">IFERROR(__xludf.DUMMYFUNCTION("""COMPUTED_VALUE"""),"83K100P3FU")</f>
        <v>83K100P3FU</v>
      </c>
      <c r="C705" s="16" t="str">
        <f ca="1">IFERROR(__xludf.DUMMYFUNCTION("""COMPUTED_VALUE"""),"480,")</f>
        <v>480,</v>
      </c>
    </row>
    <row r="706" spans="1:3" ht="15.75" customHeight="1">
      <c r="A706" s="16" t="str">
        <f ca="1">IFERROR(__xludf.DUMMYFUNCTION("""COMPUTED_VALUE"""),"Lenovo IdeaPad Slim 3 15IRH10 (Intel Core i5-13420H/ DDR5 8GB/ SSD 512GB/ 15.6"" WXUGA IPS/ Intel UHD Graphics/ NoOS/ RU) Luna Grey (83HF00E6IG)")</f>
        <v>Lenovo IdeaPad Slim 3 15IRH10 (Intel Core i5-13420H/ DDR5 8GB/ SSD 512GB/ 15.6" WXUGA IPS/ Intel UHD Graphics/ NoOS/ RU) Luna Grey (83HF00E6IG)</v>
      </c>
      <c r="B706" s="16" t="str">
        <f ca="1">IFERROR(__xludf.DUMMYFUNCTION("""COMPUTED_VALUE"""),"83HF00E6IG")</f>
        <v>83HF00E6IG</v>
      </c>
      <c r="C706" s="16" t="str">
        <f ca="1">IFERROR(__xludf.DUMMYFUNCTION("""COMPUTED_VALUE"""),"480,")</f>
        <v>480,</v>
      </c>
    </row>
    <row r="707" spans="1:3" ht="15.75" customHeight="1">
      <c r="A707" s="16" t="str">
        <f ca="1">IFERROR(__xludf.DUMMYFUNCTION("""COMPUTED_VALUE"""),"Lenovo IdeaPad Slim 3 15IRH10 (Intel Core i5-13420H/ DDR5 8GB/ SSD 512GB/ 15.6"" WXUGA IPS/ Intel UHD Graphics/ Backlit/ NoOS/ RU) Luna Grey (83K100DWPS)")</f>
        <v>Lenovo IdeaPad Slim 3 15IRH10 (Intel Core i5-13420H/ DDR5 8GB/ SSD 512GB/ 15.6" WXUGA IPS/ Intel UHD Graphics/ Backlit/ NoOS/ RU) Luna Grey (83K100DWPS)</v>
      </c>
      <c r="B707" s="16" t="str">
        <f ca="1">IFERROR(__xludf.DUMMYFUNCTION("""COMPUTED_VALUE"""),"83K100DWPS")</f>
        <v>83K100DWPS</v>
      </c>
      <c r="C707" s="16" t="str">
        <f ca="1">IFERROR(__xludf.DUMMYFUNCTION("""COMPUTED_VALUE"""),"490,")</f>
        <v>490,</v>
      </c>
    </row>
    <row r="708" spans="1:3" ht="15.75" customHeight="1">
      <c r="A708" s="16" t="str">
        <f ca="1">IFERROR(__xludf.DUMMYFUNCTION("""COMPUTED_VALUE"""),"Lenovo IdeaPad Slim 3 15IRH10 (Intel Core i5-13420H/ DDR5 8GB/ SSD 512GB/ 15.6"" WXUGA IPS/ Intel UHD Graphics/ NoOS/ RU) Luna Grey (83K1002URK) (официальный)")</f>
        <v>Lenovo IdeaPad Slim 3 15IRH10 (Intel Core i5-13420H/ DDR5 8GB/ SSD 512GB/ 15.6" WXUGA IPS/ Intel UHD Graphics/ NoOS/ RU) Luna Grey (83K1002URK) (официальный)</v>
      </c>
      <c r="B708" s="16" t="str">
        <f ca="1">IFERROR(__xludf.DUMMYFUNCTION("""COMPUTED_VALUE"""),"83K1002URK")</f>
        <v>83K1002URK</v>
      </c>
      <c r="C708" s="16" t="str">
        <f ca="1">IFERROR(__xludf.DUMMYFUNCTION("""COMPUTED_VALUE"""),"490,")</f>
        <v>490,</v>
      </c>
    </row>
    <row r="709" spans="1:3" ht="15.75" customHeight="1">
      <c r="A709" s="16" t="str">
        <f ca="1">IFERROR(__xludf.DUMMYFUNCTION("""COMPUTED_VALUE"""),"Lenovo Ideapad Slim 3 16IRH10 (Intel Core i5-13420H/ DDR5 16GB/ SSD 512GB/ 16"" WUXGA IPS/ Intel UHD Graphics/ NoOS/ RU) Luna Grey (83K2000WRK) (официальный)")</f>
        <v>Lenovo Ideapad Slim 3 16IRH10 (Intel Core i5-13420H/ DDR5 16GB/ SSD 512GB/ 16" WUXGA IPS/ Intel UHD Graphics/ NoOS/ RU) Luna Grey (83K2000WRK) (официальный)</v>
      </c>
      <c r="B709" s="16" t="str">
        <f ca="1">IFERROR(__xludf.DUMMYFUNCTION("""COMPUTED_VALUE"""),"83K2000WRK")</f>
        <v>83K2000WRK</v>
      </c>
      <c r="C709" s="16" t="str">
        <f ca="1">IFERROR(__xludf.DUMMYFUNCTION("""COMPUTED_VALUE"""),"540,")</f>
        <v>540,</v>
      </c>
    </row>
    <row r="710" spans="1:3" ht="15.75" customHeight="1">
      <c r="A710" s="16" t="str">
        <f ca="1">IFERROR(__xludf.DUMMYFUNCTION("""COMPUTED_VALUE"""),"Lenovo IdeaPad Slim 3 15IRH10 (Intel Core i7-13620H/ DDR5 8GB/ SSD 512GB/ 15.3"" WUXGA/ Intel® UHD Graphics/ NoOS/ RU) Luna Grey (83K1002WRK) (официальный)")</f>
        <v>Lenovo IdeaPad Slim 3 15IRH10 (Intel Core i7-13620H/ DDR5 8GB/ SSD 512GB/ 15.3" WUXGA/ Intel® UHD Graphics/ NoOS/ RU) Luna Grey (83K1002WRK) (официальный)</v>
      </c>
      <c r="B710" s="16" t="str">
        <f ca="1">IFERROR(__xludf.DUMMYFUNCTION("""COMPUTED_VALUE"""),"83K1002WRK")</f>
        <v>83K1002WRK</v>
      </c>
      <c r="C710" s="16" t="str">
        <f ca="1">IFERROR(__xludf.DUMMYFUNCTION("""COMPUTED_VALUE"""),"570,")</f>
        <v>570,</v>
      </c>
    </row>
    <row r="711" spans="1:3" ht="15.75" customHeight="1">
      <c r="A711" s="16" t="str">
        <f ca="1">IFERROR(__xludf.DUMMYFUNCTION("""COMPUTED_VALUE"""),"Lenovo IdeaPad Slim 3 15IRH10 (Intel Core i7-13620H/ DDR5 8GB/ SSD 512GB/ 16"" WUXGA/ Intel® UHD Graphics/ NoOS/ RU) Luna Grey (83K2000XRK) (официальный)")</f>
        <v>Lenovo IdeaPad Slim 3 15IRH10 (Intel Core i7-13620H/ DDR5 8GB/ SSD 512GB/ 16" WUXGA/ Intel® UHD Graphics/ NoOS/ RU) Luna Grey (83K2000XRK) (официальный)</v>
      </c>
      <c r="B711" s="16" t="str">
        <f ca="1">IFERROR(__xludf.DUMMYFUNCTION("""COMPUTED_VALUE"""),"83K2000XRK")</f>
        <v>83K2000XRK</v>
      </c>
      <c r="C711" s="16" t="str">
        <f ca="1">IFERROR(__xludf.DUMMYFUNCTION("""COMPUTED_VALUE"""),"575,")</f>
        <v>575,</v>
      </c>
    </row>
    <row r="712" spans="1:3" ht="15.75" customHeight="1">
      <c r="A712" s="16" t="str">
        <f ca="1">IFERROR(__xludf.DUMMYFUNCTION("""COMPUTED_VALUE"""),"Lenovo IdeaPad Slim 3 15IRH10 (Intel Core i7-13620H/ DDR5 16GB/ SSD 512GB/ 15.3"" WUXGA/ Intel® UHD Graphics/ NoOS/ RU) Luna Grey (83K10032RK) (официалный)")</f>
        <v>Lenovo IdeaPad Slim 3 15IRH10 (Intel Core i7-13620H/ DDR5 16GB/ SSD 512GB/ 15.3" WUXGA/ Intel® UHD Graphics/ NoOS/ RU) Luna Grey (83K10032RK) (официалный)</v>
      </c>
      <c r="B712" s="16" t="str">
        <f ca="1">IFERROR(__xludf.DUMMYFUNCTION("""COMPUTED_VALUE"""),"83K10032RK")</f>
        <v>83K10032RK</v>
      </c>
      <c r="C712" s="16" t="str">
        <f ca="1">IFERROR(__xludf.DUMMYFUNCTION("""COMPUTED_VALUE"""),"610,")</f>
        <v>610,</v>
      </c>
    </row>
    <row r="713" spans="1:3" ht="15.75" customHeight="1">
      <c r="A713" s="16" t="str">
        <f ca="1">IFERROR(__xludf.DUMMYFUNCTION("""COMPUTED_VALUE"""),"Lenovo LOQ 15IAX9E (Intel Core i5-12450HX/ DDR5 16GB/ SSD 512GB/ 15.6 FHD IPS 144Hz/ 6GB GF RTX3050/ Win11/ RU) Luna Grey (83LK00CVUS) ")</f>
        <v xml:space="preserve">Lenovo LOQ 15IAX9E (Intel Core i5-12450HX/ DDR5 16GB/ SSD 512GB/ 15.6 FHD IPS 144Hz/ 6GB GF RTX3050/ Win11/ RU) Luna Grey (83LK00CVUS) </v>
      </c>
      <c r="B713" s="16" t="str">
        <f ca="1">IFERROR(__xludf.DUMMYFUNCTION("""COMPUTED_VALUE"""),"83LK00CVUS")</f>
        <v>83LK00CVUS</v>
      </c>
      <c r="C713" s="16" t="str">
        <f ca="1">IFERROR(__xludf.DUMMYFUNCTION("""COMPUTED_VALUE"""),"670,")</f>
        <v>670,</v>
      </c>
    </row>
    <row r="714" spans="1:3" ht="15.75" customHeight="1">
      <c r="A714" s="16" t="str">
        <f ca="1">IFERROR(__xludf.DUMMYFUNCTION("""COMPUTED_VALUE"""),"Lenovo LOQ 15IRX9 (Intel Core i7-13650HX/ DDR5 16GB/ SSD 512GB/ 15.6"" FHD IPS 144Hz/ 6GB RTX4050/ Backlit/ NoOS/ RU) Luna Grey (83DV01CTSA)")</f>
        <v>Lenovo LOQ 15IRX9 (Intel Core i7-13650HX/ DDR5 16GB/ SSD 512GB/ 15.6" FHD IPS 144Hz/ 6GB RTX4050/ Backlit/ NoOS/ RU) Luna Grey (83DV01CTSA)</v>
      </c>
      <c r="B714" s="16" t="str">
        <f ca="1">IFERROR(__xludf.DUMMYFUNCTION("""COMPUTED_VALUE"""),"83DV01CTSA")</f>
        <v>83DV01CTSA</v>
      </c>
      <c r="C714" s="16" t="str">
        <f ca="1">IFERROR(__xludf.DUMMYFUNCTION("""COMPUTED_VALUE"""),"950,")</f>
        <v>950,</v>
      </c>
    </row>
    <row r="715" spans="1:3" ht="15.75" customHeight="1">
      <c r="A715" s="16" t="str">
        <f ca="1">IFERROR(__xludf.DUMMYFUNCTION("""COMPUTED_VALUE"""),"Lenovo LOQ 15IRX10 (Intel Core i7-13650HX/ DDR5 16GB/ SSD 512GB/ 15.6"" FHD IPS 144Hz/ 8GB RTX5050/ Backlit/ Win11/ RU) Luna Grey (83JE00KCCC)")</f>
        <v>Lenovo LOQ 15IRX10 (Intel Core i7-13650HX/ DDR5 16GB/ SSD 512GB/ 15.6" FHD IPS 144Hz/ 8GB RTX5050/ Backlit/ Win11/ RU) Luna Grey (83JE00KCCC)</v>
      </c>
      <c r="B715" s="16" t="str">
        <f ca="1">IFERROR(__xludf.DUMMYFUNCTION("""COMPUTED_VALUE"""),"83JE00KCCC")</f>
        <v>83JE00KCCC</v>
      </c>
      <c r="C715" s="16" t="str">
        <f ca="1">IFERROR(__xludf.DUMMYFUNCTION("""COMPUTED_VALUE"""),"1050,")</f>
        <v>1050,</v>
      </c>
    </row>
    <row r="716" spans="1:3" ht="15.75" customHeight="1">
      <c r="A716" s="16" t="str">
        <f ca="1">IFERROR(__xludf.DUMMYFUNCTION("""COMPUTED_VALUE"""),"Lenovo LOQ 17IRX10 (Intel Core i5-13450HX/ DDR5 16GB/ SSD 512GB/ 17.3 FHD IPS 165Hz / 8GB GF RTX5050/ Backlit/ NoOS/ RU) Luna Grey (83JH0089RK) ")</f>
        <v xml:space="preserve">Lenovo LOQ 17IRX10 (Intel Core i5-13450HX/ DDR5 16GB/ SSD 512GB/ 17.3 FHD IPS 165Hz / 8GB GF RTX5050/ Backlit/ NoOS/ RU) Luna Grey (83JH0089RK) </v>
      </c>
      <c r="B716" s="16" t="str">
        <f ca="1">IFERROR(__xludf.DUMMYFUNCTION("""COMPUTED_VALUE"""),"83JH0089RK")</f>
        <v>83JH0089RK</v>
      </c>
      <c r="C716" s="16" t="str">
        <f ca="1">IFERROR(__xludf.DUMMYFUNCTION("""COMPUTED_VALUE"""),"1100,")</f>
        <v>1100,</v>
      </c>
    </row>
    <row r="717" spans="1:3" ht="15.75" customHeight="1">
      <c r="A717" s="16" t="str">
        <f ca="1">IFERROR(__xludf.DUMMYFUNCTION("""COMPUTED_VALUE"""),"Lenovo LOQ 15IRX10 (Intel Core i7-13650HX/ DDR5 16GB/ SSD 512GB/ 15.6"" FHD IPS 144Hz/ 8GB RTX5060/ Backlit/ Win11/ RU) Luna Grey (83JE002LUS)")</f>
        <v>Lenovo LOQ 15IRX10 (Intel Core i7-13650HX/ DDR5 16GB/ SSD 512GB/ 15.6" FHD IPS 144Hz/ 8GB RTX5060/ Backlit/ Win11/ RU) Luna Grey (83JE002LUS)</v>
      </c>
      <c r="B717" s="16" t="str">
        <f ca="1">IFERROR(__xludf.DUMMYFUNCTION("""COMPUTED_VALUE"""),"83JE002LUS")</f>
        <v>83JE002LUS</v>
      </c>
      <c r="C717" s="16" t="str">
        <f ca="1">IFERROR(__xludf.DUMMYFUNCTION("""COMPUTED_VALUE"""),"1150,")</f>
        <v>1150,</v>
      </c>
    </row>
    <row r="718" spans="1:3" ht="15.75" customHeight="1">
      <c r="A718" s="16" t="str">
        <f ca="1">IFERROR(__xludf.DUMMYFUNCTION("""COMPUTED_VALUE"""),"Lenovo Legion Go S 8ARP1 (AMD Ryzen™ Z2 Go/ DDR5 32GB/ SSD 1TB/ 8"" WUXGA (1920x1200) IPS Touch/  Integrated AMD Radeon™ Graphics/ W11 Home SL) Glacier White (83L3001BRK) (2 штук)")</f>
        <v>Lenovo Legion Go S 8ARP1 (AMD Ryzen™ Z2 Go/ DDR5 32GB/ SSD 1TB/ 8" WUXGA (1920x1200) IPS Touch/  Integrated AMD Radeon™ Graphics/ W11 Home SL) Glacier White (83L3001BRK) (2 штук)</v>
      </c>
      <c r="B718" s="16" t="str">
        <f ca="1">IFERROR(__xludf.DUMMYFUNCTION("""COMPUTED_VALUE"""),"83L3001BRK")</f>
        <v>83L3001BRK</v>
      </c>
      <c r="C718" s="16" t="str">
        <f ca="1">IFERROR(__xludf.DUMMYFUNCTION("""COMPUTED_VALUE"""),"720,")</f>
        <v>720,</v>
      </c>
    </row>
    <row r="719" spans="1:3" ht="15.75" customHeight="1">
      <c r="A719" s="16" t="str">
        <f ca="1">IFERROR(__xludf.DUMMYFUNCTION("""COMPUTED_VALUE"""),"Lenovo Legion 5 15IRX10 (Intel Core i7-13650HX/ DDR5 16GB/ SSD 1000GB/ 15.6 WUXGA IPS 165Hz / 8GB GF RTX5050/ Backlit/ NoOS/ RU) Black (83LY00QNPS) ")</f>
        <v xml:space="preserve">Lenovo Legion 5 15IRX10 (Intel Core i7-13650HX/ DDR5 16GB/ SSD 1000GB/ 15.6 WUXGA IPS 165Hz / 8GB GF RTX5050/ Backlit/ NoOS/ RU) Black (83LY00QNPS) </v>
      </c>
      <c r="B719" s="16" t="str">
        <f ca="1">IFERROR(__xludf.DUMMYFUNCTION("""COMPUTED_VALUE"""),"83LY00QNPS")</f>
        <v>83LY00QNPS</v>
      </c>
      <c r="C719" s="16" t="str">
        <f ca="1">IFERROR(__xludf.DUMMYFUNCTION("""COMPUTED_VALUE"""),"1300,")</f>
        <v>1300,</v>
      </c>
    </row>
    <row r="720" spans="1:3" ht="15.75" customHeight="1">
      <c r="A720" s="16" t="str">
        <f ca="1">IFERROR(__xludf.DUMMYFUNCTION("""COMPUTED_VALUE"""),"Lenovo Legion Pro 5 15IRX10 (Intel Core i9-14900HX/ DDR5 32GB/ SSD 512GB/ 15,1"" WQXGA (2560x1600) OLED 165Hz/ 8GB RTX5070/ Backlit/ NoOS/ RU) Eclipse Black (83LY00K1RK)")</f>
        <v>Lenovo Legion Pro 5 15IRX10 (Intel Core i9-14900HX/ DDR5 32GB/ SSD 512GB/ 15,1" WQXGA (2560x1600) OLED 165Hz/ 8GB RTX5070/ Backlit/ NoOS/ RU) Eclipse Black (83LY00K1RK)</v>
      </c>
      <c r="B720" s="16" t="str">
        <f ca="1">IFERROR(__xludf.DUMMYFUNCTION("""COMPUTED_VALUE"""),"83LY00K1RK")</f>
        <v>83LY00K1RK</v>
      </c>
      <c r="C720" s="16" t="str">
        <f ca="1">IFERROR(__xludf.DUMMYFUNCTION("""COMPUTED_VALUE"""),"1800,")</f>
        <v>1800,</v>
      </c>
    </row>
    <row r="721" spans="1:3" ht="15.75" customHeight="1">
      <c r="A721" s="16" t="str">
        <f ca="1">IFERROR(__xludf.DUMMYFUNCTION("""COMPUTED_VALUE"""),"Lenovo Legion 9 16IRX9 (Intel Core i9-14900HX/ DDR5 32GB/ SSD 2TB/ 16"" 3,2K (3200x2000) Mini LED 165Hz/ 12GB RTX™ 4080/ Backlit/ NoOS/ RU) Carbon Black (83G0002LRK) + Леново рюкзак в подарок (1 штук)")</f>
        <v>Lenovo Legion 9 16IRX9 (Intel Core i9-14900HX/ DDR5 32GB/ SSD 2TB/ 16" 3,2K (3200x2000) Mini LED 165Hz/ 12GB RTX™ 4080/ Backlit/ NoOS/ RU) Carbon Black (83G0002LRK) + Леново рюкзак в подарок (1 штук)</v>
      </c>
      <c r="B721" s="16" t="str">
        <f ca="1">IFERROR(__xludf.DUMMYFUNCTION("""COMPUTED_VALUE"""),"83G0002LRK")</f>
        <v>83G0002LRK</v>
      </c>
      <c r="C721" s="16" t="str">
        <f ca="1">IFERROR(__xludf.DUMMYFUNCTION("""COMPUTED_VALUE"""),"2900,")</f>
        <v>2900,</v>
      </c>
    </row>
    <row r="722" spans="1:3" ht="15.75" customHeight="1">
      <c r="A722" s="16" t="str">
        <f ca="1">IFERROR(__xludf.DUMMYFUNCTION("""COMPUTED_VALUE"""),"Lenovo Legion 9 16IRX9 (Intel Core i9-14900HX/ DDR5 32GB/ SSD 2TB/ 16"" 3,2K (3200x2000) Mini LED 165Hz/ 16GB RTX™ 4090/ Backlit/ NoOS/ RU) Carbon Black (83G0002MRK) + Леново рюкзак в подарок (1 штук)")</f>
        <v>Lenovo Legion 9 16IRX9 (Intel Core i9-14900HX/ DDR5 32GB/ SSD 2TB/ 16" 3,2K (3200x2000) Mini LED 165Hz/ 16GB RTX™ 4090/ Backlit/ NoOS/ RU) Carbon Black (83G0002MRK) + Леново рюкзак в подарок (1 штук)</v>
      </c>
      <c r="B722" s="16" t="str">
        <f ca="1">IFERROR(__xludf.DUMMYFUNCTION("""COMPUTED_VALUE"""),"83G0002MRK")</f>
        <v>83G0002MRK</v>
      </c>
      <c r="C722" s="16" t="str">
        <f ca="1">IFERROR(__xludf.DUMMYFUNCTION("""COMPUTED_VALUE"""),"3400,")</f>
        <v>3400,</v>
      </c>
    </row>
    <row r="723" spans="1:3" ht="15.75" customHeight="1">
      <c r="A723" s="16" t="str">
        <f ca="1">IFERROR(__xludf.DUMMYFUNCTION("""COMPUTED_VALUE"""),"Lenovo ThinkBook 14 G6 (Intel Core i5-13420H/ DDR5 8GB/ SSD 512GB/ 14"" WUXGA IPS/ Intel UHD Graphics/ NoOS/ RU) Arctic Grey (21KG00TXUE)")</f>
        <v>Lenovo ThinkBook 14 G6 (Intel Core i5-13420H/ DDR5 8GB/ SSD 512GB/ 14" WUXGA IPS/ Intel UHD Graphics/ NoOS/ RU) Arctic Grey (21KG00TXUE)</v>
      </c>
      <c r="B723" s="16" t="str">
        <f ca="1">IFERROR(__xludf.DUMMYFUNCTION("""COMPUTED_VALUE"""),"21KG00TXUE")</f>
        <v>21KG00TXUE</v>
      </c>
      <c r="C723" s="16" t="str">
        <f ca="1">IFERROR(__xludf.DUMMYFUNCTION("""COMPUTED_VALUE"""),"530,")</f>
        <v>530,</v>
      </c>
    </row>
    <row r="724" spans="1:3" ht="15.75" customHeight="1">
      <c r="A724" s="16" t="str">
        <f ca="1">IFERROR(__xludf.DUMMYFUNCTION("""COMPUTED_VALUE"""),"Lenovo Thinkbook 13x G4 IMH (Intel Core Ultra 5-125U/ DDR5 16GB/ SSD 512GB/ 13.5"" 2.8K (2880x1920) IPS/ Integrated Intel® Arc™ Graphics/ Backlit/ Win11Pro/ RU) Luna Grey (21KR0008RU) (официальный)")</f>
        <v>Lenovo Thinkbook 13x G4 IMH (Intel Core Ultra 5-125U/ DDR5 16GB/ SSD 512GB/ 13.5" 2.8K (2880x1920) IPS/ Integrated Intel® Arc™ Graphics/ Backlit/ Win11Pro/ RU) Luna Grey (21KR0008RU) (официальный)</v>
      </c>
      <c r="B724" s="16" t="str">
        <f ca="1">IFERROR(__xludf.DUMMYFUNCTION("""COMPUTED_VALUE"""),"21KR0008RU")</f>
        <v>21KR0008RU</v>
      </c>
      <c r="C724" s="16" t="str">
        <f ca="1">IFERROR(__xludf.DUMMYFUNCTION("""COMPUTED_VALUE"""),"960,")</f>
        <v>960,</v>
      </c>
    </row>
    <row r="725" spans="1:3" ht="15.75" customHeight="1">
      <c r="A725" s="16" t="str">
        <f ca="1">IFERROR(__xludf.DUMMYFUNCTION("""COMPUTED_VALUE"""),"Lenovo ThinkPad T14s G5 (Intel Core Ultra 7-155U/ DDR5 16GB/ SSD 512GB/ 14"" WUXGA IPS/ Integrated Intel® Graphics/ Backlit/ NoOS/ RU) Black (21LS008BFW)  (официальный)")</f>
        <v>Lenovo ThinkPad T14s G5 (Intel Core Ultra 7-155U/ DDR5 16GB/ SSD 512GB/ 14" WUXGA IPS/ Integrated Intel® Graphics/ Backlit/ NoOS/ RU) Black (21LS008BFW)  (официальный)</v>
      </c>
      <c r="B725" s="16" t="str">
        <f ca="1">IFERROR(__xludf.DUMMYFUNCTION("""COMPUTED_VALUE"""),"21LS008BFW")</f>
        <v>21LS008BFW</v>
      </c>
      <c r="C725" s="16" t="str">
        <f ca="1">IFERROR(__xludf.DUMMYFUNCTION("""COMPUTED_VALUE"""),"1200,")</f>
        <v>1200,</v>
      </c>
    </row>
    <row r="726" spans="1:3" ht="15.75" customHeight="1">
      <c r="A726" s="16" t="str">
        <f ca="1">IFERROR(__xludf.DUMMYFUNCTION("""COMPUTED_VALUE"""),"Lenovo ThinkPad X1 Carbon G13 Aura Edition (Intel Core Ultra 7-255U/ DDR5 32GB/ SSD 1000GB/ 14"" WUXGA IPS/ Integrated Intel® Graphics/ Backlit/ Win11Pro/ RU) Black (21NX00F8FW)")</f>
        <v>Lenovo ThinkPad X1 Carbon G13 Aura Edition (Intel Core Ultra 7-255U/ DDR5 32GB/ SSD 1000GB/ 14" WUXGA IPS/ Integrated Intel® Graphics/ Backlit/ Win11Pro/ RU) Black (21NX00F8FW)</v>
      </c>
      <c r="B726" s="16" t="str">
        <f ca="1">IFERROR(__xludf.DUMMYFUNCTION("""COMPUTED_VALUE"""),"21NX00F8FW")</f>
        <v>21NX00F8FW</v>
      </c>
      <c r="C726" s="16" t="str">
        <f ca="1">IFERROR(__xludf.DUMMYFUNCTION("""COMPUTED_VALUE"""),"2050,")</f>
        <v>2050,</v>
      </c>
    </row>
    <row r="727" spans="1:3" ht="15.75" customHeight="1">
      <c r="A727" s="16" t="str">
        <f ca="1">IFERROR(__xludf.DUMMYFUNCTION("""COMPUTED_VALUE"""),"Lenovo ThinkPad X1 Carbon G13 Aura Edition (Intel Core Ultra 7-258V/ DDR5 32GB/ SSD 512GB/ 14"" WUXGA IPS/ Integrated Intel® Arc™ Graphics/ Backlit/ Win11Pro/ RU) Black (21NS004WFW) (перечисление)")</f>
        <v>Lenovo ThinkPad X1 Carbon G13 Aura Edition (Intel Core Ultra 7-258V/ DDR5 32GB/ SSD 512GB/ 14" WUXGA IPS/ Integrated Intel® Arc™ Graphics/ Backlit/ Win11Pro/ RU) Black (21NS004WFW) (перечисление)</v>
      </c>
      <c r="B727" s="16" t="str">
        <f ca="1">IFERROR(__xludf.DUMMYFUNCTION("""COMPUTED_VALUE"""),"21NS004WFW")</f>
        <v>21NS004WFW</v>
      </c>
      <c r="C727" s="16" t="str">
        <f ca="1">IFERROR(__xludf.DUMMYFUNCTION("""COMPUTED_VALUE"""),"2200,")</f>
        <v>2200,</v>
      </c>
    </row>
    <row r="728" spans="1:3" ht="15.75" customHeight="1">
      <c r="A728" s="16" t="str">
        <f ca="1">IFERROR(__xludf.DUMMYFUNCTION("""COMPUTED_VALUE"""),"Lenovo ThinkPad Z16 Gen 2 (AMD Ryzen 7-258V/ DDR5 32GB/ SSD 512GB/ 16"" WUXGA/ AMD Radeon™ RX 6550M/ Backlit/ Win11Pro/ RU) Black (21JX001JRT) (1 штук)")</f>
        <v>Lenovo ThinkPad Z16 Gen 2 (AMD Ryzen 7-258V/ DDR5 32GB/ SSD 512GB/ 16" WUXGA/ AMD Radeon™ RX 6550M/ Backlit/ Win11Pro/ RU) Black (21JX001JRT) (1 штук)</v>
      </c>
      <c r="B728" s="16" t="str">
        <f ca="1">IFERROR(__xludf.DUMMYFUNCTION("""COMPUTED_VALUE"""),"21JX001JRT")</f>
        <v>21JX001JRT</v>
      </c>
      <c r="C728" s="16" t="str">
        <f ca="1">IFERROR(__xludf.DUMMYFUNCTION("""COMPUTED_VALUE"""),"2100,")</f>
        <v>2100,</v>
      </c>
    </row>
    <row r="729" spans="1:3" ht="15.75" customHeight="1">
      <c r="A729" s="16" t="str">
        <f ca="1">IFERROR(__xludf.DUMMYFUNCTION("""COMPUTED_VALUE"""),"Acer Aspire Lite AL15-52P (Intel Celeron N4500/ DDR4 8GB/ SSD 256GB/ 15.6 FHD IPS/ Intel UHD Graphics/ NoOS/ RU) Silver (NX.JB8ER.001) (официальный)")</f>
        <v>Acer Aspire Lite AL15-52P (Intel Celeron N4500/ DDR4 8GB/ SSD 256GB/ 15.6 FHD IPS/ Intel UHD Graphics/ NoOS/ RU) Silver (NX.JB8ER.001) (официальный)</v>
      </c>
      <c r="B729" s="16" t="str">
        <f ca="1">IFERROR(__xludf.DUMMYFUNCTION("""COMPUTED_VALUE"""),"NX.JB8ER.001")</f>
        <v>NX.JB8ER.001</v>
      </c>
      <c r="C729" s="16" t="str">
        <f ca="1">IFERROR(__xludf.DUMMYFUNCTION("""COMPUTED_VALUE"""),"280,")</f>
        <v>280,</v>
      </c>
    </row>
    <row r="730" spans="1:3" ht="15.75" customHeight="1">
      <c r="A730" s="16" t="str">
        <f ca="1">IFERROR(__xludf.DUMMYFUNCTION("""COMPUTED_VALUE"""),"Acer Aspire Go 15 (Intel Core i3-N355/ DDR5 8GB/ UFS 128GB/ 15.6"" FHD/ Intel UHD Graphics/ Win11/ RU) Steel Gray (NX.JJLAA.001)")</f>
        <v>Acer Aspire Go 15 (Intel Core i3-N355/ DDR5 8GB/ UFS 128GB/ 15.6" FHD/ Intel UHD Graphics/ Win11/ RU) Steel Gray (NX.JJLAA.001)</v>
      </c>
      <c r="B730" s="16" t="str">
        <f ca="1">IFERROR(__xludf.DUMMYFUNCTION("""COMPUTED_VALUE"""),"NX.JJLAA.001")</f>
        <v>NX.JJLAA.001</v>
      </c>
      <c r="C730" s="16" t="str">
        <f ca="1">IFERROR(__xludf.DUMMYFUNCTION("""COMPUTED_VALUE"""),"320,")</f>
        <v>320,</v>
      </c>
    </row>
    <row r="731" spans="1:3" ht="15.75" customHeight="1">
      <c r="A731" s="16" t="str">
        <f ca="1">IFERROR(__xludf.DUMMYFUNCTION("""COMPUTED_VALUE"""),"Acer Aspire Lite AL16-54P (Intel Core i3-1305U/ DDR5 8GB/ SSD 512GB/ 16"" WUXGA IPS/ Intel UHD Graphics/ NoOS/ RU) Silver (NX.D75EM.004)")</f>
        <v>Acer Aspire Lite AL16-54P (Intel Core i3-1305U/ DDR5 8GB/ SSD 512GB/ 16" WUXGA IPS/ Intel UHD Graphics/ NoOS/ RU) Silver (NX.D75EM.004)</v>
      </c>
      <c r="B731" s="16" t="str">
        <f ca="1">IFERROR(__xludf.DUMMYFUNCTION("""COMPUTED_VALUE"""),"NX.D75EM.004")</f>
        <v>NX.D75EM.004</v>
      </c>
      <c r="C731" s="16" t="str">
        <f ca="1">IFERROR(__xludf.DUMMYFUNCTION("""COMPUTED_VALUE"""),"390,")</f>
        <v>390,</v>
      </c>
    </row>
    <row r="732" spans="1:3" ht="15.75" customHeight="1">
      <c r="A732" s="16" t="str">
        <f ca="1">IFERROR(__xludf.DUMMYFUNCTION("""COMPUTED_VALUE"""),"Acer Aspire Lite AL15-33P (Intel Core i3-N355/ DDR5 16GB/ SSD 512GB/ 15.6"" FHD IPS/ Intel UHD Graphics/ NoOS/ RU) Natural Titanium (NX.D62ER.001) (официальный)")</f>
        <v>Acer Aspire Lite AL15-33P (Intel Core i3-N355/ DDR5 16GB/ SSD 512GB/ 15.6" FHD IPS/ Intel UHD Graphics/ NoOS/ RU) Natural Titanium (NX.D62ER.001) (официальный)</v>
      </c>
      <c r="B732" s="16" t="str">
        <f ca="1">IFERROR(__xludf.DUMMYFUNCTION("""COMPUTED_VALUE"""),"NX.D62ER.001")</f>
        <v>NX.D62ER.001</v>
      </c>
      <c r="C732" s="16" t="str">
        <f ca="1">IFERROR(__xludf.DUMMYFUNCTION("""COMPUTED_VALUE"""),"405,")</f>
        <v>405,</v>
      </c>
    </row>
    <row r="733" spans="1:3" ht="15.75" customHeight="1">
      <c r="A733" s="16" t="str">
        <f ca="1">IFERROR(__xludf.DUMMYFUNCTION("""COMPUTED_VALUE"""),"Acer Aspire Lite 15-44P (AMD Ryzen 5-7430U/ DDR4 16GB/ SSD 512GB/ 15,6 FHD IPS/ AMD Radeon Graphics/ NoOS/ RU) Silver (NX.DJZEX.001)")</f>
        <v>Acer Aspire Lite 15-44P (AMD Ryzen 5-7430U/ DDR4 16GB/ SSD 512GB/ 15,6 FHD IPS/ AMD Radeon Graphics/ NoOS/ RU) Silver (NX.DJZEX.001)</v>
      </c>
      <c r="B733" s="16" t="str">
        <f ca="1">IFERROR(__xludf.DUMMYFUNCTION("""COMPUTED_VALUE"""),"NX.DJZEX.001")</f>
        <v>NX.DJZEX.001</v>
      </c>
      <c r="C733" s="16" t="str">
        <f ca="1">IFERROR(__xludf.DUMMYFUNCTION("""COMPUTED_VALUE"""),"460,")</f>
        <v>460,</v>
      </c>
    </row>
    <row r="734" spans="1:3" ht="15.75" customHeight="1">
      <c r="A734" s="16" t="str">
        <f ca="1">IFERROR(__xludf.DUMMYFUNCTION("""COMPUTED_VALUE"""),"Acer Aspire Lite AL15-72P (Intel Core i5-13500H/ DDR5 8GB/ SSD 512GB/ 15,6"" FHD IPS/ Intel UHD Graphics/ NoOS/ RU) Silver (NX.D5JEM.001)")</f>
        <v>Acer Aspire Lite AL15-72P (Intel Core i5-13500H/ DDR5 8GB/ SSD 512GB/ 15,6" FHD IPS/ Intel UHD Graphics/ NoOS/ RU) Silver (NX.D5JEM.001)</v>
      </c>
      <c r="B734" s="16" t="str">
        <f ca="1">IFERROR(__xludf.DUMMYFUNCTION("""COMPUTED_VALUE"""),"NX.D5JEM.001")</f>
        <v>NX.D5JEM.001</v>
      </c>
      <c r="C734" s="16" t="str">
        <f ca="1">IFERROR(__xludf.DUMMYFUNCTION("""COMPUTED_VALUE"""),"480,")</f>
        <v>480,</v>
      </c>
    </row>
    <row r="735" spans="1:3" ht="15.75" customHeight="1">
      <c r="A735" s="16" t="str">
        <f ca="1">IFERROR(__xludf.DUMMYFUNCTION("""COMPUTED_VALUE"""),"Acer Aspire Lite AL16-54P (Intel Core i5-1334U/ DDR5 8GB/ SSD 512GB/ 16"" WUXGA IPS/ Intel UHD Graphics/ NoOS/ RU) Silver (NX.D75EM.003)")</f>
        <v>Acer Aspire Lite AL16-54P (Intel Core i5-1334U/ DDR5 8GB/ SSD 512GB/ 16" WUXGA IPS/ Intel UHD Graphics/ NoOS/ RU) Silver (NX.D75EM.003)</v>
      </c>
      <c r="B735" s="16" t="str">
        <f ca="1">IFERROR(__xludf.DUMMYFUNCTION("""COMPUTED_VALUE"""),"NX.D75EM.003")</f>
        <v>NX.D75EM.003</v>
      </c>
      <c r="C735" s="16" t="str">
        <f ca="1">IFERROR(__xludf.DUMMYFUNCTION("""COMPUTED_VALUE"""),"485,")</f>
        <v>485,</v>
      </c>
    </row>
    <row r="736" spans="1:3" ht="15.75" customHeight="1">
      <c r="A736" s="16" t="str">
        <f ca="1">IFERROR(__xludf.DUMMYFUNCTION("""COMPUTED_VALUE"""),"Acer Aspire Lite AL15-45P (AMD Ryzen 7-5825U/ DDR4 16GB/ SSD 512GB/ 15,6 FHD IPS/ AMD Radeon Graphics/ NoOS/ RU) Silver (NX.DLQEM.001)")</f>
        <v>Acer Aspire Lite AL15-45P (AMD Ryzen 7-5825U/ DDR4 16GB/ SSD 512GB/ 15,6 FHD IPS/ AMD Radeon Graphics/ NoOS/ RU) Silver (NX.DLQEM.001)</v>
      </c>
      <c r="B736" s="16" t="str">
        <f ca="1">IFERROR(__xludf.DUMMYFUNCTION("""COMPUTED_VALUE"""),"NX.DLQEM.001")</f>
        <v>NX.DLQEM.001</v>
      </c>
      <c r="C736" s="16" t="str">
        <f ca="1">IFERROR(__xludf.DUMMYFUNCTION("""COMPUTED_VALUE"""),"500,")</f>
        <v>500,</v>
      </c>
    </row>
    <row r="737" spans="1:3" ht="15.75" customHeight="1">
      <c r="A737" s="16" t="str">
        <f ca="1">IFERROR(__xludf.DUMMYFUNCTION("""COMPUTED_VALUE"""),"Acer Aspire Lite AL15-72P (Intel Core i5-13420H/ DDR5 16GB/ SSD 512GB/ 15,6"" FHD IPS / Intel UHD Graphics/ NoOS/ RU) Silver (NX.D5HEM.003) ")</f>
        <v xml:space="preserve">Acer Aspire Lite AL15-72P (Intel Core i5-13420H/ DDR5 16GB/ SSD 512GB/ 15,6" FHD IPS / Intel UHD Graphics/ NoOS/ RU) Silver (NX.D5HEM.003) </v>
      </c>
      <c r="B737" s="16" t="str">
        <f ca="1">IFERROR(__xludf.DUMMYFUNCTION("""COMPUTED_VALUE"""),"NX.D5HEM.003")</f>
        <v>NX.D5HEM.003</v>
      </c>
      <c r="C737" s="16" t="str">
        <f ca="1">IFERROR(__xludf.DUMMYFUNCTION("""COMPUTED_VALUE"""),"540,")</f>
        <v>540,</v>
      </c>
    </row>
    <row r="738" spans="1:3" ht="15.75" customHeight="1">
      <c r="A738" s="16" t="str">
        <f ca="1">IFERROR(__xludf.DUMMYFUNCTION("""COMPUTED_VALUE"""),"Acer Aspire Lite AL15-72P (Intel Core i5-13420H/ DDR5 16GB/ SSD 512GB/ 15,6"" FHD IPS / Intel UHD Graphics/ NoOS/ RU) Silver (NX.D5HEX.002) ")</f>
        <v xml:space="preserve">Acer Aspire Lite AL15-72P (Intel Core i5-13420H/ DDR5 16GB/ SSD 512GB/ 15,6" FHD IPS / Intel UHD Graphics/ NoOS/ RU) Silver (NX.D5HEX.002) </v>
      </c>
      <c r="B738" s="16" t="str">
        <f ca="1">IFERROR(__xludf.DUMMYFUNCTION("""COMPUTED_VALUE"""),"NX.D5HEX.002")</f>
        <v>NX.D5HEX.002</v>
      </c>
      <c r="C738" s="16" t="str">
        <f ca="1">IFERROR(__xludf.DUMMYFUNCTION("""COMPUTED_VALUE"""),"540,")</f>
        <v>540,</v>
      </c>
    </row>
    <row r="739" spans="1:3" ht="15.75" customHeight="1">
      <c r="A739" s="16" t="str">
        <f ca="1">IFERROR(__xludf.DUMMYFUNCTION("""COMPUTED_VALUE"""),"Acer Aspire 3 A325-53 (Intel Core i5-1334U/ DDR4 16GB/ SSD 512GB/ 15.6 FHD IPS / Intel Iris Xe Graphics/ Backlit/ No OS/ RU) Silver (ZN.N01SI.03P)")</f>
        <v>Acer Aspire 3 A325-53 (Intel Core i5-1334U/ DDR4 16GB/ SSD 512GB/ 15.6 FHD IPS / Intel Iris Xe Graphics/ Backlit/ No OS/ RU) Silver (ZN.N01SI.03P)</v>
      </c>
      <c r="B739" s="16" t="str">
        <f ca="1">IFERROR(__xludf.DUMMYFUNCTION("""COMPUTED_VALUE"""),"ZN.N01SI.03P")</f>
        <v>ZN.N01SI.03P</v>
      </c>
      <c r="C739" s="16" t="str">
        <f ca="1">IFERROR(__xludf.DUMMYFUNCTION("""COMPUTED_VALUE"""),"540,")</f>
        <v>540,</v>
      </c>
    </row>
    <row r="740" spans="1:3" ht="15.75" customHeight="1">
      <c r="A740" s="16" t="str">
        <f ca="1">IFERROR(__xludf.DUMMYFUNCTION("""COMPUTED_VALUE"""),"Acer Gadget Etbook CWI570 (Intel Core i5-12450H/ DDR4 16GB/ SSD 512GB/ 14"" QHD(2160x1440) 2K IPS/ Intel UHD Graphics/ WIN11H/ RU) Black")</f>
        <v>Acer Gadget Etbook CWI570 (Intel Core i5-12450H/ DDR4 16GB/ SSD 512GB/ 14" QHD(2160x1440) 2K IPS/ Intel UHD Graphics/ WIN11H/ RU) Black</v>
      </c>
      <c r="B740" s="16" t="str">
        <f ca="1">IFERROR(__xludf.DUMMYFUNCTION("""COMPUTED_VALUE"""),"CWI570")</f>
        <v>CWI570</v>
      </c>
      <c r="C740" s="16" t="str">
        <f ca="1">IFERROR(__xludf.DUMMYFUNCTION("""COMPUTED_VALUE"""),"540,")</f>
        <v>540,</v>
      </c>
    </row>
    <row r="741" spans="1:3" ht="15.75" customHeight="1">
      <c r="A741" s="16" t="str">
        <f ca="1">IFERROR(__xludf.DUMMYFUNCTION("""COMPUTED_VALUE"""),"Acer Aspire Lite AL16-54P (Intel Core i5-1334U/ DDR5 16GB/ SSD 512GB/ 16"" WUXGA IPS / Intel UHD Graphics/ NoOS/ RU) Silver (NX.D76ER.001) (официальный)")</f>
        <v>Acer Aspire Lite AL16-54P (Intel Core i5-1334U/ DDR5 16GB/ SSD 512GB/ 16" WUXGA IPS / Intel UHD Graphics/ NoOS/ RU) Silver (NX.D76ER.001) (официальный)</v>
      </c>
      <c r="B741" s="16" t="str">
        <f ca="1">IFERROR(__xludf.DUMMYFUNCTION("""COMPUTED_VALUE"""),"NX.D76ER.001")</f>
        <v>NX.D76ER.001</v>
      </c>
      <c r="C741" s="16" t="str">
        <f ca="1">IFERROR(__xludf.DUMMYFUNCTION("""COMPUTED_VALUE"""),"550,")</f>
        <v>550,</v>
      </c>
    </row>
    <row r="742" spans="1:3" ht="15.75" customHeight="1">
      <c r="A742" s="16" t="str">
        <f ca="1">IFERROR(__xludf.DUMMYFUNCTION("""COMPUTED_VALUE"""),"Acer Aspire Lite 15-72P (Intel Core i7-13620H/ DDR5 16GB/ SSD 1TB/ 15.6"" FHD IPS/ Intel UHD Graphics/ NoOS/ RU) Silver (NX.D5GEX.001)")</f>
        <v>Acer Aspire Lite 15-72P (Intel Core i7-13620H/ DDR5 16GB/ SSD 1TB/ 15.6" FHD IPS/ Intel UHD Graphics/ NoOS/ RU) Silver (NX.D5GEX.001)</v>
      </c>
      <c r="B742" s="16" t="str">
        <f ca="1">IFERROR(__xludf.DUMMYFUNCTION("""COMPUTED_VALUE"""),"NX.D5GEX.001")</f>
        <v>NX.D5GEX.001</v>
      </c>
      <c r="C742" s="16" t="str">
        <f ca="1">IFERROR(__xludf.DUMMYFUNCTION("""COMPUTED_VALUE"""),"660,")</f>
        <v>660,</v>
      </c>
    </row>
    <row r="743" spans="1:3" ht="15.75" customHeight="1">
      <c r="A743" s="16" t="str">
        <f ca="1">IFERROR(__xludf.DUMMYFUNCTION("""COMPUTED_VALUE"""),"Acer Nitro Lite (Intel Core i5-13420H/ DDR5 16GB/ SSD 512GB/ 16"" WUXGA IPS 165Hz/ 6GB RTX3050/ Backlit/ NoOS/ RU) Black (NH.DAAEM.002) ")</f>
        <v xml:space="preserve">Acer Nitro Lite (Intel Core i5-13420H/ DDR5 16GB/ SSD 512GB/ 16" WUXGA IPS 165Hz/ 6GB RTX3050/ Backlit/ NoOS/ RU) Black (NH.DAAEM.002) </v>
      </c>
      <c r="B743" s="16" t="str">
        <f ca="1">IFERROR(__xludf.DUMMYFUNCTION("""COMPUTED_VALUE"""),"NH.DAAEM.002")</f>
        <v>NH.DAAEM.002</v>
      </c>
      <c r="C743" s="16" t="str">
        <f ca="1">IFERROR(__xludf.DUMMYFUNCTION("""COMPUTED_VALUE"""),"720,")</f>
        <v>720,</v>
      </c>
    </row>
    <row r="744" spans="1:3" ht="15.75" customHeight="1">
      <c r="A744" s="16" t="str">
        <f ca="1">IFERROR(__xludf.DUMMYFUNCTION("""COMPUTED_VALUE"""),"Acer Nitro Lite (Intel Core i5-13420H/ DDR5 16GB/ SSD 512GB/ 16"" WUXGA IPS 165Hz/ 6GB RTX4050/ Backlit/ NoOS/ RU) Black (NH.DAEEM.002) ")</f>
        <v xml:space="preserve">Acer Nitro Lite (Intel Core i5-13420H/ DDR5 16GB/ SSD 512GB/ 16" WUXGA IPS 165Hz/ 6GB RTX4050/ Backlit/ NoOS/ RU) Black (NH.DAEEM.002) </v>
      </c>
      <c r="B744" s="16" t="str">
        <f ca="1">IFERROR(__xludf.DUMMYFUNCTION("""COMPUTED_VALUE"""),"NH.DAEEM.002")</f>
        <v>NH.DAEEM.002</v>
      </c>
      <c r="C744" s="16" t="str">
        <f ca="1">IFERROR(__xludf.DUMMYFUNCTION("""COMPUTED_VALUE"""),"790,")</f>
        <v>790,</v>
      </c>
    </row>
    <row r="745" spans="1:3" ht="15.75" customHeight="1">
      <c r="A745" s="16" t="str">
        <f ca="1">IFERROR(__xludf.DUMMYFUNCTION("""COMPUTED_VALUE"""),"Acer Nitro Lite (Intel Core i7-13620H/ DDR5 16GB/ SSD 512GB/ 16"" WUXGA IPS 165Hz/ 6GB RTX3050/ Backlit/ NoOS/ RU) Black (NH.DAAEM.003)")</f>
        <v>Acer Nitro Lite (Intel Core i7-13620H/ DDR5 16GB/ SSD 512GB/ 16" WUXGA IPS 165Hz/ 6GB RTX3050/ Backlit/ NoOS/ RU) Black (NH.DAAEM.003)</v>
      </c>
      <c r="B745" s="16" t="str">
        <f ca="1">IFERROR(__xludf.DUMMYFUNCTION("""COMPUTED_VALUE"""),"NH.DAAEM.003")</f>
        <v>NH.DAAEM.003</v>
      </c>
      <c r="C745" s="16" t="str">
        <f ca="1">IFERROR(__xludf.DUMMYFUNCTION("""COMPUTED_VALUE"""),"840,")</f>
        <v>840,</v>
      </c>
    </row>
    <row r="746" spans="1:3" ht="15.75" customHeight="1">
      <c r="A746" s="16" t="str">
        <f ca="1">IFERROR(__xludf.DUMMYFUNCTION("""COMPUTED_VALUE"""),"Acer Nitro V15 (Intel Core 5-210H/ DDR4 16GB/ SSD 512GB/ 15,6"" FHD IPS 165Hz/ 6GB RTX5050/ Backlit/ Win11/ RU) Black (NH.QZ9SG.00J) ")</f>
        <v xml:space="preserve">Acer Nitro V15 (Intel Core 5-210H/ DDR4 16GB/ SSD 512GB/ 15,6" FHD IPS 165Hz/ 6GB RTX5050/ Backlit/ Win11/ RU) Black (NH.QZ9SG.00J) </v>
      </c>
      <c r="B746" s="16" t="str">
        <f ca="1">IFERROR(__xludf.DUMMYFUNCTION("""COMPUTED_VALUE"""),"NH.QZ9SG.00J")</f>
        <v>NH.QZ9SG.00J</v>
      </c>
      <c r="C746" s="16" t="str">
        <f ca="1">IFERROR(__xludf.DUMMYFUNCTION("""COMPUTED_VALUE"""),"850,")</f>
        <v>850,</v>
      </c>
    </row>
    <row r="747" spans="1:3" ht="15.75" customHeight="1">
      <c r="A747" s="16" t="str">
        <f ca="1">IFERROR(__xludf.DUMMYFUNCTION("""COMPUTED_VALUE"""),"Acer Nitro Lite (Intel Core i7-13620H/ DDR5 16GB/ SSD 512GB/ 16"" WUXGA IPS 165Hz/ 6GB RTX4050/ Backlit/ Win11/ RU) White (NH.D5ASG.003) ")</f>
        <v xml:space="preserve">Acer Nitro Lite (Intel Core i7-13620H/ DDR5 16GB/ SSD 512GB/ 16" WUXGA IPS 165Hz/ 6GB RTX4050/ Backlit/ Win11/ RU) White (NH.D5ASG.003) </v>
      </c>
      <c r="B747" s="16" t="str">
        <f ca="1">IFERROR(__xludf.DUMMYFUNCTION("""COMPUTED_VALUE"""),"NH.D5ASG.003")</f>
        <v>NH.D5ASG.003</v>
      </c>
      <c r="C747" s="16" t="str">
        <f ca="1">IFERROR(__xludf.DUMMYFUNCTION("""COMPUTED_VALUE"""),"950,")</f>
        <v>950,</v>
      </c>
    </row>
    <row r="748" spans="1:3" ht="15.75" customHeight="1">
      <c r="A748" s="16" t="str">
        <f ca="1">IFERROR(__xludf.DUMMYFUNCTION("""COMPUTED_VALUE"""),"HP 15-fc0171nia (5M5) (AMD Athlon Silver 7120U/ DDR5 8GB/ SSD 256GB/ 15,6"" FHD/ AMD Radeon Graphics/ NoOS/ RU) Silver (BK5M5EA)")</f>
        <v>HP 15-fc0171nia (5M5) (AMD Athlon Silver 7120U/ DDR5 8GB/ SSD 256GB/ 15,6" FHD/ AMD Radeon Graphics/ NoOS/ RU) Silver (BK5M5EA)</v>
      </c>
      <c r="B748" s="16" t="str">
        <f ca="1">IFERROR(__xludf.DUMMYFUNCTION("""COMPUTED_VALUE"""),"BK5M5EA")</f>
        <v>BK5M5EA</v>
      </c>
      <c r="C748" s="16" t="str">
        <f ca="1">IFERROR(__xludf.DUMMYFUNCTION("""COMPUTED_VALUE"""),"305,")</f>
        <v>305,</v>
      </c>
    </row>
    <row r="749" spans="1:3" ht="15.75" customHeight="1">
      <c r="A749" s="16" t="str">
        <f ca="1">IFERROR(__xludf.DUMMYFUNCTION("""COMPUTED_VALUE"""),"HP 240 G10 (053) (Intel Core i3-1315U/ DDR4 8GB/ SSD 256GB/ 14"" FHD IPS/ Intel UHD Graphics/ NoOS/RU) Black (9G2G5ET)")</f>
        <v>HP 240 G10 (053) (Intel Core i3-1315U/ DDR4 8GB/ SSD 256GB/ 14" FHD IPS/ Intel UHD Graphics/ NoOS/RU) Black (9G2G5ET)</v>
      </c>
      <c r="B749" s="16" t="str">
        <f ca="1">IFERROR(__xludf.DUMMYFUNCTION("""COMPUTED_VALUE"""),"9G2G5ET")</f>
        <v>9G2G5ET</v>
      </c>
      <c r="C749" s="16" t="str">
        <f ca="1">IFERROR(__xludf.DUMMYFUNCTION("""COMPUTED_VALUE"""),"370,")</f>
        <v>370,</v>
      </c>
    </row>
    <row r="750" spans="1:3" ht="15.75" customHeight="1">
      <c r="A750" s="16" t="str">
        <f ca="1">IFERROR(__xludf.DUMMYFUNCTION("""COMPUTED_VALUE"""),"HP 15-fd0133wm (KT4) (Intel Core i3-N305/ DDR4 8GB/ SSD 256GB/ 15.6"" FHD/ Intel® UHD Graphics/ Win11H/ RU) Silver (B4KT4UA)")</f>
        <v>HP 15-fd0133wm (KT4) (Intel Core i3-N305/ DDR4 8GB/ SSD 256GB/ 15.6" FHD/ Intel® UHD Graphics/ Win11H/ RU) Silver (B4KT4UA)</v>
      </c>
      <c r="B750" s="16" t="str">
        <f ca="1">IFERROR(__xludf.DUMMYFUNCTION("""COMPUTED_VALUE"""),"B82HWEA")</f>
        <v>B82HWEA</v>
      </c>
      <c r="C750" s="16" t="str">
        <f ca="1">IFERROR(__xludf.DUMMYFUNCTION("""COMPUTED_VALUE"""),"375,")</f>
        <v>375,</v>
      </c>
    </row>
    <row r="751" spans="1:3" ht="15.75" customHeight="1">
      <c r="A751" s="16" t="str">
        <f ca="1">IFERROR(__xludf.DUMMYFUNCTION("""COMPUTED_VALUE"""),"HP 15-fd0230WM (8GJ) (Intel Core i3-N305/ DDR4 8GB/ SSD 256GB/ 15.6"" FHD Touch/ Intel UHD Graphics/ Backlit/ Win11/ Eng) Silver (C68GJUA) ")</f>
        <v xml:space="preserve">HP 15-fd0230WM (8GJ) (Intel Core i3-N305/ DDR4 8GB/ SSD 256GB/ 15.6" FHD Touch/ Intel UHD Graphics/ Backlit/ Win11/ Eng) Silver (C68GJUA) </v>
      </c>
      <c r="B751" s="16" t="str">
        <f ca="1">IFERROR(__xludf.DUMMYFUNCTION("""COMPUTED_VALUE"""),"C68GJUA")</f>
        <v>C68GJUA</v>
      </c>
      <c r="C751" s="16" t="str">
        <f ca="1">IFERROR(__xludf.DUMMYFUNCTION("""COMPUTED_VALUE"""),"390,")</f>
        <v>390,</v>
      </c>
    </row>
    <row r="752" spans="1:3" ht="15.75" customHeight="1">
      <c r="A752" s="16" t="str">
        <f ca="1">IFERROR(__xludf.DUMMYFUNCTION("""COMPUTED_VALUE"""),"HP 255 G10 (549) (AMD Ryzen 3-7320U/ DDR4 8GB/ SSD 256GB/ 15,6"" FHD/ AMD Radeon Graphics/ NoOS/ RU) Silver (8A549EA) (перечисление)")</f>
        <v>HP 255 G10 (549) (AMD Ryzen 3-7320U/ DDR4 8GB/ SSD 256GB/ 15,6" FHD/ AMD Radeon Graphics/ NoOS/ RU) Silver (8A549EA) (перечисление)</v>
      </c>
      <c r="B752" s="16" t="str">
        <f ca="1">IFERROR(__xludf.DUMMYFUNCTION("""COMPUTED_VALUE"""),"8A549EA")</f>
        <v>8A549EA</v>
      </c>
      <c r="C752" s="16" t="str">
        <f ca="1">IFERROR(__xludf.DUMMYFUNCTION("""COMPUTED_VALUE"""),"380,")</f>
        <v>380,</v>
      </c>
    </row>
    <row r="753" spans="1:3" ht="15.75" customHeight="1">
      <c r="A753" s="16" t="str">
        <f ca="1">IFERROR(__xludf.DUMMYFUNCTION("""COMPUTED_VALUE"""),"HP 15-fc0196nia (1R2) (AMD Ryzen 5-7520U/ DDR5 8GB/ SSD 512GB/ 15,6 FHD IPS/ AMD Radeon Graphics/ NoOS/ ENG) Silver (D01R2EA)")</f>
        <v>HP 15-fc0196nia (1R2) (AMD Ryzen 5-7520U/ DDR5 8GB/ SSD 512GB/ 15,6 FHD IPS/ AMD Radeon Graphics/ NoOS/ ENG) Silver (D01R2EA)</v>
      </c>
      <c r="B753" s="16" t="str">
        <f ca="1">IFERROR(__xludf.DUMMYFUNCTION("""COMPUTED_VALUE"""),"D01R2EA")</f>
        <v>D01R2EA</v>
      </c>
      <c r="C753" s="16" t="str">
        <f ca="1">IFERROR(__xludf.DUMMYFUNCTION("""COMPUTED_VALUE"""),"400,")</f>
        <v>400,</v>
      </c>
    </row>
    <row r="754" spans="1:3" ht="15.75" customHeight="1">
      <c r="A754" s="16" t="str">
        <f ca="1">IFERROR(__xludf.DUMMYFUNCTION("""COMPUTED_VALUE"""),"HP 15-Fc0046nq (AW5) (AMD Ryzen 5-7520U/ DDR4 16GB/ SSD 512GB/ 15,6 FHD/ AMD Radeon Graphics/ NoOS/ RU) Silver (C5AW5EA)")</f>
        <v>HP 15-Fc0046nq (AW5) (AMD Ryzen 5-7520U/ DDR4 16GB/ SSD 512GB/ 15,6 FHD/ AMD Radeon Graphics/ NoOS/ RU) Silver (C5AW5EA)</v>
      </c>
      <c r="B754" s="16" t="str">
        <f ca="1">IFERROR(__xludf.DUMMYFUNCTION("""COMPUTED_VALUE"""),"C5AW5EA")</f>
        <v>C5AW5EA</v>
      </c>
      <c r="C754" s="16" t="str">
        <f ca="1">IFERROR(__xludf.DUMMYFUNCTION("""COMPUTED_VALUE"""),"470,")</f>
        <v>470,</v>
      </c>
    </row>
    <row r="755" spans="1:3" ht="15.75" customHeight="1">
      <c r="A755" s="16" t="str">
        <f ca="1">IFERROR(__xludf.DUMMYFUNCTION("""COMPUTED_VALUE"""),"HP 250R G9 (NK9) (Intel Core i5-1334U/ DDR4 8GB/ SSD 512GB/ 15,6"" FHD IPS/ Intel Iris Xe Graphics/ NoOS/ RU) Black (B2NK9ES) (распродажа)")</f>
        <v>HP 250R G9 (NK9) (Intel Core i5-1334U/ DDR4 8GB/ SSD 512GB/ 15,6" FHD IPS/ Intel Iris Xe Graphics/ NoOS/ RU) Black (B2NK9ES) (распродажа)</v>
      </c>
      <c r="B755" s="16" t="str">
        <f ca="1">IFERROR(__xludf.DUMMYFUNCTION("""COMPUTED_VALUE"""),"B2NK9ES")</f>
        <v>B2NK9ES</v>
      </c>
      <c r="C755" s="16" t="str">
        <f ca="1">IFERROR(__xludf.DUMMYFUNCTION("""COMPUTED_VALUE"""),"475,")</f>
        <v>475,</v>
      </c>
    </row>
    <row r="756" spans="1:3" ht="15.75" customHeight="1">
      <c r="A756" s="16" t="str">
        <f ca="1">IFERROR(__xludf.DUMMYFUNCTION("""COMPUTED_VALUE"""),"HP 250R G10 (1B0) (Intel Core 5-120U/ DDR4 8GB/ SSD 512GB/ 15,6"" FHD IPS/ Intel UHD Graphics/ Backlit/ NoOS/ RU) Silver (CW1B0AT) (распродажа)")</f>
        <v>HP 250R G10 (1B0) (Intel Core 5-120U/ DDR4 8GB/ SSD 512GB/ 15,6" FHD IPS/ Intel UHD Graphics/ Backlit/ NoOS/ RU) Silver (CW1B0AT) (распродажа)</v>
      </c>
      <c r="B756" s="16" t="str">
        <f ca="1">IFERROR(__xludf.DUMMYFUNCTION("""COMPUTED_VALUE"""),"CW1B0AT")</f>
        <v>CW1B0AT</v>
      </c>
      <c r="C756" s="16" t="str">
        <f ca="1">IFERROR(__xludf.DUMMYFUNCTION("""COMPUTED_VALUE"""),"485,")</f>
        <v>485,</v>
      </c>
    </row>
    <row r="757" spans="1:3" ht="15.75" customHeight="1">
      <c r="A757" s="16" t="str">
        <f ca="1">IFERROR(__xludf.DUMMYFUNCTION("""COMPUTED_VALUE"""),"HP 15-fd0684nr (3L2) (Intel Core i5-1334U/ DDR4 12GB/ SSD 512GB/ 15.6"" FHD IPS/ Intel Iris Xe graphics/ Win11/ RU) Silver (BM3L2UA) ")</f>
        <v xml:space="preserve">HP 15-fd0684nr (3L2) (Intel Core i5-1334U/ DDR4 12GB/ SSD 512GB/ 15.6" FHD IPS/ Intel Iris Xe graphics/ Win11/ RU) Silver (BM3L2UA) </v>
      </c>
      <c r="B757" s="16" t="str">
        <f ca="1">IFERROR(__xludf.DUMMYFUNCTION("""COMPUTED_VALUE"""),"BM3L2UA")</f>
        <v>BM3L2UA</v>
      </c>
      <c r="C757" s="16" t="str">
        <f ca="1">IFERROR(__xludf.DUMMYFUNCTION("""COMPUTED_VALUE"""),"505,")</f>
        <v>505,</v>
      </c>
    </row>
    <row r="758" spans="1:3" ht="15.75" customHeight="1">
      <c r="A758" s="16" t="str">
        <f ca="1">IFERROR(__xludf.DUMMYFUNCTION("""COMPUTED_VALUE"""),"HP 15-fd0215dx (CN6) (Intel Core i5-1334U/ DDR4 16GB/ SSD 512GB/ 15.6"" FHD IPS Touch / Intel UHD Graphics/ NoOS/ RU) Silver (C0CN6UA)")</f>
        <v>HP 15-fd0215dx (CN6) (Intel Core i5-1334U/ DDR4 16GB/ SSD 512GB/ 15.6" FHD IPS Touch / Intel UHD Graphics/ NoOS/ RU) Silver (C0CN6UA)</v>
      </c>
      <c r="B758" s="16" t="str">
        <f ca="1">IFERROR(__xludf.DUMMYFUNCTION("""COMPUTED_VALUE"""),"C0CN6UA")</f>
        <v>C0CN6UA</v>
      </c>
      <c r="C758" s="16" t="str">
        <f ca="1">IFERROR(__xludf.DUMMYFUNCTION("""COMPUTED_VALUE"""),"540,")</f>
        <v>540,</v>
      </c>
    </row>
    <row r="759" spans="1:3" ht="15.75" customHeight="1">
      <c r="A759" s="16" t="str">
        <f ca="1">IFERROR(__xludf.DUMMYFUNCTION("""COMPUTED_VALUE"""),"Hp 15-Fd1003nq (BL2) (Intel Ultra 5-125H/ DDR5 24GB/ SSD 1TB/ 15.6"" FHD IPS/ Integrated Intel® Arc™ Graphics/ NoOS/ RU)  Silver (D0BL2EA)")</f>
        <v>Hp 15-Fd1003nq (BL2) (Intel Ultra 5-125H/ DDR5 24GB/ SSD 1TB/ 15.6" FHD IPS/ Integrated Intel® Arc™ Graphics/ NoOS/ RU)  Silver (D0BL2EA)</v>
      </c>
      <c r="B759" s="16" t="str">
        <f ca="1">IFERROR(__xludf.DUMMYFUNCTION("""COMPUTED_VALUE"""),"D0BL2EA")</f>
        <v>D0BL2EA</v>
      </c>
      <c r="C759" s="16" t="str">
        <f ca="1">IFERROR(__xludf.DUMMYFUNCTION("""COMPUTED_VALUE"""),"630,")</f>
        <v>630,</v>
      </c>
    </row>
    <row r="760" spans="1:3" ht="15.75" customHeight="1">
      <c r="A760" s="16" t="str">
        <f ca="1">IFERROR(__xludf.DUMMYFUNCTION("""COMPUTED_VALUE"""),"HP ProBook 460 G11 (6L0) (Intel Core Ultra 5-125U/ DDR5 8GB/ SSD 512GB/ 16"" WUXGA IPS/ Intel UHD Graphics/ Backlit/ NoOS/ RU) Pike Silver (B26L0PT)")</f>
        <v>HP ProBook 460 G11 (6L0) (Intel Core Ultra 5-125U/ DDR5 8GB/ SSD 512GB/ 16" WUXGA IPS/ Intel UHD Graphics/ Backlit/ NoOS/ RU) Pike Silver (B26L0PT)</v>
      </c>
      <c r="B760" s="16" t="str">
        <f ca="1">IFERROR(__xludf.DUMMYFUNCTION("""COMPUTED_VALUE"""),"B26L0PT")</f>
        <v>B26L0PT</v>
      </c>
      <c r="C760" s="16" t="str">
        <f ca="1">IFERROR(__xludf.DUMMYFUNCTION("""COMPUTED_VALUE"""),"690,")</f>
        <v>690,</v>
      </c>
    </row>
    <row r="761" spans="1:3" ht="15.75" customHeight="1">
      <c r="A761" s="16" t="str">
        <f ca="1">IFERROR(__xludf.DUMMYFUNCTION("""COMPUTED_VALUE"""),"HP ProBook 460 G11 (9ZP) (Intel Core Ultra 7-155U/ DDR5 8GB/ SSD 512GB/ 16"" WUXGA IPS/ Intel UHD Graphics/ Backlit/ NoOS/ RU) Pike Silver (B49ZPPT)")</f>
        <v>HP ProBook 460 G11 (9ZP) (Intel Core Ultra 7-155U/ DDR5 8GB/ SSD 512GB/ 16" WUXGA IPS/ Intel UHD Graphics/ Backlit/ NoOS/ RU) Pike Silver (B49ZPPT)</v>
      </c>
      <c r="B761" s="16" t="str">
        <f ca="1">IFERROR(__xludf.DUMMYFUNCTION("""COMPUTED_VALUE"""),"B49ZPPT")</f>
        <v>B49ZPPT</v>
      </c>
      <c r="C761" s="16" t="str">
        <f ca="1">IFERROR(__xludf.DUMMYFUNCTION("""COMPUTED_VALUE"""),"790,")</f>
        <v>790,</v>
      </c>
    </row>
    <row r="762" spans="1:3" ht="15.75" customHeight="1">
      <c r="A762" s="16" t="str">
        <f ca="1">IFERROR(__xludf.DUMMYFUNCTION("""COMPUTED_VALUE"""),"HP ProBook 4 G1iR (9X8) (Intel Core i5-1334U/ DDR5 16GB/ SSD 512GB/ 14 WUXGA IPS/ Intel UHD Graphics/ Backlit/ DOS) Pike Silver (B39X8AT)")</f>
        <v>HP ProBook 4 G1iR (9X8) (Intel Core i5-1334U/ DDR5 16GB/ SSD 512GB/ 14 WUXGA IPS/ Intel UHD Graphics/ Backlit/ DOS) Pike Silver (B39X8AT)</v>
      </c>
      <c r="B762" s="16" t="str">
        <f ca="1">IFERROR(__xludf.DUMMYFUNCTION("""COMPUTED_VALUE"""),"B39X8AT")</f>
        <v>B39X8AT</v>
      </c>
      <c r="C762" s="16" t="str">
        <f ca="1">IFERROR(__xludf.DUMMYFUNCTION("""COMPUTED_VALUE"""),"715,")</f>
        <v>715,</v>
      </c>
    </row>
    <row r="763" spans="1:3" ht="15.75" customHeight="1">
      <c r="A763" s="16" t="str">
        <f ca="1">IFERROR(__xludf.DUMMYFUNCTION("""COMPUTED_VALUE"""),"HP ProBook 4 G1iR (9G0) (Intel Core 5-120U/ DDR5 16GB/ SSD 512GB/ 16 WUXGA IPS/ Intel UHD Graphics/ Backlit/ DOS/ RU ) Silver (CW9G0AT)")</f>
        <v>HP ProBook 4 G1iR (9G0) (Intel Core 5-120U/ DDR5 16GB/ SSD 512GB/ 16 WUXGA IPS/ Intel UHD Graphics/ Backlit/ DOS/ RU ) Silver (CW9G0AT)</v>
      </c>
      <c r="B763" s="16" t="str">
        <f ca="1">IFERROR(__xludf.DUMMYFUNCTION("""COMPUTED_VALUE"""),"CW9G0AT")</f>
        <v>CW9G0AT</v>
      </c>
      <c r="C763" s="16" t="str">
        <f ca="1">IFERROR(__xludf.DUMMYFUNCTION("""COMPUTED_VALUE"""),"795,")</f>
        <v>795,</v>
      </c>
    </row>
    <row r="764" spans="1:3" ht="15.75" customHeight="1">
      <c r="A764" s="16" t="str">
        <f ca="1">IFERROR(__xludf.DUMMYFUNCTION("""COMPUTED_VALUE"""),"HP Victus 15-fa2013dx (5WH) (Intel Core i5-13420H/ DDR4 8GB/ SSD 512GB/ 15,6"" FHD 144Hz/ 6GB GF RTX3050/ Backlit/ Win11/ RU) Black (B95WHUA) ")</f>
        <v xml:space="preserve">HP Victus 15-fa2013dx (5WH) (Intel Core i5-13420H/ DDR4 8GB/ SSD 512GB/ 15,6" FHD 144Hz/ 6GB GF RTX3050/ Backlit/ Win11/ RU) Black (B95WHUA) </v>
      </c>
      <c r="B764" s="16" t="str">
        <f ca="1">IFERROR(__xludf.DUMMYFUNCTION("""COMPUTED_VALUE"""),"B95WHUA")</f>
        <v>B95WHUA</v>
      </c>
      <c r="C764" s="16" t="str">
        <f ca="1">IFERROR(__xludf.DUMMYFUNCTION("""COMPUTED_VALUE"""),"660,")</f>
        <v>660,</v>
      </c>
    </row>
    <row r="765" spans="1:3" ht="15.75" customHeight="1">
      <c r="A765" s="16" t="str">
        <f ca="1">IFERROR(__xludf.DUMMYFUNCTION("""COMPUTED_VALUE"""),"HP Victus 15-fa2082wm (EQ3) (Intel Core i5-13420H/ DDR4 16GB/ SSD 512GB / 15,6"" FHD 144Hz/ 6GB GF RTX4050/ Backlit/ Win11H/ RU) Mica Silver (B5EQ3UA)")</f>
        <v>HP Victus 15-fa2082wm (EQ3) (Intel Core i5-13420H/ DDR4 16GB/ SSD 512GB / 15,6" FHD 144Hz/ 6GB GF RTX4050/ Backlit/ Win11H/ RU) Mica Silver (B5EQ3UA)</v>
      </c>
      <c r="B765" s="16" t="str">
        <f ca="1">IFERROR(__xludf.DUMMYFUNCTION("""COMPUTED_VALUE"""),"B5EQ3UA")</f>
        <v>B5EQ3UA</v>
      </c>
      <c r="C765" s="16" t="str">
        <f ca="1">IFERROR(__xludf.DUMMYFUNCTION("""COMPUTED_VALUE"""),"750,")</f>
        <v>750,</v>
      </c>
    </row>
    <row r="766" spans="1:3" ht="15.75" customHeight="1">
      <c r="A766" s="16" t="str">
        <f ca="1">IFERROR(__xludf.DUMMYFUNCTION("""COMPUTED_VALUE"""),"HP Victus 15-fa2021nia (1TG) (Intel Core i7-13620H/ DDR4 16GB/ SSD 512GB/ 15,6 FHD IPS 144hz/ 6GB RTX3050/ Backlit/ Win11/ RU) Black (C21TGEA)")</f>
        <v>HP Victus 15-fa2021nia (1TG) (Intel Core i7-13620H/ DDR4 16GB/ SSD 512GB/ 15,6 FHD IPS 144hz/ 6GB RTX3050/ Backlit/ Win11/ RU) Black (C21TGEA)</v>
      </c>
      <c r="B766" s="16" t="str">
        <f ca="1">IFERROR(__xludf.DUMMYFUNCTION("""COMPUTED_VALUE"""),"C21TGEA")</f>
        <v>C21TGEA</v>
      </c>
      <c r="C766" s="16" t="str">
        <f ca="1">IFERROR(__xludf.DUMMYFUNCTION("""COMPUTED_VALUE"""),"910,")</f>
        <v>910,</v>
      </c>
    </row>
    <row r="767" spans="1:3" ht="15.75" customHeight="1">
      <c r="A767" s="16" t="str">
        <f ca="1">IFERROR(__xludf.DUMMYFUNCTION("""COMPUTED_VALUE"""),"HP Victus 15-fa2309tx (5MS) (Intel Core i7-13600H/ DDR5 24GB/ SSD 1TB/ 15,6 FHD IPS 144hz/ 8GB RTX5050/ Backlit/ Win11/ RU) Black (C25MSPA)")</f>
        <v>HP Victus 15-fa2309tx (5MS) (Intel Core i7-13600H/ DDR5 24GB/ SSD 1TB/ 15,6 FHD IPS 144hz/ 8GB RTX5050/ Backlit/ Win11/ RU) Black (C25MSPA)</v>
      </c>
      <c r="B767" s="16" t="str">
        <f ca="1">IFERROR(__xludf.DUMMYFUNCTION("""COMPUTED_VALUE"""),"C25MSPA")</f>
        <v>C25MSPA</v>
      </c>
      <c r="C767" s="16" t="str">
        <f ca="1">IFERROR(__xludf.DUMMYFUNCTION("""COMPUTED_VALUE"""),"1080,")</f>
        <v>1080,</v>
      </c>
    </row>
    <row r="768" spans="1:3" ht="15.75" customHeight="1">
      <c r="A768" s="16" t="str">
        <f ca="1">IFERROR(__xludf.DUMMYFUNCTION("""COMPUTED_VALUE"""),"HP OmniBook 3 15-fn0105dx (0WB) (AMD Ryzen AI 5-330/ DDR5 16GB/ SSD 512GB/ 15,6 FHD IPS Touch/ AMD Radeon Graphics/ NoOS/ RU) Silver (C20WBUA)")</f>
        <v>HP OmniBook 3 15-fn0105dx (0WB) (AMD Ryzen AI 5-330/ DDR5 16GB/ SSD 512GB/ 15,6 FHD IPS Touch/ AMD Radeon Graphics/ NoOS/ RU) Silver (C20WBUA)</v>
      </c>
      <c r="B768" s="16" t="str">
        <f ca="1">IFERROR(__xludf.DUMMYFUNCTION("""COMPUTED_VALUE"""),"C20WBUA")</f>
        <v>C20WBUA</v>
      </c>
      <c r="C768" s="16" t="str">
        <f ca="1">IFERROR(__xludf.DUMMYFUNCTION("""COMPUTED_VALUE"""),"630,")</f>
        <v>630,</v>
      </c>
    </row>
    <row r="769" spans="1:3" ht="15.75" customHeight="1">
      <c r="A769" s="16" t="str">
        <f ca="1">IFERROR(__xludf.DUMMYFUNCTION("""COMPUTED_VALUE"""),"HP OmniBook 5 16-af1017wm (PX1) (Intel Core Ultra 7-255U/ DDR5 16GB/ SSD 1TB/ 16"" WUXGA Touchscreen/ Integrated Intel® Graphics/ Backlit/ Win11H/ Eng) Silver (B5PX1UA)")</f>
        <v>HP OmniBook 5 16-af1017wm (PX1) (Intel Core Ultra 7-255U/ DDR5 16GB/ SSD 1TB/ 16" WUXGA Touchscreen/ Integrated Intel® Graphics/ Backlit/ Win11H/ Eng) Silver (B5PX1UA)</v>
      </c>
      <c r="B769" s="16" t="str">
        <f ca="1">IFERROR(__xludf.DUMMYFUNCTION("""COMPUTED_VALUE"""),"B5PX1UA")</f>
        <v>B5PX1UA</v>
      </c>
      <c r="C769" s="16" t="str">
        <f ca="1">IFERROR(__xludf.DUMMYFUNCTION("""COMPUTED_VALUE"""),"730,")</f>
        <v>730,</v>
      </c>
    </row>
    <row r="770" spans="1:3" ht="15.75" customHeight="1">
      <c r="A770" s="16" t="str">
        <f ca="1">IFERROR(__xludf.DUMMYFUNCTION("""COMPUTED_VALUE"""),"HP Elite Dragonfly G3 (913) (Intel Core i7-1255U/ DDR5 16GB/ SSD 512GB NVMe/ 13.5 WUXGA+ (1920x1280)  Integrated Intel® Graphics/ Backlit/ RU) Blue (5P6P6EA)")</f>
        <v>HP Elite Dragonfly G3 (913) (Intel Core i7-1255U/ DDR5 16GB/ SSD 512GB NVMe/ 13.5 WUXGA+ (1920x1280)  Integrated Intel® Graphics/ Backlit/ RU) Blue (5P6P6EA)</v>
      </c>
      <c r="B770" s="16" t="str">
        <f ca="1">IFERROR(__xludf.DUMMYFUNCTION("""COMPUTED_VALUE"""),"5P6P6EA")</f>
        <v>5P6P6EA</v>
      </c>
      <c r="C770" s="16" t="str">
        <f ca="1">IFERROR(__xludf.DUMMYFUNCTION("""COMPUTED_VALUE"""),"999,")</f>
        <v>999,</v>
      </c>
    </row>
    <row r="771" spans="1:3" ht="15.75" customHeight="1">
      <c r="A771" s="16" t="str">
        <f ca="1">IFERROR(__xludf.DUMMYFUNCTION("""COMPUTED_VALUE"""),"HP EliteBook 8 G1i 16 (843) (Intel Core Ultra 7-255U/ DDR5 16GB/ SSD 1TB / 16 WUXGA IPS/ Intel® Graphics/  Backlit/ NoOS/ Ru) Glacier Silver Aluminium (D13HXAT)")</f>
        <v>HP EliteBook 8 G1i 16 (843) (Intel Core Ultra 7-255U/ DDR5 16GB/ SSD 1TB / 16 WUXGA IPS/ Intel® Graphics/  Backlit/ NoOS/ Ru) Glacier Silver Aluminium (D13HXAT)</v>
      </c>
      <c r="B771" s="16" t="str">
        <f ca="1">IFERROR(__xludf.DUMMYFUNCTION("""COMPUTED_VALUE"""),"D13HXAT")</f>
        <v>D13HXAT</v>
      </c>
      <c r="C771" s="16" t="str">
        <f ca="1">IFERROR(__xludf.DUMMYFUNCTION("""COMPUTED_VALUE"""),"1400,")</f>
        <v>1400,</v>
      </c>
    </row>
    <row r="772" spans="1:3" ht="15.75" customHeight="1">
      <c r="A772" s="16" t="str">
        <f ca="1">IFERROR(__xludf.DUMMYFUNCTION("""COMPUTED_VALUE"""),"HP EliteBook 8 G1i 16 (577) (Intel Core Ultra 7-255U/ DDR5 32GB/ SSD 1TB / 16 WUXGA IPS/ Intel® Graphics/ Backlit/ NoOS/ Ru) Glacier Silver Aluminium (A37GJET) (перечисление)")</f>
        <v>HP EliteBook 8 G1i 16 (577) (Intel Core Ultra 7-255U/ DDR5 32GB/ SSD 1TB / 16 WUXGA IPS/ Intel® Graphics/ Backlit/ NoOS/ Ru) Glacier Silver Aluminium (A37GJET) (перечисление)</v>
      </c>
      <c r="B772" s="16" t="str">
        <f ca="1">IFERROR(__xludf.DUMMYFUNCTION("""COMPUTED_VALUE"""),"A37GJET")</f>
        <v>A37GJET</v>
      </c>
      <c r="C772" s="16" t="str">
        <f ca="1">IFERROR(__xludf.DUMMYFUNCTION("""COMPUTED_VALUE"""),"1450,")</f>
        <v>1450,</v>
      </c>
    </row>
    <row r="773" spans="1:3" ht="15.75" customHeight="1">
      <c r="A773" s="16" t="str">
        <f ca="1">IFERROR(__xludf.DUMMYFUNCTION("""COMPUTED_VALUE"""),"HP EliteBook 8 G1i 16 (947) (Intel Core Ultra 7-255H/ DDR5 32GB/ SSD 1TB/ 16"" WUXGA IPS/  Intel Arc 140T/ Win11Pro/ RU) Silver (AD3T0ET) (перечисление)")</f>
        <v>HP EliteBook 8 G1i 16 (947) (Intel Core Ultra 7-255H/ DDR5 32GB/ SSD 1TB/ 16" WUXGA IPS/  Intel Arc 140T/ Win11Pro/ RU) Silver (AD3T0ET) (перечисление)</v>
      </c>
      <c r="B773" s="16" t="str">
        <f ca="1">IFERROR(__xludf.DUMMYFUNCTION("""COMPUTED_VALUE"""),"AD3T0ET")</f>
        <v>AD3T0ET</v>
      </c>
      <c r="C773" s="16" t="str">
        <f ca="1">IFERROR(__xludf.DUMMYFUNCTION("""COMPUTED_VALUE"""),"1450,")</f>
        <v>1450,</v>
      </c>
    </row>
    <row r="774" spans="1:3" ht="15.75" customHeight="1">
      <c r="A774" s="16" t="str">
        <f ca="1">IFERROR(__xludf.DUMMYFUNCTION("""COMPUTED_VALUE"""),"HP OmniBook Ultra Flip x360 14-fh0005ci (4Z9) (Intel Core Ultra 7-256V/ LPDDR5X 16GB/ SSD 1TB/ 14"" 3K OLED/ Intel Arc Graphics/ W11H/RU) Eclipse Gray (B54Z9EA)  (перечисление)")</f>
        <v>HP OmniBook Ultra Flip x360 14-fh0005ci (4Z9) (Intel Core Ultra 7-256V/ LPDDR5X 16GB/ SSD 1TB/ 14" 3K OLED/ Intel Arc Graphics/ W11H/RU) Eclipse Gray (B54Z9EA)  (перечисление)</v>
      </c>
      <c r="B774" s="16" t="str">
        <f ca="1">IFERROR(__xludf.DUMMYFUNCTION("""COMPUTED_VALUE"""),"B54Z9EA")</f>
        <v>B54Z9EA</v>
      </c>
      <c r="C774" s="16" t="str">
        <f ca="1">IFERROR(__xludf.DUMMYFUNCTION("""COMPUTED_VALUE"""),"1500,")</f>
        <v>1500,</v>
      </c>
    </row>
    <row r="775" spans="1:3" ht="15.75" customHeight="1">
      <c r="A775" s="16" t="str">
        <f ca="1">IFERROR(__xludf.DUMMYFUNCTION("""COMPUTED_VALUE"""),"HP Omen MAX 16-ah0028ci (4L4) (Intel Core Ultra 9-275HX/ DDR5 32GB/ SSD 1TB/ 16 WQXGA OLED 240hz/ 8GB RTX5060/RGB Backlit/ FreeDOS/ RU) Shadow black (C94L4EA) (перечисление)")</f>
        <v>HP Omen MAX 16-ah0028ci (4L4) (Intel Core Ultra 9-275HX/ DDR5 32GB/ SSD 1TB/ 16 WQXGA OLED 240hz/ 8GB RTX5060/RGB Backlit/ FreeDOS/ RU) Shadow black (C94L4EA) (перечисление)</v>
      </c>
      <c r="B775" s="16" t="str">
        <f ca="1">IFERROR(__xludf.DUMMYFUNCTION("""COMPUTED_VALUE"""),"C94L4EA")</f>
        <v>C94L4EA</v>
      </c>
      <c r="C775" s="16" t="str">
        <f ca="1">IFERROR(__xludf.DUMMYFUNCTION("""COMPUTED_VALUE"""),"1830,")</f>
        <v>1830,</v>
      </c>
    </row>
    <row r="776" spans="1:3" ht="15.75" customHeight="1">
      <c r="A776" s="16" t="str">
        <f ca="1">IFERROR(__xludf.DUMMYFUNCTION("""COMPUTED_VALUE"""),"HP Omen MAX 16-ah0027ci (4L3) (Intel Core Ultra 9-275HX/ DDR5 32GB/ SSD 1TB/ 16 WQXGA OLED 240hz/ 8GB RTX5060/RGB Backlit/ FreeDOS/ RU) Ceramic white (C94L3EA) (перечисление)")</f>
        <v>HP Omen MAX 16-ah0027ci (4L3) (Intel Core Ultra 9-275HX/ DDR5 32GB/ SSD 1TB/ 16 WQXGA OLED 240hz/ 8GB RTX5060/RGB Backlit/ FreeDOS/ RU) Ceramic white (C94L3EA) (перечисление)</v>
      </c>
      <c r="B776" s="16" t="str">
        <f ca="1">IFERROR(__xludf.DUMMYFUNCTION("""COMPUTED_VALUE"""),"C94L3EA")</f>
        <v>C94L3EA</v>
      </c>
      <c r="C776" s="16" t="str">
        <f ca="1">IFERROR(__xludf.DUMMYFUNCTION("""COMPUTED_VALUE"""),"1850,")</f>
        <v>1850,</v>
      </c>
    </row>
    <row r="777" spans="1:3" ht="15.75" customHeight="1">
      <c r="A777" s="16" t="str">
        <f ca="1">IFERROR(__xludf.DUMMYFUNCTION("""COMPUTED_VALUE"""),"HP Omen MAX 16-ah0019ci (9Z2) (Intel Core Ultra 9-275HX / DDR5 64GB/ SSD 2TB/ 16 WQXGA IPS 240hz/ 24GB RTX5090/RGB Backlit/ FreeDOS/ RU) Shadow black (BK9Z2EA) (перечисление)")</f>
        <v>HP Omen MAX 16-ah0019ci (9Z2) (Intel Core Ultra 9-275HX / DDR5 64GB/ SSD 2TB/ 16 WQXGA IPS 240hz/ 24GB RTX5090/RGB Backlit/ FreeDOS/ RU) Shadow black (BK9Z2EA) (перечисление)</v>
      </c>
      <c r="B777" s="16" t="str">
        <f ca="1">IFERROR(__xludf.DUMMYFUNCTION("""COMPUTED_VALUE"""),"BK9Z2EA")</f>
        <v>BK9Z2EA</v>
      </c>
      <c r="C777" s="16" t="str">
        <f ca="1">IFERROR(__xludf.DUMMYFUNCTION("""COMPUTED_VALUE"""),"3800,")</f>
        <v>3800,</v>
      </c>
    </row>
    <row r="778" spans="1:3" ht="15.75" customHeight="1">
      <c r="A778" s="16" t="str">
        <f ca="1">IFERROR(__xludf.DUMMYFUNCTION("""COMPUTED_VALUE"""),"ASUS ExpertCenter V440VA  (Intel Core i5-13420U/ DDR5 8GB/ SSD 512GB/ 24 FHD/ Intel® UHD Graphics/ No DVD/ key + mouse/ RU) White (V440VAK-WPC0120 / 90PT03X1-M00100)")</f>
        <v>ASUS ExpertCenter V440VA  (Intel Core i5-13420U/ DDR5 8GB/ SSD 512GB/ 24 FHD/ Intel® UHD Graphics/ No DVD/ key + mouse/ RU) White (V440VAK-WPC0120 / 90PT03X1-M00100)</v>
      </c>
      <c r="B778" s="16" t="str">
        <f ca="1">IFERROR(__xludf.DUMMYFUNCTION("""COMPUTED_VALUE"""),"V440VAK-WPC0120 / 90PT03X1-M00100")</f>
        <v>V440VAK-WPC0120 / 90PT03X1-M00100</v>
      </c>
      <c r="C778" s="16" t="str">
        <f ca="1">IFERROR(__xludf.DUMMYFUNCTION("""COMPUTED_VALUE"""),"600,")</f>
        <v>600,</v>
      </c>
    </row>
    <row r="779" spans="1:3" ht="15.75" customHeight="1">
      <c r="A779" s="16" t="str">
        <f ca="1">IFERROR(__xludf.DUMMYFUNCTION("""COMPUTED_VALUE"""),"Acer Aspire C24-2G (Intel N150/ DDR4 8GB/ SSD 512GB/ 23.8 FHD IPS 120Hz / Intel® UHD Graphics/ No DVD/ key + mouse/ NoOS/ RU) (DQ.BPGEC.002)")</f>
        <v>Acer Aspire C24-2G (Intel N150/ DDR4 8GB/ SSD 512GB/ 23.8 FHD IPS 120Hz / Intel® UHD Graphics/ No DVD/ key + mouse/ NoOS/ RU) (DQ.BPGEC.002)</v>
      </c>
      <c r="B779" s="16" t="str">
        <f ca="1">IFERROR(__xludf.DUMMYFUNCTION("""COMPUTED_VALUE"""),"DQ.BPGEC.002")</f>
        <v>DQ.BPGEC.002</v>
      </c>
      <c r="C779" s="16" t="str">
        <f ca="1">IFERROR(__xludf.DUMMYFUNCTION("""COMPUTED_VALUE"""),"400,")</f>
        <v>400,</v>
      </c>
    </row>
    <row r="780" spans="1:3" ht="15.75" customHeight="1">
      <c r="A780" s="16" t="str">
        <f ca="1">IFERROR(__xludf.DUMMYFUNCTION("""COMPUTED_VALUE"""),"HP 24-cr0004ny (4H5) (Intel Core i3-1315U/ DDR4 8GB/ SSD 256GB/ 23,8 FHD/ Intel® UHD Graphics/ No DVD/ key + mouse/ NoOS/ RU) White (8G4H5EA)")</f>
        <v>HP 24-cr0004ny (4H5) (Intel Core i3-1315U/ DDR4 8GB/ SSD 256GB/ 23,8 FHD/ Intel® UHD Graphics/ No DVD/ key + mouse/ NoOS/ RU) White (8G4H5EA)</v>
      </c>
      <c r="B780" s="16" t="str">
        <f ca="1">IFERROR(__xludf.DUMMYFUNCTION("""COMPUTED_VALUE"""),"8G4H5EA")</f>
        <v>8G4H5EA</v>
      </c>
      <c r="C780" s="16" t="str">
        <f ca="1">IFERROR(__xludf.DUMMYFUNCTION("""COMPUTED_VALUE"""),"490,")</f>
        <v>490,</v>
      </c>
    </row>
    <row r="781" spans="1:3" ht="15.75" customHeight="1">
      <c r="A781" s="16" t="str">
        <f ca="1">IFERROR(__xludf.DUMMYFUNCTION("""COMPUTED_VALUE"""),"HP 24-cr0049l (9Y8) (Intel Core i5-1335U/ DDR4 8GB/ SSD 512GB/ 23,8 FHD/ Intel Iris Xe Graphics/ No DVD/ key + mouse/ NoOS/ RU) Black (BJ9Y8PA)")</f>
        <v>HP 24-cr0049l (9Y8) (Intel Core i5-1335U/ DDR4 8GB/ SSD 512GB/ 23,8 FHD/ Intel Iris Xe Graphics/ No DVD/ key + mouse/ NoOS/ RU) Black (BJ9Y8PA)</v>
      </c>
      <c r="B781" s="16" t="str">
        <f ca="1">IFERROR(__xludf.DUMMYFUNCTION("""COMPUTED_VALUE"""),"BJ9Y8PA")</f>
        <v>BJ9Y8PA</v>
      </c>
      <c r="C781" s="16" t="str">
        <f ca="1">IFERROR(__xludf.DUMMYFUNCTION("""COMPUTED_VALUE"""),"660,")</f>
        <v>660,</v>
      </c>
    </row>
    <row r="782" spans="1:3" ht="15.75" customHeight="1">
      <c r="A782" s="16" t="str">
        <f ca="1">IFERROR(__xludf.DUMMYFUNCTION("""COMPUTED_VALUE"""),"HP 24-cr0308nh (3T9) (Intel Core i5-1334U/ DDR4 8GB/ SSD 512GB/ 23,8 FHD IPS/ Intel Iris Xe Graphics/ No DVD/ key + mouse/ NoOS/ RU) Black (B73T9EA)")</f>
        <v>HP 24-cr0308nh (3T9) (Intel Core i5-1334U/ DDR4 8GB/ SSD 512GB/ 23,8 FHD IPS/ Intel Iris Xe Graphics/ No DVD/ key + mouse/ NoOS/ RU) Black (B73T9EA)</v>
      </c>
      <c r="B782" s="16" t="str">
        <f ca="1">IFERROR(__xludf.DUMMYFUNCTION("""COMPUTED_VALUE"""),"B73T9EA")</f>
        <v>B73T9EA</v>
      </c>
      <c r="C782" s="16" t="str">
        <f ca="1">IFERROR(__xludf.DUMMYFUNCTION("""COMPUTED_VALUE"""),"660,")</f>
        <v>660,</v>
      </c>
    </row>
    <row r="783" spans="1:3" ht="15.75" customHeight="1">
      <c r="A783" s="16" t="str">
        <f ca="1">IFERROR(__xludf.DUMMYFUNCTION("""COMPUTED_VALUE"""),"HP 24-cr0032l (NU0) (Intel Core i5-1335U/ DDR4 8GB/ SSD 512GB/ 23,8 FHD IPS/ Intel Iris Xe Graphics/ No DVD/ key + mouse/ NoOS/ RU) White (B6NU0PA)")</f>
        <v>HP 24-cr0032l (NU0) (Intel Core i5-1335U/ DDR4 8GB/ SSD 512GB/ 23,8 FHD IPS/ Intel Iris Xe Graphics/ No DVD/ key + mouse/ NoOS/ RU) White (B6NU0PA)</v>
      </c>
      <c r="B783" s="16" t="str">
        <f ca="1">IFERROR(__xludf.DUMMYFUNCTION("""COMPUTED_VALUE"""),"B6NU0PA")</f>
        <v>B6NU0PA</v>
      </c>
      <c r="C783" s="16" t="str">
        <f ca="1">IFERROR(__xludf.DUMMYFUNCTION("""COMPUTED_VALUE"""),"660,")</f>
        <v>660,</v>
      </c>
    </row>
    <row r="784" spans="1:3" ht="15.75" customHeight="1">
      <c r="A784" s="16" t="str">
        <f ca="1">IFERROR(__xludf.DUMMYFUNCTION("""COMPUTED_VALUE"""),"HP 24-cr0078ci (298/117/385) (Intel Core i5-1335U/ DDR4 8GB/ SSD 512GB/ 23,8 FHD/ Intel Iris Xe Graphics/ No DVD/ key + mouse/ NoOS/ RU) White (B08WBEA) (официальный)")</f>
        <v>HP 24-cr0078ci (298/117/385) (Intel Core i5-1335U/ DDR4 8GB/ SSD 512GB/ 23,8 FHD/ Intel Iris Xe Graphics/ No DVD/ key + mouse/ NoOS/ RU) White (B08WBEA) (официальный)</v>
      </c>
      <c r="B784" s="16" t="str">
        <f ca="1">IFERROR(__xludf.DUMMYFUNCTION("""COMPUTED_VALUE"""),"B08WBEA")</f>
        <v>B08WBEA</v>
      </c>
      <c r="C784" s="16" t="str">
        <f ca="1">IFERROR(__xludf.DUMMYFUNCTION("""COMPUTED_VALUE"""),"680,")</f>
        <v>680,</v>
      </c>
    </row>
    <row r="785" spans="1:3" ht="15.75" customHeight="1">
      <c r="A785" s="16" t="str">
        <f ca="1">IFERROR(__xludf.DUMMYFUNCTION("""COMPUTED_VALUE"""),"HP 24-cr1026ci (259/299/476/384) (Intel Core Ultra5-125U/ DDR5 8GB/ SSD 512GB/ 23,8 FHD/ Intel Graphics/ key + mouse/ NoOS/ RU) White (B08WCEA) (официальный)")</f>
        <v>HP 24-cr1026ci (259/299/476/384) (Intel Core Ultra5-125U/ DDR5 8GB/ SSD 512GB/ 23,8 FHD/ Intel Graphics/ key + mouse/ NoOS/ RU) White (B08WCEA) (официальный)</v>
      </c>
      <c r="B785" s="16" t="str">
        <f ca="1">IFERROR(__xludf.DUMMYFUNCTION("""COMPUTED_VALUE"""),"B08WCEA")</f>
        <v>B08WCEA</v>
      </c>
      <c r="C785" s="16" t="str">
        <f ca="1">IFERROR(__xludf.DUMMYFUNCTION("""COMPUTED_VALUE"""),"750,")</f>
        <v>750,</v>
      </c>
    </row>
    <row r="786" spans="1:3" ht="15.75" customHeight="1">
      <c r="A786" s="16" t="str">
        <f ca="1">IFERROR(__xludf.DUMMYFUNCTION("""COMPUTED_VALUE"""),"HP 24-cr1060ci (477) (Intel Core Ultra 5-125U/ DDR5 16GB/ SSD 512GB/ 23,8 FHD/  Intel UHD Graphics/ key + mouse/ FreeDOS/ RU) White (D10D6EA)")</f>
        <v>HP 24-cr1060ci (477) (Intel Core Ultra 5-125U/ DDR5 16GB/ SSD 512GB/ 23,8 FHD/  Intel UHD Graphics/ key + mouse/ FreeDOS/ RU) White (D10D6EA)</v>
      </c>
      <c r="B786" s="16" t="str">
        <f ca="1">IFERROR(__xludf.DUMMYFUNCTION("""COMPUTED_VALUE"""),"D10D6EA")</f>
        <v>D10D6EA</v>
      </c>
      <c r="C786" s="16" t="str">
        <f ca="1">IFERROR(__xludf.DUMMYFUNCTION("""COMPUTED_VALUE"""),"780,")</f>
        <v>780,</v>
      </c>
    </row>
    <row r="787" spans="1:3" ht="15.75" customHeight="1">
      <c r="A787" s="16" t="str">
        <f ca="1">IFERROR(__xludf.DUMMYFUNCTION("""COMPUTED_VALUE"""),"HP 27-cr0046ci (606/129) (Intel Core i5-1335U/ DDR4 8GB/ SSD 512GB/ 27"" FHD/ Intel Iris Xe Graphics/ No DVD/ key + mouse/ NoOS/ RU) White (B08WDEA)")</f>
        <v>HP 27-cr0046ci (606/129) (Intel Core i5-1335U/ DDR4 8GB/ SSD 512GB/ 27" FHD/ Intel Iris Xe Graphics/ No DVD/ key + mouse/ NoOS/ RU) White (B08WDEA)</v>
      </c>
      <c r="B787" s="16" t="str">
        <f ca="1">IFERROR(__xludf.DUMMYFUNCTION("""COMPUTED_VALUE"""),"B08WDEA")</f>
        <v>B08WDEA</v>
      </c>
      <c r="C787" s="16" t="str">
        <f ca="1">IFERROR(__xludf.DUMMYFUNCTION("""COMPUTED_VALUE"""),"780,")</f>
        <v>780,</v>
      </c>
    </row>
    <row r="788" spans="1:3" ht="15.75" customHeight="1">
      <c r="A788" s="16" t="str">
        <f ca="1">IFERROR(__xludf.DUMMYFUNCTION("""COMPUTED_VALUE"""),"HP 27-cr0156nh (VA3) (Intel Core i7-1355U/ DDR4 8GB/ SSD 512GB/ 27"" FHD IPS/ Intel Iris Xe Graphics/  No DVD/ key + mouse/ NoOS/ RU) White (A9VA3EA) (официальный)")</f>
        <v>HP 27-cr0156nh (VA3) (Intel Core i7-1355U/ DDR4 8GB/ SSD 512GB/ 27" FHD IPS/ Intel Iris Xe Graphics/  No DVD/ key + mouse/ NoOS/ RU) White (A9VA3EA) (официальный)</v>
      </c>
      <c r="B788" s="16" t="str">
        <f ca="1">IFERROR(__xludf.DUMMYFUNCTION("""COMPUTED_VALUE"""),"A9VA3EA")</f>
        <v>A9VA3EA</v>
      </c>
      <c r="C788" s="16" t="str">
        <f ca="1">IFERROR(__xludf.DUMMYFUNCTION("""COMPUTED_VALUE"""),"950,")</f>
        <v>950,</v>
      </c>
    </row>
    <row r="789" spans="1:3" ht="15.75" customHeight="1">
      <c r="A789" s="16" t="str">
        <f ca="1">IFERROR(__xludf.DUMMYFUNCTION("""COMPUTED_VALUE"""),"HP 27-cr1058ci (768) (Intel Core Ultra 7-155U/ DDR5 8GB/ SSD 512GB/ 27 FHD IPS/Intel Iris Xe Graphics/ key + mouse/ NoOS/ RU) White (D2GQ2EA)  (официальный)")</f>
        <v>HP 27-cr1058ci (768) (Intel Core Ultra 7-155U/ DDR5 8GB/ SSD 512GB/ 27 FHD IPS/Intel Iris Xe Graphics/ key + mouse/ NoOS/ RU) White (D2GQ2EA)  (официальный)</v>
      </c>
      <c r="B789" s="16" t="str">
        <f ca="1">IFERROR(__xludf.DUMMYFUNCTION("""COMPUTED_VALUE"""),"D2GQ2EA")</f>
        <v>D2GQ2EA</v>
      </c>
      <c r="C789" s="16" t="str">
        <f ca="1">IFERROR(__xludf.DUMMYFUNCTION("""COMPUTED_VALUE"""),"880,")</f>
        <v>880,</v>
      </c>
    </row>
    <row r="790" spans="1:3" ht="15.75" customHeight="1">
      <c r="A790" s="16" t="str">
        <f ca="1">IFERROR(__xludf.DUMMYFUNCTION("""COMPUTED_VALUE"""),"HP ProStudio 4 G1i 24 (252) (Intel Core Ultra 5-225T/ DDR5 16GB/ SSD 512GB/ 23,8"" FHD IPS/ Intel UHD Graphics/ key + mouse/ NoOS/ RU) Black (D4PL9ET)")</f>
        <v>HP ProStudio 4 G1i 24 (252) (Intel Core Ultra 5-225T/ DDR5 16GB/ SSD 512GB/ 23,8" FHD IPS/ Intel UHD Graphics/ key + mouse/ NoOS/ RU) Black (D4PL9ET)</v>
      </c>
      <c r="B790" s="16" t="str">
        <f ca="1">IFERROR(__xludf.DUMMYFUNCTION("""COMPUTED_VALUE"""),"D4PL9ET")</f>
        <v>D4PL9ET</v>
      </c>
      <c r="C790" s="16" t="str">
        <f ca="1">IFERROR(__xludf.DUMMYFUNCTION("""COMPUTED_VALUE"""),"880,")</f>
        <v>880,</v>
      </c>
    </row>
    <row r="791" spans="1:3" ht="15.75" customHeight="1">
      <c r="A791" s="16" t="str">
        <f ca="1">IFERROR(__xludf.DUMMYFUNCTION("""COMPUTED_VALUE"""),"HP ProStudio 4 G1i 24 (950) (Intel Core Ultra 5-235T/ DDR5 16GB/ SSD 512GB/ 24 FHD/ Intel Graphics / key + mouse/ NoOS/ RU) Black  (D4RR2ET)")</f>
        <v>HP ProStudio 4 G1i 24 (950) (Intel Core Ultra 5-235T/ DDR5 16GB/ SSD 512GB/ 24 FHD/ Intel Graphics / key + mouse/ NoOS/ RU) Black  (D4RR2ET)</v>
      </c>
      <c r="B791" s="16" t="str">
        <f ca="1">IFERROR(__xludf.DUMMYFUNCTION("""COMPUTED_VALUE"""),"D4RR2ET")</f>
        <v>D4RR2ET</v>
      </c>
      <c r="C791" s="16" t="str">
        <f ca="1">IFERROR(__xludf.DUMMYFUNCTION("""COMPUTED_VALUE"""),"900,")</f>
        <v>900,</v>
      </c>
    </row>
    <row r="792" spans="1:3" ht="15.75" customHeight="1">
      <c r="A792" s="16" t="str">
        <f ca="1">IFERROR(__xludf.DUMMYFUNCTION("""COMPUTED_VALUE"""),"HP EliteOne 870 G9 (719) (Intel Core i7-14700/ DDR5 16GB/ SSD 512GB/ 27"" FHD IPS/ Intel® UHD Graphics/ NoOS/ RU) Silver (99B30ET)")</f>
        <v>HP EliteOne 870 G9 (719) (Intel Core i7-14700/ DDR5 16GB/ SSD 512GB/ 27" FHD IPS/ Intel® UHD Graphics/ NoOS/ RU) Silver (99B30ET)</v>
      </c>
      <c r="B792" s="16" t="str">
        <f ca="1">IFERROR(__xludf.DUMMYFUNCTION("""COMPUTED_VALUE"""),"99B30ET")</f>
        <v>99B30ET</v>
      </c>
      <c r="C792" s="16" t="str">
        <f ca="1">IFERROR(__xludf.DUMMYFUNCTION("""COMPUTED_VALUE"""),"1480,")</f>
        <v>1480,</v>
      </c>
    </row>
    <row r="793" spans="1:3" ht="15.75" customHeight="1">
      <c r="A793" s="16" t="str">
        <f ca="1">IFERROR(__xludf.DUMMYFUNCTION("""COMPUTED_VALUE"""),"HP EliteOne 870 G9 (6Y6) (Intel Core i7-14700/ DDR5 16GB/ SSD 512GB/ 27"" FHD IPS/ Intel® UHD Graphics/ NoOS/ RU) Silver (5V6Y6ES)")</f>
        <v>HP EliteOne 870 G9 (6Y6) (Intel Core i7-14700/ DDR5 16GB/ SSD 512GB/ 27" FHD IPS/ Intel® UHD Graphics/ NoOS/ RU) Silver (5V6Y6ES)</v>
      </c>
      <c r="B793" s="16" t="str">
        <f ca="1">IFERROR(__xludf.DUMMYFUNCTION("""COMPUTED_VALUE"""),"5V6Y6ES")</f>
        <v>5V6Y6ES</v>
      </c>
      <c r="C793" s="16" t="str">
        <f ca="1">IFERROR(__xludf.DUMMYFUNCTION("""COMPUTED_VALUE"""),"1500,")</f>
        <v>1500,</v>
      </c>
    </row>
    <row r="794" spans="1:3" ht="15.75" customHeight="1">
      <c r="A794" s="16" t="str">
        <f ca="1">IFERROR(__xludf.DUMMYFUNCTION("""COMPUTED_VALUE"""),"HP EliteOne 870 G9 (5W4) (Intel Core i7-14700/ DDR5 16GB/ SSD 1000GB/ 27"" FHD IPS/  Intel® UHD Graphics/ NoOS/ RU) Silver (D05W4PT)")</f>
        <v>HP EliteOne 870 G9 (5W4) (Intel Core i7-14700/ DDR5 16GB/ SSD 1000GB/ 27" FHD IPS/  Intel® UHD Graphics/ NoOS/ RU) Silver (D05W4PT)</v>
      </c>
      <c r="B794" s="16" t="str">
        <f ca="1">IFERROR(__xludf.DUMMYFUNCTION("""COMPUTED_VALUE"""),"D05W4PT")</f>
        <v>D05W4PT</v>
      </c>
      <c r="C794" s="16" t="str">
        <f ca="1">IFERROR(__xludf.DUMMYFUNCTION("""COMPUTED_VALUE"""),"1550,")</f>
        <v>1550,</v>
      </c>
    </row>
    <row r="795" spans="1:3" ht="15.75" customHeight="1">
      <c r="A795" s="16" t="str">
        <f ca="1">IFERROR(__xludf.DUMMYFUNCTION("""COMPUTED_VALUE"""),"HP EliteStudio 8 G1i (914) (Intel Core Ultra 7 265/ DDR5 16GB/ SSD 512GB/ 27"" QHD IPS/  Intel® UHD Graphics/ NoOS/ RU) Silver (C8AB5ET)")</f>
        <v>HP EliteStudio 8 G1i (914) (Intel Core Ultra 7 265/ DDR5 16GB/ SSD 512GB/ 27" QHD IPS/  Intel® UHD Graphics/ NoOS/ RU) Silver (C8AB5ET)</v>
      </c>
      <c r="B795" s="16" t="str">
        <f ca="1">IFERROR(__xludf.DUMMYFUNCTION("""COMPUTED_VALUE"""),"C8AB5ET")</f>
        <v>C8AB5ET</v>
      </c>
      <c r="C795" s="16" t="str">
        <f ca="1">IFERROR(__xludf.DUMMYFUNCTION("""COMPUTED_VALUE"""),"1700,")</f>
        <v>1700,</v>
      </c>
    </row>
    <row r="796" spans="1:3" ht="15.75" customHeight="1">
      <c r="A796" s="16" t="str">
        <f ca="1">IFERROR(__xludf.DUMMYFUNCTION("""COMPUTED_VALUE"""),"HP OmniStudio X 32-c0004ci (082) (Intel Core Ultra 5 125H/ DDR5 16GB 5600/ SSD 512GB/ 31,5"" 4K UHD IPS/ Intel® Arc/ No DVD/ key + mouse/ Win 11H/ RU) (CD9P0EA)")</f>
        <v>HP OmniStudio X 32-c0004ci (082) (Intel Core Ultra 5 125H/ DDR5 16GB 5600/ SSD 512GB/ 31,5" 4K UHD IPS/ Intel® Arc/ No DVD/ key + mouse/ Win 11H/ RU) (CD9P0EA)</v>
      </c>
      <c r="B796" s="16" t="str">
        <f ca="1">IFERROR(__xludf.DUMMYFUNCTION("""COMPUTED_VALUE"""),"CD9P0EA")</f>
        <v>CD9P0EA</v>
      </c>
      <c r="C796" s="16" t="str">
        <f ca="1">IFERROR(__xludf.DUMMYFUNCTION("""COMPUTED_VALUE"""),"1700,")</f>
        <v>1700,</v>
      </c>
    </row>
    <row r="797" spans="1:3" ht="15.75" customHeight="1">
      <c r="A797" s="16" t="str">
        <f ca="1">IFERROR(__xludf.DUMMYFUNCTION("""COMPUTED_VALUE"""),"HP OmniStudio X 32-c0011ci (549) (Intel Core Ultra 5-226V/ DDR5 16GB 5600/ SSD 512GB/ 31,5"" 4K UHD IPS/ Intel® Arc/ No DVD/ key + mouse/ Win 11H/ RU) (CJ9E5EA)")</f>
        <v>HP OmniStudio X 32-c0011ci (549) (Intel Core Ultra 5-226V/ DDR5 16GB 5600/ SSD 512GB/ 31,5" 4K UHD IPS/ Intel® Arc/ No DVD/ key + mouse/ Win 11H/ RU) (CJ9E5EA)</v>
      </c>
      <c r="B797" s="16" t="str">
        <f ca="1">IFERROR(__xludf.DUMMYFUNCTION("""COMPUTED_VALUE"""),"CJ9E5EA")</f>
        <v>CJ9E5EA</v>
      </c>
      <c r="C797" s="16" t="str">
        <f ca="1">IFERROR(__xludf.DUMMYFUNCTION("""COMPUTED_VALUE"""),"1800,")</f>
        <v>1800,</v>
      </c>
    </row>
    <row r="798" spans="1:3" ht="15.75" customHeight="1">
      <c r="A798" s="16" t="str">
        <f ca="1">IFERROR(__xludf.DUMMYFUNCTION("""COMPUTED_VALUE"""),"HP OmniStudio X 32-c0015ci (389) (Intel Core Ultra 7-155H/ DDR5 16GB 5600/ SSD 512GB/ 31,5"" 4K UHD IPS/ Intel® Arc/ No DVD/ key + mouse/ Win 11H/ RU) (D10D8EA) (2 штук)")</f>
        <v>HP OmniStudio X 32-c0015ci (389) (Intel Core Ultra 7-155H/ DDR5 16GB 5600/ SSD 512GB/ 31,5" 4K UHD IPS/ Intel® Arc/ No DVD/ key + mouse/ Win 11H/ RU) (D10D8EA) (2 штук)</v>
      </c>
      <c r="B798" s="16" t="str">
        <f ca="1">IFERROR(__xludf.DUMMYFUNCTION("""COMPUTED_VALUE"""),"D10D8EA")</f>
        <v>D10D8EA</v>
      </c>
      <c r="C798" s="16" t="str">
        <f ca="1">IFERROR(__xludf.DUMMYFUNCTION("""COMPUTED_VALUE"""),"2100,")</f>
        <v>2100,</v>
      </c>
    </row>
    <row r="799" spans="1:3" ht="15.75" customHeight="1">
      <c r="A799" s="16" t="str">
        <f ca="1">IFERROR(__xludf.DUMMYFUNCTION("""COMPUTED_VALUE"""),"HP OmniStudio X 32-c1004ci (977) (Intel Core Ultra 7-256V/ DDR5 16GB 5600/ SSD 512GB/  31,5 4K UHD IPS/  Intel® Arc/ No DVD/ key + mouse/ Win 11H/ RU) (D10D9EA) ")</f>
        <v xml:space="preserve">HP OmniStudio X 32-c1004ci (977) (Intel Core Ultra 7-256V/ DDR5 16GB 5600/ SSD 512GB/  31,5 4K UHD IPS/  Intel® Arc/ No DVD/ key + mouse/ Win 11H/ RU) (D10D9EA) </v>
      </c>
      <c r="B799" s="16" t="str">
        <f ca="1">IFERROR(__xludf.DUMMYFUNCTION("""COMPUTED_VALUE"""),"D10D9EA")</f>
        <v>D10D9EA</v>
      </c>
      <c r="C799" s="16" t="str">
        <f ca="1">IFERROR(__xludf.DUMMYFUNCTION("""COMPUTED_VALUE"""),"2200,")</f>
        <v>2200,</v>
      </c>
    </row>
    <row r="800" spans="1:3" ht="15.75" customHeight="1">
      <c r="A800" s="16" t="str">
        <f ca="1">IFERROR(__xludf.DUMMYFUNCTION("""COMPUTED_VALUE"""),"HP OmniStudio X 32-c0011ci (974) (Intel Core Ultra 7-258V/ DDR5 32GB 5600/ SSD 1TB/  31,5"" 4K UHD IPS/ Intel® Arc/ No DVD/ key + mouse/ Win 11H/ RU) (C09HKEA)")</f>
        <v>HP OmniStudio X 32-c0011ci (974) (Intel Core Ultra 7-258V/ DDR5 32GB 5600/ SSD 1TB/  31,5" 4K UHD IPS/ Intel® Arc/ No DVD/ key + mouse/ Win 11H/ RU) (C09HKEA)</v>
      </c>
      <c r="B800" s="16" t="str">
        <f ca="1">IFERROR(__xludf.DUMMYFUNCTION("""COMPUTED_VALUE"""),"C09HKEA")</f>
        <v>C09HKEA</v>
      </c>
      <c r="C800" s="16" t="str">
        <f ca="1">IFERROR(__xludf.DUMMYFUNCTION("""COMPUTED_VALUE"""),"2300,")</f>
        <v>2300,</v>
      </c>
    </row>
    <row r="801" spans="1:3" ht="15.75" customHeight="1">
      <c r="A801" s="16" t="str">
        <f ca="1">IFERROR(__xludf.DUMMYFUNCTION("""COMPUTED_VALUE"""),"HP OmniStudio X 32-c0014ci (406/118) (Intel Core Ultra 7-155H/ DDR5 16GB 5600/ SSD 512GB/ 31,5"" 4K UHD IPS/6GB RTX4050/ No DVD/ key + mouse/ Win 11H/ RU) (D10D7EA)")</f>
        <v>HP OmniStudio X 32-c0014ci (406/118) (Intel Core Ultra 7-155H/ DDR5 16GB 5600/ SSD 512GB/ 31,5" 4K UHD IPS/6GB RTX4050/ No DVD/ key + mouse/ Win 11H/ RU) (D10D7EA)</v>
      </c>
      <c r="B801" s="16" t="str">
        <f ca="1">IFERROR(__xludf.DUMMYFUNCTION("""COMPUTED_VALUE"""),"D10D7EA")</f>
        <v>D10D7EA</v>
      </c>
      <c r="C801" s="16" t="str">
        <f ca="1">IFERROR(__xludf.DUMMYFUNCTION("""COMPUTED_VALUE"""),"2500,")</f>
        <v>2500,</v>
      </c>
    </row>
    <row r="802" spans="1:3" ht="15.75" customHeight="1">
      <c r="A802" s="16" t="str">
        <f ca="1">IFERROR(__xludf.DUMMYFUNCTION("""COMPUTED_VALUE"""),"HP OmniStudio X 32-c0016ci (132) (Intel Core Ultra 7-155H/ DDR5 16GB 5600/ SSD 1TB/ 31,5 4K UHD IPS/ 6GB RTX4050/ No DVD/ key + mouse/ Win 11H/ RU) (B49H8EA)")</f>
        <v>HP OmniStudio X 32-c0016ci (132) (Intel Core Ultra 7-155H/ DDR5 16GB 5600/ SSD 1TB/ 31,5 4K UHD IPS/ 6GB RTX4050/ No DVD/ key + mouse/ Win 11H/ RU) (B49H8EA)</v>
      </c>
      <c r="B802" s="16" t="str">
        <f ca="1">IFERROR(__xludf.DUMMYFUNCTION("""COMPUTED_VALUE"""),"B49H8EA")</f>
        <v>B49H8EA</v>
      </c>
      <c r="C802" s="16" t="str">
        <f ca="1">IFERROR(__xludf.DUMMYFUNCTION("""COMPUTED_VALUE"""),"2650,")</f>
        <v>2650,</v>
      </c>
    </row>
    <row r="803" spans="1:3" ht="15.75" customHeight="1">
      <c r="A803" s="16" t="str">
        <f ca="1">IFERROR(__xludf.DUMMYFUNCTION("""COMPUTED_VALUE"""),"HP OmniStudio X 32-c0021ny (967) (Intel Core Ultra 7-155H/ DDR5 32GB 5600/ SSD 1000GB/ 31,5"" 4K UHD IPS/ 6GB RTX4050/ No DVD/ key + mouse/ Win 11H/ RU) (CV0J4EA)")</f>
        <v>HP OmniStudio X 32-c0021ny (967) (Intel Core Ultra 7-155H/ DDR5 32GB 5600/ SSD 1000GB/ 31,5" 4K UHD IPS/ 6GB RTX4050/ No DVD/ key + mouse/ Win 11H/ RU) (CV0J4EA)</v>
      </c>
      <c r="B803" s="16" t="str">
        <f ca="1">IFERROR(__xludf.DUMMYFUNCTION("""COMPUTED_VALUE"""),"CV0J4EA")</f>
        <v>CV0J4EA</v>
      </c>
      <c r="C803" s="16" t="str">
        <f ca="1">IFERROR(__xludf.DUMMYFUNCTION("""COMPUTED_VALUE"""),"2800,")</f>
        <v>2800,</v>
      </c>
    </row>
    <row r="804" spans="1:3" ht="15.75" customHeight="1">
      <c r="A804" s="16" t="str">
        <f ca="1">IFERROR(__xludf.DUMMYFUNCTION("""COMPUTED_VALUE"""),"Lenovo A100 (Intel Core i3-N305/ DDR4 8GB/ SSD 512GB/ 23,8 FHD/ Integrated Intel® UHD Graphics/ key + mouse/ NoOS/ RU) Luna Grey (F0J60070LK)")</f>
        <v>Lenovo A100 (Intel Core i3-N305/ DDR4 8GB/ SSD 512GB/ 23,8 FHD/ Integrated Intel® UHD Graphics/ key + mouse/ NoOS/ RU) Luna Grey (F0J60070LK)</v>
      </c>
      <c r="B804" s="16" t="str">
        <f ca="1">IFERROR(__xludf.DUMMYFUNCTION("""COMPUTED_VALUE"""),"F0J60070LK")</f>
        <v>F0J60070LK</v>
      </c>
      <c r="C804" s="16" t="str">
        <f ca="1">IFERROR(__xludf.DUMMYFUNCTION("""COMPUTED_VALUE"""),"450,")</f>
        <v>450,</v>
      </c>
    </row>
    <row r="805" spans="1:3" ht="15.75" customHeight="1">
      <c r="A805" s="16" t="str">
        <f ca="1">IFERROR(__xludf.DUMMYFUNCTION("""COMPUTED_VALUE"""),"Lenovo IdeaCentre AIO 24IRH9 (Intel Core i5-13420H/ DDR5 8GB/ SSD 512GB/ 23,8"" FHD/ Integrated Intel® UHD Graphics/ key + mouse/ NoOS/ RU) Luna Grey (F0HN00VPLK)")</f>
        <v>Lenovo IdeaCentre AIO 24IRH9 (Intel Core i5-13420H/ DDR5 8GB/ SSD 512GB/ 23,8" FHD/ Integrated Intel® UHD Graphics/ key + mouse/ NoOS/ RU) Luna Grey (F0HN00VPLK)</v>
      </c>
      <c r="B805" s="16" t="str">
        <f ca="1">IFERROR(__xludf.DUMMYFUNCTION("""COMPUTED_VALUE"""),"F0HN00VPLK")</f>
        <v>F0HN00VPLK</v>
      </c>
      <c r="C805" s="16" t="str">
        <f ca="1">IFERROR(__xludf.DUMMYFUNCTION("""COMPUTED_VALUE"""),"610,")</f>
        <v>610,</v>
      </c>
    </row>
    <row r="806" spans="1:3" ht="15.75" customHeight="1">
      <c r="A806" s="16" t="str">
        <f ca="1">IFERROR(__xludf.DUMMYFUNCTION("""COMPUTED_VALUE"""),"Lenovo IdeaCentre AIO 27IRH9 (Intel Core i5-13420H/ DDR5 8GB/ SSD 512GB/ 27"" FHD IPS/ Integrated Intel® UHD Graphics/ key + mouse/ NoOS/ RU) Luna Grey (F0HM00GELK)")</f>
        <v>Lenovo IdeaCentre AIO 27IRH9 (Intel Core i5-13420H/ DDR5 8GB/ SSD 512GB/ 27" FHD IPS/ Integrated Intel® UHD Graphics/ key + mouse/ NoOS/ RU) Luna Grey (F0HM00GELK)</v>
      </c>
      <c r="B806" s="16" t="str">
        <f ca="1">IFERROR(__xludf.DUMMYFUNCTION("""COMPUTED_VALUE"""),"F0HM00GELK")</f>
        <v>F0HM00GELK</v>
      </c>
      <c r="C806" s="16" t="str">
        <f ca="1">IFERROR(__xludf.DUMMYFUNCTION("""COMPUTED_VALUE"""),"730,")</f>
        <v>730,</v>
      </c>
    </row>
    <row r="807" spans="1:3" ht="15.75" customHeight="1">
      <c r="A807" s="16" t="str">
        <f ca="1">IFERROR(__xludf.DUMMYFUNCTION("""COMPUTED_VALUE"""),"Lenovo IdeaCentre AIO 27IRH9 (Intel Core i5-13420H/ DDR5 8GB/ SSD 512GB/ 27"" FHD IPS/ Integrated Intel® UHD Graphics/ wireless key + mouse/ NoOS/ RU) Cloud Grey (F0HM005GRU)")</f>
        <v>Lenovo IdeaCentre AIO 27IRH9 (Intel Core i5-13420H/ DDR5 8GB/ SSD 512GB/ 27" FHD IPS/ Integrated Intel® UHD Graphics/ wireless key + mouse/ NoOS/ RU) Cloud Grey (F0HM005GRU)</v>
      </c>
      <c r="B807" s="16" t="str">
        <f ca="1">IFERROR(__xludf.DUMMYFUNCTION("""COMPUTED_VALUE"""),"F0HM005GRU")</f>
        <v>F0HM005GRU</v>
      </c>
      <c r="C807" s="16" t="str">
        <f ca="1">IFERROR(__xludf.DUMMYFUNCTION("""COMPUTED_VALUE"""),"740,")</f>
        <v>740,</v>
      </c>
    </row>
    <row r="808" spans="1:3" ht="15.75" customHeight="1">
      <c r="A808" s="16" t="str">
        <f ca="1">IFERROR(__xludf.DUMMYFUNCTION("""COMPUTED_VALUE"""),"Lenovo IdeaCentre AIO 27IRH9 (Intel Core i5-13420H/ DDR5 16GB/ SSD 1TB/ 27"" FHD IPS/ Integrated Intel® UHD Graphics/ wireless key + mouse/ NoOS/ RU) Cloud Grey (F0HM012BRU)")</f>
        <v>Lenovo IdeaCentre AIO 27IRH9 (Intel Core i5-13420H/ DDR5 16GB/ SSD 1TB/ 27" FHD IPS/ Integrated Intel® UHD Graphics/ wireless key + mouse/ NoOS/ RU) Cloud Grey (F0HM012BRU)</v>
      </c>
      <c r="B808" s="16" t="str">
        <f ca="1">IFERROR(__xludf.DUMMYFUNCTION("""COMPUTED_VALUE"""),"F0HM012BRU")</f>
        <v>F0HM012BRU</v>
      </c>
      <c r="C808" s="16" t="str">
        <f ca="1">IFERROR(__xludf.DUMMYFUNCTION("""COMPUTED_VALUE"""),"880,")</f>
        <v>880,</v>
      </c>
    </row>
    <row r="809" spans="1:3" ht="15.75" customHeight="1">
      <c r="A809" s="16" t="str">
        <f ca="1">IFERROR(__xludf.DUMMYFUNCTION("""COMPUTED_VALUE"""),"Lenovo IdeaCentre AIO 27IRH9 (Intel Core i7-13620H/ DDR5 8GB/ SSD 512GB/ 27"" FHD/ Integrated Intel® UHD Graphics/ wireless keyboard + mouse/ NoOS/ RU) Luna Grey (F0HM00TQAK)")</f>
        <v>Lenovo IdeaCentre AIO 27IRH9 (Intel Core i7-13620H/ DDR5 8GB/ SSD 512GB/ 27" FHD/ Integrated Intel® UHD Graphics/ wireless keyboard + mouse/ NoOS/ RU) Luna Grey (F0HM00TQAK)</v>
      </c>
      <c r="B809" s="16" t="str">
        <f ca="1">IFERROR(__xludf.DUMMYFUNCTION("""COMPUTED_VALUE"""),"F0HM00TQAK")</f>
        <v>F0HM00TQAK</v>
      </c>
      <c r="C809" s="16" t="str">
        <f ca="1">IFERROR(__xludf.DUMMYFUNCTION("""COMPUTED_VALUE"""),"820,")</f>
        <v>820,</v>
      </c>
    </row>
    <row r="810" spans="1:3" ht="15.75" customHeight="1">
      <c r="A810" s="16" t="str">
        <f ca="1">IFERROR(__xludf.DUMMYFUNCTION("""COMPUTED_VALUE"""),"Lenovo IdeaCentre AIO 27IRH9 (Intel Core i7-13620H/ DDR5 8GB/ SSD 512GB/ 27"" FHD/ Integrated Intel® UHD Graphics/ wireless keyboard + mouse/ NoOS/ RU) Luna Grey (F0HM00UYAK)")</f>
        <v>Lenovo IdeaCentre AIO 27IRH9 (Intel Core i7-13620H/ DDR5 8GB/ SSD 512GB/ 27" FHD/ Integrated Intel® UHD Graphics/ wireless keyboard + mouse/ NoOS/ RU) Luna Grey (F0HM00UYAK)</v>
      </c>
      <c r="B810" s="16" t="str">
        <f ca="1">IFERROR(__xludf.DUMMYFUNCTION("""COMPUTED_VALUE"""),"F0HM00UYAK")</f>
        <v>F0HM00UYAK</v>
      </c>
      <c r="C810" s="16" t="str">
        <f ca="1">IFERROR(__xludf.DUMMYFUNCTION("""COMPUTED_VALUE"""),"820,")</f>
        <v>820,</v>
      </c>
    </row>
    <row r="811" spans="1:3" ht="15.75" customHeight="1">
      <c r="A811" s="16" t="str">
        <f ca="1">IFERROR(__xludf.DUMMYFUNCTION("""COMPUTED_VALUE"""),"Lenovo IdeaCentre AIO 27IRH9 (Intel Core 7-240H/ DDR5 16GB/ SSD 1TB/ 27""FHD IPS/ Integrated Intel® UHD Graphics/ wireless keyboard + mouse/ NoOS/ RU) Luna Grey (F0HM012ERU)")</f>
        <v>Lenovo IdeaCentre AIO 27IRH9 (Intel Core 7-240H/ DDR5 16GB/ SSD 1TB/ 27"FHD IPS/ Integrated Intel® UHD Graphics/ wireless keyboard + mouse/ NoOS/ RU) Luna Grey (F0HM012ERU)</v>
      </c>
      <c r="B811" s="16" t="str">
        <f ca="1">IFERROR(__xludf.DUMMYFUNCTION("""COMPUTED_VALUE"""),"F0HM012ERU")</f>
        <v>F0HM012ERU</v>
      </c>
      <c r="C811" s="16" t="str">
        <f ca="1">IFERROR(__xludf.DUMMYFUNCTION("""COMPUTED_VALUE"""),"990,")</f>
        <v>990,</v>
      </c>
    </row>
    <row r="812" spans="1:3" ht="15.75" customHeight="1">
      <c r="A812" s="16" t="str">
        <f ca="1">IFERROR(__xludf.DUMMYFUNCTION("""COMPUTED_VALUE"""),"Lenovo ThinkCentre neo 50a 24 Gen 5 (Intel Core i5-13420H/ DDR5 8GB/ SSD 512GB/ 24"" FHD (1920x1080) IPS/ Intel® UHD Graphics/ keyboard + mouse/ RU) Luna Grey (12SC000YRU)")</f>
        <v>Lenovo ThinkCentre neo 50a 24 Gen 5 (Intel Core i5-13420H/ DDR5 8GB/ SSD 512GB/ 24" FHD (1920x1080) IPS/ Intel® UHD Graphics/ keyboard + mouse/ RU) Luna Grey (12SC000YRU)</v>
      </c>
      <c r="B812" s="16" t="str">
        <f ca="1">IFERROR(__xludf.DUMMYFUNCTION("""COMPUTED_VALUE"""),"12SC000YRU")</f>
        <v>12SC000YRU</v>
      </c>
      <c r="C812" s="16" t="str">
        <f ca="1">IFERROR(__xludf.DUMMYFUNCTION("""COMPUTED_VALUE"""),"650,")</f>
        <v>650,</v>
      </c>
    </row>
    <row r="813" spans="1:3" ht="15.75" customHeight="1">
      <c r="A813" s="16" t="str">
        <f ca="1">IFERROR(__xludf.DUMMYFUNCTION("""COMPUTED_VALUE"""),"Lenovo ThinkCentre neo 50a 27 Gen 5 (Intel Core i7-13620H/ DDR5 16GB/ SSD 512GB/ 27"" FHD (1920x1080) IPS/ Intel® UHD Graphics/ keyboard + mouse/ RU) Luna Grey (12SA000RRU)")</f>
        <v>Lenovo ThinkCentre neo 50a 27 Gen 5 (Intel Core i7-13620H/ DDR5 16GB/ SSD 512GB/ 27" FHD (1920x1080) IPS/ Intel® UHD Graphics/ keyboard + mouse/ RU) Luna Grey (12SA000RRU)</v>
      </c>
      <c r="B813" s="16" t="str">
        <f ca="1">IFERROR(__xludf.DUMMYFUNCTION("""COMPUTED_VALUE"""),"12SA000RRU")</f>
        <v>12SA000RRU</v>
      </c>
      <c r="C813" s="16" t="str">
        <f ca="1">IFERROR(__xludf.DUMMYFUNCTION("""COMPUTED_VALUE"""),"870,")</f>
        <v>870,</v>
      </c>
    </row>
    <row r="814" spans="1:3" ht="15.75" customHeight="1">
      <c r="A814" s="16" t="str">
        <f ca="1">IFERROR(__xludf.DUMMYFUNCTION("""COMPUTED_VALUE"""),"Lenovo ThinkCentre neo 50a 27 Gen 5 (Intel Core 7-240H/DDR5 16GB/SSD 512GB/27"" FHD (1920x1080) IPS / Intel® UHD Graphics/ keyboard + mouse/ RU) Luna Grey (12SA0028RU)")</f>
        <v>Lenovo ThinkCentre neo 50a 27 Gen 5 (Intel Core 7-240H/DDR5 16GB/SSD 512GB/27" FHD (1920x1080) IPS / Intel® UHD Graphics/ keyboard + mouse/ RU) Luna Grey (12SA0028RU)</v>
      </c>
      <c r="B814" s="16" t="str">
        <f ca="1">IFERROR(__xludf.DUMMYFUNCTION("""COMPUTED_VALUE"""),"12SA0028RU")</f>
        <v>12SA0028RU</v>
      </c>
      <c r="C814" s="16" t="str">
        <f ca="1">IFERROR(__xludf.DUMMYFUNCTION("""COMPUTED_VALUE"""),"915,")</f>
        <v>915,</v>
      </c>
    </row>
    <row r="815" spans="1:3" ht="15.75" customHeight="1">
      <c r="A815" s="16" t="str">
        <f ca="1">IFERROR(__xludf.DUMMYFUNCTION("""COMPUTED_VALUE"""),"Lenovo Yoga AIO 32ILL10  (Intel Core Ultra 7-258V/ LPDDR5X 32GB/ SSD 1TB/ 32"" Intel Arc Graphics 140V/ WIN11 Pro) (F0HX0018RU)")</f>
        <v>Lenovo Yoga AIO 32ILL10  (Intel Core Ultra 7-258V/ LPDDR5X 32GB/ SSD 1TB/ 32" Intel Arc Graphics 140V/ WIN11 Pro) (F0HX0018RU)</v>
      </c>
      <c r="B815" s="16" t="str">
        <f ca="1">IFERROR(__xludf.DUMMYFUNCTION("""COMPUTED_VALUE"""),"F0HX0018RU")</f>
        <v>F0HX0018RU</v>
      </c>
      <c r="C815" s="16" t="str">
        <f ca="1">IFERROR(__xludf.DUMMYFUNCTION("""COMPUTED_VALUE"""),"2150,")</f>
        <v>2150,</v>
      </c>
    </row>
    <row r="816" spans="1:3" ht="15.75" customHeight="1">
      <c r="A816" s="16" t="str">
        <f ca="1">IFERROR(__xludf.DUMMYFUNCTION("""COMPUTED_VALUE"""),"Dell 27 AIO EC27250 (Intel Core 7-150U/ DDR5 16GB/ SSD 512GB/ 27"" FHD/ Intel Iris Xe Graphics/ wireless key + mouse/ Win11/ RU) White (1022177833)")</f>
        <v>Dell 27 AIO EC27250 (Intel Core 7-150U/ DDR5 16GB/ SSD 512GB/ 27" FHD/ Intel Iris Xe Graphics/ wireless key + mouse/ Win11/ RU) White (1022177833)</v>
      </c>
      <c r="B816" s="16" t="str">
        <f ca="1">IFERROR(__xludf.DUMMYFUNCTION("""COMPUTED_VALUE"""),"1022177833")</f>
        <v>1022177833</v>
      </c>
      <c r="C816" s="16" t="str">
        <f ca="1">IFERROR(__xludf.DUMMYFUNCTION("""COMPUTED_VALUE"""),"980,")</f>
        <v>980,</v>
      </c>
    </row>
    <row r="817" spans="1:3" ht="15.75" customHeight="1">
      <c r="A817" s="16" t="str">
        <f ca="1">IFERROR(__xludf.DUMMYFUNCTION("""COMPUTED_VALUE"""),"ASUS ExpertCenter Tower Desktop (Intel Core i3-1315U/ DDR5 8GB/ SSD 256GB/ Intel UHD Graphics/ keyboard+mouse/ NoOS/ RU) Grey (P500MV-31315U0020 / 90PF05I1-M00110)")</f>
        <v>ASUS ExpertCenter Tower Desktop (Intel Core i3-1315U/ DDR5 8GB/ SSD 256GB/ Intel UHD Graphics/ keyboard+mouse/ NoOS/ RU) Grey (P500MV-31315U0020 / 90PF05I1-M00110)</v>
      </c>
      <c r="B817" s="16" t="str">
        <f ca="1">IFERROR(__xludf.DUMMYFUNCTION("""COMPUTED_VALUE"""),"P500MV-31315U0020 / 90PF05I1-M00110")</f>
        <v>P500MV-31315U0020 / 90PF05I1-M00110</v>
      </c>
      <c r="C817" s="16" t="str">
        <f ca="1">IFERROR(__xludf.DUMMYFUNCTION("""COMPUTED_VALUE"""),"340,")</f>
        <v>340,</v>
      </c>
    </row>
    <row r="818" spans="1:3" ht="15.75" customHeight="1">
      <c r="A818" s="16" t="str">
        <f ca="1">IFERROR(__xludf.DUMMYFUNCTION("""COMPUTED_VALUE"""),"ASUS ExpertCenter Tower Desktop (Intel Core i3-1315U/ DDR5 8GB/ SSD 256GB/ Intel UHD Graphics/ keyboard+mouse/ NoOS/ RU) White (90PF05R1-M00040 / V500MV-31315U0010)")</f>
        <v>ASUS ExpertCenter Tower Desktop (Intel Core i3-1315U/ DDR5 8GB/ SSD 256GB/ Intel UHD Graphics/ keyboard+mouse/ NoOS/ RU) White (90PF05R1-M00040 / V500MV-31315U0010)</v>
      </c>
      <c r="B818" s="16" t="str">
        <f ca="1">IFERROR(__xludf.DUMMYFUNCTION("""COMPUTED_VALUE"""),"90PF05R1-M00040 / V500MV-31315U0010")</f>
        <v>90PF05R1-M00040 / V500MV-31315U0010</v>
      </c>
      <c r="C818" s="16" t="str">
        <f ca="1">IFERROR(__xludf.DUMMYFUNCTION("""COMPUTED_VALUE"""),"340,")</f>
        <v>340,</v>
      </c>
    </row>
    <row r="819" spans="1:3" ht="15.75" customHeight="1">
      <c r="A819" s="16" t="str">
        <f ca="1">IFERROR(__xludf.DUMMYFUNCTION("""COMPUTED_VALUE"""),"ASUS ExpertCenter Tower Desktop (Intel Core i5-13420H/ DDR5 8GB/ SSD 512GB/ Intel UHD Graphics/ keyboard+mouse/ NoOS/ RU) Black (90PF05I1-M00CR0 / P500MV-13420H0760)")</f>
        <v>ASUS ExpertCenter Tower Desktop (Intel Core i5-13420H/ DDR5 8GB/ SSD 512GB/ Intel UHD Graphics/ keyboard+mouse/ NoOS/ RU) Black (90PF05I1-M00CR0 / P500MV-13420H0760)</v>
      </c>
      <c r="B819" s="16" t="str">
        <f ca="1">IFERROR(__xludf.DUMMYFUNCTION("""COMPUTED_VALUE"""),"90PF05I1-M00CR0 / P500MV-13420H0760")</f>
        <v>90PF05I1-M00CR0 / P500MV-13420H0760</v>
      </c>
      <c r="C819" s="16" t="str">
        <f ca="1">IFERROR(__xludf.DUMMYFUNCTION("""COMPUTED_VALUE"""),"400,")</f>
        <v>400,</v>
      </c>
    </row>
    <row r="820" spans="1:3" ht="15.75" customHeight="1">
      <c r="A820" s="16" t="str">
        <f ca="1">IFERROR(__xludf.DUMMYFUNCTION("""COMPUTED_VALUE"""),"ASUS ExpertCenter Tower Desktop (Intel Core i5-13420H/ DDR5 8GB/ SSD 512GB/ Intel UHD Graphics/ keyboard+mouse/ NoOS/ RU) White (90PF05R1-M00610 / V500MV-13420H0120)")</f>
        <v>ASUS ExpertCenter Tower Desktop (Intel Core i5-13420H/ DDR5 8GB/ SSD 512GB/ Intel UHD Graphics/ keyboard+mouse/ NoOS/ RU) White (90PF05R1-M00610 / V500MV-13420H0120)</v>
      </c>
      <c r="B820" s="16" t="str">
        <f ca="1">IFERROR(__xludf.DUMMYFUNCTION("""COMPUTED_VALUE"""),"90PF05R1-M00610 / V500MV-13420H0120")</f>
        <v>90PF05R1-M00610 / V500MV-13420H0120</v>
      </c>
      <c r="C820" s="16" t="str">
        <f ca="1">IFERROR(__xludf.DUMMYFUNCTION("""COMPUTED_VALUE"""),"410,")</f>
        <v>410,</v>
      </c>
    </row>
    <row r="821" spans="1:3" ht="15.75" customHeight="1">
      <c r="A821" s="16" t="str">
        <f ca="1">IFERROR(__xludf.DUMMYFUNCTION("""COMPUTED_VALUE"""),"Lenovo V50T-13IMB (Intel Core i3-10100/ DDR4 4GB/ HDD 1TB/ DVD-RW/ Keyboard+mouse/ DOS/ RU) Black (11HD001FFM) (распродажа)")</f>
        <v>Lenovo V50T-13IMB (Intel Core i3-10100/ DDR4 4GB/ HDD 1TB/ DVD-RW/ Keyboard+mouse/ DOS/ RU) Black (11HD001FFM) (распродажа)</v>
      </c>
      <c r="B821" s="16" t="str">
        <f ca="1">IFERROR(__xludf.DUMMYFUNCTION("""COMPUTED_VALUE"""),"11HD001FFM")</f>
        <v>11HD001FFM</v>
      </c>
      <c r="C821" s="16" t="str">
        <f ca="1">IFERROR(__xludf.DUMMYFUNCTION("""COMPUTED_VALUE"""),"220,")</f>
        <v>220,</v>
      </c>
    </row>
    <row r="822" spans="1:3" ht="15.75" customHeight="1">
      <c r="A822" s="16" t="str">
        <f ca="1">IFERROR(__xludf.DUMMYFUNCTION("""COMPUTED_VALUE"""),"Dell Vostro 3030 MT (Intel Core i3-14100/ DDR4 8GB/ SSD 512GB/ Intel UHD Graphics/ NoOS/ RU) Black (распродажа)")</f>
        <v>Dell Vostro 3030 MT (Intel Core i3-14100/ DDR4 8GB/ SSD 512GB/ Intel UHD Graphics/ NoOS/ RU) Black (распродажа)</v>
      </c>
      <c r="B822" s="16" t="str">
        <f ca="1">IFERROR(__xludf.DUMMYFUNCTION("""COMPUTED_VALUE"""),"3030")</f>
        <v>3030</v>
      </c>
      <c r="C822" s="16" t="str">
        <f ca="1">IFERROR(__xludf.DUMMYFUNCTION("""COMPUTED_VALUE"""),"400,")</f>
        <v>400,</v>
      </c>
    </row>
    <row r="823" spans="1:3" ht="15.75" customHeight="1">
      <c r="A823" s="16" t="str">
        <f ca="1">IFERROR(__xludf.DUMMYFUNCTION("""COMPUTED_VALUE"""),"HP S01-aF0055ur Tower Desktop (295) (AMD Ryzen 3-3250U/ DDR4 8GB/ SSD 256GB/ AMD Radeon™ Vega/ No DVD-RW/ DOS/ RU) Black (5D295EA)")</f>
        <v>HP S01-aF0055ur Tower Desktop (295) (AMD Ryzen 3-3250U/ DDR4 8GB/ SSD 256GB/ AMD Radeon™ Vega/ No DVD-RW/ DOS/ RU) Black (5D295EA)</v>
      </c>
      <c r="B823" s="16" t="str">
        <f ca="1">IFERROR(__xludf.DUMMYFUNCTION("""COMPUTED_VALUE"""),"5D295EA")</f>
        <v>5D295EA</v>
      </c>
      <c r="C823" s="16" t="str">
        <f ca="1">IFERROR(__xludf.DUMMYFUNCTION("""COMPUTED_VALUE"""),"240,")</f>
        <v>240,</v>
      </c>
    </row>
    <row r="824" spans="1:3" ht="15.75" customHeight="1">
      <c r="A824" s="16" t="str">
        <f ca="1">IFERROR(__xludf.DUMMYFUNCTION("""COMPUTED_VALUE"""),"HP S01-aF0054ur Tower Desktop (294) (AMD Ryzen 3-3250U/ DDR4 8GB/ SSD 512GB/ AMD Radeon™ Vega/ No DVD-RW/ Win11/ RU) Black (5D294EA) (распродажа)")</f>
        <v>HP S01-aF0054ur Tower Desktop (294) (AMD Ryzen 3-3250U/ DDR4 8GB/ SSD 512GB/ AMD Radeon™ Vega/ No DVD-RW/ Win11/ RU) Black (5D294EA) (распродажа)</v>
      </c>
      <c r="B824" s="16" t="str">
        <f ca="1">IFERROR(__xludf.DUMMYFUNCTION("""COMPUTED_VALUE"""),"5D294EA")</f>
        <v>5D294EA</v>
      </c>
      <c r="C824" s="16" t="str">
        <f ca="1">IFERROR(__xludf.DUMMYFUNCTION("""COMPUTED_VALUE"""),"250,")</f>
        <v>250,</v>
      </c>
    </row>
    <row r="825" spans="1:3" ht="15.75" customHeight="1">
      <c r="A825" s="16" t="str">
        <f ca="1">IFERROR(__xludf.DUMMYFUNCTION("""COMPUTED_VALUE"""),"HP M01-F1079ur Tower Desktop (M46/2C9) (AMD Ryzen 3-4300G/ DDR4 4GB/ SSD 256GB/ AMD Radeon™ Vega/ No DVD-RW/ DOS/ RU) Black (5D2C9EA) (распродажа)")</f>
        <v>HP M01-F1079ur Tower Desktop (M46/2C9) (AMD Ryzen 3-4300G/ DDR4 4GB/ SSD 256GB/ AMD Radeon™ Vega/ No DVD-RW/ DOS/ RU) Black (5D2C9EA) (распродажа)</v>
      </c>
      <c r="B825" s="16" t="str">
        <f ca="1">IFERROR(__xludf.DUMMYFUNCTION("""COMPUTED_VALUE"""),"5D2C9EA")</f>
        <v>5D2C9EA</v>
      </c>
      <c r="C825" s="16" t="str">
        <f ca="1">IFERROR(__xludf.DUMMYFUNCTION("""COMPUTED_VALUE"""),"250,")</f>
        <v>250,</v>
      </c>
    </row>
    <row r="826" spans="1:3" ht="15.75" customHeight="1">
      <c r="A826" s="16" t="str">
        <f ca="1">IFERROR(__xludf.DUMMYFUNCTION("""COMPUTED_VALUE"""),"Pantum - P2516  (A4, 32Mb, 22 стр/мин, 600dpi, USB2.0, лазерный)")</f>
        <v>Pantum - P2516  (A4, 32Mb, 22 стр/мин, 600dpi, USB2.0, лазерный)</v>
      </c>
      <c r="B826" s="16" t="str">
        <f ca="1">IFERROR(__xludf.DUMMYFUNCTION("""COMPUTED_VALUE"""),"P2516")</f>
        <v>P2516</v>
      </c>
      <c r="C826" s="16" t="str">
        <f ca="1">IFERROR(__xludf.DUMMYFUNCTION("""COMPUTED_VALUE"""),"99,")</f>
        <v>99,</v>
      </c>
    </row>
    <row r="827" spans="1:3" ht="15.75" customHeight="1">
      <c r="A827" s="16" t="str">
        <f ca="1">IFERROR(__xludf.DUMMYFUNCTION("""COMPUTED_VALUE"""),"Pantum - P3300DW (A4, 33стр/мин, 256Mb, 1200dpi, двуст.печать, USB2.0, сетевой, WiFi, NFC)")</f>
        <v>Pantum - P3300DW (A4, 33стр/мин, 256Mb, 1200dpi, двуст.печать, USB2.0, сетевой, WiFi, NFC)</v>
      </c>
      <c r="B827" s="16" t="str">
        <f ca="1">IFERROR(__xludf.DUMMYFUNCTION("""COMPUTED_VALUE"""),"P3300DW")</f>
        <v>P3300DW</v>
      </c>
      <c r="C827" s="16" t="str">
        <f ca="1">IFERROR(__xludf.DUMMYFUNCTION("""COMPUTED_VALUE"""),"200,")</f>
        <v>200,</v>
      </c>
    </row>
    <row r="828" spans="1:3" ht="15.75" customHeight="1">
      <c r="A828" s="16" t="str">
        <f ca="1">IFERROR(__xludf.DUMMYFUNCTION("""COMPUTED_VALUE"""),"Pantum - M6500W (A4, 128mb, 22 стр/мин, лазерное МФУ, LCD,  WiFi)")</f>
        <v>Pantum - M6500W (A4, 128mb, 22 стр/мин, лазерное МФУ, LCD,  WiFi)</v>
      </c>
      <c r="B828" s="16" t="str">
        <f ca="1">IFERROR(__xludf.DUMMYFUNCTION("""COMPUTED_VALUE"""),"M6500W")</f>
        <v>M6500W</v>
      </c>
      <c r="C828" s="16" t="str">
        <f ca="1">IFERROR(__xludf.DUMMYFUNCTION("""COMPUTED_VALUE"""),"140,")</f>
        <v>140,</v>
      </c>
    </row>
    <row r="829" spans="1:3" ht="15.75" customHeight="1">
      <c r="A829" s="16" t="str">
        <f ca="1">IFERROR(__xludf.DUMMYFUNCTION("""COMPUTED_VALUE"""),"Pantum - M6503W (A4, 128mb, 22 стр/мин, лазерное МФУ, LCD,  WiFi) +Запрвочный набор")</f>
        <v>Pantum - M6503W (A4, 128mb, 22 стр/мин, лазерное МФУ, LCD,  WiFi) +Запрвочный набор</v>
      </c>
      <c r="B829" s="16" t="str">
        <f ca="1">IFERROR(__xludf.DUMMYFUNCTION("""COMPUTED_VALUE"""),"M6503W")</f>
        <v>M6503W</v>
      </c>
      <c r="C829" s="16" t="str">
        <f ca="1">IFERROR(__xludf.DUMMYFUNCTION("""COMPUTED_VALUE"""),"145,")</f>
        <v>145,</v>
      </c>
    </row>
    <row r="830" spans="1:3" ht="15.75" customHeight="1">
      <c r="A830" s="16" t="str">
        <f ca="1">IFERROR(__xludf.DUMMYFUNCTION("""COMPUTED_VALUE"""),"Pantum - M6550W (A4, 128mb, 22 стр/мин, лазерное МФУ, LCD,  WiFi) c автоподача сканера")</f>
        <v>Pantum - M6550W (A4, 128mb, 22 стр/мин, лазерное МФУ, LCD,  WiFi) c автоподача сканера</v>
      </c>
      <c r="B830" s="16" t="str">
        <f ca="1">IFERROR(__xludf.DUMMYFUNCTION("""COMPUTED_VALUE"""),"M6550W")</f>
        <v>M6550W</v>
      </c>
      <c r="C830" s="16" t="str">
        <f ca="1">IFERROR(__xludf.DUMMYFUNCTION("""COMPUTED_VALUE"""),"160,")</f>
        <v>160,</v>
      </c>
    </row>
    <row r="831" spans="1:3" ht="15.75" customHeight="1">
      <c r="A831" s="16" t="str">
        <f ca="1">IFERROR(__xludf.DUMMYFUNCTION("""COMPUTED_VALUE"""),"Pantum - M7100DW (A4, 33стр./мин, 256Mb, лазерное, двуст.печать, МФУ, ADF,USB2.0,сетевой, WiFi)")</f>
        <v>Pantum - M7100DW (A4, 33стр./мин, 256Mb, лазерное, двуст.печать, МФУ, ADF,USB2.0,сетевой, WiFi)</v>
      </c>
      <c r="B831" s="16" t="str">
        <f ca="1">IFERROR(__xludf.DUMMYFUNCTION("""COMPUTED_VALUE"""),"M7100DW")</f>
        <v>M7100DW</v>
      </c>
      <c r="C831" s="16" t="str">
        <f ca="1">IFERROR(__xludf.DUMMYFUNCTION("""COMPUTED_VALUE"""),"210,")</f>
        <v>210,</v>
      </c>
    </row>
    <row r="832" spans="1:3" ht="15.75" customHeight="1">
      <c r="A832" s="16" t="str">
        <f ca="1">IFERROR(__xludf.DUMMYFUNCTION("""COMPUTED_VALUE"""),"Pantum - BM5100ADW (A4, 40стр/мин,512Mb,LCD, лазерное МФУ,USB2.0,WiFi,сетевой,двуст.печать,DADF)")</f>
        <v>Pantum - BM5100ADW (A4, 40стр/мин,512Mb,LCD, лазерное МФУ,USB2.0,WiFi,сетевой,двуст.печать,DADF)</v>
      </c>
      <c r="B832" s="16" t="str">
        <f ca="1">IFERROR(__xludf.DUMMYFUNCTION("""COMPUTED_VALUE"""),"BM5100ADW")</f>
        <v>BM5100ADW</v>
      </c>
      <c r="C832" s="16" t="str">
        <f ca="1">IFERROR(__xludf.DUMMYFUNCTION("""COMPUTED_VALUE"""),"330,")</f>
        <v>330,</v>
      </c>
    </row>
    <row r="833" spans="1:3" ht="15.75" customHeight="1">
      <c r="A833" s="16" t="str">
        <f ca="1">IFERROR(__xludf.DUMMYFUNCTION("""COMPUTED_VALUE"""),"Pantum - BM5100FDN (A4, 40стр/мин,512Mb,LCD, лазерное МФУ,USB2.0,сетевой,двуст.печать,DADF, FAX)")</f>
        <v>Pantum - BM5100FDN (A4, 40стр/мин,512Mb,LCD, лазерное МФУ,USB2.0,сетевой,двуст.печать,DADF, FAX)</v>
      </c>
      <c r="B833" s="16" t="str">
        <f ca="1">IFERROR(__xludf.DUMMYFUNCTION("""COMPUTED_VALUE"""),"BM5100FDN")</f>
        <v>BM5100FDN</v>
      </c>
      <c r="C833" s="16" t="str">
        <f ca="1">IFERROR(__xludf.DUMMYFUNCTION("""COMPUTED_VALUE"""),"350,")</f>
        <v>350,</v>
      </c>
    </row>
    <row r="834" spans="1:3" ht="15.75" customHeight="1">
      <c r="A834" s="16" t="str">
        <f ca="1">IFERROR(__xludf.DUMMYFUNCTION("""COMPUTED_VALUE"""),"Pantum - Color CP1100 (A4, 18стр/мин,1024 Мb, Макс.1200×600 dpi, лазерное, USB2.0, сетевой)")</f>
        <v>Pantum - Color CP1100 (A4, 18стр/мин,1024 Мb, Макс.1200×600 dpi, лазерное, USB2.0, сетевой)</v>
      </c>
      <c r="B834" s="16" t="str">
        <f ca="1">IFERROR(__xludf.DUMMYFUNCTION("""COMPUTED_VALUE"""),"CP1100")</f>
        <v>CP1100</v>
      </c>
      <c r="C834" s="16" t="str">
        <f ca="1">IFERROR(__xludf.DUMMYFUNCTION("""COMPUTED_VALUE"""),"220,")</f>
        <v>220,</v>
      </c>
    </row>
    <row r="835" spans="1:3" ht="15.75" customHeight="1">
      <c r="A835" s="16" t="str">
        <f ca="1">IFERROR(__xludf.DUMMYFUNCTION("""COMPUTED_VALUE"""),"HP - Ink Tank 315 AiO &lt;Z4B04A&gt; (A4, 8 стр/мин, струйное МФУ, LCD, USB2.0)")</f>
        <v>HP - Ink Tank 315 AiO &lt;Z4B04A&gt; (A4, 8 стр/мин, струйное МФУ, LCD, USB2.0)</v>
      </c>
      <c r="B835" s="16" t="str">
        <f ca="1">IFERROR(__xludf.DUMMYFUNCTION("""COMPUTED_VALUE"""),"Z4B04A")</f>
        <v>Z4B04A</v>
      </c>
      <c r="C835" s="16" t="str">
        <f ca="1">IFERROR(__xludf.DUMMYFUNCTION("""COMPUTED_VALUE"""),"110,")</f>
        <v>110,</v>
      </c>
    </row>
    <row r="836" spans="1:3" ht="15.75" customHeight="1">
      <c r="A836" s="16" t="str">
        <f ca="1">IFERROR(__xludf.DUMMYFUNCTION("""COMPUTED_VALUE"""),"HP - Ink Tank 415 AiO &lt;Z4B53A&gt; (A4, 8 стр/мин, струйное МФУ, LCD, USB2.0, WiFi)")</f>
        <v>HP - Ink Tank 415 AiO &lt;Z4B53A&gt; (A4, 8 стр/мин, струйное МФУ, LCD, USB2.0, WiFi)</v>
      </c>
      <c r="B836" s="16" t="str">
        <f ca="1">IFERROR(__xludf.DUMMYFUNCTION("""COMPUTED_VALUE"""),"Z4B53A")</f>
        <v>Z4B53A</v>
      </c>
      <c r="C836" s="16" t="str">
        <f ca="1">IFERROR(__xludf.DUMMYFUNCTION("""COMPUTED_VALUE"""),"120,")</f>
        <v>120,</v>
      </c>
    </row>
    <row r="837" spans="1:3" ht="15.75" customHeight="1">
      <c r="A837" s="16" t="str">
        <f ca="1">IFERROR(__xludf.DUMMYFUNCTION("""COMPUTED_VALUE"""),"HP - Ink Tank 419 Blue AiO &lt;Z6Z97A&gt; (A4, 8 стр/мин, струйное МФУ, LCD, USB2.0, WiFi)")</f>
        <v>HP - Ink Tank 419 Blue AiO &lt;Z6Z97A&gt; (A4, 8 стр/мин, струйное МФУ, LCD, USB2.0, WiFi)</v>
      </c>
      <c r="B837" s="16" t="str">
        <f ca="1">IFERROR(__xludf.DUMMYFUNCTION("""COMPUTED_VALUE"""),"Z6Z97A")</f>
        <v>Z6Z97A</v>
      </c>
      <c r="C837" s="16" t="str">
        <f ca="1">IFERROR(__xludf.DUMMYFUNCTION("""COMPUTED_VALUE"""),"120,")</f>
        <v>120,</v>
      </c>
    </row>
    <row r="838" spans="1:3" ht="15.75" customHeight="1">
      <c r="A838" s="16" t="str">
        <f ca="1">IFERROR(__xludf.DUMMYFUNCTION("""COMPUTED_VALUE"""),"HP - Smart Tank 580 &lt;1F3Y2A&gt; (A4, 16 стр/мин, струйное МФУ, LCD, USB2.0, WiFi)")</f>
        <v>HP - Smart Tank 580 &lt;1F3Y2A&gt; (A4, 16 стр/мин, струйное МФУ, LCD, USB2.0, WiFi)</v>
      </c>
      <c r="B838" s="16" t="str">
        <f ca="1">IFERROR(__xludf.DUMMYFUNCTION("""COMPUTED_VALUE"""),"1F3Y2A")</f>
        <v>1F3Y2A</v>
      </c>
      <c r="C838" s="16" t="str">
        <f ca="1">IFERROR(__xludf.DUMMYFUNCTION("""COMPUTED_VALUE"""),"155,")</f>
        <v>155,</v>
      </c>
    </row>
    <row r="839" spans="1:3" ht="15.75" customHeight="1">
      <c r="A839" s="16" t="str">
        <f ca="1">IFERROR(__xludf.DUMMYFUNCTION("""COMPUTED_VALUE"""),"HP - LaserJet M111a &lt;7MD67A&gt; (A4, 20стр/мин, 16Mb, USB2.0)")</f>
        <v>HP - LaserJet M111a &lt;7MD67A&gt; (A4, 20стр/мин, 16Mb, USB2.0)</v>
      </c>
      <c r="B839" s="16" t="str">
        <f ca="1">IFERROR(__xludf.DUMMYFUNCTION("""COMPUTED_VALUE"""),"7MD67A")</f>
        <v>7MD67A</v>
      </c>
      <c r="C839" s="16" t="str">
        <f ca="1">IFERROR(__xludf.DUMMYFUNCTION("""COMPUTED_VALUE"""),"100,")</f>
        <v>100,</v>
      </c>
    </row>
    <row r="840" spans="1:3" ht="15.75" customHeight="1">
      <c r="A840" s="16" t="str">
        <f ca="1">IFERROR(__xludf.DUMMYFUNCTION("""COMPUTED_VALUE"""),"HP - LaserJet M111w &lt;7MD68A&gt; (A4, 20стр/мин, 16Mb, USB2.0, WiFi)")</f>
        <v>HP - LaserJet M111w &lt;7MD68A&gt; (A4, 20стр/мин, 16Mb, USB2.0, WiFi)</v>
      </c>
      <c r="B840" s="16" t="str">
        <f ca="1">IFERROR(__xludf.DUMMYFUNCTION("""COMPUTED_VALUE"""),"7MD68A")</f>
        <v>7MD68A</v>
      </c>
      <c r="C840" s="16" t="str">
        <f ca="1">IFERROR(__xludf.DUMMYFUNCTION("""COMPUTED_VALUE"""),"110,")</f>
        <v>110,</v>
      </c>
    </row>
    <row r="841" spans="1:3" ht="15.75" customHeight="1">
      <c r="A841" s="16" t="str">
        <f ca="1">IFERROR(__xludf.DUMMYFUNCTION("""COMPUTED_VALUE"""),"HP - Neverstop Laser 1000n &lt;5HG74A&gt; (A4, 20стр/мин, 32Mb, USB2.0, Ethernet)")</f>
        <v>HP - Neverstop Laser 1000n &lt;5HG74A&gt; (A4, 20стр/мин, 32Mb, USB2.0, Ethernet)</v>
      </c>
      <c r="B841" s="16" t="str">
        <f ca="1">IFERROR(__xludf.DUMMYFUNCTION("""COMPUTED_VALUE"""),"5HG74A")</f>
        <v>5HG74A</v>
      </c>
      <c r="C841" s="16" t="str">
        <f ca="1">IFERROR(__xludf.DUMMYFUNCTION("""COMPUTED_VALUE"""),"150,")</f>
        <v>150,</v>
      </c>
    </row>
    <row r="842" spans="1:3" ht="15.75" customHeight="1">
      <c r="A842" s="16" t="str">
        <f ca="1">IFERROR(__xludf.DUMMYFUNCTION("""COMPUTED_VALUE"""),"HP - Neverstop Laser 1000w &lt;4RY23A&gt; (A4, 20стр/мин, 32Mb, USB2.0, Ethernet, WiFi)")</f>
        <v>HP - Neverstop Laser 1000w &lt;4RY23A&gt; (A4, 20стр/мин, 32Mb, USB2.0, Ethernet, WiFi)</v>
      </c>
      <c r="B842" s="16" t="str">
        <f ca="1">IFERROR(__xludf.DUMMYFUNCTION("""COMPUTED_VALUE"""),"4RY23A")</f>
        <v>4RY23A</v>
      </c>
      <c r="C842" s="16" t="str">
        <f ca="1">IFERROR(__xludf.DUMMYFUNCTION("""COMPUTED_VALUE"""),"160,")</f>
        <v>160,</v>
      </c>
    </row>
    <row r="843" spans="1:3" ht="15.75" customHeight="1">
      <c r="A843" s="16" t="str">
        <f ca="1">IFERROR(__xludf.DUMMYFUNCTION("""COMPUTED_VALUE"""),"HP - LaserJet M141a &lt;7MD73A&gt; (A4, 20стр/мин, 64Mb, LCD, лазерное МФУ, USB2.0)")</f>
        <v>HP - LaserJet M141a &lt;7MD73A&gt; (A4, 20стр/мин, 64Mb, LCD, лазерное МФУ, USB2.0)</v>
      </c>
      <c r="B843" s="16" t="str">
        <f ca="1">IFERROR(__xludf.DUMMYFUNCTION("""COMPUTED_VALUE"""),"7MD73A")</f>
        <v>7MD73A</v>
      </c>
      <c r="C843" s="16" t="str">
        <f ca="1">IFERROR(__xludf.DUMMYFUNCTION("""COMPUTED_VALUE"""),"145,")</f>
        <v>145,</v>
      </c>
    </row>
    <row r="844" spans="1:3" ht="15.75" customHeight="1">
      <c r="A844" s="16" t="str">
        <f ca="1">IFERROR(__xludf.DUMMYFUNCTION("""COMPUTED_VALUE"""),"HP - LaserJet M141w &lt;7MD74A&gt; (A4, 20стр/мин, 64Mb, LCD, лазерное МФУ, USB2.0, WiFi)")</f>
        <v>HP - LaserJet M141w &lt;7MD74A&gt; (A4, 20стр/мин, 64Mb, LCD, лазерное МФУ, USB2.0, WiFi)</v>
      </c>
      <c r="B844" s="16" t="str">
        <f ca="1">IFERROR(__xludf.DUMMYFUNCTION("""COMPUTED_VALUE"""),"7MD74A")</f>
        <v>7MD74A</v>
      </c>
      <c r="C844" s="16" t="str">
        <f ca="1">IFERROR(__xludf.DUMMYFUNCTION("""COMPUTED_VALUE"""),"155,")</f>
        <v>155,</v>
      </c>
    </row>
    <row r="845" spans="1:3" ht="15.75" customHeight="1">
      <c r="A845" s="16" t="str">
        <f ca="1">IFERROR(__xludf.DUMMYFUNCTION("""COMPUTED_VALUE"""),"HP - Laser MFP 137fnw &lt;4ZB84A&gt; (A4, 21стр/мин, 128Mb, LCD, лазерное МФУ, USB2.0,fax, WiFi, Ethernet)")</f>
        <v>HP - Laser MFP 137fnw &lt;4ZB84A&gt; (A4, 21стр/мин, 128Mb, LCD, лазерное МФУ, USB2.0,fax, WiFi, Ethernet)</v>
      </c>
      <c r="B845" s="16" t="str">
        <f ca="1">IFERROR(__xludf.DUMMYFUNCTION("""COMPUTED_VALUE"""),"4ZB84A")</f>
        <v>4ZB84A</v>
      </c>
      <c r="C845" s="16" t="str">
        <f ca="1">IFERROR(__xludf.DUMMYFUNCTION("""COMPUTED_VALUE"""),"200,")</f>
        <v>200,</v>
      </c>
    </row>
    <row r="846" spans="1:3" ht="15.75" customHeight="1">
      <c r="A846" s="16" t="str">
        <f ca="1">IFERROR(__xludf.DUMMYFUNCTION("""COMPUTED_VALUE"""),"HP - LaserJet 211D &lt;9YF82A&gt; (A4, 29 стр/мин, 64Mb, двусторонняя печать, USB2.0)")</f>
        <v>HP - LaserJet 211D &lt;9YF82A&gt; (A4, 29 стр/мин, 64Mb, двусторонняя печать, USB2.0)</v>
      </c>
      <c r="B846" s="16" t="str">
        <f ca="1">IFERROR(__xludf.DUMMYFUNCTION("""COMPUTED_VALUE"""),"9YF82A")</f>
        <v>9YF82A</v>
      </c>
      <c r="C846" s="16" t="str">
        <f ca="1">IFERROR(__xludf.DUMMYFUNCTION("""COMPUTED_VALUE"""),"145,")</f>
        <v>145,</v>
      </c>
    </row>
    <row r="847" spans="1:3" ht="15.75" customHeight="1">
      <c r="A847" s="16" t="str">
        <f ca="1">IFERROR(__xludf.DUMMYFUNCTION("""COMPUTED_VALUE"""),"HP - LaserJet 211DW &lt;9YF83A&gt; (A4, 29 стр/мин, 64Mb, двусторонняя печать, USB2.0, WiFi, Ethernet)")</f>
        <v>HP - LaserJet 211DW &lt;9YF83A&gt; (A4, 29 стр/мин, 64Mb, двусторонняя печать, USB2.0, WiFi, Ethernet)</v>
      </c>
      <c r="B847" s="16" t="str">
        <f ca="1">IFERROR(__xludf.DUMMYFUNCTION("""COMPUTED_VALUE"""),"9YF83A")</f>
        <v>9YF83A</v>
      </c>
      <c r="C847" s="16" t="str">
        <f ca="1">IFERROR(__xludf.DUMMYFUNCTION("""COMPUTED_VALUE"""),"160,")</f>
        <v>160,</v>
      </c>
    </row>
    <row r="848" spans="1:3" ht="15.75" customHeight="1">
      <c r="A848" s="16" t="str">
        <f ca="1">IFERROR(__xludf.DUMMYFUNCTION("""COMPUTED_VALUE"""),"HP - LaserJet Pro MFP 4103dw &lt;2Z627A&gt; (A4, 40стр/мин,512Mb,LCD, лазерное МФУ,USB2.0,сетевой,двуст.печать,DADF) (распродажа)")</f>
        <v>HP - LaserJet Pro MFP 4103dw &lt;2Z627A&gt; (A4, 40стр/мин,512Mb,LCD, лазерное МФУ,USB2.0,сетевой,двуст.печать,DADF) (распродажа)</v>
      </c>
      <c r="B848" s="16" t="str">
        <f ca="1">IFERROR(__xludf.DUMMYFUNCTION("""COMPUTED_VALUE"""),"2Z627A")</f>
        <v>2Z627A</v>
      </c>
      <c r="C848" s="16" t="str">
        <f ca="1">IFERROR(__xludf.DUMMYFUNCTION("""COMPUTED_VALUE"""),"333,")</f>
        <v>333,</v>
      </c>
    </row>
    <row r="849" spans="1:3" ht="15.75" customHeight="1">
      <c r="A849" s="16" t="str">
        <f ca="1">IFERROR(__xludf.DUMMYFUNCTION("""COMPUTED_VALUE"""),"HP - Color Laser 150a &lt;4ZB94A&gt; (A4, 18стр/мин,64Mb, лазерное ,USB2.0)")</f>
        <v>HP - Color Laser 150a &lt;4ZB94A&gt; (A4, 18стр/мин,64Mb, лазерное ,USB2.0)</v>
      </c>
      <c r="B849" s="16" t="str">
        <f ca="1">IFERROR(__xludf.DUMMYFUNCTION("""COMPUTED_VALUE"""),"4ZB94A")</f>
        <v>4ZB94A</v>
      </c>
      <c r="C849" s="16" t="str">
        <f ca="1">IFERROR(__xludf.DUMMYFUNCTION("""COMPUTED_VALUE"""),"260,")</f>
        <v>260,</v>
      </c>
    </row>
    <row r="850" spans="1:3" ht="15.75" customHeight="1">
      <c r="A850" s="16" t="str">
        <f ca="1">IFERROR(__xludf.DUMMYFUNCTION("""COMPUTED_VALUE"""),"HP - Color Laser 150nw &lt;4ZB95A&gt; (A4, 18стр/мин,64Mb, лазерное ,USB2.0,сетевой,Wi-Fi)")</f>
        <v>HP - Color Laser 150nw &lt;4ZB95A&gt; (A4, 18стр/мин,64Mb, лазерное ,USB2.0,сетевой,Wi-Fi)</v>
      </c>
      <c r="B850" s="16" t="str">
        <f ca="1">IFERROR(__xludf.DUMMYFUNCTION("""COMPUTED_VALUE"""),"4ZB95A")</f>
        <v>4ZB95A</v>
      </c>
      <c r="C850" s="16" t="str">
        <f ca="1">IFERROR(__xludf.DUMMYFUNCTION("""COMPUTED_VALUE"""),"270,")</f>
        <v>270,</v>
      </c>
    </row>
    <row r="851" spans="1:3" ht="15.75" customHeight="1">
      <c r="A851" s="16" t="str">
        <f ca="1">IFERROR(__xludf.DUMMYFUNCTION("""COMPUTED_VALUE"""),"HP - Color Laser MFP 178nw &lt;4ZB96A&gt; (A4, 18стр/мин, 128Mb, LCD, МФУ, сетевой, USB2.0, WiFi)")</f>
        <v>HP - Color Laser MFP 178nw &lt;4ZB96A&gt; (A4, 18стр/мин, 128Mb, LCD, МФУ, сетевой, USB2.0, WiFi)</v>
      </c>
      <c r="B851" s="16" t="str">
        <f ca="1">IFERROR(__xludf.DUMMYFUNCTION("""COMPUTED_VALUE"""),"4ZB96A")</f>
        <v>4ZB96A</v>
      </c>
      <c r="C851" s="16" t="str">
        <f ca="1">IFERROR(__xludf.DUMMYFUNCTION("""COMPUTED_VALUE"""),"385,")</f>
        <v>385,</v>
      </c>
    </row>
    <row r="852" spans="1:3" ht="15.75" customHeight="1">
      <c r="A852" s="16" t="str">
        <f ca="1">IFERROR(__xludf.DUMMYFUNCTION("""COMPUTED_VALUE"""),"HP - Color LaserJet Pro MFP M182n &lt;7KW54A&gt; (A4, 16стр/мин, 256Mb, LCD, МФУ, сетевой, USB2.0)")</f>
        <v>HP - Color LaserJet Pro MFP M182n &lt;7KW54A&gt; (A4, 16стр/мин, 256Mb, LCD, МФУ, сетевой, USB2.0)</v>
      </c>
      <c r="B852" s="16" t="str">
        <f ca="1">IFERROR(__xludf.DUMMYFUNCTION("""COMPUTED_VALUE"""),"7KW54A")</f>
        <v>7KW54A</v>
      </c>
      <c r="C852" s="16" t="str">
        <f ca="1">IFERROR(__xludf.DUMMYFUNCTION("""COMPUTED_VALUE"""),"500,")</f>
        <v>500,</v>
      </c>
    </row>
    <row r="853" spans="1:3" ht="15.75" customHeight="1">
      <c r="A853" s="16" t="str">
        <f ca="1">IFERROR(__xludf.DUMMYFUNCTION("""COMPUTED_VALUE"""),"HP - Color LaserJet Pro 3303sdw &lt;499M6A&gt; (A4, 25 стр/мин, 512Mb, LCD, USB2.0, сетевой, двусторонняя печать)")</f>
        <v>HP - Color LaserJet Pro 3303sdw &lt;499M6A&gt; (A4, 25 стр/мин, 512Mb, LCD, USB2.0, сетевой, двусторонняя печать)</v>
      </c>
      <c r="B853" s="16" t="str">
        <f ca="1">IFERROR(__xludf.DUMMYFUNCTION("""COMPUTED_VALUE"""),"499M6A")</f>
        <v>499M6A</v>
      </c>
      <c r="C853" s="16" t="str">
        <f ca="1">IFERROR(__xludf.DUMMYFUNCTION("""COMPUTED_VALUE"""),"540,")</f>
        <v>540,</v>
      </c>
    </row>
    <row r="854" spans="1:3" ht="15.75" customHeight="1">
      <c r="A854" s="16" t="str">
        <f ca="1">IFERROR(__xludf.DUMMYFUNCTION("""COMPUTED_VALUE"""),"HP - Color LaserJet Pro MFP 4303dw &lt;5HH65A&gt; (A4, 33стр/мин,512Mb,LCD, лазерное МФУ,USB2.0,сетевой,двуст.печать)")</f>
        <v>HP - Color LaserJet Pro MFP 4303dw &lt;5HH65A&gt; (A4, 33стр/мин,512Mb,LCD, лазерное МФУ,USB2.0,сетевой,двуст.печать)</v>
      </c>
      <c r="B854" s="16" t="str">
        <f ca="1">IFERROR(__xludf.DUMMYFUNCTION("""COMPUTED_VALUE"""),"")</f>
        <v/>
      </c>
      <c r="C854" s="16" t="str">
        <f ca="1">IFERROR(__xludf.DUMMYFUNCTION("""COMPUTED_VALUE"""),"640,")</f>
        <v>640,</v>
      </c>
    </row>
    <row r="855" spans="1:3" ht="15.75" customHeight="1">
      <c r="A855" s="16" t="str">
        <f ca="1">IFERROR(__xludf.DUMMYFUNCTION("""COMPUTED_VALUE"""),"HP - LaserJet Enterprise M507dn &lt;1PV87A&gt; (A4, 43 стр/мин, 512Mb, LCD, USB2.0, сетевой, двусторонняя печать)")</f>
        <v>HP - LaserJet Enterprise M507dn &lt;1PV87A&gt; (A4, 43 стр/мин, 512Mb, LCD, USB2.0, сетевой, двусторонняя печать)</v>
      </c>
      <c r="B855" s="16" t="str">
        <f ca="1">IFERROR(__xludf.DUMMYFUNCTION("""COMPUTED_VALUE"""),"1PV87A")</f>
        <v>1PV87A</v>
      </c>
      <c r="C855" s="16" t="str">
        <f ca="1">IFERROR(__xludf.DUMMYFUNCTION("""COMPUTED_VALUE"""),"400,")</f>
        <v>400,</v>
      </c>
    </row>
    <row r="856" spans="1:3" ht="15.75" customHeight="1">
      <c r="A856" s="16" t="str">
        <f ca="1">IFERROR(__xludf.DUMMYFUNCTION("""COMPUTED_VALUE"""),"HP - LaserJet Enterprise M528dn &lt;1PV64A&gt; (A4, 43стр/мин, 1Gb, сетевой, USB2.0, LCD, двусторонняя печать)")</f>
        <v>HP - LaserJet Enterprise M528dn &lt;1PV64A&gt; (A4, 43стр/мин, 1Gb, сетевой, USB2.0, LCD, двусторонняя печать)</v>
      </c>
      <c r="B856" s="16" t="str">
        <f ca="1">IFERROR(__xludf.DUMMYFUNCTION("""COMPUTED_VALUE"""),"1PV64A")</f>
        <v>1PV64A</v>
      </c>
      <c r="C856" s="16" t="str">
        <f ca="1">IFERROR(__xludf.DUMMYFUNCTION("""COMPUTED_VALUE"""),"700,")</f>
        <v>700,</v>
      </c>
    </row>
    <row r="857" spans="1:3" ht="15.75" customHeight="1">
      <c r="A857" s="16" t="str">
        <f ca="1">IFERROR(__xludf.DUMMYFUNCTION("""COMPUTED_VALUE"""),"Canon - PIXMA G3430 (A4, 9.1 стр/мин, струйное МФУ, LCD, USB2.0, WiFi) (официальная гарантия)")</f>
        <v>Canon - PIXMA G3430 (A4, 9.1 стр/мин, струйное МФУ, LCD, USB2.0, WiFi) (официальная гарантия)</v>
      </c>
      <c r="B857" s="16" t="str">
        <f ca="1">IFERROR(__xludf.DUMMYFUNCTION("""COMPUTED_VALUE"""),"G3430")</f>
        <v>G3430</v>
      </c>
      <c r="C857" s="16" t="str">
        <f ca="1">IFERROR(__xludf.DUMMYFUNCTION("""COMPUTED_VALUE"""),"140,")</f>
        <v>140,</v>
      </c>
    </row>
    <row r="858" spans="1:3" ht="15.75" customHeight="1">
      <c r="A858" s="16" t="str">
        <f ca="1">IFERROR(__xludf.DUMMYFUNCTION("""COMPUTED_VALUE"""),"Canon ImageCLASS LBP6030 (A4, 18 стр/мин, 32Mb,2400dpi, USB2.0,лазерный)")</f>
        <v>Canon ImageCLASS LBP6030 (A4, 18 стр/мин, 32Mb,2400dpi, USB2.0,лазерный)</v>
      </c>
      <c r="B858" s="16" t="str">
        <f ca="1">IFERROR(__xludf.DUMMYFUNCTION("""COMPUTED_VALUE"""),"LBP6030")</f>
        <v>LBP6030</v>
      </c>
      <c r="C858" s="16" t="str">
        <f ca="1">IFERROR(__xludf.DUMMYFUNCTION("""COMPUTED_VALUE"""),"135,")</f>
        <v>135,</v>
      </c>
    </row>
    <row r="859" spans="1:3" ht="15.75" customHeight="1">
      <c r="A859" s="16" t="str">
        <f ca="1">IFERROR(__xludf.DUMMYFUNCTION("""COMPUTED_VALUE"""),"Canon i-SENSYS MF453dw (A4, 1Gb, 38 стр/мин, лаз.МФУ, LCD, DADF, двуст. печать, USB 2.0, сетевой, WiFi)")</f>
        <v>Canon i-SENSYS MF453dw (A4, 1Gb, 38 стр/мин, лаз.МФУ, LCD, DADF, двуст. печать, USB 2.0, сетевой, WiFi)</v>
      </c>
      <c r="B859" s="16" t="str">
        <f ca="1">IFERROR(__xludf.DUMMYFUNCTION("""COMPUTED_VALUE"""),"MF453dw")</f>
        <v>MF453dw</v>
      </c>
      <c r="C859" s="16" t="str">
        <f ca="1">IFERROR(__xludf.DUMMYFUNCTION("""COMPUTED_VALUE"""),"340,")</f>
        <v>340,</v>
      </c>
    </row>
    <row r="860" spans="1:3" ht="15.75" customHeight="1">
      <c r="A860" s="16" t="str">
        <f ca="1">IFERROR(__xludf.DUMMYFUNCTION("""COMPUTED_VALUE"""),"Canon i-SENSYS LBP631CW (A4, 18 стр/мин, 1Gb, LCD, 1200dpi, USB2.0, лазерный, сетевой, WiFi)")</f>
        <v>Canon i-SENSYS LBP631CW (A4, 18 стр/мин, 1Gb, LCD, 1200dpi, USB2.0, лазерный, сетевой, WiFi)</v>
      </c>
      <c r="B860" s="16" t="str">
        <f ca="1">IFERROR(__xludf.DUMMYFUNCTION("""COMPUTED_VALUE"""),"5159C004AA")</f>
        <v>5159C004AA</v>
      </c>
      <c r="C860" s="16" t="str">
        <f ca="1">IFERROR(__xludf.DUMMYFUNCTION("""COMPUTED_VALUE"""),"240,")</f>
        <v>240,</v>
      </c>
    </row>
    <row r="861" spans="1:3" ht="15.75" customHeight="1">
      <c r="A861" s="16" t="str">
        <f ca="1">IFERROR(__xludf.DUMMYFUNCTION("""COMPUTED_VALUE"""),"Canon i-SENSYS MF655Cdw (A4, 1Gb, 21 стр/мин, цветное лазерное МФУ, LCD,ADF, двустор.печать, USB2.0, сетевой,WiFi)")</f>
        <v>Canon i-SENSYS MF655Cdw (A4, 1Gb, 21 стр/мин, цветное лазерное МФУ, LCD,ADF, двустор.печать, USB2.0, сетевой,WiFi)</v>
      </c>
      <c r="B861" s="16" t="str">
        <f ca="1">IFERROR(__xludf.DUMMYFUNCTION("""COMPUTED_VALUE"""),"MF655Cdw")</f>
        <v>MF655Cdw</v>
      </c>
      <c r="C861" s="16" t="str">
        <f ca="1">IFERROR(__xludf.DUMMYFUNCTION("""COMPUTED_VALUE"""),"330,")</f>
        <v>330,</v>
      </c>
    </row>
    <row r="862" spans="1:3" ht="15.75" customHeight="1">
      <c r="A862" s="16" t="str">
        <f ca="1">IFERROR(__xludf.DUMMYFUNCTION("""COMPUTED_VALUE"""),"Canon i-SENSYS MF657Cdw (A4, 1Gb, 21 стр/мин, цв. лазерное МФУ, LCD,DADF,двуст.печать,USB2.0,сетевой,WiFi)")</f>
        <v>Canon i-SENSYS MF657Cdw (A4, 1Gb, 21 стр/мин, цв. лазерное МФУ, LCD,DADF,двуст.печать,USB2.0,сетевой,WiFi)</v>
      </c>
      <c r="B862" s="16" t="str">
        <f ca="1">IFERROR(__xludf.DUMMYFUNCTION("""COMPUTED_VALUE"""),"MF657Cdw")</f>
        <v>MF657Cdw</v>
      </c>
      <c r="C862" s="16" t="str">
        <f ca="1">IFERROR(__xludf.DUMMYFUNCTION("""COMPUTED_VALUE"""),"370,")</f>
        <v>370,</v>
      </c>
    </row>
    <row r="863" spans="1:3" ht="15.75" customHeight="1">
      <c r="A863" s="16" t="str">
        <f ca="1">IFERROR(__xludf.DUMMYFUNCTION("""COMPUTED_VALUE"""),"Epson L121 (A4, струйный, 9 стр/мин, 720 dpi, 4 краски, USB2.0)")</f>
        <v>Epson L121 (A4, струйный, 9 стр/мин, 720 dpi, 4 краски, USB2.0)</v>
      </c>
      <c r="B863" s="16" t="str">
        <f ca="1">IFERROR(__xludf.DUMMYFUNCTION("""COMPUTED_VALUE"""),"L121")</f>
        <v>L121</v>
      </c>
      <c r="C863" s="16" t="str">
        <f ca="1">IFERROR(__xludf.DUMMYFUNCTION("""COMPUTED_VALUE"""),"125,")</f>
        <v>125,</v>
      </c>
    </row>
    <row r="864" spans="1:3" ht="15.75" customHeight="1">
      <c r="A864" s="16" t="str">
        <f ca="1">IFERROR(__xludf.DUMMYFUNCTION("""COMPUTED_VALUE"""),"Epson M1100 (A4, струйный, 15 стр/мин, 1440x720 dpi, 1 краска, USB2.0)")</f>
        <v>Epson M1100 (A4, струйный, 15 стр/мин, 1440x720 dpi, 1 краска, USB2.0)</v>
      </c>
      <c r="B864" s="16" t="str">
        <f ca="1">IFERROR(__xludf.DUMMYFUNCTION("""COMPUTED_VALUE"""),"M1100")</f>
        <v>M1100</v>
      </c>
      <c r="C864" s="16" t="str">
        <f ca="1">IFERROR(__xludf.DUMMYFUNCTION("""COMPUTED_VALUE"""),"170,")</f>
        <v>170,</v>
      </c>
    </row>
    <row r="865" spans="1:3" ht="15.75" customHeight="1">
      <c r="A865" s="16" t="str">
        <f ca="1">IFERROR(__xludf.DUMMYFUNCTION("""COMPUTED_VALUE"""),"Epson M1120 (A4, струйный, 15 стр/мин, 1440x720 dpi, 1 краска, USB2.0)")</f>
        <v>Epson M1120 (A4, струйный, 15 стр/мин, 1440x720 dpi, 1 краска, USB2.0)</v>
      </c>
      <c r="B865" s="16" t="str">
        <f ca="1">IFERROR(__xludf.DUMMYFUNCTION("""COMPUTED_VALUE"""),"M1120")</f>
        <v>M1120</v>
      </c>
      <c r="C865" s="16" t="str">
        <f ca="1">IFERROR(__xludf.DUMMYFUNCTION("""COMPUTED_VALUE"""),"175,")</f>
        <v>175,</v>
      </c>
    </row>
    <row r="866" spans="1:3" ht="15.75" customHeight="1">
      <c r="A866" s="16" t="str">
        <f ca="1">IFERROR(__xludf.DUMMYFUNCTION("""COMPUTED_VALUE"""),"Epson M1170 (A4, струйный, 39 стр/мин, 2400x1200 dpi, 1 краска, USB2.0, двусторонняя печать)")</f>
        <v>Epson M1170 (A4, струйный, 39 стр/мин, 2400x1200 dpi, 1 краска, USB2.0, двусторонняя печать)</v>
      </c>
      <c r="B866" s="16" t="str">
        <f ca="1">IFERROR(__xludf.DUMMYFUNCTION("""COMPUTED_VALUE"""),"M1170")</f>
        <v>M1170</v>
      </c>
      <c r="C866" s="16" t="str">
        <f ca="1">IFERROR(__xludf.DUMMYFUNCTION("""COMPUTED_VALUE"""),"210,")</f>
        <v>210,</v>
      </c>
    </row>
    <row r="867" spans="1:3" ht="15.75" customHeight="1">
      <c r="A867" s="16" t="str">
        <f ca="1">IFERROR(__xludf.DUMMYFUNCTION("""COMPUTED_VALUE"""),"Epson M2120 (A4, струйное МФУ, 32 стр/мин, 1440x720 dpi, 1 краска, USB2.0, WiFi)")</f>
        <v>Epson M2120 (A4, струйное МФУ, 32 стр/мин, 1440x720 dpi, 1 краска, USB2.0, WiFi)</v>
      </c>
      <c r="B867" s="16" t="str">
        <f ca="1">IFERROR(__xludf.DUMMYFUNCTION("""COMPUTED_VALUE"""),"M2120")</f>
        <v>M2120</v>
      </c>
      <c r="C867" s="16" t="str">
        <f ca="1">IFERROR(__xludf.DUMMYFUNCTION("""COMPUTED_VALUE"""),"240,")</f>
        <v>240,</v>
      </c>
    </row>
    <row r="868" spans="1:3" ht="15.75" customHeight="1">
      <c r="A868" s="16" t="str">
        <f ca="1">IFERROR(__xludf.DUMMYFUNCTION("""COMPUTED_VALUE"""),"Epson M2140 (A4, 39 стр/мин, 1 краска, струйное МФУ, LCD, USB2.0, двусторонняя печать)")</f>
        <v>Epson M2140 (A4, 39 стр/мин, 1 краска, струйное МФУ, LCD, USB2.0, двусторонняя печать)</v>
      </c>
      <c r="B868" s="16" t="str">
        <f ca="1">IFERROR(__xludf.DUMMYFUNCTION("""COMPUTED_VALUE"""),"M2140")</f>
        <v>M2140</v>
      </c>
      <c r="C868" s="16" t="str">
        <f ca="1">IFERROR(__xludf.DUMMYFUNCTION("""COMPUTED_VALUE"""),"270,")</f>
        <v>270,</v>
      </c>
    </row>
    <row r="869" spans="1:3" ht="15.75" customHeight="1">
      <c r="A869" s="16" t="str">
        <f ca="1">IFERROR(__xludf.DUMMYFUNCTION("""COMPUTED_VALUE"""),"Epson M2170 (A4, струйное МФУ, 32 стр/мин, 1440x720 dpi, 1 краска, USB2.0, WiFi)")</f>
        <v>Epson M2170 (A4, струйное МФУ, 32 стр/мин, 1440x720 dpi, 1 краска, USB2.0, WiFi)</v>
      </c>
      <c r="B869" s="16" t="str">
        <f ca="1">IFERROR(__xludf.DUMMYFUNCTION("""COMPUTED_VALUE"""),"M2170")</f>
        <v>M2170</v>
      </c>
      <c r="C869" s="16" t="str">
        <f ca="1">IFERROR(__xludf.DUMMYFUNCTION("""COMPUTED_VALUE"""),"290,")</f>
        <v>290,</v>
      </c>
    </row>
    <row r="870" spans="1:3" ht="15.75" customHeight="1">
      <c r="A870" s="16" t="str">
        <f ca="1">IFERROR(__xludf.DUMMYFUNCTION("""COMPUTED_VALUE"""),"Epson M3170 (A4, струйное МФУ, 32 стр/мин, 1440x720 dpi, 1 краска, USB2.0, WiFi) (распродажа)")</f>
        <v>Epson M3170 (A4, струйное МФУ, 32 стр/мин, 1440x720 dpi, 1 краска, USB2.0, WiFi) (распродажа)</v>
      </c>
      <c r="B870" s="16" t="str">
        <f ca="1">IFERROR(__xludf.DUMMYFUNCTION("""COMPUTED_VALUE"""),"M3170")</f>
        <v>M3170</v>
      </c>
      <c r="C870" s="16" t="str">
        <f ca="1">IFERROR(__xludf.DUMMYFUNCTION("""COMPUTED_VALUE"""),"320,")</f>
        <v>320,</v>
      </c>
    </row>
    <row r="871" spans="1:3" ht="15.75" customHeight="1">
      <c r="A871" s="16" t="str">
        <f ca="1">IFERROR(__xludf.DUMMYFUNCTION("""COMPUTED_VALUE"""),"Epson L3210 (A4, струйное МФУ, 15стр/мин, 5760x1440dpi, 4краски, USB2.0) + 1 черн. краска (3 месяц гарантия)")</f>
        <v>Epson L3210 (A4, струйное МФУ, 15стр/мин, 5760x1440dpi, 4краски, USB2.0) + 1 черн. краска (3 месяц гарантия)</v>
      </c>
      <c r="B871" s="16" t="str">
        <f ca="1">IFERROR(__xludf.DUMMYFUNCTION("""COMPUTED_VALUE"""),"L3210")</f>
        <v>L3210</v>
      </c>
      <c r="C871" s="16" t="str">
        <f ca="1">IFERROR(__xludf.DUMMYFUNCTION("""COMPUTED_VALUE"""),"170,")</f>
        <v>170,</v>
      </c>
    </row>
    <row r="872" spans="1:3" ht="15.75" customHeight="1">
      <c r="A872" s="16" t="str">
        <f ca="1">IFERROR(__xludf.DUMMYFUNCTION("""COMPUTED_VALUE"""),"Epson L3200 (A4, струйное МФУ, 15стр/мин, 5760x1440dpi, 4краски, USB2.0) (сервис, с гарантией)")</f>
        <v>Epson L3200 (A4, струйное МФУ, 15стр/мин, 5760x1440dpi, 4краски, USB2.0) (сервис, с гарантией)</v>
      </c>
      <c r="B872" s="16" t="str">
        <f ca="1">IFERROR(__xludf.DUMMYFUNCTION("""COMPUTED_VALUE"""),"L3200")</f>
        <v>L3200</v>
      </c>
      <c r="C872" s="16" t="str">
        <f ca="1">IFERROR(__xludf.DUMMYFUNCTION("""COMPUTED_VALUE"""),"170,")</f>
        <v>170,</v>
      </c>
    </row>
    <row r="873" spans="1:3" ht="15.75" customHeight="1">
      <c r="A873" s="16" t="str">
        <f ca="1">IFERROR(__xludf.DUMMYFUNCTION("""COMPUTED_VALUE"""),"Epson L3250 (A4, струйное МФУ, 33стр/мин, 5760x1440dpi, 4 краски, USB2.0, WiFi)  + 1 черн. краска (3 месяц гарантия)")</f>
        <v>Epson L3250 (A4, струйное МФУ, 33стр/мин, 5760x1440dpi, 4 краски, USB2.0, WiFi)  + 1 черн. краска (3 месяц гарантия)</v>
      </c>
      <c r="B873" s="16" t="str">
        <f ca="1">IFERROR(__xludf.DUMMYFUNCTION("""COMPUTED_VALUE"""),"L3250")</f>
        <v>L3250</v>
      </c>
      <c r="C873" s="16" t="str">
        <f ca="1">IFERROR(__xludf.DUMMYFUNCTION("""COMPUTED_VALUE"""),"180,")</f>
        <v>180,</v>
      </c>
    </row>
    <row r="874" spans="1:3" ht="15.75" customHeight="1">
      <c r="A874" s="16" t="str">
        <f ca="1">IFERROR(__xludf.DUMMYFUNCTION("""COMPUTED_VALUE"""),"Epson L3260 (A4, струйное МФУ, 33стр/мин, 5760x1440dpi, 4 краски, USB2.0, WiFi) (сервис, с гарантией)")</f>
        <v>Epson L3260 (A4, струйное МФУ, 33стр/мин, 5760x1440dpi, 4 краски, USB2.0, WiFi) (сервис, с гарантией)</v>
      </c>
      <c r="B874" s="16" t="str">
        <f ca="1">IFERROR(__xludf.DUMMYFUNCTION("""COMPUTED_VALUE"""),"L3260")</f>
        <v>L3260</v>
      </c>
      <c r="C874" s="16" t="str">
        <f ca="1">IFERROR(__xludf.DUMMYFUNCTION("""COMPUTED_VALUE"""),"230,")</f>
        <v>230,</v>
      </c>
    </row>
    <row r="875" spans="1:3" ht="15.75" customHeight="1">
      <c r="A875" s="16" t="str">
        <f ca="1">IFERROR(__xludf.DUMMYFUNCTION("""COMPUTED_VALUE"""),"Epson L8050 (A4, 5760x1440 dpi, 6 красок, USB2.0, WiFi, печать на CD/DVD) (сервис, с гарантией)")</f>
        <v>Epson L8050 (A4, 5760x1440 dpi, 6 красок, USB2.0, WiFi, печать на CD/DVD) (сервис, с гарантией)</v>
      </c>
      <c r="B875" s="16" t="str">
        <f ca="1">IFERROR(__xludf.DUMMYFUNCTION("""COMPUTED_VALUE"""),"L8050")</f>
        <v>L8050</v>
      </c>
      <c r="C875" s="16" t="str">
        <f ca="1">IFERROR(__xludf.DUMMYFUNCTION("""COMPUTED_VALUE"""),"315,")</f>
        <v>315,</v>
      </c>
    </row>
    <row r="876" spans="1:3" ht="15.75" customHeight="1">
      <c r="A876" s="16" t="str">
        <f ca="1">IFERROR(__xludf.DUMMYFUNCTION("""COMPUTED_VALUE"""),"Epson L8100 (A4, струйное МФУ, LCD, 22стр/мин, 4800x1200dpi, 6краски, USB2.0,  WiFi)")</f>
        <v>Epson L8100 (A4, струйное МФУ, LCD, 22стр/мин, 4800x1200dpi, 6краски, USB2.0,  WiFi)</v>
      </c>
      <c r="B876" s="16" t="str">
        <f ca="1">IFERROR(__xludf.DUMMYFUNCTION("""COMPUTED_VALUE"""),"L8100")</f>
        <v>L8100</v>
      </c>
      <c r="C876" s="16" t="str">
        <f ca="1">IFERROR(__xludf.DUMMYFUNCTION("""COMPUTED_VALUE"""),"475,")</f>
        <v>475,</v>
      </c>
    </row>
    <row r="877" spans="1:3" ht="15.75" customHeight="1">
      <c r="A877" s="16" t="str">
        <f ca="1">IFERROR(__xludf.DUMMYFUNCTION("""COMPUTED_VALUE"""),"Epson L14150 (A3, струйное МФУ, LCD, 17стр/мин, 4800x1200dpi, 4краски, USB2.0, ADF, WiFi, сетевой, двуст.печать)")</f>
        <v>Epson L14150 (A3, струйное МФУ, LCD, 17стр/мин, 4800x1200dpi, 4краски, USB2.0, ADF, WiFi, сетевой, двуст.печать)</v>
      </c>
      <c r="B877" s="16" t="str">
        <f ca="1">IFERROR(__xludf.DUMMYFUNCTION("""COMPUTED_VALUE"""),"L14150")</f>
        <v>L14150</v>
      </c>
      <c r="C877" s="16" t="str">
        <f ca="1">IFERROR(__xludf.DUMMYFUNCTION("""COMPUTED_VALUE"""),"540,")</f>
        <v>540,</v>
      </c>
    </row>
    <row r="878" spans="1:3" ht="15.75" customHeight="1">
      <c r="A878" s="16" t="str">
        <f ca="1">IFERROR(__xludf.DUMMYFUNCTION("""COMPUTED_VALUE"""),"Epson L18050 (A3+, 15 стр / мин, 5760x1440 dpi, 6 красок, USB2.0) (сервис, с гарантией)")</f>
        <v>Epson L18050 (A3+, 15 стр / мин, 5760x1440 dpi, 6 красок, USB2.0) (сервис, с гарантией)</v>
      </c>
      <c r="B878" s="16" t="str">
        <f ca="1">IFERROR(__xludf.DUMMYFUNCTION("""COMPUTED_VALUE"""),"L18050")</f>
        <v>L18050</v>
      </c>
      <c r="C878" s="16" t="str">
        <f ca="1">IFERROR(__xludf.DUMMYFUNCTION("""COMPUTED_VALUE"""),"600,")</f>
        <v>600,</v>
      </c>
    </row>
    <row r="879" spans="1:3" ht="15.75" customHeight="1">
      <c r="A879" s="16" t="str">
        <f ca="1">IFERROR(__xludf.DUMMYFUNCTION("""COMPUTED_VALUE"""),"Epson L8180 (A3+,струйн.МФУ,LCD,16стр/мин,5760x1440dpi,6красок,USB2.0,WiFi,сетевой,двуст.печать,CR,печать наCD/DVD)")</f>
        <v>Epson L8180 (A3+,струйн.МФУ,LCD,16стр/мин,5760x1440dpi,6красок,USB2.0,WiFi,сетевой,двуст.печать,CR,печать наCD/DVD)</v>
      </c>
      <c r="B879" s="16" t="str">
        <f ca="1">IFERROR(__xludf.DUMMYFUNCTION("""COMPUTED_VALUE"""),"L8180")</f>
        <v>L8180</v>
      </c>
      <c r="C879" s="16" t="str">
        <f ca="1">IFERROR(__xludf.DUMMYFUNCTION("""COMPUTED_VALUE"""),"680,")</f>
        <v>680,</v>
      </c>
    </row>
    <row r="880" spans="1:3" ht="15.75" customHeight="1">
      <c r="A880" s="16" t="str">
        <f ca="1">IFERROR(__xludf.DUMMYFUNCTION("""COMPUTED_VALUE"""),"Xerox Phaser 6500N (A4, 24стр/мин, 256Mb, 600dpi, цветной, лазерный, сетевой) + картридж 1000 листов для каждого цвета")</f>
        <v>Xerox Phaser 6500N (A4, 24стр/мин, 256Mb, 600dpi, цветной, лазерный, сетевой) + картридж 1000 листов для каждого цвета</v>
      </c>
      <c r="B880" s="16" t="str">
        <f ca="1">IFERROR(__xludf.DUMMYFUNCTION("""COMPUTED_VALUE"""),"6500N ")</f>
        <v xml:space="preserve">6500N </v>
      </c>
      <c r="C880" s="16" t="str">
        <f ca="1">IFERROR(__xludf.DUMMYFUNCTION("""COMPUTED_VALUE"""),"345,")</f>
        <v>345,</v>
      </c>
    </row>
    <row r="881" spans="1:3" ht="15.75" customHeight="1">
      <c r="A881" s="16" t="str">
        <f ca="1">IFERROR(__xludf.DUMMYFUNCTION("""COMPUTED_VALUE"""),"Xerox B1022DN (А3, лазерное МФУ, двусторонний, 22стр/мин, 256Mb, 1200dpi, LCD, сетевой) + картридж 2500 стр")</f>
        <v>Xerox B1022DN (А3, лазерное МФУ, двусторонний, 22стр/мин, 256Mb, 1200dpi, LCD, сетевой) + картридж 2500 стр</v>
      </c>
      <c r="B881" s="16" t="str">
        <f ca="1">IFERROR(__xludf.DUMMYFUNCTION("""COMPUTED_VALUE"""),"B1022DN")</f>
        <v>B1022DN</v>
      </c>
      <c r="C881" s="16" t="str">
        <f ca="1">IFERROR(__xludf.DUMMYFUNCTION("""COMPUTED_VALUE"""),"481,")</f>
        <v>481,</v>
      </c>
    </row>
    <row r="882" spans="1:3" ht="15.75" customHeight="1">
      <c r="A882" s="16" t="str">
        <f ca="1">IFERROR(__xludf.DUMMYFUNCTION("""COMPUTED_VALUE"""),"Xerox VersaLink B7135 (А3, лазерное МФУ, DADF, двусторонний, 35стр/мин, 2048Мб, 1200dpi, сенсор LCD, Wi-Fi, сетевой)")</f>
        <v>Xerox VersaLink B7135 (А3, лазерное МФУ, DADF, двусторонний, 35стр/мин, 2048Мб, 1200dpi, сенсор LCD, Wi-Fi, сетевой)</v>
      </c>
      <c r="B882" s="16" t="str">
        <f ca="1">IFERROR(__xludf.DUMMYFUNCTION("""COMPUTED_VALUE"""),"B7135")</f>
        <v>B7135</v>
      </c>
      <c r="C882" s="16" t="str">
        <f ca="1">IFERROR(__xludf.DUMMYFUNCTION("""COMPUTED_VALUE"""),"3020,")</f>
        <v>3020,</v>
      </c>
    </row>
    <row r="883" spans="1:3" ht="15.75" customHeight="1">
      <c r="A883" s="16" t="str">
        <f ca="1">IFERROR(__xludf.DUMMYFUNCTION("""COMPUTED_VALUE"""),"Xerox AltaLink B8045 (A3, лазерное МФУ, DADF, двусторонний, 45стр/мин, 4092Мб, 250Гб, 1800Мгц, 1200dpi, NFC, Wi-Fi, сеть) + картридж 50000стр")</f>
        <v>Xerox AltaLink B8045 (A3, лазерное МФУ, DADF, двусторонний, 45стр/мин, 4092Мб, 250Гб, 1800Мгц, 1200dpi, NFC, Wi-Fi, сеть) + картридж 50000стр</v>
      </c>
      <c r="B883" s="16" t="str">
        <f ca="1">IFERROR(__xludf.DUMMYFUNCTION("""COMPUTED_VALUE"""),"B8045")</f>
        <v>B8045</v>
      </c>
      <c r="C883" s="16" t="str">
        <f ca="1">IFERROR(__xludf.DUMMYFUNCTION("""COMPUTED_VALUE"""),"6700,")</f>
        <v>6700,</v>
      </c>
    </row>
    <row r="884" spans="1:3" ht="15.75" customHeight="1">
      <c r="A884" s="16" t="str">
        <f ca="1">IFERROR(__xludf.DUMMYFUNCTION("""COMPUTED_VALUE"""),"Xerox Картридж повышенной емкости для Xerox B1022/1025 на 13700 стр (006R01731)")</f>
        <v>Xerox Картридж повышенной емкости для Xerox B1022/1025 на 13700 стр (006R01731)</v>
      </c>
      <c r="B884" s="16" t="str">
        <f ca="1">IFERROR(__xludf.DUMMYFUNCTION("""COMPUTED_VALUE"""),"006R01731")</f>
        <v>006R01731</v>
      </c>
      <c r="C884" s="16" t="str">
        <f ca="1">IFERROR(__xludf.DUMMYFUNCTION("""COMPUTED_VALUE"""),"46,")</f>
        <v>46,</v>
      </c>
    </row>
    <row r="885" spans="1:3" ht="15.75" customHeight="1">
      <c r="A885" s="16" t="str">
        <f ca="1">IFERROR(__xludf.DUMMYFUNCTION("""COMPUTED_VALUE"""),"Xerox Дополнительный стенд с лотком на 520 листов для Xerox B7135 (097S04907)")</f>
        <v>Xerox Дополнительный стенд с лотком на 520 листов для Xerox B7135 (097S04907)</v>
      </c>
      <c r="B885" s="16" t="str">
        <f ca="1">IFERROR(__xludf.DUMMYFUNCTION("""COMPUTED_VALUE"""),"097S04907")</f>
        <v>097S04907</v>
      </c>
      <c r="C885" s="16" t="str">
        <f ca="1">IFERROR(__xludf.DUMMYFUNCTION("""COMPUTED_VALUE"""),"240,")</f>
        <v>240,</v>
      </c>
    </row>
    <row r="886" spans="1:3" ht="15.75" customHeight="1">
      <c r="A886" s="16" t="str">
        <f ca="1">IFERROR(__xludf.DUMMYFUNCTION("""COMPUTED_VALUE"""),"Xerox Выходной лоток подборки (OCT) для AltaLink B8045 (497K16600)")</f>
        <v>Xerox Выходной лоток подборки (OCT) для AltaLink B8045 (497K16600)</v>
      </c>
      <c r="B886" s="16" t="str">
        <f ca="1">IFERROR(__xludf.DUMMYFUNCTION("""COMPUTED_VALUE"""),"497K16600")</f>
        <v>497K16600</v>
      </c>
      <c r="C886" s="16" t="str">
        <f ca="1">IFERROR(__xludf.DUMMYFUNCTION("""COMPUTED_VALUE"""),"105,")</f>
        <v>105,</v>
      </c>
    </row>
    <row r="887" spans="1:3" ht="15.75" customHeight="1">
      <c r="A887" s="16" t="str">
        <f ca="1">IFERROR(__xludf.DUMMYFUNCTION("""COMPUTED_VALUE"""),"Ricoh MP W6700SP (A0, лазерное МФУ, 6.7стр/сек (А1), 3.3стр/сек (А0), 2560Мб, 320Гб, 1060МГц, 600dpi, сетевой)")</f>
        <v>Ricoh MP W6700SP (A0, лазерное МФУ, 6.7стр/сек (А1), 3.3стр/сек (А0), 2560Мб, 320Гб, 1060МГц, 600dpi, сетевой)</v>
      </c>
      <c r="B887" s="16" t="str">
        <f ca="1">IFERROR(__xludf.DUMMYFUNCTION("""COMPUTED_VALUE"""),"MP W6700SP")</f>
        <v>MP W6700SP</v>
      </c>
      <c r="C887" s="16" t="str">
        <f ca="1">IFERROR(__xludf.DUMMYFUNCTION("""COMPUTED_VALUE"""),"15430,")</f>
        <v>15430,</v>
      </c>
    </row>
    <row r="888" spans="1:3" ht="15.75" customHeight="1">
      <c r="A888" s="16" t="str">
        <f ca="1">IFERROR(__xludf.DUMMYFUNCTION("""COMPUTED_VALUE"""),"Сканер Canon imageFORMULA DR-F120")</f>
        <v>Сканер Canon imageFORMULA DR-F120</v>
      </c>
      <c r="B888" s="16" t="str">
        <f ca="1">IFERROR(__xludf.DUMMYFUNCTION("""COMPUTED_VALUE"""),"")</f>
        <v/>
      </c>
      <c r="C888" s="16" t="str">
        <f ca="1">IFERROR(__xludf.DUMMYFUNCTION("""COMPUTED_VALUE"""),"250,")</f>
        <v>250,</v>
      </c>
    </row>
    <row r="889" spans="1:3" ht="15.75" customHeight="1">
      <c r="A889" s="16" t="str">
        <f ca="1">IFERROR(__xludf.DUMMYFUNCTION("""COMPUTED_VALUE"""),"HP ScanJet Pro 2000 s2 Scanner (6FW06A)")</f>
        <v>HP ScanJet Pro 2000 s2 Scanner (6FW06A)</v>
      </c>
      <c r="B889" s="16" t="str">
        <f ca="1">IFERROR(__xludf.DUMMYFUNCTION("""COMPUTED_VALUE"""),"6FW06A")</f>
        <v>6FW06A</v>
      </c>
      <c r="C889" s="16" t="str">
        <f ca="1">IFERROR(__xludf.DUMMYFUNCTION("""COMPUTED_VALUE"""),"380,")</f>
        <v>380,</v>
      </c>
    </row>
    <row r="890" spans="1:3" ht="15.75" customHeight="1">
      <c r="A890" s="16" t="str">
        <f ca="1">IFERROR(__xludf.DUMMYFUNCTION("""COMPUTED_VALUE"""),"Сканер CZUR Shine Ultra")</f>
        <v>Сканер CZUR Shine Ultra</v>
      </c>
      <c r="B890" s="16" t="str">
        <f ca="1">IFERROR(__xludf.DUMMYFUNCTION("""COMPUTED_VALUE"""),"")</f>
        <v/>
      </c>
      <c r="C890" s="16" t="str">
        <f ca="1">IFERROR(__xludf.DUMMYFUNCTION("""COMPUTED_VALUE"""),"175,")</f>
        <v>175,</v>
      </c>
    </row>
    <row r="891" spans="1:3" ht="15.75" customHeight="1">
      <c r="A891" s="16" t="str">
        <f ca="1">IFERROR(__xludf.DUMMYFUNCTION("""COMPUTED_VALUE"""),"Сканер CZUR ET16 Plus")</f>
        <v>Сканер CZUR ET16 Plus</v>
      </c>
      <c r="B891" s="16" t="str">
        <f ca="1">IFERROR(__xludf.DUMMYFUNCTION("""COMPUTED_VALUE"""),"")</f>
        <v/>
      </c>
      <c r="C891" s="16" t="str">
        <f ca="1">IFERROR(__xludf.DUMMYFUNCTION("""COMPUTED_VALUE"""),"410,")</f>
        <v>410,</v>
      </c>
    </row>
    <row r="892" spans="1:3" ht="15.75" customHeight="1">
      <c r="A892" s="16" t="str">
        <f ca="1">IFERROR(__xludf.DUMMYFUNCTION("""COMPUTED_VALUE"""),"Сканер CZUR ET18 Pro")</f>
        <v>Сканер CZUR ET18 Pro</v>
      </c>
      <c r="B892" s="16" t="str">
        <f ca="1">IFERROR(__xludf.DUMMYFUNCTION("""COMPUTED_VALUE"""),"")</f>
        <v/>
      </c>
      <c r="C892" s="16" t="str">
        <f ca="1">IFERROR(__xludf.DUMMYFUNCTION("""COMPUTED_VALUE"""),"520,")</f>
        <v>520,</v>
      </c>
    </row>
    <row r="893" spans="1:3" ht="15.75" customHeight="1">
      <c r="A893" s="16" t="str">
        <f ca="1">IFERROR(__xludf.DUMMYFUNCTION("""COMPUTED_VALUE"""),"Сканер CZUR M3000 Pro V2")</f>
        <v>Сканер CZUR M3000 Pro V2</v>
      </c>
      <c r="B893" s="16" t="str">
        <f ca="1">IFERROR(__xludf.DUMMYFUNCTION("""COMPUTED_VALUE"""),"")</f>
        <v/>
      </c>
      <c r="C893" s="16" t="str">
        <f ca="1">IFERROR(__xludf.DUMMYFUNCTION("""COMPUTED_VALUE"""),"2740,")</f>
        <v>2740,</v>
      </c>
    </row>
    <row r="894" spans="1:3" ht="15.75" customHeight="1">
      <c r="A894" s="16" t="str">
        <f ca="1">IFERROR(__xludf.DUMMYFUNCTION("""COMPUTED_VALUE"""),"Сканер Panasonic KV-S1028Y-U (A4, 45/90 стр мин, 600х600 dpi, двусторонний, автоподатчик 100 листов, сетевой)")</f>
        <v>Сканер Panasonic KV-S1028Y-U (A4, 45/90 стр мин, 600х600 dpi, двусторонний, автоподатчик 100 листов, сетевой)</v>
      </c>
      <c r="B894" s="16" t="str">
        <f ca="1">IFERROR(__xludf.DUMMYFUNCTION("""COMPUTED_VALUE"""),"")</f>
        <v/>
      </c>
      <c r="C894" s="16" t="str">
        <f ca="1">IFERROR(__xludf.DUMMYFUNCTION("""COMPUTED_VALUE"""),"488,")</f>
        <v>488,</v>
      </c>
    </row>
    <row r="895" spans="1:3" ht="15.75" customHeight="1">
      <c r="A895" s="16" t="str">
        <f ca="1">IFERROR(__xludf.DUMMYFUNCTION("""COMPUTED_VALUE"""),"Сканер Panasonic KV-SL1066-U2 (A4, 65/130 стр мин, 600х600 dpi, двусторонний, автоподатчик 100 листов)")</f>
        <v>Сканер Panasonic KV-SL1066-U2 (A4, 65/130 стр мин, 600х600 dpi, двусторонний, автоподатчик 100 листов)</v>
      </c>
      <c r="B895" s="16" t="str">
        <f ca="1">IFERROR(__xludf.DUMMYFUNCTION("""COMPUTED_VALUE"""),"")</f>
        <v/>
      </c>
      <c r="C895" s="16" t="str">
        <f ca="1">IFERROR(__xludf.DUMMYFUNCTION("""COMPUTED_VALUE"""),"548,")</f>
        <v>548,</v>
      </c>
    </row>
    <row r="896" spans="1:3" ht="15.75" customHeight="1">
      <c r="A896" s="16" t="str">
        <f ca="1">IFERROR(__xludf.DUMMYFUNCTION("""COMPUTED_VALUE"""),"Сканер Panasonic KV-S1058Y-U (A4, 70/140 стр мин, 600х600 dpi, двусторонний, автоподатчик 100 листов, сетевой)")</f>
        <v>Сканер Panasonic KV-S1058Y-U (A4, 70/140 стр мин, 600х600 dpi, двусторонний, автоподатчик 100 листов, сетевой)</v>
      </c>
      <c r="B896" s="16" t="str">
        <f ca="1">IFERROR(__xludf.DUMMYFUNCTION("""COMPUTED_VALUE"""),"")</f>
        <v/>
      </c>
      <c r="C896" s="16" t="str">
        <f ca="1">IFERROR(__xludf.DUMMYFUNCTION("""COMPUTED_VALUE"""),"675,")</f>
        <v>675,</v>
      </c>
    </row>
    <row r="897" spans="1:3" ht="15.75" customHeight="1">
      <c r="A897" s="16" t="str">
        <f ca="1">IFERROR(__xludf.DUMMYFUNCTION("""COMPUTED_VALUE"""),"Сканер Panasonic KV-S5076H-U (A3, 100/200 стр мин, 600х600 dpi, 512Мб, двусторонний, автоподатчик 300 листов)")</f>
        <v>Сканер Panasonic KV-S5076H-U (A3, 100/200 стр мин, 600х600 dpi, 512Мб, двусторонний, автоподатчик 300 листов)</v>
      </c>
      <c r="B897" s="16" t="str">
        <f ca="1">IFERROR(__xludf.DUMMYFUNCTION("""COMPUTED_VALUE"""),"")</f>
        <v/>
      </c>
      <c r="C897" s="16" t="str">
        <f ca="1">IFERROR(__xludf.DUMMYFUNCTION("""COMPUTED_VALUE"""),"3343,")</f>
        <v>3343,</v>
      </c>
    </row>
    <row r="898" spans="1:3" ht="15.75" customHeight="1">
      <c r="A898" s="16" t="str">
        <f ca="1">IFERROR(__xludf.DUMMYFUNCTION("""COMPUTED_VALUE"""),"Сканер Panasonic KV-SL3056-U (A4, 45/90 стр мин, 1.5 сек/стр планшет, 600х600 dpi, двусторонний, автоподатчик 100 листов)")</f>
        <v>Сканер Panasonic KV-SL3056-U (A4, 45/90 стр мин, 1.5 сек/стр планшет, 600х600 dpi, двусторонний, автоподатчик 100 листов)</v>
      </c>
      <c r="B898" s="16" t="str">
        <f ca="1">IFERROR(__xludf.DUMMYFUNCTION("""COMPUTED_VALUE"""),"")</f>
        <v/>
      </c>
      <c r="C898" s="16" t="str">
        <f ca="1">IFERROR(__xludf.DUMMYFUNCTION("""COMPUTED_VALUE"""),"667,")</f>
        <v>667,</v>
      </c>
    </row>
    <row r="899" spans="1:3" ht="15.75" customHeight="1">
      <c r="A899" s="16" t="str">
        <f ca="1">IFERROR(__xludf.DUMMYFUNCTION("""COMPUTED_VALUE"""),"Сканер Panasonic KV-SL3066-U (A4, 65/130 стр мин, 1.5 сек/стр планшет, 600х600 dpi, двусторонний, автоподатчик 100 листов)")</f>
        <v>Сканер Panasonic KV-SL3066-U (A4, 65/130 стр мин, 1.5 сек/стр планшет, 600х600 dpi, двусторонний, автоподатчик 100 листов)</v>
      </c>
      <c r="B899" s="16" t="str">
        <f ca="1">IFERROR(__xludf.DUMMYFUNCTION("""COMPUTED_VALUE"""),"")</f>
        <v/>
      </c>
      <c r="C899" s="16" t="str">
        <f ca="1">IFERROR(__xludf.DUMMYFUNCTION("""COMPUTED_VALUE"""),"908,")</f>
        <v>908,</v>
      </c>
    </row>
    <row r="900" spans="1:3" ht="15.75" customHeight="1">
      <c r="A900" s="16" t="str">
        <f ca="1">IFERROR(__xludf.DUMMYFUNCTION("""COMPUTED_VALUE"""),"Интерактивный инфокиоск MV43
43"", FullHD, Android, 2/8Gb, антивандальное стекло")</f>
        <v>Интерактивный инфокиоск MV43
43", FullHD, Android, 2/8Gb, антивандальное стекло</v>
      </c>
      <c r="B900" s="16" t="str">
        <f ca="1">IFERROR(__xludf.DUMMYFUNCTION("""COMPUTED_VALUE"""),"700")</f>
        <v>700</v>
      </c>
      <c r="C900" s="16" t="str">
        <f ca="1">IFERROR(__xludf.DUMMYFUNCTION("""COMPUTED_VALUE"""),"620,")</f>
        <v>620,</v>
      </c>
    </row>
    <row r="901" spans="1:3" ht="15.75" customHeight="1">
      <c r="A901" s="16" t="str">
        <f ca="1">IFERROR(__xludf.DUMMYFUNCTION("""COMPUTED_VALUE"""),"Интерактивный дисплей e-SURF E6514
65"", 4K,колонки 16Вт х2, Android 14.0, 4/32Gb, вес 42 кг")</f>
        <v>Интерактивный дисплей e-SURF E6514
65", 4K,колонки 16Вт х2, Android 14.0, 4/32Gb, вес 42 кг</v>
      </c>
      <c r="B901" s="16" t="str">
        <f ca="1">IFERROR(__xludf.DUMMYFUNCTION("""COMPUTED_VALUE"""),"625")</f>
        <v>625</v>
      </c>
      <c r="C901" s="16" t="str">
        <f ca="1">IFERROR(__xludf.DUMMYFUNCTION("""COMPUTED_VALUE"""),"590,")</f>
        <v>590,</v>
      </c>
    </row>
    <row r="902" spans="1:3" ht="15.75" customHeight="1">
      <c r="A902" s="16" t="str">
        <f ca="1">IFERROR(__xludf.DUMMYFUNCTION("""COMPUTED_VALUE"""),"Интерактивный дисплей e-SURF E8614
86"", 4K,колонки 16Вт х2, Android 14.0, 4/32Gb, вес 66 кг")</f>
        <v>Интерактивный дисплей e-SURF E8614
86", 4K,колонки 16Вт х2, Android 14.0, 4/32Gb, вес 66 кг</v>
      </c>
      <c r="B902" s="16" t="str">
        <f ca="1">IFERROR(__xludf.DUMMYFUNCTION("""COMPUTED_VALUE"""),"1090")</f>
        <v>1090</v>
      </c>
      <c r="C902" s="16" t="str">
        <f ca="1">IFERROR(__xludf.DUMMYFUNCTION("""COMPUTED_VALUE"""),"1030,")</f>
        <v>1030,</v>
      </c>
    </row>
    <row r="903" spans="1:3" ht="15.75" customHeight="1">
      <c r="A903" s="16" t="str">
        <f ca="1">IFERROR(__xludf.DUMMYFUNCTION("""COMPUTED_VALUE"""),"Интерактивный дисплей e-SURF E9814
98"", 4K, встроенная камера 4К + массив из 8 микрофонов, колонки 15Вт х2, Android 14.0, 4/32Gb, вес 105 кг")</f>
        <v>Интерактивный дисплей e-SURF E9814
98", 4K, встроенная камера 4К + массив из 8 микрофонов, колонки 15Вт х2, Android 14.0, 4/32Gb, вес 105 кг</v>
      </c>
      <c r="B903" s="16" t="str">
        <f ca="1">IFERROR(__xludf.DUMMYFUNCTION("""COMPUTED_VALUE"""),"2100")</f>
        <v>2100</v>
      </c>
      <c r="C903" s="16" t="str">
        <f ca="1">IFERROR(__xludf.DUMMYFUNCTION("""COMPUTED_VALUE"""),"1770,")</f>
        <v>1770,</v>
      </c>
    </row>
    <row r="904" spans="1:3" ht="15.75" customHeight="1">
      <c r="A904" s="16" t="str">
        <f ca="1">IFERROR(__xludf.DUMMYFUNCTION("""COMPUTED_VALUE"""),"IR smart pen
Умная ручка совмещает в себе функции презентера, воздушной мыши, стилуса и лазерной указки")</f>
        <v>IR smart pen
Умная ручка совмещает в себе функции презентера, воздушной мыши, стилуса и лазерной указки</v>
      </c>
      <c r="B904" s="16" t="str">
        <f ca="1">IFERROR(__xludf.DUMMYFUNCTION("""COMPUTED_VALUE"""),"")</f>
        <v/>
      </c>
      <c r="C904" s="16" t="str">
        <f ca="1">IFERROR(__xludf.DUMMYFUNCTION("""COMPUTED_VALUE"""),"40,")</f>
        <v>40,</v>
      </c>
    </row>
    <row r="905" spans="1:3" ht="15.75" customHeight="1">
      <c r="A905" s="16" t="str">
        <f ca="1">IFERROR(__xludf.DUMMYFUNCTION("""COMPUTED_VALUE"""),"Центральный контроллер для проводной системы Vissonic VIS-DCP1000-D")</f>
        <v>Центральный контроллер для проводной системы Vissonic VIS-DCP1000-D</v>
      </c>
      <c r="B905" s="16" t="str">
        <f ca="1">IFERROR(__xludf.DUMMYFUNCTION("""COMPUTED_VALUE"""),"")</f>
        <v/>
      </c>
      <c r="C905" s="16" t="str">
        <f ca="1">IFERROR(__xludf.DUMMYFUNCTION("""COMPUTED_VALUE"""),"860,")</f>
        <v>860,</v>
      </c>
    </row>
    <row r="906" spans="1:3" ht="15.75" customHeight="1">
      <c r="A906" s="16" t="str">
        <f ca="1">IFERROR(__xludf.DUMMYFUNCTION("""COMPUTED_VALUE"""),"Лифтовый дисплей Vissonic VIS-15LSSC")</f>
        <v>Лифтовый дисплей Vissonic VIS-15LSSC</v>
      </c>
      <c r="B906" s="16" t="str">
        <f ca="1">IFERROR(__xludf.DUMMYFUNCTION("""COMPUTED_VALUE"""),"")</f>
        <v/>
      </c>
      <c r="C906" s="16" t="str">
        <f ca="1">IFERROR(__xludf.DUMMYFUNCTION("""COMPUTED_VALUE"""),"675,")</f>
        <v>675,</v>
      </c>
    </row>
    <row r="907" spans="1:3" ht="15.75" customHeight="1">
      <c r="A907" s="16" t="str">
        <f ca="1">IFERROR(__xludf.DUMMYFUNCTION("""COMPUTED_VALUE"""),"Проводной пульт председателя Vissonic VIS-DEC-T")</f>
        <v>Проводной пульт председателя Vissonic VIS-DEC-T</v>
      </c>
      <c r="B907" s="16" t="str">
        <f ca="1">IFERROR(__xludf.DUMMYFUNCTION("""COMPUTED_VALUE"""),"")</f>
        <v/>
      </c>
      <c r="C907" s="16" t="str">
        <f ca="1">IFERROR(__xludf.DUMMYFUNCTION("""COMPUTED_VALUE"""),"135,")</f>
        <v>135,</v>
      </c>
    </row>
    <row r="908" spans="1:3" ht="15.75" customHeight="1">
      <c r="A908" s="16" t="str">
        <f ca="1">IFERROR(__xludf.DUMMYFUNCTION("""COMPUTED_VALUE"""),"Проводной пульт делегата Vissonic VIS-DED-T")</f>
        <v>Проводной пульт делегата Vissonic VIS-DED-T</v>
      </c>
      <c r="B908" s="16" t="str">
        <f ca="1">IFERROR(__xludf.DUMMYFUNCTION("""COMPUTED_VALUE"""),"")</f>
        <v/>
      </c>
      <c r="C908" s="16" t="str">
        <f ca="1">IFERROR(__xludf.DUMMYFUNCTION("""COMPUTED_VALUE"""),"135,")</f>
        <v>135,</v>
      </c>
    </row>
    <row r="909" spans="1:3" ht="15.75" customHeight="1">
      <c r="A909" s="16" t="str">
        <f ca="1">IFERROR(__xludf.DUMMYFUNCTION("""COMPUTED_VALUE"""),"Микрофон на «гусиной шее» Vissonic VIS-M410")</f>
        <v>Микрофон на «гусиной шее» Vissonic VIS-M410</v>
      </c>
      <c r="B909" s="16" t="str">
        <f ca="1">IFERROR(__xludf.DUMMYFUNCTION("""COMPUTED_VALUE"""),"")</f>
        <v/>
      </c>
      <c r="C909" s="16" t="str">
        <f ca="1">IFERROR(__xludf.DUMMYFUNCTION("""COMPUTED_VALUE"""),"39,")</f>
        <v>39,</v>
      </c>
    </row>
    <row r="910" spans="1:3" ht="15.75" customHeight="1">
      <c r="A910" s="16" t="str">
        <f ca="1">IFERROR(__xludf.DUMMYFUNCTION("""COMPUTED_VALUE"""),"Полночастотная цифровая звуковая колонна Vissonic VIS-SPK4-AL")</f>
        <v>Полночастотная цифровая звуковая колонна Vissonic VIS-SPK4-AL</v>
      </c>
      <c r="B910" s="16" t="str">
        <f ca="1">IFERROR(__xludf.DUMMYFUNCTION("""COMPUTED_VALUE"""),"")</f>
        <v/>
      </c>
      <c r="C910" s="16" t="str">
        <f ca="1">IFERROR(__xludf.DUMMYFUNCTION("""COMPUTED_VALUE"""),"340,")</f>
        <v>340,</v>
      </c>
    </row>
    <row r="911" spans="1:3" ht="15.75" customHeight="1">
      <c r="A911" s="16" t="str">
        <f ca="1">IFERROR(__xludf.DUMMYFUNCTION("""COMPUTED_VALUE"""),"TWC-2AFH + массив микрофонов
Камера: 1920x1080p, максимальная частота кадров 30, Выходной формат Mjpeg/YUV, совместимость с USB3.0, угол поворота видео на 360 градусов влево и вправо, на 90 градусов вверх и вниз
Микрофон: встроенный цифровой микрофон с шу"&amp;"моподавлением")</f>
        <v>TWC-2AFH + массив микрофонов
Камера: 1920x1080p, максимальная частота кадров 30, Выходной формат Mjpeg/YUV, совместимость с USB3.0, угол поворота видео на 360 градусов влево и вправо, на 90 градусов вверх и вниз
Микрофон: встроенный цифровой микрофон с шумоподавлением</v>
      </c>
      <c r="B911" s="16" t="str">
        <f ca="1">IFERROR(__xludf.DUMMYFUNCTION("""COMPUTED_VALUE"""),"")</f>
        <v/>
      </c>
      <c r="C911" s="16" t="str">
        <f ca="1">IFERROR(__xludf.DUMMYFUNCTION("""COMPUTED_VALUE"""),"31,")</f>
        <v>31,</v>
      </c>
    </row>
    <row r="912" spans="1:3" ht="15.75" customHeight="1">
      <c r="A912" s="16" t="str">
        <f ca="1">IFERROR(__xludf.DUMMYFUNCTION("""COMPUTED_VALUE"""),"Teleset TCM-20UIHS
Камера: Full HD 1080p (1920x1080p), 20х оптический, 3.5 мегапикселя, 9 предустановленных режимов камеры, Угол обзора: горизонталь 58,7° (режим wide), Поворот: 355° (макс. cкорость: 80°/с), Наклон: -30°/+90° (макс. cкорость: 60°/с)")</f>
        <v>Teleset TCM-20UIHS
Камера: Full HD 1080p (1920x1080p), 20х оптический, 3.5 мегапикселя, 9 предустановленных режимов камеры, Угол обзора: горизонталь 58,7° (режим wide), Поворот: 355° (макс. cкорость: 80°/с), Наклон: -30°/+90° (макс. cкорость: 60°/с)</v>
      </c>
      <c r="B912" s="16" t="str">
        <f ca="1">IFERROR(__xludf.DUMMYFUNCTION("""COMPUTED_VALUE"""),"")</f>
        <v/>
      </c>
      <c r="C912" s="16" t="str">
        <f ca="1">IFERROR(__xludf.DUMMYFUNCTION("""COMPUTED_VALUE"""),"700,")</f>
        <v>700,</v>
      </c>
    </row>
    <row r="913" spans="1:3" ht="15.75" customHeight="1">
      <c r="A913" s="16" t="str">
        <f ca="1">IFERROR(__xludf.DUMMYFUNCTION("""COMPUTED_VALUE"""),"Teleset TSP-22U
Всенаправленный полнодуплексный портативный микрофон для конференц-связи
Спикерфон: 3 кардиоидных микрофона, Динамики: регулируется до УЗД 94 дБ, Диапозон охвата: до 3м с динамеским шумоподавлением")</f>
        <v>Teleset TSP-22U
Всенаправленный полнодуплексный портативный микрофон для конференц-связи
Спикерфон: 3 кардиоидных микрофона, Динамики: регулируется до УЗД 94 дБ, Диапозон охвата: до 3м с динамеским шумоподавлением</v>
      </c>
      <c r="B913" s="16" t="str">
        <f ca="1">IFERROR(__xludf.DUMMYFUNCTION("""COMPUTED_VALUE"""),"")</f>
        <v/>
      </c>
      <c r="C913" s="16" t="str">
        <f ca="1">IFERROR(__xludf.DUMMYFUNCTION("""COMPUTED_VALUE"""),"210,")</f>
        <v>210,</v>
      </c>
    </row>
    <row r="914" spans="1:3" ht="15.75" customHeight="1">
      <c r="A914" s="16" t="str">
        <f ca="1">IFERROR(__xludf.DUMMYFUNCTION("""COMPUTED_VALUE"""),"Aver VB130
Камера: 4K 30fps (3840х2160р), 10 предустановленных режимов камеры, Объектив: широкоугольный 4K, Поле обзора: 90 - 120 градусов
Аудио: Регулируемое звуковое ограждение, встроенные 5 микрофонов, шумоподавление, Диапазон охвата: 4 метра, Динамики"&amp;": 6 Вт x 1 с басовым портом")</f>
        <v>Aver VB130
Камера: 4K 30fps (3840х2160р), 10 предустановленных режимов камеры, Объектив: широкоугольный 4K, Поле обзора: 90 - 120 градусов
Аудио: Регулируемое звуковое ограждение, встроенные 5 микрофонов, шумоподавление, Диапазон охвата: 4 метра, Динамики: 6 Вт x 1 с басовым портом</v>
      </c>
      <c r="B914" s="16" t="str">
        <f ca="1">IFERROR(__xludf.DUMMYFUNCTION("""COMPUTED_VALUE"""),"")</f>
        <v/>
      </c>
      <c r="C914" s="16" t="str">
        <f ca="1">IFERROR(__xludf.DUMMYFUNCTION("""COMPUTED_VALUE"""),"600,")</f>
        <v>600,</v>
      </c>
    </row>
    <row r="915" spans="1:3" ht="15.75" customHeight="1">
      <c r="A915" s="16" t="str">
        <f ca="1">IFERROR(__xludf.DUMMYFUNCTION("""COMPUTED_VALUE"""),"Aver VC520 Pro
Камера: Full HD 1080p 60fps (1920x1080p) , 10 предустановленных режимов камеры , 18-кратное увеличение (12x-оптическое), Поворот: +130°/-130°, наклон: +90°/-25°
Спикерфон: Полнодуплексный двунаправленный микрофон, Эхоподавление, шумоподавле"&amp;"ние, Диапазон охвата: до 5м, Динамики: 10 Вт, регулируется до УЗД 90 дБ")</f>
        <v>Aver VC520 Pro
Камера: Full HD 1080p 60fps (1920x1080p) , 10 предустановленных режимов камеры , 18-кратное увеличение (12x-оптическое), Поворот: +130°/-130°, наклон: +90°/-25°
Спикерфон: Полнодуплексный двунаправленный микрофон, Эхоподавление, шумоподавление, Диапазон охвата: до 5м, Динамики: 10 Вт, регулируется до УЗД 90 дБ</v>
      </c>
      <c r="B915" s="16" t="str">
        <f ca="1">IFERROR(__xludf.DUMMYFUNCTION("""COMPUTED_VALUE"""),"")</f>
        <v/>
      </c>
      <c r="C915" s="16" t="str">
        <f ca="1">IFERROR(__xludf.DUMMYFUNCTION("""COMPUTED_VALUE"""),"1160,")</f>
        <v>1160,</v>
      </c>
    </row>
    <row r="916" spans="1:3" ht="15.75" customHeight="1">
      <c r="A916" s="16" t="str">
        <f ca="1">IFERROR(__xludf.DUMMYFUNCTION("""COMPUTED_VALUE"""),"Расширенный спикерфон к Aver VC520 Pro")</f>
        <v>Расширенный спикерфон к Aver VC520 Pro</v>
      </c>
      <c r="B916" s="16" t="str">
        <f ca="1">IFERROR(__xludf.DUMMYFUNCTION("""COMPUTED_VALUE"""),"")</f>
        <v/>
      </c>
      <c r="C916" s="16" t="str">
        <f ca="1">IFERROR(__xludf.DUMMYFUNCTION("""COMPUTED_VALUE"""),"470,")</f>
        <v>470,</v>
      </c>
    </row>
    <row r="917" spans="1:3" ht="15.75" customHeight="1">
      <c r="A917" s="16" t="str">
        <f ca="1">IFERROR(__xludf.DUMMYFUNCTION("""COMPUTED_VALUE"""),"Avonic CM73-IP-W
Камера: Full HD 1080p 60fps (1920х1080p), 30-х оптический зум, Поле зрения: 58.9° по горизонтали, Поворот: +170°/-170°, наклон: +90°/-30°")</f>
        <v>Avonic CM73-IP-W
Камера: Full HD 1080p 60fps (1920х1080p), 30-х оптический зум, Поле зрения: 58.9° по горизонтали, Поворот: +170°/-170°, наклон: +90°/-30°</v>
      </c>
      <c r="B917" s="16" t="str">
        <f ca="1">IFERROR(__xludf.DUMMYFUNCTION("""COMPUTED_VALUE"""),"")</f>
        <v/>
      </c>
      <c r="C917" s="16" t="str">
        <f ca="1">IFERROR(__xludf.DUMMYFUNCTION("""COMPUTED_VALUE"""),"1940,")</f>
        <v>1940,</v>
      </c>
    </row>
    <row r="918" spans="1:3" ht="15.75" customHeight="1">
      <c r="A918" s="16" t="str">
        <f ca="1">IFERROR(__xludf.DUMMYFUNCTION("""COMPUTED_VALUE"""),"EMWM-AV-70
Диагональ: 99""/ Размер: 178x178см/ Соотношение сторон: AV (1:1)/ Материал: Matte White/ Тип: настенный")</f>
        <v>EMWM-AV-70
Диагональ: 99"/ Размер: 178x178см/ Соотношение сторон: AV (1:1)/ Материал: Matte White/ Тип: настенный</v>
      </c>
      <c r="B918" s="16" t="str">
        <f ca="1">IFERROR(__xludf.DUMMYFUNCTION("""COMPUTED_VALUE"""),"")</f>
        <v/>
      </c>
      <c r="C918" s="16" t="str">
        <f ca="1">IFERROR(__xludf.DUMMYFUNCTION("""COMPUTED_VALUE"""),"42,")</f>
        <v>42,</v>
      </c>
    </row>
    <row r="919" spans="1:3" ht="15.75" customHeight="1">
      <c r="A919" s="16" t="str">
        <f ca="1">IFERROR(__xludf.DUMMYFUNCTION("""COMPUTED_VALUE"""),"EMWM-AV-84
Диагональ: 120""/ Размер: 213x213см/ Соотношение сторон: AV (1:1)/ Материал: Matte White/ Тип: настенный")</f>
        <v>EMWM-AV-84
Диагональ: 120"/ Размер: 213x213см/ Соотношение сторон: AV (1:1)/ Материал: Matte White/ Тип: настенный</v>
      </c>
      <c r="B919" s="16" t="str">
        <f ca="1">IFERROR(__xludf.DUMMYFUNCTION("""COMPUTED_VALUE"""),"")</f>
        <v/>
      </c>
      <c r="C919" s="16" t="str">
        <f ca="1">IFERROR(__xludf.DUMMYFUNCTION("""COMPUTED_VALUE"""),"67,")</f>
        <v>67,</v>
      </c>
    </row>
    <row r="920" spans="1:3" ht="15.75" customHeight="1">
      <c r="A920" s="16" t="str">
        <f ca="1">IFERROR(__xludf.DUMMYFUNCTION("""COMPUTED_VALUE"""),"EMWM-AV-96
Диагональ: 136""/ Размер: 244x244см/ Соотношение сторон: AV (1:1)/ Материал: Matte White/ Тип: настенный")</f>
        <v>EMWM-AV-96
Диагональ: 136"/ Размер: 244x244см/ Соотношение сторон: AV (1:1)/ Материал: Matte White/ Тип: настенный</v>
      </c>
      <c r="B920" s="16" t="str">
        <f ca="1">IFERROR(__xludf.DUMMYFUNCTION("""COMPUTED_VALUE"""),"")</f>
        <v/>
      </c>
      <c r="C920" s="16" t="str">
        <f ca="1">IFERROR(__xludf.DUMMYFUNCTION("""COMPUTED_VALUE"""),"87,")</f>
        <v>87,</v>
      </c>
    </row>
    <row r="921" spans="1:3" ht="15.75" customHeight="1">
      <c r="A921" s="16" t="str">
        <f ca="1">IFERROR(__xludf.DUMMYFUNCTION("""COMPUTED_VALUE"""),"MWM-NTSC-84D
Диагональ: 84""/ Размер: 170x127см/ Соотношение сторон: NTSC (4:3)/ Материал: Matte White/ Тип: настенный")</f>
        <v>MWM-NTSC-84D
Диагональ: 84"/ Размер: 170x127см/ Соотношение сторон: NTSC (4:3)/ Материал: Matte White/ Тип: настенный</v>
      </c>
      <c r="B921" s="16" t="str">
        <f ca="1">IFERROR(__xludf.DUMMYFUNCTION("""COMPUTED_VALUE"""),"")</f>
        <v/>
      </c>
      <c r="C921" s="16" t="str">
        <f ca="1">IFERROR(__xludf.DUMMYFUNCTION("""COMPUTED_VALUE"""),"41,")</f>
        <v>41,</v>
      </c>
    </row>
    <row r="922" spans="1:3" ht="15.75" customHeight="1">
      <c r="A922" s="16" t="str">
        <f ca="1">IFERROR(__xludf.DUMMYFUNCTION("""COMPUTED_VALUE"""),"SwNT-150
Диагональ: 150""/ Размер: 305x229см/ Соотношение сторон: NTSC(4:3)/ Материал: Matte White/ Тип: настенный")</f>
        <v>SwNT-150
Диагональ: 150"/ Размер: 305x229см/ Соотношение сторон: NTSC(4:3)/ Материал: Matte White/ Тип: настенный</v>
      </c>
      <c r="B922" s="16" t="str">
        <f ca="1">IFERROR(__xludf.DUMMYFUNCTION("""COMPUTED_VALUE"""),"")</f>
        <v/>
      </c>
      <c r="C922" s="16" t="str">
        <f ca="1">IFERROR(__xludf.DUMMYFUNCTION("""COMPUTED_VALUE"""),"137,")</f>
        <v>137,</v>
      </c>
    </row>
    <row r="923" spans="1:3" ht="15.75" customHeight="1">
      <c r="A923" s="16" t="str">
        <f ca="1">IFERROR(__xludf.DUMMYFUNCTION("""COMPUTED_VALUE"""),"MW-HD-92D
Диагональ: 92""/ Размер: 203x114см/ Соотношение сторон: HD (16:9)/ Материал: Matte White/ Тип: настенный")</f>
        <v>MW-HD-92D
Диагональ: 92"/ Размер: 203x114см/ Соотношение сторон: HD (16:9)/ Материал: Matte White/ Тип: настенный</v>
      </c>
      <c r="B923" s="16" t="str">
        <f ca="1">IFERROR(__xludf.DUMMYFUNCTION("""COMPUTED_VALUE"""),"")</f>
        <v/>
      </c>
      <c r="C923" s="16" t="str">
        <f ca="1">IFERROR(__xludf.DUMMYFUNCTION("""COMPUTED_VALUE"""),"86,")</f>
        <v>86,</v>
      </c>
    </row>
    <row r="924" spans="1:3" ht="15.75" customHeight="1">
      <c r="A924" s="16" t="str">
        <f ca="1">IFERROR(__xludf.DUMMYFUNCTION("""COMPUTED_VALUE"""),"MW-HD-100D
Диагональ: 100""/ Размер: 221x124см/ Соотношение сторон: HD (16:9)/ Материал: Matte White/ Тип: настенный")</f>
        <v>MW-HD-100D
Диагональ: 100"/ Размер: 221x124см/ Соотношение сторон: HD (16:9)/ Материал: Matte White/ Тип: настенный</v>
      </c>
      <c r="B924" s="16" t="str">
        <f ca="1">IFERROR(__xludf.DUMMYFUNCTION("""COMPUTED_VALUE"""),"")</f>
        <v/>
      </c>
      <c r="C924" s="16" t="str">
        <f ca="1">IFERROR(__xludf.DUMMYFUNCTION("""COMPUTED_VALUE"""),"118,")</f>
        <v>118,</v>
      </c>
    </row>
    <row r="925" spans="1:3" ht="15.75" customHeight="1">
      <c r="A925" s="16" t="str">
        <f ca="1">IFERROR(__xludf.DUMMYFUNCTION("""COMPUTED_VALUE"""),"MWM-HD-150D
Диагональ: 150""/ Размер: 331x191см/ Соотношение сторон: HD (16:9)/ Материал: Matte White/ Тип: настенный")</f>
        <v>MWM-HD-150D
Диагональ: 150"/ Размер: 331x191см/ Соотношение сторон: HD (16:9)/ Материал: Matte White/ Тип: настенный</v>
      </c>
      <c r="B925" s="16" t="str">
        <f ca="1">IFERROR(__xludf.DUMMYFUNCTION("""COMPUTED_VALUE"""),"")</f>
        <v/>
      </c>
      <c r="C925" s="16" t="str">
        <f ca="1">IFERROR(__xludf.DUMMYFUNCTION("""COMPUTED_VALUE"""),"204,")</f>
        <v>204,</v>
      </c>
    </row>
    <row r="926" spans="1:3" ht="15.75" customHeight="1">
      <c r="A926" s="16" t="str">
        <f ca="1">IFERROR(__xludf.DUMMYFUNCTION("""COMPUTED_VALUE"""),"MW-HCG-82D
Диагональ: 84""/ Размер: 187x105см/ Соотношение сторон: HD (16:9)/ Материал: H.C Grey/ Тип: настенный")</f>
        <v>MW-HCG-82D
Диагональ: 84"/ Размер: 187x105см/ Соотношение сторон: HD (16:9)/ Материал: H.C Grey/ Тип: настенный</v>
      </c>
      <c r="B926" s="16" t="str">
        <f ca="1">IFERROR(__xludf.DUMMYFUNCTION("""COMPUTED_VALUE"""),"")</f>
        <v/>
      </c>
      <c r="C926" s="16" t="str">
        <f ca="1">IFERROR(__xludf.DUMMYFUNCTION("""COMPUTED_VALUE"""),"101,")</f>
        <v>101,</v>
      </c>
    </row>
    <row r="927" spans="1:3" ht="15.75" customHeight="1">
      <c r="A927" s="16" t="str">
        <f ca="1">IFERROR(__xludf.DUMMYFUNCTION("""COMPUTED_VALUE"""),"MW-HCG-92D
Диагональ: 92""/ Размер: 203x114см/ Соотношение сторон: HD (16:9)/ Материал: H.C Grey/ Тип: настенный")</f>
        <v>MW-HCG-92D
Диагональ: 92"/ Размер: 203x114см/ Соотношение сторон: HD (16:9)/ Материал: H.C Grey/ Тип: настенный</v>
      </c>
      <c r="B927" s="16" t="str">
        <f ca="1">IFERROR(__xludf.DUMMYFUNCTION("""COMPUTED_VALUE"""),"")</f>
        <v/>
      </c>
      <c r="C927" s="16" t="str">
        <f ca="1">IFERROR(__xludf.DUMMYFUNCTION("""COMPUTED_VALUE"""),"113,")</f>
        <v>113,</v>
      </c>
    </row>
    <row r="928" spans="1:3" ht="15.75" customHeight="1">
      <c r="A928" s="16" t="str">
        <f ca="1">IFERROR(__xludf.DUMMYFUNCTION("""COMPUTED_VALUE"""),"ETRM-AV-70
Диагональ: 99""/ Размер: 178х178см/ Соотношение сторон: AV (1:1)/ Материал: Matte White/ Тип: на треноге")</f>
        <v>ETRM-AV-70
Диагональ: 99"/ Размер: 178х178см/ Соотношение сторон: AV (1:1)/ Материал: Matte White/ Тип: на треноге</v>
      </c>
      <c r="B928" s="16" t="str">
        <f ca="1">IFERROR(__xludf.DUMMYFUNCTION("""COMPUTED_VALUE"""),"")</f>
        <v/>
      </c>
      <c r="C928" s="16" t="str">
        <f ca="1">IFERROR(__xludf.DUMMYFUNCTION("""COMPUTED_VALUE"""),"50,")</f>
        <v>50,</v>
      </c>
    </row>
    <row r="929" spans="1:3" ht="15.75" customHeight="1">
      <c r="A929" s="16" t="str">
        <f ca="1">IFERROR(__xludf.DUMMYFUNCTION("""COMPUTED_VALUE"""),"ETRM-AV-80
Диагональ: 113""/ Размер: 204х204см/ Соотношение сторон: AV (1:1)/ Материал: Matte White/ Тип: на треноге")</f>
        <v>ETRM-AV-80
Диагональ: 113"/ Размер: 204х204см/ Соотношение сторон: AV (1:1)/ Материал: Matte White/ Тип: на треноге</v>
      </c>
      <c r="B929" s="16" t="str">
        <f ca="1">IFERROR(__xludf.DUMMYFUNCTION("""COMPUTED_VALUE"""),"")</f>
        <v/>
      </c>
      <c r="C929" s="16" t="str">
        <f ca="1">IFERROR(__xludf.DUMMYFUNCTION("""COMPUTED_VALUE"""),"78,")</f>
        <v>78,</v>
      </c>
    </row>
    <row r="930" spans="1:3" ht="15.75" customHeight="1">
      <c r="A930" s="16" t="str">
        <f ca="1">IFERROR(__xludf.DUMMYFUNCTION("""COMPUTED_VALUE"""),"ETRM-AV-84
Диагональ: 120""/ Размер: 214х214см/ Соотношение сторон: AV (1:1)/ Материал: Matte White/ Тип: на треноге")</f>
        <v>ETRM-AV-84
Диагональ: 120"/ Размер: 214х214см/ Соотношение сторон: AV (1:1)/ Материал: Matte White/ Тип: на треноге</v>
      </c>
      <c r="B930" s="16" t="str">
        <f ca="1">IFERROR(__xludf.DUMMYFUNCTION("""COMPUTED_VALUE"""),"")</f>
        <v/>
      </c>
      <c r="C930" s="16" t="str">
        <f ca="1">IFERROR(__xludf.DUMMYFUNCTION("""COMPUTED_VALUE"""),"86,")</f>
        <v>86,</v>
      </c>
    </row>
    <row r="931" spans="1:3" ht="15.75" customHeight="1">
      <c r="A931" s="16" t="str">
        <f ca="1">IFERROR(__xludf.DUMMYFUNCTION("""COMPUTED_VALUE"""),"ETRM-AV-96
Диагональ: 136""/ Размер: 244х244см/ Соотношение сторон: AV (1:1)/ Материал: Matte White/ Тип: на треноге")</f>
        <v>ETRM-AV-96
Диагональ: 136"/ Размер: 244х244см/ Соотношение сторон: AV (1:1)/ Материал: Matte White/ Тип: на треноге</v>
      </c>
      <c r="B931" s="16" t="str">
        <f ca="1">IFERROR(__xludf.DUMMYFUNCTION("""COMPUTED_VALUE"""),"")</f>
        <v/>
      </c>
      <c r="C931" s="16" t="str">
        <f ca="1">IFERROR(__xludf.DUMMYFUNCTION("""COMPUTED_VALUE"""),"108,")</f>
        <v>108,</v>
      </c>
    </row>
    <row r="932" spans="1:3" ht="15.75" customHeight="1">
      <c r="A932" s="16" t="str">
        <f ca="1">IFERROR(__xludf.DUMMYFUNCTION("""COMPUTED_VALUE"""),"ETRM-NTSC-100D
Диагональ: 100""/ Размер: 204х153см/ Соотношение сторон: NTSC (4:3)/ Материал: Matte White/ Тип: на треноге")</f>
        <v>ETRM-NTSC-100D
Диагональ: 100"/ Размер: 204х153см/ Соотношение сторон: NTSC (4:3)/ Материал: Matte White/ Тип: на треноге</v>
      </c>
      <c r="B932" s="16" t="str">
        <f ca="1">IFERROR(__xludf.DUMMYFUNCTION("""COMPUTED_VALUE"""),"")</f>
        <v/>
      </c>
      <c r="C932" s="16" t="str">
        <f ca="1">IFERROR(__xludf.DUMMYFUNCTION("""COMPUTED_VALUE"""),"53,")</f>
        <v>53,</v>
      </c>
    </row>
    <row r="933" spans="1:3" ht="15.75" customHeight="1">
      <c r="A933" s="16" t="str">
        <f ca="1">IFERROR(__xludf.DUMMYFUNCTION("""COMPUTED_VALUE"""),"ETRM-NTSC-120D
Диагональ: 120""/ Размер: 244х183см/ Соотношение сторон: NTSC (4:3)/ Материал: Matte White/ Тип: на треноге")</f>
        <v>ETRM-NTSC-120D
Диагональ: 120"/ Размер: 244х183см/ Соотношение сторон: NTSC (4:3)/ Материал: Matte White/ Тип: на треноге</v>
      </c>
      <c r="B933" s="16" t="str">
        <f ca="1">IFERROR(__xludf.DUMMYFUNCTION("""COMPUTED_VALUE"""),"")</f>
        <v/>
      </c>
      <c r="C933" s="16" t="str">
        <f ca="1">IFERROR(__xludf.DUMMYFUNCTION("""COMPUTED_VALUE"""),"90,")</f>
        <v>90,</v>
      </c>
    </row>
    <row r="934" spans="1:3" ht="15.75" customHeight="1">
      <c r="A934" s="16" t="str">
        <f ca="1">IFERROR(__xludf.DUMMYFUNCTION("""COMPUTED_VALUE"""),"EEFS-HD-100D
Диагональ: 100""/ Размер: 228х161см/ Соотношение сторон: HD (16:9)/ Материал: Matte White/ Тип: лифтовой (снизу-вверх)")</f>
        <v>EEFS-HD-100D
Диагональ: 100"/ Размер: 228х161см/ Соотношение сторон: HD (16:9)/ Материал: Matte White/ Тип: лифтовой (снизу-вверх)</v>
      </c>
      <c r="B934" s="16" t="str">
        <f ca="1">IFERROR(__xludf.DUMMYFUNCTION("""COMPUTED_VALUE"""),"")</f>
        <v/>
      </c>
      <c r="C934" s="16" t="str">
        <f ca="1">IFERROR(__xludf.DUMMYFUNCTION("""COMPUTED_VALUE"""),"633,")</f>
        <v>633,</v>
      </c>
    </row>
    <row r="935" spans="1:3" ht="15.75" customHeight="1">
      <c r="A935" s="16" t="str">
        <f ca="1">IFERROR(__xludf.DUMMYFUNCTION("""COMPUTED_VALUE"""),"EEFS-HD-110D
Диагональ: 110""/ Размер: 251х176см/ Соотношение сторон: HD (16:9)/ Материал: Matte White/ Тип: лифтовой (снизу-вверх)")</f>
        <v>EEFS-HD-110D
Диагональ: 110"/ Размер: 251х176см/ Соотношение сторон: HD (16:9)/ Материал: Matte White/ Тип: лифтовой (снизу-вверх)</v>
      </c>
      <c r="B935" s="16" t="str">
        <f ca="1">IFERROR(__xludf.DUMMYFUNCTION("""COMPUTED_VALUE"""),"")</f>
        <v/>
      </c>
      <c r="C935" s="16" t="str">
        <f ca="1">IFERROR(__xludf.DUMMYFUNCTION("""COMPUTED_VALUE"""),"698,")</f>
        <v>698,</v>
      </c>
    </row>
    <row r="936" spans="1:3" ht="15.75" customHeight="1">
      <c r="A936" s="16" t="str">
        <f ca="1">IFERROR(__xludf.DUMMYFUNCTION("""COMPUTED_VALUE"""),"EEFS-HD-120D
Диагональ: 120""/ Размер: 271х177см/ Соотношение сторон: HD (16:9)/ Материал: Matte White/ Тип: лифтовой (снизу-вверх)")</f>
        <v>EEFS-HD-120D
Диагональ: 120"/ Размер: 271х177см/ Соотношение сторон: HD (16:9)/ Материал: Matte White/ Тип: лифтовой (снизу-вверх)</v>
      </c>
      <c r="B936" s="16" t="str">
        <f ca="1">IFERROR(__xludf.DUMMYFUNCTION("""COMPUTED_VALUE"""),"")</f>
        <v/>
      </c>
      <c r="C936" s="16" t="str">
        <f ca="1">IFERROR(__xludf.DUMMYFUNCTION("""COMPUTED_VALUE"""),"728,")</f>
        <v>728,</v>
      </c>
    </row>
    <row r="937" spans="1:3" ht="15.75" customHeight="1">
      <c r="A937" s="16" t="str">
        <f ca="1">IFERROR(__xludf.DUMMYFUNCTION("""COMPUTED_VALUE"""),"FXB-3150
Диагональ: 150""/ Размер: 305х229см/ Соотношение сторон: NTSC (4:3)/ Материал: Matte White/ Тип: подвесной в черной металлической раме, высокое натяжение, моющаяся поверхность")</f>
        <v>FXB-3150
Диагональ: 150"/ Размер: 305х229см/ Соотношение сторон: NTSC (4:3)/ Материал: Matte White/ Тип: подвесной в черной металлической раме, высокое натяжение, моющаяся поверхность</v>
      </c>
      <c r="B937" s="16" t="str">
        <f ca="1">IFERROR(__xludf.DUMMYFUNCTION("""COMPUTED_VALUE"""),"")</f>
        <v/>
      </c>
      <c r="C937" s="16" t="str">
        <f ca="1">IFERROR(__xludf.DUMMYFUNCTION("""COMPUTED_VALUE"""),"426,")</f>
        <v>426,</v>
      </c>
    </row>
    <row r="938" spans="1:3" ht="15.75" customHeight="1">
      <c r="A938" s="16" t="str">
        <f ca="1">IFERROR(__xludf.DUMMYFUNCTION("""COMPUTED_VALUE"""),"MRS-NTSC-84DL
Диагональ: 84""/ Размер: 170х127см/ Соотношение сторон: NTSC (4:3)/ Материал: Matte White LITE/ Тип: моторизованный + пульт")</f>
        <v>MRS-NTSC-84DL
Диагональ: 84"/ Размер: 170х127см/ Соотношение сторон: NTSC (4:3)/ Материал: Matte White LITE/ Тип: моторизованный + пульт</v>
      </c>
      <c r="B938" s="16" t="str">
        <f ca="1">IFERROR(__xludf.DUMMYFUNCTION("""COMPUTED_VALUE"""),"")</f>
        <v/>
      </c>
      <c r="C938" s="16" t="str">
        <f ca="1">IFERROR(__xludf.DUMMYFUNCTION("""COMPUTED_VALUE"""),"88,")</f>
        <v>88,</v>
      </c>
    </row>
    <row r="939" spans="1:3" ht="15.75" customHeight="1">
      <c r="A939" s="16" t="str">
        <f ca="1">IFERROR(__xludf.DUMMYFUNCTION("""COMPUTED_VALUE"""),"EMRSM-NTSC-84D
Диагональ: 84""/ Размер: 170х127см/ Соотношение сторон: NTSC (4:3)/ Материал: Matte White/ Тип: моторизованный + пульт")</f>
        <v>EMRSM-NTSC-84D
Диагональ: 84"/ Размер: 170х127см/ Соотношение сторон: NTSC (4:3)/ Материал: Matte White/ Тип: моторизованный + пульт</v>
      </c>
      <c r="B939" s="16" t="str">
        <f ca="1">IFERROR(__xludf.DUMMYFUNCTION("""COMPUTED_VALUE"""),"")</f>
        <v/>
      </c>
      <c r="C939" s="16" t="str">
        <f ca="1">IFERROR(__xludf.DUMMYFUNCTION("""COMPUTED_VALUE"""),"89,")</f>
        <v>89,</v>
      </c>
    </row>
    <row r="940" spans="1:3" ht="15.75" customHeight="1">
      <c r="A940" s="16" t="str">
        <f ca="1">IFERROR(__xludf.DUMMYFUNCTION("""COMPUTED_VALUE"""),"EMRSM-NTSC-100D
Диагональ: 100""/ Размер: 204х153см/ Соотношение сторон: NTSC (4:3)/ Материал: Matte White/ Тип: моторизованный + пульт")</f>
        <v>EMRSM-NTSC-100D
Диагональ: 100"/ Размер: 204х153см/ Соотношение сторон: NTSC (4:3)/ Материал: Matte White/ Тип: моторизованный + пульт</v>
      </c>
      <c r="B940" s="16" t="str">
        <f ca="1">IFERROR(__xludf.DUMMYFUNCTION("""COMPUTED_VALUE"""),"")</f>
        <v/>
      </c>
      <c r="C940" s="16" t="str">
        <f ca="1">IFERROR(__xludf.DUMMYFUNCTION("""COMPUTED_VALUE"""),"108,")</f>
        <v>108,</v>
      </c>
    </row>
    <row r="941" spans="1:3" ht="15.75" customHeight="1">
      <c r="A941" s="16" t="str">
        <f ca="1">IFERROR(__xludf.DUMMYFUNCTION("""COMPUTED_VALUE"""),"MRSM-NTSC-120D
Диагональ: 120""/ Размер: 244х183см/ Соотношение сторон: NTSC (4:3)/ Материал: Matte White/ Тип: моторизованный + пульт")</f>
        <v>MRSM-NTSC-120D
Диагональ: 120"/ Размер: 244х183см/ Соотношение сторон: NTSC (4:3)/ Материал: Matte White/ Тип: моторизованный + пульт</v>
      </c>
      <c r="B941" s="16" t="str">
        <f ca="1">IFERROR(__xludf.DUMMYFUNCTION("""COMPUTED_VALUE"""),"")</f>
        <v/>
      </c>
      <c r="C941" s="16" t="str">
        <f ca="1">IFERROR(__xludf.DUMMYFUNCTION("""COMPUTED_VALUE"""),"144,")</f>
        <v>144,</v>
      </c>
    </row>
    <row r="942" spans="1:3" ht="15.75" customHeight="1">
      <c r="A942" s="16" t="str">
        <f ca="1">IFERROR(__xludf.DUMMYFUNCTION("""COMPUTED_VALUE"""),"EMRSM-NTSC-150D
Диагональ: 150""/ Размер: 305х229см/ Соотношение сторон: NTSC (4:3)/ Материал: Matte White/ Тип: моторизованный + пульт")</f>
        <v>EMRSM-NTSC-150D
Диагональ: 150"/ Размер: 305х229см/ Соотношение сторон: NTSC (4:3)/ Материал: Matte White/ Тип: моторизованный + пульт</v>
      </c>
      <c r="B942" s="16" t="str">
        <f ca="1">IFERROR(__xludf.DUMMYFUNCTION("""COMPUTED_VALUE"""),"")</f>
        <v/>
      </c>
      <c r="C942" s="16" t="str">
        <f ca="1">IFERROR(__xludf.DUMMYFUNCTION("""COMPUTED_VALUE"""),"174,")</f>
        <v>174,</v>
      </c>
    </row>
    <row r="943" spans="1:3" ht="15.75" customHeight="1">
      <c r="A943" s="16" t="str">
        <f ca="1">IFERROR(__xludf.DUMMYFUNCTION("""COMPUTED_VALUE"""),"EMRS-NTSC-180D
Диагональ: 180""/ Размер: 365x275 см/ Соотношение сторон: NTSC (4:3)/ Материал: Matte White/ Тип: моторизованный + пульт")</f>
        <v>EMRS-NTSC-180D
Диагональ: 180"/ Размер: 365x275 см/ Соотношение сторон: NTSC (4:3)/ Материал: Matte White/ Тип: моторизованный + пульт</v>
      </c>
      <c r="B943" s="16" t="str">
        <f ca="1">IFERROR(__xludf.DUMMYFUNCTION("""COMPUTED_VALUE"""),"")</f>
        <v/>
      </c>
      <c r="C943" s="16" t="str">
        <f ca="1">IFERROR(__xludf.DUMMYFUNCTION("""COMPUTED_VALUE"""),"386,")</f>
        <v>386,</v>
      </c>
    </row>
    <row r="944" spans="1:3" ht="15.75" customHeight="1">
      <c r="A944" s="16" t="str">
        <f ca="1">IFERROR(__xludf.DUMMYFUNCTION("""COMPUTED_VALUE"""),"MRS-NTSC-200
Диагональ: 200""/ Размер: 406х305см/ Соотношение сторон: NTSC (4:3)/ Материал: Matte White/ Тип: моторизованный + пульт")</f>
        <v>MRS-NTSC-200
Диагональ: 200"/ Размер: 406х305см/ Соотношение сторон: NTSC (4:3)/ Материал: Matte White/ Тип: моторизованный + пульт</v>
      </c>
      <c r="B944" s="16" t="str">
        <f ca="1">IFERROR(__xludf.DUMMYFUNCTION("""COMPUTED_VALUE"""),"")</f>
        <v/>
      </c>
      <c r="C944" s="16" t="str">
        <f ca="1">IFERROR(__xludf.DUMMYFUNCTION("""COMPUTED_VALUE"""),"599,")</f>
        <v>599,</v>
      </c>
    </row>
    <row r="945" spans="1:3" ht="15.75" customHeight="1">
      <c r="A945" s="16" t="str">
        <f ca="1">IFERROR(__xludf.DUMMYFUNCTION("""COMPUTED_VALUE"""),"EMRS-NTSC-200D (SL)
Диагональ: 200""/ Размер: 406х305см/ Соотношение сторон: NTSC (4:3)/ Материал: Matte White БЕСШОВНЫЙ/ Тип: моторизованный + пульт")</f>
        <v>EMRS-NTSC-200D (SL)
Диагональ: 200"/ Размер: 406х305см/ Соотношение сторон: NTSC (4:3)/ Материал: Matte White БЕСШОВНЫЙ/ Тип: моторизованный + пульт</v>
      </c>
      <c r="B945" s="16" t="str">
        <f ca="1">IFERROR(__xludf.DUMMYFUNCTION("""COMPUTED_VALUE"""),"")</f>
        <v/>
      </c>
      <c r="C945" s="16" t="str">
        <f ca="1">IFERROR(__xludf.DUMMYFUNCTION("""COMPUTED_VALUE"""),"647,")</f>
        <v>647,</v>
      </c>
    </row>
    <row r="946" spans="1:3" ht="15.75" customHeight="1">
      <c r="A946" s="16" t="str">
        <f ca="1">IFERROR(__xludf.DUMMYFUNCTION("""COMPUTED_VALUE"""),"EMRS-LF-240D
Диагональ: 240""/ Размер: 488x366см/ Соотношение сторон: NTSC (4:3)/ Материал: Matte White/ Тип: моторизованный + пульт")</f>
        <v>EMRS-LF-240D
Диагональ: 240"/ Размер: 488x366см/ Соотношение сторон: NTSC (4:3)/ Материал: Matte White/ Тип: моторизованный + пульт</v>
      </c>
      <c r="B946" s="16" t="str">
        <f ca="1">IFERROR(__xludf.DUMMYFUNCTION("""COMPUTED_VALUE"""),"")</f>
        <v/>
      </c>
      <c r="C946" s="16" t="str">
        <f ca="1">IFERROR(__xludf.DUMMYFUNCTION("""COMPUTED_VALUE"""),"1374,")</f>
        <v>1374,</v>
      </c>
    </row>
    <row r="947" spans="1:3" ht="15.75" customHeight="1">
      <c r="A947" s="16" t="str">
        <f ca="1">IFERROR(__xludf.DUMMYFUNCTION("""COMPUTED_VALUE"""),"EMRS-LF-250D (SL)
Диагональ: 250""/ Размер: 508x381см/ Соотношение сторон: NTSC (4:3)/ Материал: Matte White БЕСШОВНЫЙ/ Тип: моторизованный + пульт")</f>
        <v>EMRS-LF-250D (SL)
Диагональ: 250"/ Размер: 508x381см/ Соотношение сторон: NTSC (4:3)/ Материал: Matte White БЕСШОВНЫЙ/ Тип: моторизованный + пульт</v>
      </c>
      <c r="B947" s="16" t="str">
        <f ca="1">IFERROR(__xludf.DUMMYFUNCTION("""COMPUTED_VALUE"""),"")</f>
        <v/>
      </c>
      <c r="C947" s="16" t="str">
        <f ca="1">IFERROR(__xludf.DUMMYFUNCTION("""COMPUTED_VALUE"""),"1543,")</f>
        <v>1543,</v>
      </c>
    </row>
    <row r="948" spans="1:3" ht="15.75" customHeight="1">
      <c r="A948" s="16" t="str">
        <f ca="1">IFERROR(__xludf.DUMMYFUNCTION("""COMPUTED_VALUE"""),"MRS-LF-300D
Диагональ: 300""/ Размер: 610x457см/ Соотношение сторон: NTSC (4:3)/ Материал: Matte White/ Тип: моторизованный + пульт")</f>
        <v>MRS-LF-300D
Диагональ: 300"/ Размер: 610x457см/ Соотношение сторон: NTSC (4:3)/ Материал: Matte White/ Тип: моторизованный + пульт</v>
      </c>
      <c r="B948" s="16" t="str">
        <f ca="1">IFERROR(__xludf.DUMMYFUNCTION("""COMPUTED_VALUE"""),"")</f>
        <v/>
      </c>
      <c r="C948" s="16" t="str">
        <f ca="1">IFERROR(__xludf.DUMMYFUNCTION("""COMPUTED_VALUE"""),"1903,")</f>
        <v>1903,</v>
      </c>
    </row>
    <row r="949" spans="1:3" ht="15.75" customHeight="1">
      <c r="A949" s="16" t="str">
        <f ca="1">IFERROR(__xludf.DUMMYFUNCTION("""COMPUTED_VALUE"""),"MRS-LF-300D (SL)
Диагональ: 300""/ Размер: 610x457см/ Соотношение сторон: NTSC (4:3)/ Материал: Matte White БЕСШОВНЫЙ/ Тип: моторизованный + пульт")</f>
        <v>MRS-LF-300D (SL)
Диагональ: 300"/ Размер: 610x457см/ Соотношение сторон: NTSC (4:3)/ Материал: Matte White БЕСШОВНЫЙ/ Тип: моторизованный + пульт</v>
      </c>
      <c r="B949" s="16" t="str">
        <f ca="1">IFERROR(__xludf.DUMMYFUNCTION("""COMPUTED_VALUE"""),"")</f>
        <v/>
      </c>
      <c r="C949" s="16" t="str">
        <f ca="1">IFERROR(__xludf.DUMMYFUNCTION("""COMPUTED_VALUE"""),"2374,")</f>
        <v>2374,</v>
      </c>
    </row>
    <row r="950" spans="1:3" ht="15.75" customHeight="1">
      <c r="A950" s="16" t="str">
        <f ca="1">IFERROR(__xludf.DUMMYFUNCTION("""COMPUTED_VALUE"""),"MRS-HD-92D
Диагональ: 92""/ Размер: 203x114см/ Соотношение сторон: HD (16:9)/ Материал: Matte White/ Тип: моторизованный + пульт")</f>
        <v>MRS-HD-92D
Диагональ: 92"/ Размер: 203x114см/ Соотношение сторон: HD (16:9)/ Материал: Matte White/ Тип: моторизованный + пульт</v>
      </c>
      <c r="B950" s="16" t="str">
        <f ca="1">IFERROR(__xludf.DUMMYFUNCTION("""COMPUTED_VALUE"""),"")</f>
        <v/>
      </c>
      <c r="C950" s="16" t="str">
        <f ca="1">IFERROR(__xludf.DUMMYFUNCTION("""COMPUTED_VALUE"""),"126,")</f>
        <v>126,</v>
      </c>
    </row>
    <row r="951" spans="1:3" ht="15.75" customHeight="1">
      <c r="A951" s="16" t="str">
        <f ca="1">IFERROR(__xludf.DUMMYFUNCTION("""COMPUTED_VALUE"""),"EMRSM-HD-100D
Диагональ: 100""/ Размер: 221x124см/ Соотношение сторон: HD (16:9)/ Материал: Matte White/ Тип: моторизованный + пульт")</f>
        <v>EMRSM-HD-100D
Диагональ: 100"/ Размер: 221x124см/ Соотношение сторон: HD (16:9)/ Материал: Matte White/ Тип: моторизованный + пульт</v>
      </c>
      <c r="B951" s="16" t="str">
        <f ca="1">IFERROR(__xludf.DUMMYFUNCTION("""COMPUTED_VALUE"""),"")</f>
        <v/>
      </c>
      <c r="C951" s="16" t="str">
        <f ca="1">IFERROR(__xludf.DUMMYFUNCTION("""COMPUTED_VALUE"""),"131,")</f>
        <v>131,</v>
      </c>
    </row>
    <row r="952" spans="1:3" ht="15.75" customHeight="1">
      <c r="A952" s="16" t="str">
        <f ca="1">IFERROR(__xludf.DUMMYFUNCTION("""COMPUTED_VALUE"""),"EMRSM-HD-120D
Диагональ: 120""/ Размер: 244x183см/ Соотношение сторон: HD (16:9)/ Материал: Matte White/ Тип: моторизованный + пульт")</f>
        <v>EMRSM-HD-120D
Диагональ: 120"/ Размер: 244x183см/ Соотношение сторон: HD (16:9)/ Материал: Matte White/ Тип: моторизованный + пульт</v>
      </c>
      <c r="B952" s="16" t="str">
        <f ca="1">IFERROR(__xludf.DUMMYFUNCTION("""COMPUTED_VALUE"""),"")</f>
        <v/>
      </c>
      <c r="C952" s="16" t="str">
        <f ca="1">IFERROR(__xludf.DUMMYFUNCTION("""COMPUTED_VALUE"""),"152,")</f>
        <v>152,</v>
      </c>
    </row>
    <row r="953" spans="1:3" ht="15.75" customHeight="1">
      <c r="A953" s="16" t="str">
        <f ca="1">IFERROR(__xludf.DUMMYFUNCTION("""COMPUTED_VALUE"""),"EMRSM-HD-135D
Диагональ: 135""/ Размер: 294x165см/ Соотношение сторон: HD (16:9)/ Материал: Matte White/ Тип: моторизованный + пульт")</f>
        <v>EMRSM-HD-135D
Диагональ: 135"/ Размер: 294x165см/ Соотношение сторон: HD (16:9)/ Материал: Matte White/ Тип: моторизованный + пульт</v>
      </c>
      <c r="B953" s="16" t="str">
        <f ca="1">IFERROR(__xludf.DUMMYFUNCTION("""COMPUTED_VALUE"""),"")</f>
        <v/>
      </c>
      <c r="C953" s="16" t="str">
        <f ca="1">IFERROR(__xludf.DUMMYFUNCTION("""COMPUTED_VALUE"""),"168,")</f>
        <v>168,</v>
      </c>
    </row>
    <row r="954" spans="1:3" ht="15.75" customHeight="1">
      <c r="A954" s="16" t="str">
        <f ca="1">IFERROR(__xludf.DUMMYFUNCTION("""COMPUTED_VALUE"""),"EMRSM-HD-150D
Диагональ: 150""/ Размер: 330x191см/ Соотношение сторон: HD (16:9)/ Материал: Matte White/ Тип: моторизованный + пульт")</f>
        <v>EMRSM-HD-150D
Диагональ: 150"/ Размер: 330x191см/ Соотношение сторон: HD (16:9)/ Материал: Matte White/ Тип: моторизованный + пульт</v>
      </c>
      <c r="B954" s="16" t="str">
        <f ca="1">IFERROR(__xludf.DUMMYFUNCTION("""COMPUTED_VALUE"""),"")</f>
        <v/>
      </c>
      <c r="C954" s="16" t="str">
        <f ca="1">IFERROR(__xludf.DUMMYFUNCTION("""COMPUTED_VALUE"""),"238,")</f>
        <v>238,</v>
      </c>
    </row>
    <row r="955" spans="1:3" ht="15.75" customHeight="1">
      <c r="A955" s="16" t="str">
        <f ca="1">IFERROR(__xludf.DUMMYFUNCTION("""COMPUTED_VALUE"""),"TTM-AV-96
Диагональ: 136""/ Размер: 245x245см/ Соотношение сторон: AV (1:1)/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полотне"&amp;". Широкая по высоте верхняя обрамляющая черная рамка 0.9м- дополнительное удобство для высоких потолков")</f>
        <v>TTM-AV-96
Диагональ: 136"/ Размер: 245x245см/ Соотношение сторон: AV (1:1)/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полотне. Широкая по высоте верхняя обрамляющая черная рамка 0.9м- дополнительное удобство для высоких потолков</v>
      </c>
      <c r="B955" s="16" t="str">
        <f ca="1">IFERROR(__xludf.DUMMYFUNCTION("""COMPUTED_VALUE"""),"")</f>
        <v/>
      </c>
      <c r="C955" s="16" t="str">
        <f ca="1">IFERROR(__xludf.DUMMYFUNCTION("""COMPUTED_VALUE"""),"458,")</f>
        <v>458,</v>
      </c>
    </row>
    <row r="956" spans="1:3" ht="15.75" customHeight="1">
      <c r="A956" s="16" t="str">
        <f ca="1">IFERROR(__xludf.DUMMYFUNCTION("""COMPUTED_VALUE"""),"TTM-NTSC-100D
Диагональ: 100""/ Размер: 204х153см/ Соотношение сторон: NTSC (4:3)/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п"&amp;"олотне. Широкая по высоте верхняя обрамляющая черная рамка 0.9м- дополнительное удобство для высоких потолков")</f>
        <v>TTM-NTSC-100D
Диагональ: 100"/ Размер: 204х153см/ Соотношение сторон: NTSC (4:3)/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полотне. Широкая по высоте верхняя обрамляющая черная рамка 0.9м- дополнительное удобство для высоких потолков</v>
      </c>
      <c r="B956" s="16" t="str">
        <f ca="1">IFERROR(__xludf.DUMMYFUNCTION("""COMPUTED_VALUE"""),"")</f>
        <v/>
      </c>
      <c r="C956" s="16" t="str">
        <f ca="1">IFERROR(__xludf.DUMMYFUNCTION("""COMPUTED_VALUE"""),"355,")</f>
        <v>355,</v>
      </c>
    </row>
    <row r="957" spans="1:3" ht="15.75" customHeight="1">
      <c r="A957" s="16" t="str">
        <f ca="1">IFERROR(__xludf.DUMMYFUNCTION("""COMPUTED_VALUE"""),"ETTM-NTSC-120D
Диагональ: 120""/ Размер: 244х183см/ Соотношение сторон: NTSC (4:3)/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"&amp;"полотне")</f>
        <v>ETTM-NTSC-120D
Диагональ: 120"/ Размер: 244х183см/ Соотношение сторон: NTSC (4:3)/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</v>
      </c>
      <c r="B957" s="16" t="str">
        <f ca="1">IFERROR(__xludf.DUMMYFUNCTION("""COMPUTED_VALUE"""),"")</f>
        <v/>
      </c>
      <c r="C957" s="16" t="str">
        <f ca="1">IFERROR(__xludf.DUMMYFUNCTION("""COMPUTED_VALUE"""),"437,")</f>
        <v>437,</v>
      </c>
    </row>
    <row r="958" spans="1:3" ht="15.75" customHeight="1">
      <c r="A958" s="16" t="str">
        <f ca="1">IFERROR(__xludf.DUMMYFUNCTION("""COMPUTED_VALUE"""),"ETTM-NTSC-150D
Диагональ: 150""/ Размер:294х220см/ Соотношение сторон: NTSC (4:3)/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п"&amp;"олотне")</f>
        <v>ETTM-NTSC-150D
Диагональ: 150"/ Размер:294х220см/ Соотношение сторон: NTSC (4:3)/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</v>
      </c>
      <c r="B958" s="16" t="str">
        <f ca="1">IFERROR(__xludf.DUMMYFUNCTION("""COMPUTED_VALUE"""),"")</f>
        <v/>
      </c>
      <c r="C958" s="16" t="str">
        <f ca="1">IFERROR(__xludf.DUMMYFUNCTION("""COMPUTED_VALUE"""),"500,")</f>
        <v>500,</v>
      </c>
    </row>
    <row r="959" spans="1:3" ht="15.75" customHeight="1">
      <c r="A959" s="16" t="str">
        <f ca="1">IFERROR(__xludf.DUMMYFUNCTION("""COMPUTED_VALUE"""),"ETTM-HD-120D
Диагональ: 120""/ Размер: 264х150см/ Соотношение сторон: HD (16:9)/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пол"&amp;"отне. ")</f>
        <v xml:space="preserve">ETTM-HD-120D
Диагональ: 120"/ Размер: 264х150см/ Соотношение сторон: HD (16:9)/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полотне. </v>
      </c>
      <c r="B959" s="16" t="str">
        <f ca="1">IFERROR(__xludf.DUMMYFUNCTION("""COMPUTED_VALUE"""),"")</f>
        <v/>
      </c>
      <c r="C959" s="16" t="str">
        <f ca="1">IFERROR(__xludf.DUMMYFUNCTION("""COMPUTED_VALUE"""),"437,")</f>
        <v>437,</v>
      </c>
    </row>
    <row r="960" spans="1:3" ht="15.75" customHeight="1">
      <c r="A960" s="16" t="str">
        <f ca="1">IFERROR(__xludf.DUMMYFUNCTION("""COMPUTED_VALUE"""),"TTM-HD-135D
Диагональ: 135""/ Размер: 299х168см/ Соотношение сторон: HD (16:9)/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поло"&amp;"тне.  Широкая по высоте верхняя обрамляющая черная рамка 0.9м- дополнительное удобство для высоких потолков")</f>
        <v>TTM-HD-135D
Диагональ: 135"/ Размер: 299х168см/ Соотношение сторон: HD (16:9)/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полотне.  Широкая по высоте верхняя обрамляющая черная рамка 0.9м- дополнительное удобство для высоких потолков</v>
      </c>
      <c r="B960" s="16" t="str">
        <f ca="1">IFERROR(__xludf.DUMMYFUNCTION("""COMPUTED_VALUE"""),"")</f>
        <v/>
      </c>
      <c r="C960" s="16" t="str">
        <f ca="1">IFERROR(__xludf.DUMMYFUNCTION("""COMPUTED_VALUE"""),"476,")</f>
        <v>476,</v>
      </c>
    </row>
    <row r="961" spans="1:3" ht="15.75" customHeight="1">
      <c r="A961" s="16" t="str">
        <f ca="1">IFERROR(__xludf.DUMMYFUNCTION("""COMPUTED_VALUE"""),"ETTM-HD-150D
Диагональ: 150""/ Размер: 330х190см/ Соотношение сторон: HD (16:9)/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пол"&amp;"отне. ")</f>
        <v xml:space="preserve">ETTM-HD-150D
Диагональ: 150"/ Размер: 330х190см/ Соотношение сторон: HD (16:9)/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полотне. </v>
      </c>
      <c r="B961" s="16" t="str">
        <f ca="1">IFERROR(__xludf.DUMMYFUNCTION("""COMPUTED_VALUE"""),"")</f>
        <v/>
      </c>
      <c r="C961" s="16" t="str">
        <f ca="1">IFERROR(__xludf.DUMMYFUNCTION("""COMPUTED_VALUE"""),"546,")</f>
        <v>546,</v>
      </c>
    </row>
    <row r="962" spans="1:3" ht="15.75" customHeight="1">
      <c r="A962" s="16" t="str">
        <f ca="1">IFERROR(__xludf.DUMMYFUNCTION("""COMPUTED_VALUE"""),"TW-PC-94DCKG
Диагональ: 94""/ Размер: 203х127см/ Соотношение сторон: PC (16:10)/ Цвет: зеленый/ Тип: на треноге")</f>
        <v>TW-PC-94DCKG
Диагональ: 94"/ Размер: 203х127см/ Соотношение сторон: PC (16:10)/ Цвет: зеленый/ Тип: на треноге</v>
      </c>
      <c r="B962" s="16" t="str">
        <f ca="1">IFERROR(__xludf.DUMMYFUNCTION("""COMPUTED_VALUE"""),"")</f>
        <v/>
      </c>
      <c r="C962" s="16" t="str">
        <f ca="1">IFERROR(__xludf.DUMMYFUNCTION("""COMPUTED_VALUE"""),"89,")</f>
        <v>89,</v>
      </c>
    </row>
    <row r="963" spans="1:3" ht="15.75" customHeight="1">
      <c r="A963" s="16" t="str">
        <f ca="1">IFERROR(__xludf.DUMMYFUNCTION("""COMPUTED_VALUE"""),"TW-PC-94DMW
Диагональ: 94""/ Размер: 203х127см/ Соотношение сторон: PC (16:10)/ Цвет: Matte White/ Тип: на треноге")</f>
        <v>TW-PC-94DMW
Диагональ: 94"/ Размер: 203х127см/ Соотношение сторон: PC (16:10)/ Цвет: Matte White/ Тип: на треноге</v>
      </c>
      <c r="B963" s="16" t="str">
        <f ca="1">IFERROR(__xludf.DUMMYFUNCTION("""COMPUTED_VALUE"""),"")</f>
        <v/>
      </c>
      <c r="C963" s="16" t="str">
        <f ca="1">IFERROR(__xludf.DUMMYFUNCTION("""COMPUTED_VALUE"""),"71,")</f>
        <v>71,</v>
      </c>
    </row>
    <row r="964" spans="1:3" ht="15.75" customHeight="1">
      <c r="A964" s="16" t="str">
        <f ca="1">IFERROR(__xludf.DUMMYFUNCTION("""COMPUTED_VALUE"""),"TW-AV-70CKG
Диагональ: 99""/ Размер: 178х178см/ Соотношение сторон: AV (1:1)/ Цвет: зеленый/ Тип: на треноге")</f>
        <v>TW-AV-70CKG
Диагональ: 99"/ Размер: 178х178см/ Соотношение сторон: AV (1:1)/ Цвет: зеленый/ Тип: на треноге</v>
      </c>
      <c r="B964" s="16" t="str">
        <f ca="1">IFERROR(__xludf.DUMMYFUNCTION("""COMPUTED_VALUE"""),"")</f>
        <v/>
      </c>
      <c r="C964" s="16" t="str">
        <f ca="1">IFERROR(__xludf.DUMMYFUNCTION("""COMPUTED_VALUE"""),"89,")</f>
        <v>89,</v>
      </c>
    </row>
    <row r="965" spans="1:3" ht="15.75" customHeight="1">
      <c r="A965" s="16" t="str">
        <f ca="1">IFERROR(__xludf.DUMMYFUNCTION("""COMPUTED_VALUE"""),"TW-AV-70MW
Диагональ: 99""/ Размер: 178х178см/ Соотношение сторон: AV (1:1)/ Цвет: Matte White/ Тип: на треноге")</f>
        <v>TW-AV-70MW
Диагональ: 99"/ Размер: 178х178см/ Соотношение сторон: AV (1:1)/ Цвет: Matte White/ Тип: на треноге</v>
      </c>
      <c r="B965" s="16" t="str">
        <f ca="1">IFERROR(__xludf.DUMMYFUNCTION("""COMPUTED_VALUE"""),"")</f>
        <v/>
      </c>
      <c r="C965" s="16" t="str">
        <f ca="1">IFERROR(__xludf.DUMMYFUNCTION("""COMPUTED_VALUE"""),"71,")</f>
        <v>71,</v>
      </c>
    </row>
    <row r="966" spans="1:3" ht="15.75" customHeight="1">
      <c r="A966" s="16" t="str">
        <f ca="1">IFERROR(__xludf.DUMMYFUNCTION("""COMPUTED_VALUE"""),"TW-NTSC-100DCKG
Диагональ: 100""/ Размер: 200х150см/ Соотношение сторон: NTSC (4:3)/ Цвет: зеленый/ Тип: на треноге")</f>
        <v>TW-NTSC-100DCKG
Диагональ: 100"/ Размер: 200х150см/ Соотношение сторон: NTSC (4:3)/ Цвет: зеленый/ Тип: на треноге</v>
      </c>
      <c r="B966" s="16" t="str">
        <f ca="1">IFERROR(__xludf.DUMMYFUNCTION("""COMPUTED_VALUE"""),"")</f>
        <v/>
      </c>
      <c r="C966" s="16" t="str">
        <f ca="1">IFERROR(__xludf.DUMMYFUNCTION("""COMPUTED_VALUE"""),"92,")</f>
        <v>92,</v>
      </c>
    </row>
    <row r="967" spans="1:3" ht="15.75" customHeight="1">
      <c r="A967" s="16" t="str">
        <f ca="1">IFERROR(__xludf.DUMMYFUNCTION("""COMPUTED_VALUE"""),"TW-NTSC-100DMW
Диагональ: 100""/ Размер: 200х150см/ Соотношение сторон: NTSC (4:3)/ Цвет: Matte White/ Тип: на треноге")</f>
        <v>TW-NTSC-100DMW
Диагональ: 100"/ Размер: 200х150см/ Соотношение сторон: NTSC (4:3)/ Цвет: Matte White/ Тип: на треноге</v>
      </c>
      <c r="B967" s="16" t="str">
        <f ca="1">IFERROR(__xludf.DUMMYFUNCTION("""COMPUTED_VALUE"""),"")</f>
        <v/>
      </c>
      <c r="C967" s="16" t="str">
        <f ca="1">IFERROR(__xludf.DUMMYFUNCTION("""COMPUTED_VALUE"""),"71,")</f>
        <v>71,</v>
      </c>
    </row>
    <row r="968" spans="1:3" ht="15.75" customHeight="1">
      <c r="A968" s="16" t="str">
        <f ca="1">IFERROR(__xludf.DUMMYFUNCTION("""COMPUTED_VALUE"""),"LTS-50V
Диагональ: 50""/ Размер: 108х66см/ Материал: High Contract Grey/ Тип: настольный, переносной с мобильным алюминиевым кейсом")</f>
        <v>LTS-50V
Диагональ: 50"/ Размер: 108х66см/ Материал: High Contract Grey/ Тип: настольный, переносной с мобильным алюминиевым кейсом</v>
      </c>
      <c r="B968" s="16" t="str">
        <f ca="1">IFERROR(__xludf.DUMMYFUNCTION("""COMPUTED_VALUE"""),"")</f>
        <v/>
      </c>
      <c r="C968" s="16" t="str">
        <f ca="1">IFERROR(__xludf.DUMMYFUNCTION("""COMPUTED_VALUE"""),"133,")</f>
        <v>133,</v>
      </c>
    </row>
    <row r="969" spans="1:3" ht="15.75" customHeight="1">
      <c r="A969" s="16" t="str">
        <f ca="1">IFERROR(__xludf.DUMMYFUNCTION("""COMPUTED_VALUE"""),"FS-POST-60D
Диагональ: 60""/ Размер: 122х93см/ Материал: Matte White/ Тип: напольный, переносной с мобильным алюминиевым кейсом")</f>
        <v>FS-POST-60D
Диагональ: 60"/ Размер: 122х93см/ Материал: Matte White/ Тип: напольный, переносной с мобильным алюминиевым кейсом</v>
      </c>
      <c r="B969" s="16" t="str">
        <f ca="1">IFERROR(__xludf.DUMMYFUNCTION("""COMPUTED_VALUE"""),"")</f>
        <v/>
      </c>
      <c r="C969" s="16" t="str">
        <f ca="1">IFERROR(__xludf.DUMMYFUNCTION("""COMPUTED_VALUE"""),"154,")</f>
        <v>154,</v>
      </c>
    </row>
    <row r="970" spans="1:3" ht="15.75" customHeight="1">
      <c r="A970" s="16" t="str">
        <f ca="1">IFERROR(__xludf.DUMMYFUNCTION("""COMPUTED_VALUE"""),"Acer Projector X1123HP (DLP, 4000 люмен, 20000:1, 800x600, D-Sub, HDMI, RCA, USB, ПДУ, 2D/3D) (MR.JSA11.005)")</f>
        <v>Acer Projector X1123HP (DLP, 4000 люмен, 20000:1, 800x600, D-Sub, HDMI, RCA, USB, ПДУ, 2D/3D) (MR.JSA11.005)</v>
      </c>
      <c r="B970" s="16" t="str">
        <f ca="1">IFERROR(__xludf.DUMMYFUNCTION("""COMPUTED_VALUE"""),"")</f>
        <v/>
      </c>
      <c r="C970" s="16" t="str">
        <f ca="1">IFERROR(__xludf.DUMMYFUNCTION("""COMPUTED_VALUE"""),"277,")</f>
        <v>277,</v>
      </c>
    </row>
    <row r="971" spans="1:3" ht="15.75" customHeight="1">
      <c r="A971" s="16" t="str">
        <f ca="1">IFERROR(__xludf.DUMMYFUNCTION("""COMPUTED_VALUE"""),"Optoma X400LVe (DLP, 4000 люмен,  XGA (1024x768),  Динамик 10Вт, HDMI, VGA, ПДУ)")</f>
        <v>Optoma X400LVe (DLP, 4000 люмен,  XGA (1024x768),  Динамик 10Вт, HDMI, VGA, ПДУ)</v>
      </c>
      <c r="B971" s="16" t="str">
        <f ca="1">IFERROR(__xludf.DUMMYFUNCTION("""COMPUTED_VALUE"""),"")</f>
        <v/>
      </c>
      <c r="C971" s="16" t="str">
        <f ca="1">IFERROR(__xludf.DUMMYFUNCTION("""COMPUTED_VALUE"""),"290,")</f>
        <v>290,</v>
      </c>
    </row>
    <row r="972" spans="1:3" ht="15.75" customHeight="1">
      <c r="A972" s="16" t="str">
        <f ca="1">IFERROR(__xludf.DUMMYFUNCTION("""COMPUTED_VALUE"""),"Optoma ZX300 Projector (Лазерный 24/7, DLP, 3500 люмен,  XGA (1024x768),  Динамик 15Вт, HDMI, USB, ПДУ)
+ СКИДКА 50$ на любой проекционный экран")</f>
        <v>Optoma ZX300 Projector (Лазерный 24/7, DLP, 3500 люмен,  XGA (1024x768),  Динамик 15Вт, HDMI, USB, ПДУ)
+ СКИДКА 50$ на любой проекционный экран</v>
      </c>
      <c r="B972" s="16" t="str">
        <f ca="1">IFERROR(__xludf.DUMMYFUNCTION("""COMPUTED_VALUE"""),"")</f>
        <v/>
      </c>
      <c r="C972" s="16" t="str">
        <f ca="1">IFERROR(__xludf.DUMMYFUNCTION("""COMPUTED_VALUE"""),"660,")</f>
        <v>660,</v>
      </c>
    </row>
    <row r="973" spans="1:3" ht="15.75" customHeight="1">
      <c r="A973" s="16" t="str">
        <f ca="1">IFERROR(__xludf.DUMMYFUNCTION("""COMPUTED_VALUE"""),"Optoma HD29i Projector (DLP, 4000 люмен,  FHD (1980x1080), Динамик 5Вт, HDMI, USB, ПДУ)
+ СКИДКА 50$ на любой проекционный экран")</f>
        <v>Optoma HD29i Projector (DLP, 4000 люмен,  FHD (1980x1080), Динамик 5Вт, HDMI, USB, ПДУ)
+ СКИДКА 50$ на любой проекционный экран</v>
      </c>
      <c r="B973" s="16" t="str">
        <f ca="1">IFERROR(__xludf.DUMMYFUNCTION("""COMPUTED_VALUE"""),"")</f>
        <v/>
      </c>
      <c r="C973" s="16" t="str">
        <f ca="1">IFERROR(__xludf.DUMMYFUNCTION("""COMPUTED_VALUE"""),"710,")</f>
        <v>710,</v>
      </c>
    </row>
    <row r="974" spans="1:3" ht="15.75" customHeight="1">
      <c r="A974" s="16" t="str">
        <f ca="1">IFERROR(__xludf.DUMMYFUNCTION("""COMPUTED_VALUE"""),"ViewSonic PX704HD (DLP,  FHD (1920x1080), 4000Lm, Optical zoom 1.3x, Динамик 3Вт, HDMI, USB, ПДУ)")</f>
        <v>ViewSonic PX704HD (DLP,  FHD (1920x1080), 4000Lm, Optical zoom 1.3x, Динамик 3Вт, HDMI, USB, ПДУ)</v>
      </c>
      <c r="B974" s="16" t="str">
        <f ca="1">IFERROR(__xludf.DUMMYFUNCTION("""COMPUTED_VALUE"""),"")</f>
        <v/>
      </c>
      <c r="C974" s="16" t="str">
        <f ca="1">IFERROR(__xludf.DUMMYFUNCTION("""COMPUTED_VALUE"""),"740,")</f>
        <v>740,</v>
      </c>
    </row>
    <row r="975" spans="1:3" ht="15.75" customHeight="1">
      <c r="A975" s="16" t="str">
        <f ca="1">IFERROR(__xludf.DUMMYFUNCTION("""COMPUTED_VALUE"""),"ViewSonic PX701-4K (DLP,  4K (3840x2160), 3200Lm, 240 Гц, 5мс, Optical zoom 1.3x, Динамик 10Вт, HDR, HDMI 2.0, USB, ПДУ)")</f>
        <v>ViewSonic PX701-4K (DLP,  4K (3840x2160), 3200Lm, 240 Гц, 5мс, Optical zoom 1.3x, Динамик 10Вт, HDR, HDMI 2.0, USB, ПДУ)</v>
      </c>
      <c r="B975" s="16" t="str">
        <f ca="1">IFERROR(__xludf.DUMMYFUNCTION("""COMPUTED_VALUE"""),"")</f>
        <v/>
      </c>
      <c r="C975" s="16" t="str">
        <f ca="1">IFERROR(__xludf.DUMMYFUNCTION("""COMPUTED_VALUE"""),"1085,")</f>
        <v>1085,</v>
      </c>
    </row>
    <row r="976" spans="1:3" ht="15.75" customHeight="1">
      <c r="A976" s="16" t="str">
        <f ca="1">IFERROR(__xludf.DUMMYFUNCTION("""COMPUTED_VALUE"""),"Epson MultiMedia Projector EB-E01 (3xLCD, 3300 люмен, 15000:1, XGA (1280×800), D-Sub, HDMI, USB, ПДУ)")</f>
        <v>Epson MultiMedia Projector EB-E01 (3xLCD, 3300 люмен, 15000:1, XGA (1280×800), D-Sub, HDMI, USB, ПДУ)</v>
      </c>
      <c r="B976" s="16" t="str">
        <f ca="1">IFERROR(__xludf.DUMMYFUNCTION("""COMPUTED_VALUE"""),"")</f>
        <v/>
      </c>
      <c r="C976" s="16" t="str">
        <f ca="1">IFERROR(__xludf.DUMMYFUNCTION("""COMPUTED_VALUE"""),"320,")</f>
        <v>320,</v>
      </c>
    </row>
    <row r="977" spans="1:3" ht="15.75" customHeight="1">
      <c r="A977" s="16" t="str">
        <f ca="1">IFERROR(__xludf.DUMMYFUNCTION("""COMPUTED_VALUE"""),"Sony VPL-FHZ91 (Лазерно-люминофорный инсталяционный 24/7, 3LCD, 9000 люмен, WUXGA (1920x1200), ∞:1, HDMI, HDBaseT)")</f>
        <v>Sony VPL-FHZ91 (Лазерно-люминофорный инсталяционный 24/7, 3LCD, 9000 люмен, WUXGA (1920x1200), ∞:1, HDMI, HDBaseT)</v>
      </c>
      <c r="B977" s="16" t="str">
        <f ca="1">IFERROR(__xludf.DUMMYFUNCTION("""COMPUTED_VALUE"""),"")</f>
        <v/>
      </c>
      <c r="C977" s="16" t="str">
        <f ca="1">IFERROR(__xludf.DUMMYFUNCTION("""COMPUTED_VALUE"""),"10750,")</f>
        <v>10750,</v>
      </c>
    </row>
    <row r="978" spans="1:3" ht="15.75" customHeight="1">
      <c r="A978" s="16" t="str">
        <f ca="1">IFERROR(__xludf.DUMMYFUNCTION("""COMPUTED_VALUE"""),"Panasonic PT-VMZ71 (Лазерный проектор 24/7, 3LCD, 7000 люмен, WUXGA (1920x1200) HDMI, HDBaseT)")</f>
        <v>Panasonic PT-VMZ71 (Лазерный проектор 24/7, 3LCD, 7000 люмен, WUXGA (1920x1200) HDMI, HDBaseT)</v>
      </c>
      <c r="B978" s="16" t="str">
        <f ca="1">IFERROR(__xludf.DUMMYFUNCTION("""COMPUTED_VALUE"""),"")</f>
        <v/>
      </c>
      <c r="C978" s="16" t="str">
        <f ca="1">IFERROR(__xludf.DUMMYFUNCTION("""COMPUTED_VALUE"""),"3790,")</f>
        <v>3790,</v>
      </c>
    </row>
    <row r="979" spans="1:3" ht="15.75" customHeight="1">
      <c r="A979" s="16" t="str">
        <f ca="1">IFERROR(__xludf.DUMMYFUNCTION("""COMPUTED_VALUE"""),"Panasonic PT-MZ770E (Лазерно-люминофорный инсталяционный 24/7, 3LCD, 8000 люмен, WUXGA (1920x1200) HDMI, HDBaseT)")</f>
        <v>Panasonic PT-MZ770E (Лазерно-люминофорный инсталяционный 24/7, 3LCD, 8000 люмен, WUXGA (1920x1200) HDMI, HDBaseT)</v>
      </c>
      <c r="B979" s="16" t="str">
        <f ca="1">IFERROR(__xludf.DUMMYFUNCTION("""COMPUTED_VALUE"""),"")</f>
        <v/>
      </c>
      <c r="C979" s="16" t="str">
        <f ca="1">IFERROR(__xludf.DUMMYFUNCTION("""COMPUTED_VALUE"""),"7300,")</f>
        <v>7300,</v>
      </c>
    </row>
    <row r="980" spans="1:3" ht="15.75" customHeight="1">
      <c r="A980" s="16" t="str">
        <f ca="1">IFERROR(__xludf.DUMMYFUNCTION("""COMPUTED_VALUE"""),"Panasonic PT-RZ120BE (Лазерно-люминофорный инсталяционный 24/7, DLP, 12000 люмен, WUXGA (1920x1200) HDMI, HDBaseT)
+ линза ET-DLE170")</f>
        <v>Panasonic PT-RZ120BE (Лазерно-люминофорный инсталяционный 24/7, DLP, 12000 люмен, WUXGA (1920x1200) HDMI, HDBaseT)
+ линза ET-DLE170</v>
      </c>
      <c r="B980" s="16" t="str">
        <f ca="1">IFERROR(__xludf.DUMMYFUNCTION("""COMPUTED_VALUE"""),"")</f>
        <v/>
      </c>
      <c r="C980" s="16" t="str">
        <f ca="1">IFERROR(__xludf.DUMMYFUNCTION("""COMPUTED_VALUE"""),"17200,")</f>
        <v>17200,</v>
      </c>
    </row>
    <row r="981" spans="1:3" ht="15.75" customHeight="1">
      <c r="A981" s="16" t="str">
        <f ca="1">IFERROR(__xludf.DUMMYFUNCTION("""COMPUTED_VALUE"""),"Panasonic PT-MZ13KLBE без линзы (Лазерно-люминофорный инсталяционный 24/7, 3LCD, 13000 люмен, WUXGA (1920x1200) HDMI, HDBaseT)")</f>
        <v>Panasonic PT-MZ13KLBE без линзы (Лазерно-люминофорный инсталяционный 24/7, 3LCD, 13000 люмен, WUXGA (1920x1200) HDMI, HDBaseT)</v>
      </c>
      <c r="B981" s="16" t="str">
        <f ca="1">IFERROR(__xludf.DUMMYFUNCTION("""COMPUTED_VALUE"""),"")</f>
        <v/>
      </c>
      <c r="C981" s="16" t="str">
        <f ca="1">IFERROR(__xludf.DUMMYFUNCTION("""COMPUTED_VALUE"""),"13250,")</f>
        <v>13250,</v>
      </c>
    </row>
    <row r="982" spans="1:3" ht="15.75" customHeight="1">
      <c r="A982" s="16" t="str">
        <f ca="1">IFERROR(__xludf.DUMMYFUNCTION("""COMPUTED_VALUE"""),"PCM-65 (Крепление потолочное для проектора 43см. ~ 65см. Материал - алюминий. Цвет - белый. Нагрузка - Макс. 20кг. Наклон ±15º)")</f>
        <v>PCM-65 (Крепление потолочное для проектора 43см. ~ 65см. Материал - алюминий. Цвет - белый. Нагрузка - Макс. 20кг. Наклон ±15º)</v>
      </c>
      <c r="B982" s="16" t="str">
        <f ca="1">IFERROR(__xludf.DUMMYFUNCTION("""COMPUTED_VALUE"""),"")</f>
        <v/>
      </c>
      <c r="C982" s="16" t="str">
        <f ca="1">IFERROR(__xludf.DUMMYFUNCTION("""COMPUTED_VALUE"""),"10,")</f>
        <v>10,</v>
      </c>
    </row>
    <row r="983" spans="1:3" ht="15.75" customHeight="1">
      <c r="A983" s="16" t="str">
        <f ca="1">IFERROR(__xludf.DUMMYFUNCTION("""COMPUTED_VALUE"""),"PCM-180 (Крепление потолочное для проектора 90см. ~ 180см. Материал - алюминий. Цвет - белый. Нагрузка - Макс. 20кг. Наклон ±15º)")</f>
        <v>PCM-180 (Крепление потолочное для проектора 90см. ~ 180см. Материал - алюминий. Цвет - белый. Нагрузка - Макс. 20кг. Наклон ±15º)</v>
      </c>
      <c r="B983" s="16" t="str">
        <f ca="1">IFERROR(__xludf.DUMMYFUNCTION("""COMPUTED_VALUE"""),"")</f>
        <v/>
      </c>
      <c r="C983" s="16" t="str">
        <f ca="1">IFERROR(__xludf.DUMMYFUNCTION("""COMPUTED_VALUE"""),"45,")</f>
        <v>45,</v>
      </c>
    </row>
    <row r="984" spans="1:3" ht="15.75" customHeight="1">
      <c r="A984" s="16" t="str">
        <f ca="1">IFERROR(__xludf.DUMMYFUNCTION("""COMPUTED_VALUE"""),"PWM-150 (Настенное крепление для проекторов весом до 15 кг, 800-1500 мм, с изменяемым углом наклона и поворота 20 градусов)")</f>
        <v>PWM-150 (Настенное крепление для проекторов весом до 15 кг, 800-1500 мм, с изменяемым углом наклона и поворота 20 градусов)</v>
      </c>
      <c r="B984" s="16" t="str">
        <f ca="1">IFERROR(__xludf.DUMMYFUNCTION("""COMPUTED_VALUE"""),"")</f>
        <v/>
      </c>
      <c r="C984" s="16" t="str">
        <f ca="1">IFERROR(__xludf.DUMMYFUNCTION("""COMPUTED_VALUE"""),"52,")</f>
        <v>52,</v>
      </c>
    </row>
    <row r="985" spans="1:3" ht="15.75" customHeight="1">
      <c r="A985" s="16" t="str">
        <f ca="1">IFERROR(__xludf.DUMMYFUNCTION("""COMPUTED_VALUE"""),"Lenovo 510 Wireless Keyboard and Mouse Combo White")</f>
        <v>Lenovo 510 Wireless Keyboard and Mouse Combo White</v>
      </c>
      <c r="B985" s="16" t="str">
        <f ca="1">IFERROR(__xludf.DUMMYFUNCTION("""COMPUTED_VALUE"""),"GX31F38001")</f>
        <v>GX31F38001</v>
      </c>
      <c r="C985" s="16" t="str">
        <f ca="1">IFERROR(__xludf.DUMMYFUNCTION("""COMPUTED_VALUE"""),"30,")</f>
        <v>30,</v>
      </c>
    </row>
    <row r="986" spans="1:3" ht="15.75" customHeight="1">
      <c r="A986" s="16" t="str">
        <f ca="1">IFERROR(__xludf.DUMMYFUNCTION("""COMPUTED_VALUE"""),"Lenovo Essential Wireless Combo Black")</f>
        <v>Lenovo Essential Wireless Combo Black</v>
      </c>
      <c r="B986" s="16" t="str">
        <f ca="1">IFERROR(__xludf.DUMMYFUNCTION("""COMPUTED_VALUE"""),"4X30M39487")</f>
        <v>4X30M39487</v>
      </c>
      <c r="C986" s="16" t="str">
        <f ca="1">IFERROR(__xludf.DUMMYFUNCTION("""COMPUTED_VALUE"""),"45,")</f>
        <v>45,</v>
      </c>
    </row>
    <row r="987" spans="1:3" ht="15.75" customHeight="1">
      <c r="A987" s="16" t="str">
        <f ca="1">IFERROR(__xludf.DUMMYFUNCTION("""COMPUTED_VALUE"""),"Lenovo Legion K310 RGB Gaming Keyboard")</f>
        <v>Lenovo Legion K310 RGB Gaming Keyboard</v>
      </c>
      <c r="B987" s="16" t="str">
        <f ca="1">IFERROR(__xludf.DUMMYFUNCTION("""COMPUTED_VALUE"""),"GY41N91872")</f>
        <v>GY41N91872</v>
      </c>
      <c r="C987" s="16" t="str">
        <f ca="1">IFERROR(__xludf.DUMMYFUNCTION("""COMPUTED_VALUE"""),"30,")</f>
        <v>30,</v>
      </c>
    </row>
    <row r="988" spans="1:3" ht="15.75" customHeight="1">
      <c r="A988" s="16" t="str">
        <f ca="1">IFERROR(__xludf.DUMMYFUNCTION("""COMPUTED_VALUE"""),"Lenovo Legion K500 RGB")</f>
        <v>Lenovo Legion K500 RGB</v>
      </c>
      <c r="B988" s="16" t="str">
        <f ca="1">IFERROR(__xludf.DUMMYFUNCTION("""COMPUTED_VALUE"""),"GY40T26479")</f>
        <v>GY40T26479</v>
      </c>
      <c r="C988" s="16" t="str">
        <f ca="1">IFERROR(__xludf.DUMMYFUNCTION("""COMPUTED_VALUE"""),"110,")</f>
        <v>110,</v>
      </c>
    </row>
    <row r="989" spans="1:3" ht="15.75" customHeight="1">
      <c r="A989" s="16" t="str">
        <f ca="1">IFERROR(__xludf.DUMMYFUNCTION("""COMPUTED_VALUE"""),"Lenovo 300 USB Mouse")</f>
        <v>Lenovo 300 USB Mouse</v>
      </c>
      <c r="B989" s="16" t="str">
        <f ca="1">IFERROR(__xludf.DUMMYFUNCTION("""COMPUTED_VALUE"""),"GX30M39704")</f>
        <v>GX30M39704</v>
      </c>
      <c r="C989" s="16" t="str">
        <f ca="1">IFERROR(__xludf.DUMMYFUNCTION("""COMPUTED_VALUE"""),"6,")</f>
        <v>6,</v>
      </c>
    </row>
    <row r="990" spans="1:3" ht="15.75" customHeight="1">
      <c r="A990" s="16" t="str">
        <f ca="1">IFERROR(__xludf.DUMMYFUNCTION("""COMPUTED_VALUE"""),"Lenovo 150 Wireless Compact Mouse")</f>
        <v>Lenovo 150 Wireless Compact Mouse</v>
      </c>
      <c r="B990" s="16" t="str">
        <f ca="1">IFERROR(__xludf.DUMMYFUNCTION("""COMPUTED_VALUE"""),"GY51L52638")</f>
        <v>GY51L52638</v>
      </c>
      <c r="C990" s="16" t="str">
        <f ca="1">IFERROR(__xludf.DUMMYFUNCTION("""COMPUTED_VALUE"""),"7,")</f>
        <v>7,</v>
      </c>
    </row>
    <row r="991" spans="1:3" ht="15.75" customHeight="1">
      <c r="A991" s="16" t="str">
        <f ca="1">IFERROR(__xludf.DUMMYFUNCTION("""COMPUTED_VALUE"""),"Lenovo 300 Wireless Compact Mouse")</f>
        <v>Lenovo 300 Wireless Compact Mouse</v>
      </c>
      <c r="B991" s="16" t="str">
        <f ca="1">IFERROR(__xludf.DUMMYFUNCTION("""COMPUTED_VALUE"""),"GX30K79401")</f>
        <v>GX30K79401</v>
      </c>
      <c r="C991" s="16" t="str">
        <f ca="1">IFERROR(__xludf.DUMMYFUNCTION("""COMPUTED_VALUE"""),"10,")</f>
        <v>10,</v>
      </c>
    </row>
    <row r="992" spans="1:3" ht="15.75" customHeight="1">
      <c r="A992" s="16" t="str">
        <f ca="1">IFERROR(__xludf.DUMMYFUNCTION("""COMPUTED_VALUE"""),"Lenovo WL310 Bluetooth Silent Mouse")</f>
        <v>Lenovo WL310 Bluetooth Silent Mouse</v>
      </c>
      <c r="B992" s="16" t="str">
        <f ca="1">IFERROR(__xludf.DUMMYFUNCTION("""COMPUTED_VALUE"""),"GY51Q65621")</f>
        <v>GY51Q65621</v>
      </c>
      <c r="C992" s="16" t="str">
        <f ca="1">IFERROR(__xludf.DUMMYFUNCTION("""COMPUTED_VALUE"""),"15,")</f>
        <v>15,</v>
      </c>
    </row>
    <row r="993" spans="1:3" ht="15.75" customHeight="1">
      <c r="A993" s="16" t="str">
        <f ca="1">IFERROR(__xludf.DUMMYFUNCTION("""COMPUTED_VALUE"""),"Lenovo 400 Wireless Mouse (WW)")</f>
        <v>Lenovo 400 Wireless Mouse (WW)</v>
      </c>
      <c r="B993" s="16" t="str">
        <f ca="1">IFERROR(__xludf.DUMMYFUNCTION("""COMPUTED_VALUE"""),"GY50R91293")</f>
        <v>GY50R91293</v>
      </c>
      <c r="C993" s="16" t="str">
        <f ca="1">IFERROR(__xludf.DUMMYFUNCTION("""COMPUTED_VALUE"""),"15,")</f>
        <v>15,</v>
      </c>
    </row>
    <row r="994" spans="1:3" ht="15.75" customHeight="1">
      <c r="A994" s="16" t="str">
        <f ca="1">IFERROR(__xludf.DUMMYFUNCTION("""COMPUTED_VALUE"""),"Lenovo 400 USB-C Compact Wireless Mouse")</f>
        <v>Lenovo 400 USB-C Compact Wireless Mouse</v>
      </c>
      <c r="B994" s="16" t="str">
        <f ca="1">IFERROR(__xludf.DUMMYFUNCTION("""COMPUTED_VALUE"""),"GY51D20865")</f>
        <v>GY51D20865</v>
      </c>
      <c r="C994" s="16" t="str">
        <f ca="1">IFERROR(__xludf.DUMMYFUNCTION("""COMPUTED_VALUE"""),"15,")</f>
        <v>15,</v>
      </c>
    </row>
    <row r="995" spans="1:3" ht="15.75" customHeight="1">
      <c r="A995" s="16" t="str">
        <f ca="1">IFERROR(__xludf.DUMMYFUNCTION("""COMPUTED_VALUE"""),"Lenovo 540 USB-C Wireless Compact Mouse (Storm Grey)")</f>
        <v>Lenovo 540 USB-C Wireless Compact Mouse (Storm Grey)</v>
      </c>
      <c r="B995" s="16" t="str">
        <f ca="1">IFERROR(__xludf.DUMMYFUNCTION("""COMPUTED_VALUE"""),"GY51D20867")</f>
        <v>GY51D20867</v>
      </c>
      <c r="C995" s="16" t="str">
        <f ca="1">IFERROR(__xludf.DUMMYFUNCTION("""COMPUTED_VALUE"""),"20,")</f>
        <v>20,</v>
      </c>
    </row>
    <row r="996" spans="1:3" ht="15.75" customHeight="1">
      <c r="A996" s="16" t="str">
        <f ca="1">IFERROR(__xludf.DUMMYFUNCTION("""COMPUTED_VALUE"""),"Lenovo 540 USB-C Compact Wireless Mouse (Cloud Grey)")</f>
        <v>Lenovo 540 USB-C Compact Wireless Mouse (Cloud Grey)</v>
      </c>
      <c r="B996" s="16" t="str">
        <f ca="1">IFERROR(__xludf.DUMMYFUNCTION("""COMPUTED_VALUE"""),"GY51D20869")</f>
        <v>GY51D20869</v>
      </c>
      <c r="C996" s="16" t="str">
        <f ca="1">IFERROR(__xludf.DUMMYFUNCTION("""COMPUTED_VALUE"""),"20,")</f>
        <v>20,</v>
      </c>
    </row>
    <row r="997" spans="1:3" ht="15.75" customHeight="1">
      <c r="A997" s="16" t="str">
        <f ca="1">IFERROR(__xludf.DUMMYFUNCTION("""COMPUTED_VALUE"""),"Lenovo 540 USB-C Compact Wireless Mouse (Abyss Blue)")</f>
        <v>Lenovo 540 USB-C Compact Wireless Mouse (Abyss Blue)</v>
      </c>
      <c r="B997" s="16" t="str">
        <f ca="1">IFERROR(__xludf.DUMMYFUNCTION("""COMPUTED_VALUE"""),"GY51D20871")</f>
        <v>GY51D20871</v>
      </c>
      <c r="C997" s="16" t="str">
        <f ca="1">IFERROR(__xludf.DUMMYFUNCTION("""COMPUTED_VALUE"""),"20,")</f>
        <v>20,</v>
      </c>
    </row>
    <row r="998" spans="1:3" ht="15.75" customHeight="1">
      <c r="A998" s="16" t="str">
        <f ca="1">IFERROR(__xludf.DUMMYFUNCTION("""COMPUTED_VALUE"""),"Lenovo 600 Wireless Media Mouse")</f>
        <v>Lenovo 600 Wireless Media Mouse</v>
      </c>
      <c r="B998" s="16" t="str">
        <f ca="1">IFERROR(__xludf.DUMMYFUNCTION("""COMPUTED_VALUE"""),"GY50U89282")</f>
        <v>GY50U89282</v>
      </c>
      <c r="C998" s="16" t="str">
        <f ca="1">IFERROR(__xludf.DUMMYFUNCTION("""COMPUTED_VALUE"""),"25,")</f>
        <v>25,</v>
      </c>
    </row>
    <row r="999" spans="1:3" ht="15.75" customHeight="1">
      <c r="A999" s="16" t="str">
        <f ca="1">IFERROR(__xludf.DUMMYFUNCTION("""COMPUTED_VALUE"""),"Lenovo Yoga Pro Mouse")</f>
        <v>Lenovo Yoga Pro Mouse</v>
      </c>
      <c r="B999" s="16" t="str">
        <f ca="1">IFERROR(__xludf.DUMMYFUNCTION("""COMPUTED_VALUE"""),"GY51P14335")</f>
        <v>GY51P14335</v>
      </c>
      <c r="C999" s="16" t="str">
        <f ca="1">IFERROR(__xludf.DUMMYFUNCTION("""COMPUTED_VALUE"""),"30,")</f>
        <v>30,</v>
      </c>
    </row>
    <row r="1000" spans="1:3" ht="15.75" customHeight="1">
      <c r="A1000" s="16" t="str">
        <f ca="1">IFERROR(__xludf.DUMMYFUNCTION("""COMPUTED_VALUE"""),"Lenovo Go USB-C Wireless Mouse (Storm Grey)")</f>
        <v>Lenovo Go USB-C Wireless Mouse (Storm Grey)</v>
      </c>
      <c r="B1000" s="16" t="str">
        <f ca="1">IFERROR(__xludf.DUMMYFUNCTION("""COMPUTED_VALUE"""),"GY51C21210")</f>
        <v>GY51C21210</v>
      </c>
      <c r="C1000" s="16" t="str">
        <f ca="1">IFERROR(__xludf.DUMMYFUNCTION("""COMPUTED_VALUE"""),"40,")</f>
        <v>40,</v>
      </c>
    </row>
    <row r="1001" spans="1:3" ht="15.75" customHeight="1">
      <c r="A1001" s="16" t="str">
        <f ca="1">IFERROR(__xludf.DUMMYFUNCTION("""COMPUTED_VALUE"""),"Lenovo 600 Bluetooth Silent Mouse")</f>
        <v>Lenovo 600 Bluetooth Silent Mouse</v>
      </c>
      <c r="B1001" s="16" t="str">
        <f ca="1">IFERROR(__xludf.DUMMYFUNCTION("""COMPUTED_VALUE"""),"GY50X88833")</f>
        <v>GY50X88833</v>
      </c>
      <c r="C1001" s="16" t="str">
        <f ca="1">IFERROR(__xludf.DUMMYFUNCTION("""COMPUTED_VALUE"""),"45,")</f>
        <v>45,</v>
      </c>
    </row>
    <row r="1002" spans="1:3" ht="15.75" customHeight="1">
      <c r="A1002" s="16" t="str">
        <f ca="1">IFERROR(__xludf.DUMMYFUNCTION("""COMPUTED_VALUE"""),"Lenovo Go Wireless Multi-Device Mouse (Storm Grey)")</f>
        <v>Lenovo Go Wireless Multi-Device Mouse (Storm Grey)</v>
      </c>
      <c r="B1002" s="16" t="str">
        <f ca="1">IFERROR(__xludf.DUMMYFUNCTION("""COMPUTED_VALUE"""),"GY51C21211")</f>
        <v>GY51C21211</v>
      </c>
      <c r="C1002" s="16" t="str">
        <f ca="1">IFERROR(__xludf.DUMMYFUNCTION("""COMPUTED_VALUE"""),"50,")</f>
        <v>50,</v>
      </c>
    </row>
    <row r="1003" spans="1:3" ht="15.75" customHeight="1">
      <c r="A1003" s="16" t="str">
        <f ca="1">IFERROR(__xludf.DUMMYFUNCTION("""COMPUTED_VALUE"""),"Lenovo Yoga Mouse with Laser Presenter (Shadow Black)")</f>
        <v>Lenovo Yoga Mouse with Laser Presenter (Shadow Black)</v>
      </c>
      <c r="B1003" s="16" t="str">
        <f ca="1">IFERROR(__xludf.DUMMYFUNCTION("""COMPUTED_VALUE"""),"GY51B37795")</f>
        <v>GY51B37795</v>
      </c>
      <c r="C1003" s="16" t="str">
        <f ca="1">IFERROR(__xludf.DUMMYFUNCTION("""COMPUTED_VALUE"""),"55,")</f>
        <v>55,</v>
      </c>
    </row>
    <row r="1004" spans="1:3" ht="15.75" customHeight="1">
      <c r="A1004" s="16" t="str">
        <f ca="1">IFERROR(__xludf.DUMMYFUNCTION("""COMPUTED_VALUE"""),"Lenovo M210 RGB Gaming Mouse")</f>
        <v>Lenovo M210 RGB Gaming Mouse</v>
      </c>
      <c r="B1004" s="16" t="str">
        <f ca="1">IFERROR(__xludf.DUMMYFUNCTION("""COMPUTED_VALUE"""),"GY51M74265")</f>
        <v>GY51M74265</v>
      </c>
      <c r="C1004" s="16" t="str">
        <f ca="1">IFERROR(__xludf.DUMMYFUNCTION("""COMPUTED_VALUE"""),"15,")</f>
        <v>15,</v>
      </c>
    </row>
    <row r="1005" spans="1:3" ht="15.75" customHeight="1">
      <c r="A1005" s="16" t="str">
        <f ca="1">IFERROR(__xludf.DUMMYFUNCTION("""COMPUTED_VALUE"""),"Lenovo Legion M410 Wireless RGB Gaming Mouse")</f>
        <v>Lenovo Legion M410 Wireless RGB Gaming Mouse</v>
      </c>
      <c r="B1005" s="16" t="str">
        <f ca="1">IFERROR(__xludf.DUMMYFUNCTION("""COMPUTED_VALUE"""),"GY51P83012")</f>
        <v>GY51P83012</v>
      </c>
      <c r="C1005" s="16" t="str">
        <f ca="1">IFERROR(__xludf.DUMMYFUNCTION("""COMPUTED_VALUE"""),"25,")</f>
        <v>25,</v>
      </c>
    </row>
    <row r="1006" spans="1:3" ht="15.75" customHeight="1">
      <c r="A1006" s="16" t="str">
        <f ca="1">IFERROR(__xludf.DUMMYFUNCTION("""COMPUTED_VALUE"""),"Lenovo Legion M300 RGB Gaming Mouse")</f>
        <v>Lenovo Legion M300 RGB Gaming Mouse</v>
      </c>
      <c r="B1006" s="16" t="str">
        <f ca="1">IFERROR(__xludf.DUMMYFUNCTION("""COMPUTED_VALUE"""),"GY50X79384")</f>
        <v>GY50X79384</v>
      </c>
      <c r="C1006" s="16" t="str">
        <f ca="1">IFERROR(__xludf.DUMMYFUNCTION("""COMPUTED_VALUE"""),"35,")</f>
        <v>35,</v>
      </c>
    </row>
    <row r="1007" spans="1:3" ht="15.75" customHeight="1">
      <c r="A1007" s="16" t="str">
        <f ca="1">IFERROR(__xludf.DUMMYFUNCTION("""COMPUTED_VALUE"""),"Lenovo Legion M300s RGB Gaming Mouse")</f>
        <v>Lenovo Legion M300s RGB Gaming Mouse</v>
      </c>
      <c r="B1007" s="16" t="str">
        <f ca="1">IFERROR(__xludf.DUMMYFUNCTION("""COMPUTED_VALUE"""),"GY51H47350")</f>
        <v>GY51H47350</v>
      </c>
      <c r="C1007" s="16" t="str">
        <f ca="1">IFERROR(__xludf.DUMMYFUNCTION("""COMPUTED_VALUE"""),"35,")</f>
        <v>35,</v>
      </c>
    </row>
    <row r="1008" spans="1:3" ht="15.75" customHeight="1">
      <c r="A1008" s="16" t="str">
        <f ca="1">IFERROR(__xludf.DUMMYFUNCTION("""COMPUTED_VALUE"""),"Lenovo Legion M500 Mouse - WW")</f>
        <v>Lenovo Legion M500 Mouse - WW</v>
      </c>
      <c r="B1008" s="16" t="str">
        <f ca="1">IFERROR(__xludf.DUMMYFUNCTION("""COMPUTED_VALUE"""),"GY50T26467")</f>
        <v>GY50T26467</v>
      </c>
      <c r="C1008" s="16" t="str">
        <f ca="1">IFERROR(__xludf.DUMMYFUNCTION("""COMPUTED_VALUE"""),"55,")</f>
        <v>55,</v>
      </c>
    </row>
    <row r="1009" spans="1:3" ht="15.75" customHeight="1">
      <c r="A1009" s="16" t="str">
        <f ca="1">IFERROR(__xludf.DUMMYFUNCTION("""COMPUTED_VALUE"""),"Lenovo Legion M600 Wireless Gaming Mouse (Black)")</f>
        <v>Lenovo Legion M600 Wireless Gaming Mouse (Black)</v>
      </c>
      <c r="B1009" s="16" t="str">
        <f ca="1">IFERROR(__xludf.DUMMYFUNCTION("""COMPUTED_VALUE"""),"GY50X79385")</f>
        <v>GY50X79385</v>
      </c>
      <c r="C1009" s="16" t="str">
        <f ca="1">IFERROR(__xludf.DUMMYFUNCTION("""COMPUTED_VALUE"""),"60,")</f>
        <v>60,</v>
      </c>
    </row>
    <row r="1010" spans="1:3" ht="15.75" customHeight="1">
      <c r="A1010" s="16" t="str">
        <f ca="1">IFERROR(__xludf.DUMMYFUNCTION("""COMPUTED_VALUE"""),"Lenovo Legion M600 Wireless Gaming Mouse (Stingray)")</f>
        <v>Lenovo Legion M600 Wireless Gaming Mouse (Stingray)</v>
      </c>
      <c r="B1010" s="16" t="str">
        <f ca="1">IFERROR(__xludf.DUMMYFUNCTION("""COMPUTED_VALUE"""),"GY51C96033")</f>
        <v>GY51C96033</v>
      </c>
      <c r="C1010" s="16" t="str">
        <f ca="1">IFERROR(__xludf.DUMMYFUNCTION("""COMPUTED_VALUE"""),"65,")</f>
        <v>65,</v>
      </c>
    </row>
    <row r="1011" spans="1:3" ht="15.75" customHeight="1">
      <c r="A1011" s="16" t="str">
        <f ca="1">IFERROR(__xludf.DUMMYFUNCTION("""COMPUTED_VALUE"""),"Lenovo Legion M600s Qi Wireless Gaming Mouse")</f>
        <v>Lenovo Legion M600s Qi Wireless Gaming Mouse</v>
      </c>
      <c r="B1011" s="16" t="str">
        <f ca="1">IFERROR(__xludf.DUMMYFUNCTION("""COMPUTED_VALUE"""),"GY51H47355")</f>
        <v>GY51H47355</v>
      </c>
      <c r="C1011" s="16" t="str">
        <f ca="1">IFERROR(__xludf.DUMMYFUNCTION("""COMPUTED_VALUE"""),"75,")</f>
        <v>75,</v>
      </c>
    </row>
    <row r="1012" spans="1:3" ht="15.75" customHeight="1">
      <c r="A1012" s="16" t="str">
        <f ca="1">IFERROR(__xludf.DUMMYFUNCTION("""COMPUTED_VALUE"""),"Lenovo IdeaPad Gaming Cloth Mouse Pad M (285 * 300 * 3 mm)")</f>
        <v>Lenovo IdeaPad Gaming Cloth Mouse Pad M (285 * 300 * 3 mm)</v>
      </c>
      <c r="B1012" s="16" t="str">
        <f ca="1">IFERROR(__xludf.DUMMYFUNCTION("""COMPUTED_VALUE"""),"GXH1C97873")</f>
        <v>GXH1C97873</v>
      </c>
      <c r="C1012" s="16" t="str">
        <f ca="1">IFERROR(__xludf.DUMMYFUNCTION("""COMPUTED_VALUE"""),"8,")</f>
        <v>8,</v>
      </c>
    </row>
    <row r="1013" spans="1:3" ht="15.75" customHeight="1">
      <c r="A1013" s="16" t="str">
        <f ca="1">IFERROR(__xludf.DUMMYFUNCTION("""COMPUTED_VALUE"""),"Lenovo Legion Gaming Control Mouse Pad L (Grey) (450 * 400 * 2 mm)")</f>
        <v>Lenovo Legion Gaming Control Mouse Pad L (Grey) (450 * 400 * 2 mm)</v>
      </c>
      <c r="B1013" s="16" t="str">
        <f ca="1">IFERROR(__xludf.DUMMYFUNCTION("""COMPUTED_VALUE"""),"GXH1C97868")</f>
        <v>GXH1C97868</v>
      </c>
      <c r="C1013" s="16" t="str">
        <f ca="1">IFERROR(__xludf.DUMMYFUNCTION("""COMPUTED_VALUE"""),"10,")</f>
        <v>10,</v>
      </c>
    </row>
    <row r="1014" spans="1:3" ht="15.75" customHeight="1">
      <c r="A1014" s="16" t="str">
        <f ca="1">IFERROR(__xludf.DUMMYFUNCTION("""COMPUTED_VALUE"""),"Lenovo Legion Gaming Control Mouse Pad L (450 * 400 * 2 mm)")</f>
        <v>Lenovo Legion Gaming Control Mouse Pad L (450 * 400 * 2 mm)</v>
      </c>
      <c r="B1014" s="16" t="str">
        <f ca="1">IFERROR(__xludf.DUMMYFUNCTION("""COMPUTED_VALUE"""),"GXH1C97870")</f>
        <v>GXH1C97870</v>
      </c>
      <c r="C1014" s="16" t="str">
        <f ca="1">IFERROR(__xludf.DUMMYFUNCTION("""COMPUTED_VALUE"""),"10,")</f>
        <v>10,</v>
      </c>
    </row>
    <row r="1015" spans="1:3" ht="15.75" customHeight="1">
      <c r="A1015" s="16" t="str">
        <f ca="1">IFERROR(__xludf.DUMMYFUNCTION("""COMPUTED_VALUE"""),"Lenovo Legion Gaming Cloth XL Mouse Pad (900 * 300 * 3 mm)")</f>
        <v>Lenovo Legion Gaming Cloth XL Mouse Pad (900 * 300 * 3 mm)</v>
      </c>
      <c r="B1015" s="16" t="str">
        <f ca="1">IFERROR(__xludf.DUMMYFUNCTION("""COMPUTED_VALUE"""),"GXH0W29068")</f>
        <v>GXH0W29068</v>
      </c>
      <c r="C1015" s="16" t="str">
        <f ca="1">IFERROR(__xludf.DUMMYFUNCTION("""COMPUTED_VALUE"""),"20,")</f>
        <v>20,</v>
      </c>
    </row>
    <row r="1016" spans="1:3" ht="15.75" customHeight="1">
      <c r="A1016" s="16" t="str">
        <f ca="1">IFERROR(__xludf.DUMMYFUNCTION("""COMPUTED_VALUE"""),"Lenovo E310 True Wireless Stereo Earbuds standalone Black")</f>
        <v>Lenovo E310 True Wireless Stereo Earbuds standalone Black</v>
      </c>
      <c r="B1016" s="16" t="str">
        <f ca="1">IFERROR(__xludf.DUMMYFUNCTION("""COMPUTED_VALUE"""),"GXD1Q65146")</f>
        <v>GXD1Q65146</v>
      </c>
      <c r="C1016" s="16" t="str">
        <f ca="1">IFERROR(__xludf.DUMMYFUNCTION("""COMPUTED_VALUE"""),"25,")</f>
        <v>25,</v>
      </c>
    </row>
    <row r="1017" spans="1:3" ht="15.75" customHeight="1">
      <c r="A1017" s="16" t="str">
        <f ca="1">IFERROR(__xludf.DUMMYFUNCTION("""COMPUTED_VALUE"""),"Lenovo E310 True Wireless Stereo Earbuds standalone White")</f>
        <v>Lenovo E310 True Wireless Stereo Earbuds standalone White</v>
      </c>
      <c r="B1017" s="16" t="str">
        <f ca="1">IFERROR(__xludf.DUMMYFUNCTION("""COMPUTED_VALUE"""),"GXD1Q65145")</f>
        <v>GXD1Q65145</v>
      </c>
      <c r="C1017" s="16" t="str">
        <f ca="1">IFERROR(__xludf.DUMMYFUNCTION("""COMPUTED_VALUE"""),"25,")</f>
        <v>25,</v>
      </c>
    </row>
    <row r="1018" spans="1:3" ht="15.75" customHeight="1">
      <c r="A1018" s="16" t="str">
        <f ca="1">IFERROR(__xludf.DUMMYFUNCTION("""COMPUTED_VALUE"""),"Lenovo TWS YOGA PC Edition - Tidal Teal")</f>
        <v>Lenovo TWS YOGA PC Edition - Tidal Teal</v>
      </c>
      <c r="B1018" s="16" t="str">
        <f ca="1">IFERROR(__xludf.DUMMYFUNCTION("""COMPUTED_VALUE"""),"GXD1N63507")</f>
        <v>GXD1N63507</v>
      </c>
      <c r="C1018" s="16" t="str">
        <f ca="1">IFERROR(__xludf.DUMMYFUNCTION("""COMPUTED_VALUE"""),"60,")</f>
        <v>60,</v>
      </c>
    </row>
    <row r="1019" spans="1:3" ht="15.75" customHeight="1">
      <c r="A1019" s="16" t="str">
        <f ca="1">IFERROR(__xludf.DUMMYFUNCTION("""COMPUTED_VALUE"""),"Lenovo H110 Gaming Headset")</f>
        <v>Lenovo H110 Gaming Headset</v>
      </c>
      <c r="B1019" s="16" t="str">
        <f ca="1">IFERROR(__xludf.DUMMYFUNCTION("""COMPUTED_VALUE"""),"GXD1P46879")</f>
        <v>GXD1P46879</v>
      </c>
      <c r="C1019" s="16" t="str">
        <f ca="1">IFERROR(__xludf.DUMMYFUNCTION("""COMPUTED_VALUE"""),"25,")</f>
        <v>25,</v>
      </c>
    </row>
    <row r="1020" spans="1:3" ht="15.75" customHeight="1">
      <c r="A1020" s="16" t="str">
        <f ca="1">IFERROR(__xludf.DUMMYFUNCTION("""COMPUTED_VALUE"""),"Lenovo H210 Gaming Headset")</f>
        <v>Lenovo H210 Gaming Headset</v>
      </c>
      <c r="B1020" s="16" t="str">
        <f ca="1">IFERROR(__xludf.DUMMYFUNCTION("""COMPUTED_VALUE"""),"GXD1P46880")</f>
        <v>GXD1P46880</v>
      </c>
      <c r="C1020" s="16" t="str">
        <f ca="1">IFERROR(__xludf.DUMMYFUNCTION("""COMPUTED_VALUE"""),"35,")</f>
        <v>35,</v>
      </c>
    </row>
    <row r="1021" spans="1:3" ht="15.75" customHeight="1">
      <c r="A1021" s="16" t="str">
        <f ca="1">IFERROR(__xludf.DUMMYFUNCTION("""COMPUTED_VALUE"""),"Lenovo IdeaPad Gaming H100")</f>
        <v>Lenovo IdeaPad Gaming H100</v>
      </c>
      <c r="B1021" s="16" t="str">
        <f ca="1">IFERROR(__xludf.DUMMYFUNCTION("""COMPUTED_VALUE"""),"GXD1C67963")</f>
        <v>GXD1C67963</v>
      </c>
      <c r="C1021" s="16" t="str">
        <f ca="1">IFERROR(__xludf.DUMMYFUNCTION("""COMPUTED_VALUE"""),"40,")</f>
        <v>40,</v>
      </c>
    </row>
    <row r="1022" spans="1:3" ht="15.75" customHeight="1">
      <c r="A1022" s="16" t="str">
        <f ca="1">IFERROR(__xludf.DUMMYFUNCTION("""COMPUTED_VALUE"""),"Lenovo Legion H300 Stereo Gaming Headset")</f>
        <v>Lenovo Legion H300 Stereo Gaming Headset</v>
      </c>
      <c r="B1022" s="16" t="str">
        <f ca="1">IFERROR(__xludf.DUMMYFUNCTION("""COMPUTED_VALUE"""),"GXD0T69863")</f>
        <v>GXD0T69863</v>
      </c>
      <c r="C1022" s="16" t="str">
        <f ca="1">IFERROR(__xludf.DUMMYFUNCTION("""COMPUTED_VALUE"""),"85,")</f>
        <v>85,</v>
      </c>
    </row>
    <row r="1023" spans="1:3" ht="15.75" customHeight="1">
      <c r="A1023" s="16" t="str">
        <f ca="1">IFERROR(__xludf.DUMMYFUNCTION("""COMPUTED_VALUE"""),"Lenovo Legion H600 Wireless Gaming Headset")</f>
        <v>Lenovo Legion H600 Wireless Gaming Headset</v>
      </c>
      <c r="B1023" s="16" t="str">
        <f ca="1">IFERROR(__xludf.DUMMYFUNCTION("""COMPUTED_VALUE"""),"GXD1A03963")</f>
        <v>GXD1A03963</v>
      </c>
      <c r="C1023" s="16" t="str">
        <f ca="1">IFERROR(__xludf.DUMMYFUNCTION("""COMPUTED_VALUE"""),"90,")</f>
        <v>90,</v>
      </c>
    </row>
    <row r="1024" spans="1:3" ht="15.75" customHeight="1">
      <c r="A1024" s="16" t="str">
        <f ca="1">IFERROR(__xludf.DUMMYFUNCTION("""COMPUTED_VALUE"""),"Lenovo Legion H500 Pro 7,1 Surround Sound Gaming Headset")</f>
        <v>Lenovo Legion H500 Pro 7,1 Surround Sound Gaming Headset</v>
      </c>
      <c r="B1024" s="16" t="str">
        <f ca="1">IFERROR(__xludf.DUMMYFUNCTION("""COMPUTED_VALUE"""),"GXD0T69864")</f>
        <v>GXD0T69864</v>
      </c>
      <c r="C1024" s="16" t="str">
        <f ca="1">IFERROR(__xludf.DUMMYFUNCTION("""COMPUTED_VALUE"""),"100,")</f>
        <v>100,</v>
      </c>
    </row>
    <row r="1025" spans="1:3" ht="15.75" customHeight="1">
      <c r="A1025" s="16" t="str">
        <f ca="1">IFERROR(__xludf.DUMMYFUNCTION("""COMPUTED_VALUE"""),"Lenovo Legion S600 Gaming Station-CE")</f>
        <v>Lenovo Legion S600 Gaming Station-CE</v>
      </c>
      <c r="B1025" s="16" t="str">
        <f ca="1">IFERROR(__xludf.DUMMYFUNCTION("""COMPUTED_VALUE"""),"GXF1B64183")</f>
        <v>GXF1B64183</v>
      </c>
      <c r="C1025" s="16" t="str">
        <f ca="1">IFERROR(__xludf.DUMMYFUNCTION("""COMPUTED_VALUE"""),"100,")</f>
        <v>100,</v>
      </c>
    </row>
    <row r="1026" spans="1:3" ht="15.75" customHeight="1">
      <c r="A1026" s="16" t="str">
        <f ca="1">IFERROR(__xludf.DUMMYFUNCTION("""COMPUTED_VALUE"""),"Lenovo Portable Aluminum Laptop Stand (Brown Box)")</f>
        <v>Lenovo Portable Aluminum Laptop Stand (Brown Box)</v>
      </c>
      <c r="B1026" s="16" t="str">
        <f ca="1">IFERROR(__xludf.DUMMYFUNCTION("""COMPUTED_VALUE"""),"GXF0X02618")</f>
        <v>GXF0X02618</v>
      </c>
      <c r="C1026" s="16" t="str">
        <f ca="1">IFERROR(__xludf.DUMMYFUNCTION("""COMPUTED_VALUE"""),"30,")</f>
        <v>30,</v>
      </c>
    </row>
    <row r="1027" spans="1:3" ht="15.75" customHeight="1">
      <c r="A1027" s="16" t="str">
        <f ca="1">IFERROR(__xludf.DUMMYFUNCTION("""COMPUTED_VALUE"""),"Lenovo USB-C to 4 Port USB-A Hub")</f>
        <v>Lenovo USB-C to 4 Port USB-A Hub</v>
      </c>
      <c r="B1027" s="16" t="str">
        <f ca="1">IFERROR(__xludf.DUMMYFUNCTION("""COMPUTED_VALUE"""),"GX90X21431")</f>
        <v>GX90X21431</v>
      </c>
      <c r="C1027" s="16" t="str">
        <f ca="1">IFERROR(__xludf.DUMMYFUNCTION("""COMPUTED_VALUE"""),"35,")</f>
        <v>35,</v>
      </c>
    </row>
    <row r="1028" spans="1:3" ht="15.75" customHeight="1">
      <c r="A1028" s="16" t="str">
        <f ca="1">IFERROR(__xludf.DUMMYFUNCTION("""COMPUTED_VALUE"""),"Lenovo Travel Hub Gen2 USB-C to Ethernet, HDMI, VGA, USB-A")</f>
        <v>Lenovo Travel Hub Gen2 USB-C to Ethernet, HDMI, VGA, USB-A</v>
      </c>
      <c r="B1028" s="16" t="str">
        <f ca="1">IFERROR(__xludf.DUMMYFUNCTION("""COMPUTED_VALUE"""),"GX91A34575")</f>
        <v>GX91A34575</v>
      </c>
      <c r="C1028" s="16" t="str">
        <f ca="1">IFERROR(__xludf.DUMMYFUNCTION("""COMPUTED_VALUE"""),"65,")</f>
        <v>65,</v>
      </c>
    </row>
    <row r="1029" spans="1:3" ht="15.75" customHeight="1">
      <c r="A1029" s="16" t="str">
        <f ca="1">IFERROR(__xludf.DUMMYFUNCTION("""COMPUTED_VALUE"""),"Lenovo Powered USB-C Travel Hub to Ethernet, HDMI, VGA, 2x USB-A")</f>
        <v>Lenovo Powered USB-C Travel Hub to Ethernet, HDMI, VGA, 2x USB-A</v>
      </c>
      <c r="B1029" s="16" t="str">
        <f ca="1">IFERROR(__xludf.DUMMYFUNCTION("""COMPUTED_VALUE"""),"4X90S92381")</f>
        <v>4X90S92381</v>
      </c>
      <c r="C1029" s="16" t="str">
        <f ca="1">IFERROR(__xludf.DUMMYFUNCTION("""COMPUTED_VALUE"""),"95,")</f>
        <v>95,</v>
      </c>
    </row>
    <row r="1030" spans="1:3" ht="15.75" customHeight="1">
      <c r="A1030" s="16" t="str">
        <f ca="1">IFERROR(__xludf.DUMMYFUNCTION("""COMPUTED_VALUE"""),"Lenovo ThinkPad Universal USB-C Dock")</f>
        <v>Lenovo ThinkPad Universal USB-C Dock</v>
      </c>
      <c r="B1030" s="16" t="str">
        <f ca="1">IFERROR(__xludf.DUMMYFUNCTION("""COMPUTED_VALUE"""),"40AY0090EU")</f>
        <v>40AY0090EU</v>
      </c>
      <c r="C1030" s="16" t="str">
        <f ca="1">IFERROR(__xludf.DUMMYFUNCTION("""COMPUTED_VALUE"""),"210,")</f>
        <v>210,</v>
      </c>
    </row>
    <row r="1031" spans="1:3" ht="15.75" customHeight="1">
      <c r="A1031" s="16" t="str">
        <f ca="1">IFERROR(__xludf.DUMMYFUNCTION("""COMPUTED_VALUE"""),"Lenovo 510 FHD Webcam")</f>
        <v>Lenovo 510 FHD Webcam</v>
      </c>
      <c r="B1031" s="16" t="str">
        <f ca="1">IFERROR(__xludf.DUMMYFUNCTION("""COMPUTED_VALUE"""),"GXC1D66063")</f>
        <v>GXC1D66063</v>
      </c>
      <c r="C1031" s="16" t="str">
        <f ca="1">IFERROR(__xludf.DUMMYFUNCTION("""COMPUTED_VALUE"""),"45,")</f>
        <v>45,</v>
      </c>
    </row>
    <row r="1032" spans="1:3" ht="15.75" customHeight="1">
      <c r="A1032" s="16" t="str">
        <f ca="1">IFERROR(__xludf.DUMMYFUNCTION("""COMPUTED_VALUE"""),"Lenovo 14-inch Laptop Urban Sleeve Case")</f>
        <v>Lenovo 14-inch Laptop Urban Sleeve Case</v>
      </c>
      <c r="B1032" s="16" t="str">
        <f ca="1">IFERROR(__xludf.DUMMYFUNCTION("""COMPUTED_VALUE"""),"GX40Z50941")</f>
        <v>GX40Z50941</v>
      </c>
      <c r="C1032" s="16" t="str">
        <f ca="1">IFERROR(__xludf.DUMMYFUNCTION("""COMPUTED_VALUE"""),"20,")</f>
        <v>20,</v>
      </c>
    </row>
    <row r="1033" spans="1:3" ht="15.75" customHeight="1">
      <c r="A1033" s="16" t="str">
        <f ca="1">IFERROR(__xludf.DUMMYFUNCTION("""COMPUTED_VALUE"""),"Lenovo 15.6-inch Laptop Urban Sleeve Case")</f>
        <v>Lenovo 15.6-inch Laptop Urban Sleeve Case</v>
      </c>
      <c r="B1033" s="16" t="str">
        <f ca="1">IFERROR(__xludf.DUMMYFUNCTION("""COMPUTED_VALUE"""),"GX40Z50942")</f>
        <v>GX40Z50942</v>
      </c>
      <c r="C1033" s="16" t="str">
        <f ca="1">IFERROR(__xludf.DUMMYFUNCTION("""COMPUTED_VALUE"""),"20,")</f>
        <v>20,</v>
      </c>
    </row>
    <row r="1034" spans="1:3" ht="15.75" customHeight="1">
      <c r="A1034" s="16" t="str">
        <f ca="1">IFERROR(__xludf.DUMMYFUNCTION("""COMPUTED_VALUE"""),"Lenovo Yoga 15-inch Laptop Sleeve")</f>
        <v>Lenovo Yoga 15-inch Laptop Sleeve</v>
      </c>
      <c r="B1034" s="16" t="str">
        <f ca="1">IFERROR(__xludf.DUMMYFUNCTION("""COMPUTED_VALUE"""),"GX40X02934")</f>
        <v>GX40X02934</v>
      </c>
      <c r="C1034" s="16" t="str">
        <f ca="1">IFERROR(__xludf.DUMMYFUNCTION("""COMPUTED_VALUE"""),"25,")</f>
        <v>25,</v>
      </c>
    </row>
    <row r="1035" spans="1:3" ht="15.75" customHeight="1">
      <c r="A1035" s="16" t="str">
        <f ca="1">IFERROR(__xludf.DUMMYFUNCTION("""COMPUTED_VALUE"""),"Lenovo Yoga 14.5-inch Sleeve Grey")</f>
        <v>Lenovo Yoga 14.5-inch Sleeve Grey</v>
      </c>
      <c r="B1035" s="16" t="str">
        <f ca="1">IFERROR(__xludf.DUMMYFUNCTION("""COMPUTED_VALUE"""),"GX41K68624")</f>
        <v>GX41K68624</v>
      </c>
      <c r="C1035" s="16" t="str">
        <f ca="1">IFERROR(__xludf.DUMMYFUNCTION("""COMPUTED_VALUE"""),"25,")</f>
        <v>25,</v>
      </c>
    </row>
    <row r="1036" spans="1:3" ht="15.75" customHeight="1">
      <c r="A1036" s="16" t="str">
        <f ca="1">IFERROR(__xludf.DUMMYFUNCTION("""COMPUTED_VALUE"""),"Lenovo Yoga 14.5-inch Sleeve Tidal Teal")</f>
        <v>Lenovo Yoga 14.5-inch Sleeve Tidal Teal</v>
      </c>
      <c r="B1036" s="16" t="str">
        <f ca="1">IFERROR(__xludf.DUMMYFUNCTION("""COMPUTED_VALUE"""),"GX41K68626")</f>
        <v>GX41K68626</v>
      </c>
      <c r="C1036" s="16" t="str">
        <f ca="1">IFERROR(__xludf.DUMMYFUNCTION("""COMPUTED_VALUE"""),"25,")</f>
        <v>25,</v>
      </c>
    </row>
    <row r="1037" spans="1:3" ht="15.75" customHeight="1">
      <c r="A1037" s="16" t="str">
        <f ca="1">IFERROR(__xludf.DUMMYFUNCTION("""COMPUTED_VALUE"""),"Lenovo Yoga 16-inch Sleeve Grey")</f>
        <v>Lenovo Yoga 16-inch Sleeve Grey</v>
      </c>
      <c r="B1037" s="16" t="str">
        <f ca="1">IFERROR(__xludf.DUMMYFUNCTION("""COMPUTED_VALUE"""),"GX41K68627")</f>
        <v>GX41K68627</v>
      </c>
      <c r="C1037" s="16" t="str">
        <f ca="1">IFERROR(__xludf.DUMMYFUNCTION("""COMPUTED_VALUE"""),"30,")</f>
        <v>30,</v>
      </c>
    </row>
    <row r="1038" spans="1:3" ht="15.75" customHeight="1">
      <c r="A1038" s="16" t="str">
        <f ca="1">IFERROR(__xludf.DUMMYFUNCTION("""COMPUTED_VALUE"""),"Lenovo 15,6 inch Laptop Casual Toploader T210")</f>
        <v>Lenovo 15,6 inch Laptop Casual Toploader T210</v>
      </c>
      <c r="B1038" s="16" t="str">
        <f ca="1">IFERROR(__xludf.DUMMYFUNCTION("""COMPUTED_VALUE"""),"GX40Q17229")</f>
        <v>GX40Q17229</v>
      </c>
      <c r="C1038" s="16" t="str">
        <f ca="1">IFERROR(__xludf.DUMMYFUNCTION("""COMPUTED_VALUE"""),"20,")</f>
        <v>20,</v>
      </c>
    </row>
    <row r="1039" spans="1:3" ht="15.75" customHeight="1">
      <c r="A1039" s="16" t="str">
        <f ca="1">IFERROR(__xludf.DUMMYFUNCTION("""COMPUTED_VALUE"""),"Lenovo 15,6-inch Laptop Urban Toploader T530")</f>
        <v>Lenovo 15,6-inch Laptop Urban Toploader T530</v>
      </c>
      <c r="B1039" s="16" t="str">
        <f ca="1">IFERROR(__xludf.DUMMYFUNCTION("""COMPUTED_VALUE"""),"GX40X54262")</f>
        <v>GX40X54262</v>
      </c>
      <c r="C1039" s="16" t="str">
        <f ca="1">IFERROR(__xludf.DUMMYFUNCTION("""COMPUTED_VALUE"""),"35,")</f>
        <v>35,</v>
      </c>
    </row>
    <row r="1040" spans="1:3" ht="15.75" customHeight="1">
      <c r="A1040" s="16" t="str">
        <f ca="1">IFERROR(__xludf.DUMMYFUNCTION("""COMPUTED_VALUE"""),"Lenovo 15,6-inch Laptop Backpack B210")</f>
        <v>Lenovo 15,6-inch Laptop Backpack B210</v>
      </c>
      <c r="B1040" s="16" t="str">
        <f ca="1">IFERROR(__xludf.DUMMYFUNCTION("""COMPUTED_VALUE"""),"GX40Q17225")</f>
        <v>GX40Q17225</v>
      </c>
      <c r="C1040" s="16" t="str">
        <f ca="1">IFERROR(__xludf.DUMMYFUNCTION("""COMPUTED_VALUE"""),"20,")</f>
        <v>20,</v>
      </c>
    </row>
    <row r="1041" spans="1:3" ht="15.75" customHeight="1">
      <c r="A1041" s="16" t="str">
        <f ca="1">IFERROR(__xludf.DUMMYFUNCTION("""COMPUTED_VALUE"""),"Lenovo 15,6-inch Laptop Everyday Backpack B510 Black")</f>
        <v>Lenovo 15,6-inch Laptop Everyday Backpack B510 Black</v>
      </c>
      <c r="B1041" s="16" t="str">
        <f ca="1">IFERROR(__xludf.DUMMYFUNCTION("""COMPUTED_VALUE"""),"GX40Q75214")</f>
        <v>GX40Q75214</v>
      </c>
      <c r="C1041" s="16" t="str">
        <f ca="1">IFERROR(__xludf.DUMMYFUNCTION("""COMPUTED_VALUE"""),"20,")</f>
        <v>20,</v>
      </c>
    </row>
    <row r="1042" spans="1:3" ht="15.75" customHeight="1">
      <c r="A1042" s="16" t="str">
        <f ca="1">IFERROR(__xludf.DUMMYFUNCTION("""COMPUTED_VALUE"""),"Lenovo 15,6-inch Laptop Everyday Backpack B515 Grey")</f>
        <v>Lenovo 15,6-inch Laptop Everyday Backpack B515 Grey</v>
      </c>
      <c r="B1042" s="16" t="str">
        <f ca="1">IFERROR(__xludf.DUMMYFUNCTION("""COMPUTED_VALUE"""),"GX40Q75217")</f>
        <v>GX40Q75217</v>
      </c>
      <c r="C1042" s="16" t="str">
        <f ca="1">IFERROR(__xludf.DUMMYFUNCTION("""COMPUTED_VALUE"""),"25,")</f>
        <v>25,</v>
      </c>
    </row>
    <row r="1043" spans="1:3" ht="15.75" customHeight="1">
      <c r="A1043" s="16" t="str">
        <f ca="1">IFERROR(__xludf.DUMMYFUNCTION("""COMPUTED_VALUE"""),"Lenovo 15,6-inch Laptop Everyday Backpack B515 Black")</f>
        <v>Lenovo 15,6-inch Laptop Everyday Backpack B515 Black</v>
      </c>
      <c r="B1043" s="16" t="str">
        <f ca="1">IFERROR(__xludf.DUMMYFUNCTION("""COMPUTED_VALUE"""),"")</f>
        <v/>
      </c>
      <c r="C1043" s="16" t="str">
        <f ca="1">IFERROR(__xludf.DUMMYFUNCTION("""COMPUTED_VALUE"""),"25,")</f>
        <v>25,</v>
      </c>
    </row>
    <row r="1044" spans="1:3" ht="15.75" customHeight="1">
      <c r="A1044" s="16" t="str">
        <f ca="1">IFERROR(__xludf.DUMMYFUNCTION("""COMPUTED_VALUE"""),"Lenovo IdeaPad Gaming 15,6-inch Backpack")</f>
        <v>Lenovo IdeaPad Gaming 15,6-inch Backpack</v>
      </c>
      <c r="B1044" s="16" t="str">
        <f ca="1">IFERROR(__xludf.DUMMYFUNCTION("""COMPUTED_VALUE"""),"GX40Z24050")</f>
        <v>GX40Z24050</v>
      </c>
      <c r="C1044" s="16" t="str">
        <f ca="1">IFERROR(__xludf.DUMMYFUNCTION("""COMPUTED_VALUE"""),"40,")</f>
        <v>40,</v>
      </c>
    </row>
    <row r="1045" spans="1:3" ht="15.75" customHeight="1">
      <c r="A1045" s="16" t="str">
        <f ca="1">IFERROR(__xludf.DUMMYFUNCTION("""COMPUTED_VALUE"""),"Lenovo IdeaPad Gaming Modern Backpack Black")</f>
        <v>Lenovo IdeaPad Gaming Modern Backpack Black</v>
      </c>
      <c r="B1045" s="16" t="str">
        <f ca="1">IFERROR(__xludf.DUMMYFUNCTION("""COMPUTED_VALUE"""),"GX41H70101")</f>
        <v>GX41H70101</v>
      </c>
      <c r="C1045" s="16" t="str">
        <f ca="1">IFERROR(__xludf.DUMMYFUNCTION("""COMPUTED_VALUE"""),"40,")</f>
        <v>40,</v>
      </c>
    </row>
    <row r="1046" spans="1:3" ht="15.75" customHeight="1">
      <c r="A1046" s="16" t="str">
        <f ca="1">IFERROR(__xludf.DUMMYFUNCTION("""COMPUTED_VALUE"""),"Lenovo IdeaPad Gaming Modern Backpack White")</f>
        <v>Lenovo IdeaPad Gaming Modern Backpack White</v>
      </c>
      <c r="B1046" s="16" t="str">
        <f ca="1">IFERROR(__xludf.DUMMYFUNCTION("""COMPUTED_VALUE"""),"GX41H71241")</f>
        <v>GX41H71241</v>
      </c>
      <c r="C1046" s="16" t="str">
        <f ca="1">IFERROR(__xludf.DUMMYFUNCTION("""COMPUTED_VALUE"""),"40,")</f>
        <v>40,</v>
      </c>
    </row>
    <row r="1047" spans="1:3" ht="15.75" customHeight="1">
      <c r="A1047" s="16" t="str">
        <f ca="1">IFERROR(__xludf.DUMMYFUNCTION("""COMPUTED_VALUE"""),"Lenovo Legion 17-inch Active Gaming Backpack")</f>
        <v>Lenovo Legion 17-inch Active Gaming Backpack</v>
      </c>
      <c r="B1047" s="16" t="str">
        <f ca="1">IFERROR(__xludf.DUMMYFUNCTION("""COMPUTED_VALUE"""),"GX41C86982")</f>
        <v>GX41C86982</v>
      </c>
      <c r="C1047" s="16" t="str">
        <f ca="1">IFERROR(__xludf.DUMMYFUNCTION("""COMPUTED_VALUE"""),"65,")</f>
        <v>65,</v>
      </c>
    </row>
    <row r="1048" spans="1:3" ht="15.75" customHeight="1">
      <c r="A1048" s="16" t="str">
        <f ca="1">IFERROR(__xludf.DUMMYFUNCTION("""COMPUTED_VALUE"""),"Lenovo 15.6-inch Laptop Urban Backpack B810")</f>
        <v>Lenovo 15.6-inch Laptop Urban Backpack B810</v>
      </c>
      <c r="B1048" s="16" t="str">
        <f ca="1">IFERROR(__xludf.DUMMYFUNCTION("""COMPUTED_VALUE"""),"")</f>
        <v/>
      </c>
      <c r="C1048" s="16" t="str">
        <f ca="1">IFERROR(__xludf.DUMMYFUNCTION("""COMPUTED_VALUE"""),"70,")</f>
        <v>70,</v>
      </c>
    </row>
    <row r="1049" spans="1:3" ht="15.75" customHeight="1">
      <c r="A1049" s="16" t="str">
        <f ca="1">IFERROR(__xludf.DUMMYFUNCTION("""COMPUTED_VALUE"""),"Lenovo Legion 16"" Gaming Backpack GB400")</f>
        <v>Lenovo Legion 16" Gaming Backpack GB400</v>
      </c>
      <c r="B1049" s="16" t="str">
        <f ca="1">IFERROR(__xludf.DUMMYFUNCTION("""COMPUTED_VALUE"""),"GX41M53146")</f>
        <v>GX41M53146</v>
      </c>
      <c r="C1049" s="16" t="str">
        <f ca="1">IFERROR(__xludf.DUMMYFUNCTION("""COMPUTED_VALUE"""),"70,")</f>
        <v>70,</v>
      </c>
    </row>
    <row r="1050" spans="1:3" ht="15.75" customHeight="1">
      <c r="A1050" s="16" t="str">
        <f ca="1">IFERROR(__xludf.DUMMYFUNCTION("""COMPUTED_VALUE"""),"Lenovo Legion 17-inch Laptop Armored Backpack II")</f>
        <v>Lenovo Legion 17-inch Laptop Armored Backpack II</v>
      </c>
      <c r="B1050" s="16" t="str">
        <f ca="1">IFERROR(__xludf.DUMMYFUNCTION("""COMPUTED_VALUE"""),"GX40V10007")</f>
        <v>GX40V10007</v>
      </c>
      <c r="C1050" s="16" t="str">
        <f ca="1">IFERROR(__xludf.DUMMYFUNCTION("""COMPUTED_VALUE"""),"75,")</f>
        <v>75,</v>
      </c>
    </row>
    <row r="1051" spans="1:3" ht="15.75" customHeight="1">
      <c r="A1051" s="16" t="str">
        <f ca="1">IFERROR(__xludf.DUMMYFUNCTION("""COMPUTED_VALUE"""),"Lenovo Legion 16"" Gaming Backpack GB700")</f>
        <v>Lenovo Legion 16" Gaming Backpack GB700</v>
      </c>
      <c r="B1051" s="16" t="str">
        <f ca="1">IFERROR(__xludf.DUMMYFUNCTION("""COMPUTED_VALUE"""),"GX41M53147")</f>
        <v>GX41M53147</v>
      </c>
      <c r="C1051" s="16" t="str">
        <f ca="1">IFERROR(__xludf.DUMMYFUNCTION("""COMPUTED_VALUE"""),"90,")</f>
        <v>90,</v>
      </c>
    </row>
    <row r="1052" spans="1:3" ht="15.75" customHeight="1">
      <c r="A1052" s="16" t="str">
        <f ca="1">IFERROR(__xludf.DUMMYFUNCTION("""COMPUTED_VALUE"""),"Lenovo Tab M8 TB-8505X 2/32GB 8""")</f>
        <v>Lenovo Tab M8 TB-8505X 2/32GB 8"</v>
      </c>
      <c r="B1052" s="16" t="str">
        <f ca="1">IFERROR(__xludf.DUMMYFUNCTION("""COMPUTED_VALUE"""),"ZA5H0060RU")</f>
        <v>ZA5H0060RU</v>
      </c>
      <c r="C1052" s="16" t="str">
        <f ca="1">IFERROR(__xludf.DUMMYFUNCTION("""COMPUTED_VALUE"""),"150,")</f>
        <v>150,</v>
      </c>
    </row>
    <row r="1053" spans="1:3" ht="15.75" customHeight="1">
      <c r="A1053" s="16" t="str">
        <f ca="1">IFERROR(__xludf.DUMMYFUNCTION("""COMPUTED_VALUE"""),"Lenovo Tab M10 TB-X606X 4/64gb 10.1"" FHD Plus")</f>
        <v>Lenovo Tab M10 TB-X606X 4/64gb 10.1" FHD Plus</v>
      </c>
      <c r="B1053" s="16" t="str">
        <f ca="1">IFERROR(__xludf.DUMMYFUNCTION("""COMPUTED_VALUE"""),"ZA5V0289RU")</f>
        <v>ZA5V0289RU</v>
      </c>
      <c r="C1053" s="16" t="str">
        <f ca="1">IFERROR(__xludf.DUMMYFUNCTION("""COMPUTED_VALUE"""),"250,")</f>
        <v>250,</v>
      </c>
    </row>
    <row r="1054" spans="1:3" ht="15.75" customHeight="1">
      <c r="A1054" s="16" t="str">
        <f ca="1">IFERROR(__xludf.DUMMYFUNCTION("""COMPUTED_VALUE"""),"Корпус Deepcool CL6600 WHITE (с водяным кулером)")</f>
        <v>Корпус Deepcool CL6600 WHITE (с водяным кулером)</v>
      </c>
      <c r="B1054" s="16" t="str">
        <f ca="1">IFERROR(__xludf.DUMMYFUNCTION("""COMPUTED_VALUE"""),"R-CL6600-WHNNA0-G")</f>
        <v>R-CL6600-WHNNA0-G</v>
      </c>
      <c r="C1054" s="16" t="str">
        <f ca="1">IFERROR(__xludf.DUMMYFUNCTION("""COMPUTED_VALUE"""),"185,")</f>
        <v>185,</v>
      </c>
    </row>
    <row r="1055" spans="1:3" ht="15.75" customHeight="1">
      <c r="A1055" s="16" t="str">
        <f ca="1">IFERROR(__xludf.DUMMYFUNCTION("""COMPUTED_VALUE"""),"Корпус Deepcool CL6600 (с водяным кулером)")</f>
        <v>Корпус Deepcool CL6600 (с водяным кулером)</v>
      </c>
      <c r="B1055" s="16" t="str">
        <f ca="1">IFERROR(__xludf.DUMMYFUNCTION("""COMPUTED_VALUE"""),"R-CL6600-BKNNA0-G-1")</f>
        <v>R-CL6600-BKNNA0-G-1</v>
      </c>
      <c r="C1055" s="16" t="str">
        <f ca="1">IFERROR(__xludf.DUMMYFUNCTION("""COMPUTED_VALUE"""),"180,")</f>
        <v>180,</v>
      </c>
    </row>
    <row r="1056" spans="1:3" ht="15.75" customHeight="1">
      <c r="A1056" s="16" t="str">
        <f ca="1">IFERROR(__xludf.DUMMYFUNCTION("""COMPUTED_VALUE"""),"Корпус Deepcool CG580 4F V2")</f>
        <v>Корпус Deepcool CG580 4F V2</v>
      </c>
      <c r="B1056" s="16" t="str">
        <f ca="1">IFERROR(__xludf.DUMMYFUNCTION("""COMPUTED_VALUE"""),"R-CG580-BKADA4-G-2")</f>
        <v>R-CG580-BKADA4-G-2</v>
      </c>
      <c r="C1056" s="16" t="str">
        <f ca="1">IFERROR(__xludf.DUMMYFUNCTION("""COMPUTED_VALUE"""),"65,")</f>
        <v>65,</v>
      </c>
    </row>
    <row r="1057" spans="1:3" ht="15.75" customHeight="1">
      <c r="A1057" s="16" t="str">
        <f ca="1">IFERROR(__xludf.DUMMYFUNCTION("""COMPUTED_VALUE"""),"Корпус Deepcool CG580 4F V2 WH")</f>
        <v>Корпус Deepcool CG580 4F V2 WH</v>
      </c>
      <c r="B1057" s="16" t="str">
        <f ca="1">IFERROR(__xludf.DUMMYFUNCTION("""COMPUTED_VALUE"""),"R-CG580-WHADA4-G-2")</f>
        <v>R-CG580-WHADA4-G-2</v>
      </c>
      <c r="C1057" s="16" t="str">
        <f ca="1">IFERROR(__xludf.DUMMYFUNCTION("""COMPUTED_VALUE"""),"67,")</f>
        <v>67,</v>
      </c>
    </row>
    <row r="1058" spans="1:3" ht="15.75" customHeight="1">
      <c r="A1058" s="16" t="str">
        <f ca="1">IFERROR(__xludf.DUMMYFUNCTION("""COMPUTED_VALUE"""),"Корпус Deepcool CL600 White")</f>
        <v>Корпус Deepcool CL600 White</v>
      </c>
      <c r="B1058" s="16" t="str">
        <f ca="1">IFERROR(__xludf.DUMMYFUNCTION("""COMPUTED_VALUE"""),"R-CL600-WHNNA2-G-1")</f>
        <v>R-CL600-WHNNA2-G-1</v>
      </c>
      <c r="C1058" s="16" t="str">
        <f ca="1">IFERROR(__xludf.DUMMYFUNCTION("""COMPUTED_VALUE"""),"83,")</f>
        <v>83,</v>
      </c>
    </row>
    <row r="1059" spans="1:3" ht="15.75" customHeight="1">
      <c r="A1059" s="16" t="str">
        <f ca="1">IFERROR(__xludf.DUMMYFUNCTION("""COMPUTED_VALUE"""),"Корпус Deepcool CL600")</f>
        <v>Корпус Deepcool CL600</v>
      </c>
      <c r="B1059" s="16" t="str">
        <f ca="1">IFERROR(__xludf.DUMMYFUNCTION("""COMPUTED_VALUE"""),"R-CL600-BKNNA2-G-1")</f>
        <v>R-CL600-BKNNA2-G-1</v>
      </c>
      <c r="C1059" s="16" t="str">
        <f ca="1">IFERROR(__xludf.DUMMYFUNCTION("""COMPUTED_VALUE"""),"78,")</f>
        <v>78,</v>
      </c>
    </row>
    <row r="1060" spans="1:3" ht="15.75" customHeight="1">
      <c r="A1060" s="16" t="str">
        <f ca="1">IFERROR(__xludf.DUMMYFUNCTION("""COMPUTED_VALUE"""),"Корпус Deepcool CK560 White")</f>
        <v>Корпус Deepcool CK560 White</v>
      </c>
      <c r="B1060" s="16" t="str">
        <f ca="1">IFERROR(__xludf.DUMMYFUNCTION("""COMPUTED_VALUE"""),"")</f>
        <v/>
      </c>
      <c r="C1060" s="16" t="str">
        <f ca="1">IFERROR(__xludf.DUMMYFUNCTION("""COMPUTED_VALUE"""),"80,")</f>
        <v>80,</v>
      </c>
    </row>
    <row r="1061" spans="1:3" ht="15.75" customHeight="1">
      <c r="A1061" s="16" t="str">
        <f ca="1">IFERROR(__xludf.DUMMYFUNCTION("""COMPUTED_VALUE"""),"Корпус Deepcool CG530U 4F White")</f>
        <v>Корпус Deepcool CG530U 4F White</v>
      </c>
      <c r="B1061" s="16" t="str">
        <f ca="1">IFERROR(__xludf.DUMMYFUNCTION("""COMPUTED_VALUE"""),"R-CG530U-WHAGA4-G")</f>
        <v>R-CG530U-WHAGA4-G</v>
      </c>
      <c r="C1061" s="16" t="str">
        <f ca="1">IFERROR(__xludf.DUMMYFUNCTION("""COMPUTED_VALUE"""),"83,")</f>
        <v>83,</v>
      </c>
    </row>
    <row r="1062" spans="1:3" ht="15.75" customHeight="1">
      <c r="A1062" s="16" t="str">
        <f ca="1">IFERROR(__xludf.DUMMYFUNCTION("""COMPUTED_VALUE"""),"Корпус Deepcool CG530U 4F")</f>
        <v>Корпус Deepcool CG530U 4F</v>
      </c>
      <c r="B1062" s="16" t="str">
        <f ca="1">IFERROR(__xludf.DUMMYFUNCTION("""COMPUTED_VALUE"""),"R-CG530U-BKAGA4-C")</f>
        <v>R-CG530U-BKAGA4-C</v>
      </c>
      <c r="C1062" s="16" t="str">
        <f ca="1">IFERROR(__xludf.DUMMYFUNCTION("""COMPUTED_VALUE"""),"80,")</f>
        <v>80,</v>
      </c>
    </row>
    <row r="1063" spans="1:3" ht="15.75" customHeight="1">
      <c r="A1063" s="16" t="str">
        <f ca="1">IFERROR(__xludf.DUMMYFUNCTION("""COMPUTED_VALUE"""),"Корпус Deepcool MATREXX 55 V3 ADD-RGB WH 3F")</f>
        <v>Корпус Deepcool MATREXX 55 V3 ADD-RGB WH 3F</v>
      </c>
      <c r="B1063" s="16" t="str">
        <f ca="1">IFERROR(__xludf.DUMMYFUNCTION("""COMPUTED_VALUE"""),"")</f>
        <v/>
      </c>
      <c r="C1063" s="16" t="str">
        <f ca="1">IFERROR(__xludf.DUMMYFUNCTION("""COMPUTED_VALUE"""),"43,")</f>
        <v>43,</v>
      </c>
    </row>
    <row r="1064" spans="1:3" ht="15.75" customHeight="1">
      <c r="A1064" s="16" t="str">
        <f ca="1">IFERROR(__xludf.DUMMYFUNCTION("""COMPUTED_VALUE"""),"Корпус Deepcool CG530 4F WH")</f>
        <v>Корпус Deepcool CG530 4F WH</v>
      </c>
      <c r="B1064" s="16" t="str">
        <f ca="1">IFERROR(__xludf.DUMMYFUNCTION("""COMPUTED_VALUE"""),"R-CG530-WHADA4-G-1")</f>
        <v>R-CG530-WHADA4-G-1</v>
      </c>
      <c r="C1064" s="16" t="str">
        <f ca="1">IFERROR(__xludf.DUMMYFUNCTION("""COMPUTED_VALUE"""),"62,")</f>
        <v>62,</v>
      </c>
    </row>
    <row r="1065" spans="1:3" ht="15.75" customHeight="1">
      <c r="A1065" s="16" t="str">
        <f ca="1">IFERROR(__xludf.DUMMYFUNCTION("""COMPUTED_VALUE"""),"Корпус Deepcool CG530 4F")</f>
        <v>Корпус Deepcool CG530 4F</v>
      </c>
      <c r="B1065" s="16" t="str">
        <f ca="1">IFERROR(__xludf.DUMMYFUNCTION("""COMPUTED_VALUE"""),"R-CG530-BKADA4-G-1")</f>
        <v>R-CG530-BKADA4-G-1</v>
      </c>
      <c r="C1065" s="16" t="str">
        <f ca="1">IFERROR(__xludf.DUMMYFUNCTION("""COMPUTED_VALUE"""),"60,")</f>
        <v>60,</v>
      </c>
    </row>
    <row r="1066" spans="1:3" ht="15.75" customHeight="1">
      <c r="A1066" s="16" t="str">
        <f ca="1">IFERROR(__xludf.DUMMYFUNCTION("""COMPUTED_VALUE"""),"Корпус Deepcool CG380 3F")</f>
        <v>Корпус Deepcool CG380 3F</v>
      </c>
      <c r="B1066" s="16" t="str">
        <f ca="1">IFERROR(__xludf.DUMMYFUNCTION("""COMPUTED_VALUE"""),"R-CG380-BKAGM3-G")</f>
        <v>R-CG380-BKAGM3-G</v>
      </c>
      <c r="C1066" s="16" t="str">
        <f ca="1">IFERROR(__xludf.DUMMYFUNCTION("""COMPUTED_VALUE"""),"48,")</f>
        <v>48,</v>
      </c>
    </row>
    <row r="1067" spans="1:3" ht="15.75" customHeight="1">
      <c r="A1067" s="16" t="str">
        <f ca="1">IFERROR(__xludf.DUMMYFUNCTION("""COMPUTED_VALUE"""),"Корпус Deepcool CG330 3F White")</f>
        <v>Корпус Deepcool CG330 3F White</v>
      </c>
      <c r="B1067" s="16" t="str">
        <f ca="1">IFERROR(__xludf.DUMMYFUNCTION("""COMPUTED_VALUE"""),"R-CG330-WHNGM3-G")</f>
        <v>R-CG330-WHNGM3-G</v>
      </c>
      <c r="C1067" s="16" t="str">
        <f ca="1">IFERROR(__xludf.DUMMYFUNCTION("""COMPUTED_VALUE"""),"52,")</f>
        <v>52,</v>
      </c>
    </row>
    <row r="1068" spans="1:3" ht="15.75" customHeight="1">
      <c r="A1068" s="16" t="str">
        <f ca="1">IFERROR(__xludf.DUMMYFUNCTION("""COMPUTED_VALUE"""),"Корпус Deepcool CG330 3F")</f>
        <v>Корпус Deepcool CG330 3F</v>
      </c>
      <c r="B1068" s="16" t="str">
        <f ca="1">IFERROR(__xludf.DUMMYFUNCTION("""COMPUTED_VALUE"""),"R-CG330-BKNGM3-G")</f>
        <v>R-CG330-BKNGM3-G</v>
      </c>
      <c r="C1068" s="16" t="str">
        <f ca="1">IFERROR(__xludf.DUMMYFUNCTION("""COMPUTED_VALUE"""),"49,")</f>
        <v>49,</v>
      </c>
    </row>
    <row r="1069" spans="1:3" ht="15.75" customHeight="1">
      <c r="A1069" s="16" t="str">
        <f ca="1">IFERROR(__xludf.DUMMYFUNCTION("""COMPUTED_VALUE"""),"Корпус Deepcool CH370 White")</f>
        <v>Корпус Deepcool CH370 White</v>
      </c>
      <c r="B1069" s="16" t="str">
        <f ca="1">IFERROR(__xludf.DUMMYFUNCTION("""COMPUTED_VALUE"""),"")</f>
        <v/>
      </c>
      <c r="C1069" s="16" t="str">
        <f ca="1">IFERROR(__xludf.DUMMYFUNCTION("""COMPUTED_VALUE"""),"43,")</f>
        <v>43,</v>
      </c>
    </row>
    <row r="1070" spans="1:3" ht="15.75" customHeight="1">
      <c r="A1070" s="16" t="str">
        <f ca="1">IFERROR(__xludf.DUMMYFUNCTION("""COMPUTED_VALUE"""),"Корпус Deepcool CH170 DIGITAL")</f>
        <v>Корпус Deepcool CH170 DIGITAL</v>
      </c>
      <c r="B1070" s="16" t="str">
        <f ca="1">IFERROR(__xludf.DUMMYFUNCTION("""COMPUTED_VALUE"""),"")</f>
        <v/>
      </c>
      <c r="C1070" s="16" t="str">
        <f ca="1">IFERROR(__xludf.DUMMYFUNCTION("""COMPUTED_VALUE"""),"53,")</f>
        <v>53,</v>
      </c>
    </row>
    <row r="1071" spans="1:3" ht="15.75" customHeight="1">
      <c r="A1071" s="16" t="str">
        <f ca="1">IFERROR(__xludf.DUMMYFUNCTION("""COMPUTED_VALUE"""),"Корпус Deepcool CC360 ARGB")</f>
        <v>Корпус Deepcool CC360 ARGB</v>
      </c>
      <c r="B1071" s="16" t="str">
        <f ca="1">IFERROR(__xludf.DUMMYFUNCTION("""COMPUTED_VALUE"""),"")</f>
        <v/>
      </c>
      <c r="C1071" s="16" t="str">
        <f ca="1">IFERROR(__xludf.DUMMYFUNCTION("""COMPUTED_VALUE"""),"41,")</f>
        <v>41,</v>
      </c>
    </row>
    <row r="1072" spans="1:3" ht="15.75" customHeight="1">
      <c r="A1072" s="16" t="str">
        <f ca="1">IFERROR(__xludf.DUMMYFUNCTION("""COMPUTED_VALUE"""),"Блок питание Deepcool Gamerstorm PQ1200G White(1200W, 80+ Gold, APFC, 20+4 pin)")</f>
        <v>Блок питание Deepcool Gamerstorm PQ1200G White(1200W, 80+ Gold, APFC, 20+4 pin)</v>
      </c>
      <c r="B1072" s="16" t="str">
        <f ca="1">IFERROR(__xludf.DUMMYFUNCTION("""COMPUTED_VALUE"""),"R-PQC00G-FD0W-WGEU-V1")</f>
        <v>R-PQC00G-FD0W-WGEU-V1</v>
      </c>
      <c r="C1072" s="16" t="str">
        <f ca="1">IFERROR(__xludf.DUMMYFUNCTION("""COMPUTED_VALUE"""),"134,")</f>
        <v>134,</v>
      </c>
    </row>
    <row r="1073" spans="1:3" ht="15.75" customHeight="1">
      <c r="A1073" s="16" t="str">
        <f ca="1">IFERROR(__xludf.DUMMYFUNCTION("""COMPUTED_VALUE"""),"Блок питание Deepcool Gamerstorm PQ1200G (1200W, 80+ Gold, APFC, 20+4 pin)")</f>
        <v>Блок питание Deepcool Gamerstorm PQ1200G (1200W, 80+ Gold, APFC, 20+4 pin)</v>
      </c>
      <c r="B1073" s="16" t="str">
        <f ca="1">IFERROR(__xludf.DUMMYFUNCTION("""COMPUTED_VALUE"""),"R-PQC00G-FD0B-WGEU-V1")</f>
        <v>R-PQC00G-FD0B-WGEU-V1</v>
      </c>
      <c r="C1073" s="16" t="str">
        <f ca="1">IFERROR(__xludf.DUMMYFUNCTION("""COMPUTED_VALUE"""),"130,")</f>
        <v>130,</v>
      </c>
    </row>
    <row r="1074" spans="1:3" ht="15.75" customHeight="1">
      <c r="A1074" s="16" t="str">
        <f ca="1">IFERROR(__xludf.DUMMYFUNCTION("""COMPUTED_VALUE"""),"Блок питание Deepcool Gamerstorm PQ1000G White(1000W, 80+ Gold, APFC, 20+4 pin)")</f>
        <v>Блок питание Deepcool Gamerstorm PQ1000G White(1000W, 80+ Gold, APFC, 20+4 pin)</v>
      </c>
      <c r="B1074" s="16" t="str">
        <f ca="1">IFERROR(__xludf.DUMMYFUNCTION("""COMPUTED_VALUE"""),"R-PQA00G-FD0W-WGEU-V1")</f>
        <v>R-PQA00G-FD0W-WGEU-V1</v>
      </c>
      <c r="C1074" s="16" t="str">
        <f ca="1">IFERROR(__xludf.DUMMYFUNCTION("""COMPUTED_VALUE"""),"118,")</f>
        <v>118,</v>
      </c>
    </row>
    <row r="1075" spans="1:3" ht="15.75" customHeight="1">
      <c r="A1075" s="16" t="str">
        <f ca="1">IFERROR(__xludf.DUMMYFUNCTION("""COMPUTED_VALUE"""),"Блок питание Deepcool Gamerstorm PQ1000G (1000W, 80+ Gold, APFC, 20+4 pin)")</f>
        <v>Блок питание Deepcool Gamerstorm PQ1000G (1000W, 80+ Gold, APFC, 20+4 pin)</v>
      </c>
      <c r="B1075" s="16" t="str">
        <f ca="1">IFERROR(__xludf.DUMMYFUNCTION("""COMPUTED_VALUE"""),"R-PQA00G-FD0B-WGEU-V1")</f>
        <v>R-PQA00G-FD0B-WGEU-V1</v>
      </c>
      <c r="C1075" s="16" t="str">
        <f ca="1">IFERROR(__xludf.DUMMYFUNCTION("""COMPUTED_VALUE"""),"115,")</f>
        <v>115,</v>
      </c>
    </row>
    <row r="1076" spans="1:3" ht="15.75" customHeight="1">
      <c r="A1076" s="16" t="str">
        <f ca="1">IFERROR(__xludf.DUMMYFUNCTION("""COMPUTED_VALUE"""),"Блок питание Deepcool Gamerstorm PQ850G White (850W, 80+ Gold, APFC, 20+4 pin)")</f>
        <v>Блок питание Deepcool Gamerstorm PQ850G White (850W, 80+ Gold, APFC, 20+4 pin)</v>
      </c>
      <c r="B1076" s="16" t="str">
        <f ca="1">IFERROR(__xludf.DUMMYFUNCTION("""COMPUTED_VALUE"""),"R-PQ850G-FD0W-WGEU-V1")</f>
        <v>R-PQ850G-FD0W-WGEU-V1</v>
      </c>
      <c r="C1076" s="16" t="str">
        <f ca="1">IFERROR(__xludf.DUMMYFUNCTION("""COMPUTED_VALUE"""),"91,")</f>
        <v>91,</v>
      </c>
    </row>
    <row r="1077" spans="1:3" ht="15.75" customHeight="1">
      <c r="A1077" s="16" t="str">
        <f ca="1">IFERROR(__xludf.DUMMYFUNCTION("""COMPUTED_VALUE"""),"Блок питание Deepcool Gamerstorm PQ850G (850W, 80+ Gold, APFC, 20+4 pin)")</f>
        <v>Блок питание Deepcool Gamerstorm PQ850G (850W, 80+ Gold, APFC, 20+4 pin)</v>
      </c>
      <c r="B1077" s="16" t="str">
        <f ca="1">IFERROR(__xludf.DUMMYFUNCTION("""COMPUTED_VALUE"""),"R-PQ850G-FD0B-WGEU-V1")</f>
        <v>R-PQ850G-FD0B-WGEU-V1</v>
      </c>
      <c r="C1077" s="16" t="str">
        <f ca="1">IFERROR(__xludf.DUMMYFUNCTION("""COMPUTED_VALUE"""),"88,")</f>
        <v>88,</v>
      </c>
    </row>
    <row r="1078" spans="1:3" ht="15.75" customHeight="1">
      <c r="A1078" s="16" t="str">
        <f ca="1">IFERROR(__xludf.DUMMYFUNCTION("""COMPUTED_VALUE"""),"Блок питание Deepcool Gamerstorm PQ750G White (750W, 80+ Gold, APFC, 20+4 pin)")</f>
        <v>Блок питание Deepcool Gamerstorm PQ750G White (750W, 80+ Gold, APFC, 20+4 pin)</v>
      </c>
      <c r="B1078" s="16" t="str">
        <f ca="1">IFERROR(__xludf.DUMMYFUNCTION("""COMPUTED_VALUE"""),"R-PQ750G-FD0W-WGEU-V1")</f>
        <v>R-PQ750G-FD0W-WGEU-V1</v>
      </c>
      <c r="C1078" s="16" t="str">
        <f ca="1">IFERROR(__xludf.DUMMYFUNCTION("""COMPUTED_VALUE"""),"85,")</f>
        <v>85,</v>
      </c>
    </row>
    <row r="1079" spans="1:3" ht="15.75" customHeight="1">
      <c r="A1079" s="16" t="str">
        <f ca="1">IFERROR(__xludf.DUMMYFUNCTION("""COMPUTED_VALUE"""),"Блок питание Deepcool Gamerstorm PQ750G (750W, 80+ Gold, APFC, 20+4 pin)")</f>
        <v>Блок питание Deepcool Gamerstorm PQ750G (750W, 80+ Gold, APFC, 20+4 pin)</v>
      </c>
      <c r="B1079" s="16" t="str">
        <f ca="1">IFERROR(__xludf.DUMMYFUNCTION("""COMPUTED_VALUE"""),"R-PQ750G-FD0B-WGEU-V1")</f>
        <v>R-PQ750G-FD0B-WGEU-V1</v>
      </c>
      <c r="C1079" s="16" t="str">
        <f ca="1">IFERROR(__xludf.DUMMYFUNCTION("""COMPUTED_VALUE"""),"82,")</f>
        <v>82,</v>
      </c>
    </row>
    <row r="1080" spans="1:3" ht="15.75" customHeight="1">
      <c r="A1080" s="16" t="str">
        <f ca="1">IFERROR(__xludf.DUMMYFUNCTION("""COMPUTED_VALUE"""),"Блок питание Deepcool Gamerstorm PQ650G White (650W, 80+ Gold, APFC, 20+4 pin)")</f>
        <v>Блок питание Deepcool Gamerstorm PQ650G White (650W, 80+ Gold, APFC, 20+4 pin)</v>
      </c>
      <c r="B1080" s="16" t="str">
        <f ca="1">IFERROR(__xludf.DUMMYFUNCTION("""COMPUTED_VALUE"""),"R-PQ650G-FD0W-WGEU-V1")</f>
        <v>R-PQ650G-FD0W-WGEU-V1</v>
      </c>
      <c r="C1080" s="16" t="str">
        <f ca="1">IFERROR(__xludf.DUMMYFUNCTION("""COMPUTED_VALUE"""),"78,")</f>
        <v>78,</v>
      </c>
    </row>
    <row r="1081" spans="1:3" ht="15.75" customHeight="1">
      <c r="A1081" s="16" t="str">
        <f ca="1">IFERROR(__xludf.DUMMYFUNCTION("""COMPUTED_VALUE"""),"Блок питание Deepcool Gamerstorm PQ650G (650W, 80+ Gold, APFC, 20+4 pin)")</f>
        <v>Блок питание Deepcool Gamerstorm PQ650G (650W, 80+ Gold, APFC, 20+4 pin)</v>
      </c>
      <c r="B1081" s="16" t="str">
        <f ca="1">IFERROR(__xludf.DUMMYFUNCTION("""COMPUTED_VALUE"""),"R-PQ650G-FD0B-WGEU-V1")</f>
        <v>R-PQ650G-FD0B-WGEU-V1</v>
      </c>
      <c r="C1081" s="16" t="str">
        <f ca="1">IFERROR(__xludf.DUMMYFUNCTION("""COMPUTED_VALUE"""),"75,")</f>
        <v>75,</v>
      </c>
    </row>
    <row r="1082" spans="1:3" ht="15.75" customHeight="1">
      <c r="A1082" s="16" t="str">
        <f ca="1">IFERROR(__xludf.DUMMYFUNCTION("""COMPUTED_VALUE"""),"Блок питание Deepcool PN1000D (1000W, 80+ Gold, APFC, 20+4 pin)")</f>
        <v>Блок питание Deepcool PN1000D (1000W, 80+ Gold, APFC, 20+4 pin)</v>
      </c>
      <c r="B1082" s="16" t="str">
        <f ca="1">IFERROR(__xludf.DUMMYFUNCTION("""COMPUTED_VALUE"""),"R-PNA00D-FC0B-WGEU-V2")</f>
        <v>R-PNA00D-FC0B-WGEU-V2</v>
      </c>
      <c r="C1082" s="16" t="str">
        <f ca="1">IFERROR(__xludf.DUMMYFUNCTION("""COMPUTED_VALUE"""),"100,")</f>
        <v>100,</v>
      </c>
    </row>
    <row r="1083" spans="1:3" ht="15.75" customHeight="1">
      <c r="A1083" s="16" t="str">
        <f ca="1">IFERROR(__xludf.DUMMYFUNCTION("""COMPUTED_VALUE"""),"Блок питание Deepcool PN850D (850W, 80+ Gold, APFC, 20+4 pin)")</f>
        <v>Блок питание Deepcool PN850D (850W, 80+ Gold, APFC, 20+4 pin)</v>
      </c>
      <c r="B1083" s="16" t="str">
        <f ca="1">IFERROR(__xludf.DUMMYFUNCTION("""COMPUTED_VALUE"""),"R-PN850D-FC0B-EU")</f>
        <v>R-PN850D-FC0B-EU</v>
      </c>
      <c r="C1083" s="16" t="str">
        <f ca="1">IFERROR(__xludf.DUMMYFUNCTION("""COMPUTED_VALUE"""),"95,")</f>
        <v>95,</v>
      </c>
    </row>
    <row r="1084" spans="1:3" ht="15.75" customHeight="1">
      <c r="A1084" s="16" t="str">
        <f ca="1">IFERROR(__xludf.DUMMYFUNCTION("""COMPUTED_VALUE"""),"Блок питание Deepcool PN750M (750W, 80+ Gold, APFC, 20+4 pin)")</f>
        <v>Блок питание Deepcool PN750M (750W, 80+ Gold, APFC, 20+4 pin)</v>
      </c>
      <c r="B1084" s="16" t="str">
        <f ca="1">IFERROR(__xludf.DUMMYFUNCTION("""COMPUTED_VALUE"""),"R-PN750M-FC0B-EU")</f>
        <v>R-PN750M-FC0B-EU</v>
      </c>
      <c r="C1084" s="16" t="str">
        <f ca="1">IFERROR(__xludf.DUMMYFUNCTION("""COMPUTED_VALUE"""),"90,")</f>
        <v>90,</v>
      </c>
    </row>
    <row r="1085" spans="1:3" ht="15.75" customHeight="1">
      <c r="A1085" s="16" t="str">
        <f ca="1">IFERROR(__xludf.DUMMYFUNCTION("""COMPUTED_VALUE"""),"Блок питание Deepcool PN750D (850W, 80+ Gold, APFC, 20+4 pin)")</f>
        <v>Блок питание Deepcool PN750D (850W, 80+ Gold, APFC, 20+4 pin)</v>
      </c>
      <c r="B1085" s="16" t="str">
        <f ca="1">IFERROR(__xludf.DUMMYFUNCTION("""COMPUTED_VALUE"""),"R-PN750D-FC0B-EU")</f>
        <v>R-PN750D-FC0B-EU</v>
      </c>
      <c r="C1085" s="16" t="str">
        <f ca="1">IFERROR(__xludf.DUMMYFUNCTION("""COMPUTED_VALUE"""),"76,")</f>
        <v>76,</v>
      </c>
    </row>
    <row r="1086" spans="1:3" ht="15.75" customHeight="1">
      <c r="A1086" s="16" t="str">
        <f ca="1">IFERROR(__xludf.DUMMYFUNCTION("""COMPUTED_VALUE"""),"Блок питание Deepcool PL650D (650W, 80+ Bronze, APFC, 20+4 pin)")</f>
        <v>Блок питание Deepcool PL650D (650W, 80+ Bronze, APFC, 20+4 pin)</v>
      </c>
      <c r="B1086" s="16" t="str">
        <f ca="1">IFERROR(__xludf.DUMMYFUNCTION("""COMPUTED_VALUE"""),"R-PL650D-FC0B-WDEU")</f>
        <v>R-PL650D-FC0B-WDEU</v>
      </c>
      <c r="C1086" s="16" t="str">
        <f ca="1">IFERROR(__xludf.DUMMYFUNCTION("""COMPUTED_VALUE"""),"57,")</f>
        <v>57,</v>
      </c>
    </row>
    <row r="1087" spans="1:3" ht="15.75" customHeight="1">
      <c r="A1087" s="16" t="str">
        <f ca="1">IFERROR(__xludf.DUMMYFUNCTION("""COMPUTED_VALUE"""),"Блок питание Deepcool PK850D (850W, 80+ Bronze, APFC, 20+4 pin)")</f>
        <v>Блок питание Deepcool PK850D (850W, 80+ Bronze, APFC, 20+4 pin)</v>
      </c>
      <c r="B1087" s="16" t="str">
        <f ca="1">IFERROR(__xludf.DUMMYFUNCTION("""COMPUTED_VALUE"""),"R-PK850D-FA0B-EU")</f>
        <v>R-PK850D-FA0B-EU</v>
      </c>
      <c r="C1087" s="16" t="str">
        <f ca="1">IFERROR(__xludf.DUMMYFUNCTION("""COMPUTED_VALUE"""),"76,")</f>
        <v>76,</v>
      </c>
    </row>
    <row r="1088" spans="1:3" ht="15.75" customHeight="1">
      <c r="A1088" s="16" t="str">
        <f ca="1">IFERROR(__xludf.DUMMYFUNCTION("""COMPUTED_VALUE"""),"Блок питание Deepcool PK650D (650W, 80+ Bronze, APFC, 20+4 pin)")</f>
        <v>Блок питание Deepcool PK650D (650W, 80+ Bronze, APFC, 20+4 pin)</v>
      </c>
      <c r="B1088" s="16" t="str">
        <f ca="1">IFERROR(__xludf.DUMMYFUNCTION("""COMPUTED_VALUE"""),"R-PK650D-FA0B-WGEU")</f>
        <v>R-PK650D-FA0B-WGEU</v>
      </c>
      <c r="C1088" s="16" t="str">
        <f ca="1">IFERROR(__xludf.DUMMYFUNCTION("""COMPUTED_VALUE"""),"52,")</f>
        <v>52,</v>
      </c>
    </row>
    <row r="1089" spans="1:3" ht="15.75" customHeight="1">
      <c r="A1089" s="16" t="str">
        <f ca="1">IFERROR(__xludf.DUMMYFUNCTION("""COMPUTED_VALUE"""),"Блок питание Deepcool PK550D (550W, 80+ Bronze, APFC, 20+4 pin)")</f>
        <v>Блок питание Deepcool PK550D (550W, 80+ Bronze, APFC, 20+4 pin)</v>
      </c>
      <c r="B1089" s="16" t="str">
        <f ca="1">IFERROR(__xludf.DUMMYFUNCTION("""COMPUTED_VALUE"""),"R-PK550D-FA0B-WGEU")</f>
        <v>R-PK550D-FA0B-WGEU</v>
      </c>
      <c r="C1089" s="16" t="str">
        <f ca="1">IFERROR(__xludf.DUMMYFUNCTION("""COMPUTED_VALUE"""),"46,")</f>
        <v>46,</v>
      </c>
    </row>
    <row r="1090" spans="1:3" ht="15.75" customHeight="1">
      <c r="A1090" s="16" t="str">
        <f ca="1">IFERROR(__xludf.DUMMYFUNCTION("""COMPUTED_VALUE"""),"Блок питание Deepcool PF750 (750W, 80+, APFC, 20+4 pin)")</f>
        <v>Блок питание Deepcool PF750 (750W, 80+, APFC, 20+4 pin)</v>
      </c>
      <c r="B1090" s="16" t="str">
        <f ca="1">IFERROR(__xludf.DUMMYFUNCTION("""COMPUTED_VALUE"""),"R-PF750D-HA0B-EU")</f>
        <v>R-PF750D-HA0B-EU</v>
      </c>
      <c r="C1090" s="16" t="str">
        <f ca="1">IFERROR(__xludf.DUMMYFUNCTION("""COMPUTED_VALUE"""),"44,")</f>
        <v>44,</v>
      </c>
    </row>
    <row r="1091" spans="1:3" ht="15.75" customHeight="1">
      <c r="A1091" s="16" t="str">
        <f ca="1">IFERROR(__xludf.DUMMYFUNCTION("""COMPUTED_VALUE"""),"Блок питание Deepcool PF650 (650W, 80+, APFC, 20+4 pin)")</f>
        <v>Блок питание Deepcool PF650 (650W, 80+, APFC, 20+4 pin)</v>
      </c>
      <c r="B1091" s="16" t="str">
        <f ca="1">IFERROR(__xludf.DUMMYFUNCTION("""COMPUTED_VALUE"""),"R-PF650D-HA0B-EU")</f>
        <v>R-PF650D-HA0B-EU</v>
      </c>
      <c r="C1091" s="16" t="str">
        <f ca="1">IFERROR(__xludf.DUMMYFUNCTION("""COMPUTED_VALUE"""),"39,")</f>
        <v>39,</v>
      </c>
    </row>
    <row r="1092" spans="1:3" ht="15.75" customHeight="1">
      <c r="A1092" s="16" t="str">
        <f ca="1">IFERROR(__xludf.DUMMYFUNCTION("""COMPUTED_VALUE"""),"Блок питание Deepcool PF550 (550W, 80+, APFC, 20+4 pin)")</f>
        <v>Блок питание Deepcool PF550 (550W, 80+, APFC, 20+4 pin)</v>
      </c>
      <c r="B1092" s="16" t="str">
        <f ca="1">IFERROR(__xludf.DUMMYFUNCTION("""COMPUTED_VALUE"""),"")</f>
        <v/>
      </c>
      <c r="C1092" s="16" t="str">
        <f ca="1">IFERROR(__xludf.DUMMYFUNCTION("""COMPUTED_VALUE"""),"33,")</f>
        <v>33,</v>
      </c>
    </row>
    <row r="1093" spans="1:3" ht="15.75" customHeight="1">
      <c r="A1093" s="16" t="str">
        <f ca="1">IFERROR(__xludf.DUMMYFUNCTION("""COMPUTED_VALUE"""),"Блок питание Deepcool PF450 (450W, 80+, APFC, 20+4 pin) (распродажа)")</f>
        <v>Блок питание Deepcool PF450 (450W, 80+, APFC, 20+4 pin) (распродажа)</v>
      </c>
      <c r="B1093" s="16" t="str">
        <f ca="1">IFERROR(__xludf.DUMMYFUNCTION("""COMPUTED_VALUE"""),"")</f>
        <v/>
      </c>
      <c r="C1093" s="16" t="str">
        <f ca="1">IFERROR(__xludf.DUMMYFUNCTION("""COMPUTED_VALUE"""),"24,")</f>
        <v>24,</v>
      </c>
    </row>
    <row r="1094" spans="1:3" ht="15.75" customHeight="1">
      <c r="A1094" s="16" t="str">
        <f ca="1">IFERROR(__xludf.DUMMYFUNCTION("""COMPUTED_VALUE"""),"Блок питание Deepcool GamerStorm PF700X (700W, 80+ Bronze, APFC, 20+4 pin)")</f>
        <v>Блок питание Deepcool GamerStorm PF700X (700W, 80+ Bronze, APFC, 20+4 pin)</v>
      </c>
      <c r="B1094" s="16" t="str">
        <f ca="1">IFERROR(__xludf.DUMMYFUNCTION("""COMPUTED_VALUE"""),"")</f>
        <v/>
      </c>
      <c r="C1094" s="16" t="str">
        <f ca="1">IFERROR(__xludf.DUMMYFUNCTION("""COMPUTED_VALUE"""),"41,")</f>
        <v>41,</v>
      </c>
    </row>
    <row r="1095" spans="1:3" ht="15.75" customHeight="1">
      <c r="A1095" s="16" t="str">
        <f ca="1">IFERROR(__xludf.DUMMYFUNCTION("""COMPUTED_VALUE"""),"Блок питание Deepcool GamerStorm PF600X (600W, 80+ Bronze, APFC, 20+4 pin)")</f>
        <v>Блок питание Deepcool GamerStorm PF600X (600W, 80+ Bronze, APFC, 20+4 pin)</v>
      </c>
      <c r="B1095" s="16" t="str">
        <f ca="1">IFERROR(__xludf.DUMMYFUNCTION("""COMPUTED_VALUE"""),"")</f>
        <v/>
      </c>
      <c r="C1095" s="16" t="str">
        <f ca="1">IFERROR(__xludf.DUMMYFUNCTION("""COMPUTED_VALUE"""),"36,")</f>
        <v>36,</v>
      </c>
    </row>
    <row r="1096" spans="1:3" ht="15.75" customHeight="1">
      <c r="A1096" s="16" t="str">
        <f ca="1">IFERROR(__xludf.DUMMYFUNCTION("""COMPUTED_VALUE"""),"Блок питание Deepcool GamerStorm PF500X (500W, 80+ Bronze, APFC, 20+4 pin)")</f>
        <v>Блок питание Deepcool GamerStorm PF500X (500W, 80+ Bronze, APFC, 20+4 pin)</v>
      </c>
      <c r="B1096" s="16" t="str">
        <f ca="1">IFERROR(__xludf.DUMMYFUNCTION("""COMPUTED_VALUE"""),"")</f>
        <v/>
      </c>
      <c r="C1096" s="16" t="str">
        <f ca="1">IFERROR(__xludf.DUMMYFUNCTION("""COMPUTED_VALUE"""),"30,")</f>
        <v>30,</v>
      </c>
    </row>
    <row r="1097" spans="1:3" ht="15.75" customHeight="1">
      <c r="A1097" s="16" t="str">
        <f ca="1">IFERROR(__xludf.DUMMYFUNCTION("""COMPUTED_VALUE"""),"Блок питание Deepcool DE600 V2 (450W, 20+4 pin) (распродажа)")</f>
        <v>Блок питание Deepcool DE600 V2 (450W, 20+4 pin) (распродажа)</v>
      </c>
      <c r="B1097" s="16" t="str">
        <f ca="1">IFERROR(__xludf.DUMMYFUNCTION("""COMPUTED_VALUE"""),"")</f>
        <v/>
      </c>
      <c r="C1097" s="16" t="str">
        <f ca="1">IFERROR(__xludf.DUMMYFUNCTION("""COMPUTED_VALUE"""),"25,")</f>
        <v>25,</v>
      </c>
    </row>
    <row r="1098" spans="1:3" ht="15.75" customHeight="1">
      <c r="A1098" s="16" t="str">
        <f ca="1">IFERROR(__xludf.DUMMYFUNCTION("""COMPUTED_VALUE"""),"Блок питание Deepcool DE500 V2 (350W, 20+4 pin) (распродажа)")</f>
        <v>Блок питание Deepcool DE500 V2 (350W, 20+4 pin) (распродажа)</v>
      </c>
      <c r="B1098" s="16" t="str">
        <f ca="1">IFERROR(__xludf.DUMMYFUNCTION("""COMPUTED_VALUE"""),"")</f>
        <v/>
      </c>
      <c r="C1098" s="16" t="str">
        <f ca="1">IFERROR(__xludf.DUMMYFUNCTION("""COMPUTED_VALUE"""),"22,")</f>
        <v>22,</v>
      </c>
    </row>
    <row r="1099" spans="1:3" ht="15.75" customHeight="1">
      <c r="A1099" s="16" t="str">
        <f ca="1">IFERROR(__xludf.DUMMYFUNCTION("""COMPUTED_VALUE"""),"Водяной кулер Deepcool MYSTIQUE 360")</f>
        <v>Водяной кулер Deepcool MYSTIQUE 360</v>
      </c>
      <c r="B1099" s="16" t="str">
        <f ca="1">IFERROR(__xludf.DUMMYFUNCTION("""COMPUTED_VALUE"""),"R-LX750-BKDSNMP-G-1")</f>
        <v>R-LX750-BKDSNMP-G-1</v>
      </c>
      <c r="C1099" s="16" t="str">
        <f ca="1">IFERROR(__xludf.DUMMYFUNCTION("""COMPUTED_VALUE"""),"135,")</f>
        <v>135,</v>
      </c>
    </row>
    <row r="1100" spans="1:3" ht="15.75" customHeight="1">
      <c r="A1100" s="16" t="str">
        <f ca="1">IFERROR(__xludf.DUMMYFUNCTION("""COMPUTED_VALUE"""),"Водяной кулер Deepcool MYSTIQUE 360 WHITE")</f>
        <v>Водяной кулер Deepcool MYSTIQUE 360 WHITE</v>
      </c>
      <c r="B1100" s="16" t="str">
        <f ca="1">IFERROR(__xludf.DUMMYFUNCTION("""COMPUTED_VALUE"""),"")</f>
        <v/>
      </c>
      <c r="C1100" s="16" t="str">
        <f ca="1">IFERROR(__xludf.DUMMYFUNCTION("""COMPUTED_VALUE"""),"135,")</f>
        <v>135,</v>
      </c>
    </row>
    <row r="1101" spans="1:3" ht="15.75" customHeight="1">
      <c r="A1101" s="16" t="str">
        <f ca="1">IFERROR(__xludf.DUMMYFUNCTION("""COMPUTED_VALUE"""),"Водяной кулер Deepcool LT720")</f>
        <v>Водяной кулер Deepcool LT720</v>
      </c>
      <c r="B1101" s="16" t="str">
        <f ca="1">IFERROR(__xludf.DUMMYFUNCTION("""COMPUTED_VALUE"""),"")</f>
        <v/>
      </c>
      <c r="C1101" s="16" t="str">
        <f ca="1">IFERROR(__xludf.DUMMYFUNCTION("""COMPUTED_VALUE"""),"100,")</f>
        <v>100,</v>
      </c>
    </row>
    <row r="1102" spans="1:3" ht="15.75" customHeight="1">
      <c r="A1102" s="16" t="str">
        <f ca="1">IFERROR(__xludf.DUMMYFUNCTION("""COMPUTED_VALUE"""),"Водяной кулер Deepcool LS720 White")</f>
        <v>Водяной кулер Deepcool LS720 White</v>
      </c>
      <c r="B1102" s="16" t="str">
        <f ca="1">IFERROR(__xludf.DUMMYFUNCTION("""COMPUTED_VALUE"""),"")</f>
        <v/>
      </c>
      <c r="C1102" s="16" t="str">
        <f ca="1">IFERROR(__xludf.DUMMYFUNCTION("""COMPUTED_VALUE"""),"118,")</f>
        <v>118,</v>
      </c>
    </row>
    <row r="1103" spans="1:3" ht="15.75" customHeight="1">
      <c r="A1103" s="16" t="str">
        <f ca="1">IFERROR(__xludf.DUMMYFUNCTION("""COMPUTED_VALUE"""),"Водяной кулер Deepcool LS720")</f>
        <v>Водяной кулер Deepcool LS720</v>
      </c>
      <c r="B1103" s="16" t="str">
        <f ca="1">IFERROR(__xludf.DUMMYFUNCTION("""COMPUTED_VALUE"""),"")</f>
        <v/>
      </c>
      <c r="C1103" s="16" t="str">
        <f ca="1">IFERROR(__xludf.DUMMYFUNCTION("""COMPUTED_VALUE"""),"115,")</f>
        <v>115,</v>
      </c>
    </row>
    <row r="1104" spans="1:3" ht="15.75" customHeight="1">
      <c r="A1104" s="16" t="str">
        <f ca="1">IFERROR(__xludf.DUMMYFUNCTION("""COMPUTED_VALUE"""),"Водяной кулер Deepcool  LQ360 ULTRA ARGB")</f>
        <v>Водяной кулер Deepcool  LQ360 ULTRA ARGB</v>
      </c>
      <c r="B1104" s="16" t="str">
        <f ca="1">IFERROR(__xludf.DUMMYFUNCTION("""COMPUTED_VALUE"""),"R-LQ360-BKASMC-G-1")</f>
        <v>R-LQ360-BKASMC-G-1</v>
      </c>
      <c r="C1104" s="16" t="str">
        <f ca="1">IFERROR(__xludf.DUMMYFUNCTION("""COMPUTED_VALUE"""),"130,")</f>
        <v>130,</v>
      </c>
    </row>
    <row r="1105" spans="1:3" ht="15.75" customHeight="1">
      <c r="A1105" s="16" t="str">
        <f ca="1">IFERROR(__xludf.DUMMYFUNCTION("""COMPUTED_VALUE"""),"Водяной кулер Deepcool  LQ360 ULTRA White ARGB")</f>
        <v>Водяной кулер Deepcool  LQ360 ULTRA White ARGB</v>
      </c>
      <c r="B1105" s="16" t="str">
        <f ca="1">IFERROR(__xludf.DUMMYFUNCTION("""COMPUTED_VALUE"""),"R-LQ360-WHASMC-G-1")</f>
        <v>R-LQ360-WHASMC-G-1</v>
      </c>
      <c r="C1105" s="16" t="str">
        <f ca="1">IFERROR(__xludf.DUMMYFUNCTION("""COMPUTED_VALUE"""),"135,")</f>
        <v>135,</v>
      </c>
    </row>
    <row r="1106" spans="1:3" ht="15.75" customHeight="1">
      <c r="A1106" s="16" t="str">
        <f ca="1">IFERROR(__xludf.DUMMYFUNCTION("""COMPUTED_VALUE"""),"Водяной кулер Deepcool  SPARTACUS 420")</f>
        <v>Водяной кулер Deepcool  SPARTACUS 420</v>
      </c>
      <c r="B1106" s="16" t="str">
        <f ca="1">IFERROR(__xludf.DUMMYFUNCTION("""COMPUTED_VALUE"""),"R-SPT420-BKDSMP-G-1")</f>
        <v>R-SPT420-BKDSMP-G-1</v>
      </c>
      <c r="C1106" s="16" t="str">
        <f ca="1">IFERROR(__xludf.DUMMYFUNCTION("""COMPUTED_VALUE"""),"210,")</f>
        <v>210,</v>
      </c>
    </row>
    <row r="1107" spans="1:3" ht="15.75" customHeight="1">
      <c r="A1107" s="16" t="str">
        <f ca="1">IFERROR(__xludf.DUMMYFUNCTION("""COMPUTED_VALUE"""),"Водяной кулер Deepcool  SPARTACUS 360")</f>
        <v>Водяной кулер Deepcool  SPARTACUS 360</v>
      </c>
      <c r="B1107" s="16" t="str">
        <f ca="1">IFERROR(__xludf.DUMMYFUNCTION("""COMPUTED_VALUE"""),"R-SPT360-BKDSMP-G-1")</f>
        <v>R-SPT360-BKDSMP-G-1</v>
      </c>
      <c r="C1107" s="16" t="str">
        <f ca="1">IFERROR(__xludf.DUMMYFUNCTION("""COMPUTED_VALUE"""),"170,")</f>
        <v>170,</v>
      </c>
    </row>
    <row r="1108" spans="1:3" ht="15.75" customHeight="1">
      <c r="A1108" s="16" t="str">
        <f ca="1">IFERROR(__xludf.DUMMYFUNCTION("""COMPUTED_VALUE"""),"Водяной кулер Deepcool LM360")</f>
        <v>Водяной кулер Deepcool LM360</v>
      </c>
      <c r="B1108" s="16" t="str">
        <f ca="1">IFERROR(__xludf.DUMMYFUNCTION("""COMPUTED_VALUE"""),"R-LM360-BKDMMC-1")</f>
        <v>R-LM360-BKDMMC-1</v>
      </c>
      <c r="C1108" s="16" t="str">
        <f ca="1">IFERROR(__xludf.DUMMYFUNCTION("""COMPUTED_VALUE"""),"88,")</f>
        <v>88,</v>
      </c>
    </row>
    <row r="1109" spans="1:3" ht="15.75" customHeight="1">
      <c r="A1109" s="16" t="str">
        <f ca="1">IFERROR(__xludf.DUMMYFUNCTION("""COMPUTED_VALUE"""),"Водяной кулер Deepcool LM360 White")</f>
        <v>Водяной кулер Deepcool LM360 White</v>
      </c>
      <c r="B1109" s="16" t="str">
        <f ca="1">IFERROR(__xludf.DUMMYFUNCTION("""COMPUTED_VALUE"""),"R-LM360-WHDMMC-1")</f>
        <v>R-LM360-WHDMMC-1</v>
      </c>
      <c r="C1109" s="16" t="str">
        <f ca="1">IFERROR(__xludf.DUMMYFUNCTION("""COMPUTED_VALUE"""),"88,")</f>
        <v>88,</v>
      </c>
    </row>
    <row r="1110" spans="1:3" ht="15.75" customHeight="1">
      <c r="A1110" s="16" t="str">
        <f ca="1">IFERROR(__xludf.DUMMYFUNCTION("""COMPUTED_VALUE"""),"Водяной кулер Deepcool LE360 White V2")</f>
        <v>Водяной кулер Deepcool LE360 White V2</v>
      </c>
      <c r="B1110" s="16" t="str">
        <f ca="1">IFERROR(__xludf.DUMMYFUNCTION("""COMPUTED_VALUE"""),"R-LE360-WHAMMN-G-2")</f>
        <v>R-LE360-WHAMMN-G-2</v>
      </c>
      <c r="C1110" s="16" t="str">
        <f ca="1">IFERROR(__xludf.DUMMYFUNCTION("""COMPUTED_VALUE"""),"58,")</f>
        <v>58,</v>
      </c>
    </row>
    <row r="1111" spans="1:3" ht="15.75" customHeight="1">
      <c r="A1111" s="16" t="str">
        <f ca="1">IFERROR(__xludf.DUMMYFUNCTION("""COMPUTED_VALUE"""),"Кулер Deepcool ASSASSIN IV VC VISION")</f>
        <v>Кулер Deepcool ASSASSIN IV VC VISION</v>
      </c>
      <c r="B1111" s="16" t="str">
        <f ca="1">IFERROR(__xludf.DUMMYFUNCTION("""COMPUTED_VALUE"""),"ASSASSIN IV VC VISION")</f>
        <v>ASSASSIN IV VC VISION</v>
      </c>
      <c r="C1111" s="16" t="str">
        <f ca="1">IFERROR(__xludf.DUMMYFUNCTION("""COMPUTED_VALUE"""),"115,")</f>
        <v>115,</v>
      </c>
    </row>
    <row r="1112" spans="1:3" ht="15.75" customHeight="1">
      <c r="A1112" s="16" t="str">
        <f ca="1">IFERROR(__xludf.DUMMYFUNCTION("""COMPUTED_VALUE"""),"Кулер Deepcool ASSASSIN VC ELITE WH")</f>
        <v>Кулер Deepcool ASSASSIN VC ELITE WH</v>
      </c>
      <c r="B1112" s="16" t="str">
        <f ca="1">IFERROR(__xludf.DUMMYFUNCTION("""COMPUTED_VALUE"""),"R-ASN4-WHNVNN-GJD")</f>
        <v>R-ASN4-WHNVNN-GJD</v>
      </c>
      <c r="C1112" s="16" t="str">
        <f ca="1">IFERROR(__xludf.DUMMYFUNCTION("""COMPUTED_VALUE"""),"90,")</f>
        <v>90,</v>
      </c>
    </row>
    <row r="1113" spans="1:3" ht="15.75" customHeight="1">
      <c r="A1113" s="16" t="str">
        <f ca="1">IFERROR(__xludf.DUMMYFUNCTION("""COMPUTED_VALUE"""),"Кулер Deepcool ASSASSIN VC ELITE ")</f>
        <v xml:space="preserve">Кулер Deepcool ASSASSIN VC ELITE </v>
      </c>
      <c r="B1113" s="16" t="str">
        <f ca="1">IFERROR(__xludf.DUMMYFUNCTION("""COMPUTED_VALUE"""),"R-ASN4-BKNVNN-GJD")</f>
        <v>R-ASN4-BKNVNN-GJD</v>
      </c>
      <c r="C1113" s="16" t="str">
        <f ca="1">IFERROR(__xludf.DUMMYFUNCTION("""COMPUTED_VALUE"""),"90,")</f>
        <v>90,</v>
      </c>
    </row>
    <row r="1114" spans="1:3" ht="15.75" customHeight="1">
      <c r="A1114" s="16" t="str">
        <f ca="1">IFERROR(__xludf.DUMMYFUNCTION("""COMPUTED_VALUE"""),"Кулер Deepcool ASSASSIN IV WH")</f>
        <v>Кулер Deepcool ASSASSIN IV WH</v>
      </c>
      <c r="B1114" s="16" t="str">
        <f ca="1">IFERROR(__xludf.DUMMYFUNCTION("""COMPUTED_VALUE"""),"R-ASN4-WHNNMT-G")</f>
        <v>R-ASN4-WHNNMT-G</v>
      </c>
      <c r="C1114" s="16" t="str">
        <f ca="1">IFERROR(__xludf.DUMMYFUNCTION("""COMPUTED_VALUE"""),"80,")</f>
        <v>80,</v>
      </c>
    </row>
    <row r="1115" spans="1:3" ht="15.75" customHeight="1">
      <c r="A1115" s="16" t="str">
        <f ca="1">IFERROR(__xludf.DUMMYFUNCTION("""COMPUTED_VALUE"""),"Кулер Deepcool ASSASSIN 4S WH")</f>
        <v>Кулер Deepcool ASSASSIN 4S WH</v>
      </c>
      <c r="B1115" s="16" t="str">
        <f ca="1">IFERROR(__xludf.DUMMYFUNCTION("""COMPUTED_VALUE"""),"R-ASN4S-WHGPMN-G")</f>
        <v>R-ASN4S-WHGPMN-G</v>
      </c>
      <c r="C1115" s="16" t="str">
        <f ca="1">IFERROR(__xludf.DUMMYFUNCTION("""COMPUTED_VALUE"""),"73,")</f>
        <v>73,</v>
      </c>
    </row>
    <row r="1116" spans="1:3" ht="15.75" customHeight="1">
      <c r="A1116" s="16" t="str">
        <f ca="1">IFERROR(__xludf.DUMMYFUNCTION("""COMPUTED_VALUE"""),"Кулер Deepcool ASSASSIN 4S")</f>
        <v>Кулер Deepcool ASSASSIN 4S</v>
      </c>
      <c r="B1116" s="16" t="str">
        <f ca="1">IFERROR(__xludf.DUMMYFUNCTION("""COMPUTED_VALUE"""),"R-ASN4S-BKGPMN-G")</f>
        <v>R-ASN4S-BKGPMN-G</v>
      </c>
      <c r="C1116" s="16" t="str">
        <f ca="1">IFERROR(__xludf.DUMMYFUNCTION("""COMPUTED_VALUE"""),"73,")</f>
        <v>73,</v>
      </c>
    </row>
    <row r="1117" spans="1:3" ht="15.75" customHeight="1">
      <c r="A1117" s="16" t="str">
        <f ca="1">IFERROR(__xludf.DUMMYFUNCTION("""COMPUTED_VALUE"""),"Кулер Deepcool AK700 DIGITAL NYX")</f>
        <v>Кулер Deepcool AK700 DIGITAL NYX</v>
      </c>
      <c r="B1117" s="16" t="str">
        <f ca="1">IFERROR(__xludf.DUMMYFUNCTION("""COMPUTED_VALUE"""),"R-AK700-BKNNMN-GJD-1")</f>
        <v>R-AK700-BKNNMN-GJD-1</v>
      </c>
      <c r="C1117" s="16" t="str">
        <f ca="1">IFERROR(__xludf.DUMMYFUNCTION("""COMPUTED_VALUE"""),"61,")</f>
        <v>61,</v>
      </c>
    </row>
    <row r="1118" spans="1:3" ht="15.75" customHeight="1">
      <c r="A1118" s="16" t="str">
        <f ca="1">IFERROR(__xludf.DUMMYFUNCTION("""COMPUTED_VALUE"""),"Кулер Deepcool AK620 DIGITAL SE WH")</f>
        <v>Кулер Deepcool AK620 DIGITAL SE WH</v>
      </c>
      <c r="B1118" s="16" t="str">
        <f ca="1">IFERROR(__xludf.DUMMYFUNCTION("""COMPUTED_VALUE"""),"R-AK620-WHADMN-GJD")</f>
        <v>R-AK620-WHADMN-GJD</v>
      </c>
      <c r="C1118" s="16" t="str">
        <f ca="1">IFERROR(__xludf.DUMMYFUNCTION("""COMPUTED_VALUE"""),"53,")</f>
        <v>53,</v>
      </c>
    </row>
    <row r="1119" spans="1:3" ht="15.75" customHeight="1">
      <c r="A1119" s="16" t="str">
        <f ca="1">IFERROR(__xludf.DUMMYFUNCTION("""COMPUTED_VALUE"""),"Кулер Deepcool AK620 WH")</f>
        <v>Кулер Deepcool AK620 WH</v>
      </c>
      <c r="B1119" s="16" t="str">
        <f ca="1">IFERROR(__xludf.DUMMYFUNCTION("""COMPUTED_VALUE"""),"R-AK620-WHNNMT-G-1")</f>
        <v>R-AK620-WHNNMT-G-1</v>
      </c>
      <c r="C1119" s="16" t="str">
        <f ca="1">IFERROR(__xludf.DUMMYFUNCTION("""COMPUTED_VALUE"""),"53,")</f>
        <v>53,</v>
      </c>
    </row>
    <row r="1120" spans="1:3" ht="15.75" customHeight="1">
      <c r="A1120" s="16" t="str">
        <f ca="1">IFERROR(__xludf.DUMMYFUNCTION("""COMPUTED_VALUE"""),"Кулер Deepcool AK500 DIGITAL PRO")</f>
        <v>Кулер Deepcool AK500 DIGITAL PRO</v>
      </c>
      <c r="B1120" s="16" t="str">
        <f ca="1">IFERROR(__xludf.DUMMYFUNCTION("""COMPUTED_VALUE"""),"")</f>
        <v/>
      </c>
      <c r="C1120" s="16" t="str">
        <f ca="1">IFERROR(__xludf.DUMMYFUNCTION("""COMPUTED_VALUE"""),"60,")</f>
        <v>60,</v>
      </c>
    </row>
    <row r="1121" spans="1:3" ht="15.75" customHeight="1">
      <c r="A1121" s="16" t="str">
        <f ca="1">IFERROR(__xludf.DUMMYFUNCTION("""COMPUTED_VALUE"""),"Кулер Deepcool AK500 DIGITAL WH")</f>
        <v>Кулер Deepcool AK500 DIGITAL WH</v>
      </c>
      <c r="B1121" s="16" t="str">
        <f ca="1">IFERROR(__xludf.DUMMYFUNCTION("""COMPUTED_VALUE"""),"")</f>
        <v/>
      </c>
      <c r="C1121" s="16" t="str">
        <f ca="1">IFERROR(__xludf.DUMMYFUNCTION("""COMPUTED_VALUE"""),"55,")</f>
        <v>55,</v>
      </c>
    </row>
    <row r="1122" spans="1:3" ht="15.75" customHeight="1">
      <c r="A1122" s="16" t="str">
        <f ca="1">IFERROR(__xludf.DUMMYFUNCTION("""COMPUTED_VALUE"""),"Кулер Deepcool AK500 G2 ")</f>
        <v xml:space="preserve">Кулер Deepcool AK500 G2 </v>
      </c>
      <c r="B1122" s="16" t="str">
        <f ca="1">IFERROR(__xludf.DUMMYFUNCTION("""COMPUTED_VALUE"""),"R-AK500G2-BKNNMN-GJD")</f>
        <v>R-AK500G2-BKNNMN-GJD</v>
      </c>
      <c r="C1122" s="16" t="str">
        <f ca="1">IFERROR(__xludf.DUMMYFUNCTION("""COMPUTED_VALUE"""),"53,")</f>
        <v>53,</v>
      </c>
    </row>
    <row r="1123" spans="1:3" ht="15.75" customHeight="1">
      <c r="A1123" s="16" t="str">
        <f ca="1">IFERROR(__xludf.DUMMYFUNCTION("""COMPUTED_VALUE"""),"Кулер Deepcool AK500 ZERO DARK")</f>
        <v>Кулер Deepcool AK500 ZERO DARK</v>
      </c>
      <c r="B1123" s="16" t="str">
        <f ca="1">IFERROR(__xludf.DUMMYFUNCTION("""COMPUTED_VALUE"""),"")</f>
        <v/>
      </c>
      <c r="C1123" s="16" t="str">
        <f ca="1">IFERROR(__xludf.DUMMYFUNCTION("""COMPUTED_VALUE"""),"55,")</f>
        <v>55,</v>
      </c>
    </row>
    <row r="1124" spans="1:3" ht="15.75" customHeight="1">
      <c r="A1124" s="16" t="str">
        <f ca="1">IFERROR(__xludf.DUMMYFUNCTION("""COMPUTED_VALUE"""),"Кулер Deepcool AK500 WH")</f>
        <v>Кулер Deepcool AK500 WH</v>
      </c>
      <c r="B1124" s="16" t="str">
        <f ca="1">IFERROR(__xludf.DUMMYFUNCTION("""COMPUTED_VALUE"""),"")</f>
        <v/>
      </c>
      <c r="C1124" s="16" t="str">
        <f ca="1">IFERROR(__xludf.DUMMYFUNCTION("""COMPUTED_VALUE"""),"38,")</f>
        <v>38,</v>
      </c>
    </row>
    <row r="1125" spans="1:3" ht="15.75" customHeight="1">
      <c r="A1125" s="16" t="str">
        <f ca="1">IFERROR(__xludf.DUMMYFUNCTION("""COMPUTED_VALUE"""),"Кулер Deepcool AK500S DIGITAL SE WH")</f>
        <v>Кулер Deepcool AK500S DIGITAL SE WH</v>
      </c>
      <c r="B1125" s="16" t="str">
        <f ca="1">IFERROR(__xludf.DUMMYFUNCTION("""COMPUTED_VALUE"""),"R-AK500S-WHADMN-GJD")</f>
        <v>R-AK500S-WHADMN-GJD</v>
      </c>
      <c r="C1125" s="16" t="str">
        <f ca="1">IFERROR(__xludf.DUMMYFUNCTION("""COMPUTED_VALUE"""),"38,")</f>
        <v>38,</v>
      </c>
    </row>
    <row r="1126" spans="1:3" ht="15.75" customHeight="1">
      <c r="A1126" s="16" t="str">
        <f ca="1">IFERROR(__xludf.DUMMYFUNCTION("""COMPUTED_VALUE"""),"Кулер Deepcool AK500S DIGITAL SE")</f>
        <v>Кулер Deepcool AK500S DIGITAL SE</v>
      </c>
      <c r="B1126" s="16" t="str">
        <f ca="1">IFERROR(__xludf.DUMMYFUNCTION("""COMPUTED_VALUE"""),"R-AK500S-BKADMN-GJD")</f>
        <v>R-AK500S-BKADMN-GJD</v>
      </c>
      <c r="C1126" s="16" t="str">
        <f ca="1">IFERROR(__xludf.DUMMYFUNCTION("""COMPUTED_VALUE"""),"35,")</f>
        <v>35,</v>
      </c>
    </row>
    <row r="1127" spans="1:3" ht="15.75" customHeight="1">
      <c r="A1127" s="16" t="str">
        <f ca="1">IFERROR(__xludf.DUMMYFUNCTION("""COMPUTED_VALUE"""),"Кулер Deepcool AK400 DIGITAL WH")</f>
        <v>Кулер Deepcool AK400 DIGITAL WH</v>
      </c>
      <c r="B1127" s="16" t="str">
        <f ca="1">IFERROR(__xludf.DUMMYFUNCTION("""COMPUTED_VALUE"""),"")</f>
        <v/>
      </c>
      <c r="C1127" s="16" t="str">
        <f ca="1">IFERROR(__xludf.DUMMYFUNCTION("""COMPUTED_VALUE"""),"38,")</f>
        <v>38,</v>
      </c>
    </row>
    <row r="1128" spans="1:3" ht="15.75" customHeight="1">
      <c r="A1128" s="16" t="str">
        <f ca="1">IFERROR(__xludf.DUMMYFUNCTION("""COMPUTED_VALUE"""),"Кулер Deepcool AK400 DIGITAL SE WH")</f>
        <v>Кулер Deepcool AK400 DIGITAL SE WH</v>
      </c>
      <c r="B1128" s="16" t="str">
        <f ca="1">IFERROR(__xludf.DUMMYFUNCTION("""COMPUTED_VALUE"""),"R-AK400-WHADMN-GJD")</f>
        <v>R-AK400-WHADMN-GJD</v>
      </c>
      <c r="C1128" s="16" t="str">
        <f ca="1">IFERROR(__xludf.DUMMYFUNCTION("""COMPUTED_VALUE"""),"30,")</f>
        <v>30,</v>
      </c>
    </row>
    <row r="1129" spans="1:3" ht="15.75" customHeight="1">
      <c r="A1129" s="16" t="str">
        <f ca="1">IFERROR(__xludf.DUMMYFUNCTION("""COMPUTED_VALUE"""),"Кулер Deepcool AK400 DIGITAL SE")</f>
        <v>Кулер Deepcool AK400 DIGITAL SE</v>
      </c>
      <c r="B1129" s="16" t="str">
        <f ca="1">IFERROR(__xludf.DUMMYFUNCTION("""COMPUTED_VALUE"""),"R-AK400-BKADMN-GJD")</f>
        <v>R-AK400-BKADMN-GJD</v>
      </c>
      <c r="C1129" s="16" t="str">
        <f ca="1">IFERROR(__xludf.DUMMYFUNCTION("""COMPUTED_VALUE"""),"29,")</f>
        <v>29,</v>
      </c>
    </row>
    <row r="1130" spans="1:3" ht="15.75" customHeight="1">
      <c r="A1130" s="16" t="str">
        <f ca="1">IFERROR(__xludf.DUMMYFUNCTION("""COMPUTED_VALUE"""),"Кулер Deepcool AK400 WH")</f>
        <v>Кулер Deepcool AK400 WH</v>
      </c>
      <c r="B1130" s="16" t="str">
        <f ca="1">IFERROR(__xludf.DUMMYFUNCTION("""COMPUTED_VALUE"""),"")</f>
        <v/>
      </c>
      <c r="C1130" s="16" t="str">
        <f ca="1">IFERROR(__xludf.DUMMYFUNCTION("""COMPUTED_VALUE"""),"26,")</f>
        <v>26,</v>
      </c>
    </row>
    <row r="1131" spans="1:3" ht="15.75" customHeight="1">
      <c r="A1131" s="16" t="str">
        <f ca="1">IFERROR(__xludf.DUMMYFUNCTION("""COMPUTED_VALUE"""),"Кулер Deepcool AK400")</f>
        <v>Кулер Deepcool AK400</v>
      </c>
      <c r="B1131" s="16" t="str">
        <f ca="1">IFERROR(__xludf.DUMMYFUNCTION("""COMPUTED_VALUE"""),"R-AK400-BKNNMN-G-1")</f>
        <v>R-AK400-BKNNMN-G-1</v>
      </c>
      <c r="C1131" s="16" t="str">
        <f ca="1">IFERROR(__xludf.DUMMYFUNCTION("""COMPUTED_VALUE"""),"22,")</f>
        <v>22,</v>
      </c>
    </row>
    <row r="1132" spans="1:3" ht="15.75" customHeight="1">
      <c r="A1132" s="16" t="str">
        <f ca="1">IFERROR(__xludf.DUMMYFUNCTION("""COMPUTED_VALUE"""),"Кулер Deepcool AG620 DIGITAL WHITE ARGB")</f>
        <v>Кулер Deepcool AG620 DIGITAL WHITE ARGB</v>
      </c>
      <c r="B1132" s="16" t="str">
        <f ca="1">IFERROR(__xludf.DUMMYFUNCTION("""COMPUTED_VALUE"""),"")</f>
        <v/>
      </c>
      <c r="C1132" s="16" t="str">
        <f ca="1">IFERROR(__xludf.DUMMYFUNCTION("""COMPUTED_VALUE"""),"58,")</f>
        <v>58,</v>
      </c>
    </row>
    <row r="1133" spans="1:3" ht="15.75" customHeight="1">
      <c r="A1133" s="16" t="str">
        <f ca="1">IFERROR(__xludf.DUMMYFUNCTION("""COMPUTED_VALUE"""),"Кулер Deepcool AG620 DIGITAL BLACK ARGB")</f>
        <v>Кулер Deepcool AG620 DIGITAL BLACK ARGB</v>
      </c>
      <c r="B1133" s="16" t="str">
        <f ca="1">IFERROR(__xludf.DUMMYFUNCTION("""COMPUTED_VALUE"""),"R-AG620-BKAMMN-GJD")</f>
        <v>R-AG620-BKAMMN-GJD</v>
      </c>
      <c r="C1133" s="16" t="str">
        <f ca="1">IFERROR(__xludf.DUMMYFUNCTION("""COMPUTED_VALUE"""),"53,")</f>
        <v>53,</v>
      </c>
    </row>
    <row r="1134" spans="1:3" ht="15.75" customHeight="1">
      <c r="A1134" s="16" t="str">
        <f ca="1">IFERROR(__xludf.DUMMYFUNCTION("""COMPUTED_VALUE"""),"Кулер Deepcool AG620 BK ARGB")</f>
        <v>Кулер Deepcool AG620 BK ARGB</v>
      </c>
      <c r="B1134" s="16" t="str">
        <f ca="1">IFERROR(__xludf.DUMMYFUNCTION("""COMPUTED_VALUE"""),"")</f>
        <v/>
      </c>
      <c r="C1134" s="16" t="str">
        <f ca="1">IFERROR(__xludf.DUMMYFUNCTION("""COMPUTED_VALUE"""),"50,")</f>
        <v>50,</v>
      </c>
    </row>
    <row r="1135" spans="1:3" ht="15.75" customHeight="1">
      <c r="A1135" s="16" t="str">
        <f ca="1">IFERROR(__xludf.DUMMYFUNCTION("""COMPUTED_VALUE"""),"Кулер Deepcool AG620 DIGITAL")</f>
        <v>Кулер Deepcool AG620 DIGITAL</v>
      </c>
      <c r="B1135" s="16" t="str">
        <f ca="1">IFERROR(__xludf.DUMMYFUNCTION("""COMPUTED_VALUE"""),"")</f>
        <v/>
      </c>
      <c r="C1135" s="16" t="str">
        <f ca="1">IFERROR(__xludf.DUMMYFUNCTION("""COMPUTED_VALUE"""),"50,")</f>
        <v>50,</v>
      </c>
    </row>
    <row r="1136" spans="1:3" ht="15.75" customHeight="1">
      <c r="A1136" s="16" t="str">
        <f ca="1">IFERROR(__xludf.DUMMYFUNCTION("""COMPUTED_VALUE"""),"Кулер Deepcool AG620 G2 WH")</f>
        <v>Кулер Deepcool AG620 G2 WH</v>
      </c>
      <c r="B1136" s="16" t="str">
        <f ca="1">IFERROR(__xludf.DUMMYFUNCTION("""COMPUTED_VALUE"""),"R-AG620-WHNPMG2-G")</f>
        <v>R-AG620-WHNPMG2-G</v>
      </c>
      <c r="C1136" s="16" t="str">
        <f ca="1">IFERROR(__xludf.DUMMYFUNCTION("""COMPUTED_VALUE"""),"33,")</f>
        <v>33,</v>
      </c>
    </row>
    <row r="1137" spans="1:3" ht="15.75" customHeight="1">
      <c r="A1137" s="16" t="str">
        <f ca="1">IFERROR(__xludf.DUMMYFUNCTION("""COMPUTED_VALUE"""),"Кулер Deepcool AG620 G2")</f>
        <v>Кулер Deepcool AG620 G2</v>
      </c>
      <c r="B1137" s="16" t="str">
        <f ca="1">IFERROR(__xludf.DUMMYFUNCTION("""COMPUTED_VALUE"""),"R-AG620-BKNPMG2-G")</f>
        <v>R-AG620-BKNPMG2-G</v>
      </c>
      <c r="C1137" s="16" t="str">
        <f ca="1">IFERROR(__xludf.DUMMYFUNCTION("""COMPUTED_VALUE"""),"32,")</f>
        <v>32,</v>
      </c>
    </row>
    <row r="1138" spans="1:3" ht="15.75" customHeight="1">
      <c r="A1138" s="16" t="str">
        <f ca="1">IFERROR(__xludf.DUMMYFUNCTION("""COMPUTED_VALUE"""),"Кулер Deepcool AG500 DIGITAL WH ARGB")</f>
        <v>Кулер Deepcool AG500 DIGITAL WH ARGB</v>
      </c>
      <c r="B1138" s="16" t="str">
        <f ca="1">IFERROR(__xludf.DUMMYFUNCTION("""COMPUTED_VALUE"""),"")</f>
        <v/>
      </c>
      <c r="C1138" s="16" t="str">
        <f ca="1">IFERROR(__xludf.DUMMYFUNCTION("""COMPUTED_VALUE"""),"38,")</f>
        <v>38,</v>
      </c>
    </row>
    <row r="1139" spans="1:3" ht="15.75" customHeight="1">
      <c r="A1139" s="16" t="str">
        <f ca="1">IFERROR(__xludf.DUMMYFUNCTION("""COMPUTED_VALUE"""),"Кулер Deepcool AG500 WH ARGB")</f>
        <v>Кулер Deepcool AG500 WH ARGB</v>
      </c>
      <c r="B1139" s="16" t="str">
        <f ca="1">IFERROR(__xludf.DUMMYFUNCTION("""COMPUTED_VALUE"""),"")</f>
        <v/>
      </c>
      <c r="C1139" s="16" t="str">
        <f ca="1">IFERROR(__xludf.DUMMYFUNCTION("""COMPUTED_VALUE"""),"28,")</f>
        <v>28,</v>
      </c>
    </row>
    <row r="1140" spans="1:3" ht="15.75" customHeight="1">
      <c r="A1140" s="16" t="str">
        <f ca="1">IFERROR(__xludf.DUMMYFUNCTION("""COMPUTED_VALUE"""),"Кулер Deepcool AG400 DIGITAL WH ARGB")</f>
        <v>Кулер Deepcool AG400 DIGITAL WH ARGB</v>
      </c>
      <c r="B1140" s="16" t="str">
        <f ca="1">IFERROR(__xludf.DUMMYFUNCTION("""COMPUTED_VALUE"""),"")</f>
        <v/>
      </c>
      <c r="C1140" s="16" t="str">
        <f ca="1">IFERROR(__xludf.DUMMYFUNCTION("""COMPUTED_VALUE"""),"33,")</f>
        <v>33,</v>
      </c>
    </row>
    <row r="1141" spans="1:3" ht="15.75" customHeight="1">
      <c r="A1141" s="16" t="str">
        <f ca="1">IFERROR(__xludf.DUMMYFUNCTION("""COMPUTED_VALUE"""),"Кулер Deepcool AG400 DIGITAL White ")</f>
        <v xml:space="preserve">Кулер Deepcool AG400 DIGITAL White </v>
      </c>
      <c r="B1141" s="16" t="str">
        <f ca="1">IFERROR(__xludf.DUMMYFUNCTION("""COMPUTED_VALUE"""),"")</f>
        <v/>
      </c>
      <c r="C1141" s="16" t="str">
        <f ca="1">IFERROR(__xludf.DUMMYFUNCTION("""COMPUTED_VALUE"""),"28,")</f>
        <v>28,</v>
      </c>
    </row>
    <row r="1142" spans="1:3" ht="15.75" customHeight="1">
      <c r="A1142" s="16" t="str">
        <f ca="1">IFERROR(__xludf.DUMMYFUNCTION("""COMPUTED_VALUE"""),"Кулер Deepcool AG400 DIGITAL Black ")</f>
        <v xml:space="preserve">Кулер Deepcool AG400 DIGITAL Black </v>
      </c>
      <c r="B1142" s="16" t="str">
        <f ca="1">IFERROR(__xludf.DUMMYFUNCTION("""COMPUTED_VALUE"""),"")</f>
        <v/>
      </c>
      <c r="C1142" s="16" t="str">
        <f ca="1">IFERROR(__xludf.DUMMYFUNCTION("""COMPUTED_VALUE"""),"27,")</f>
        <v>27,</v>
      </c>
    </row>
    <row r="1143" spans="1:3" ht="15.75" customHeight="1">
      <c r="A1143" s="16" t="str">
        <f ca="1">IFERROR(__xludf.DUMMYFUNCTION("""COMPUTED_VALUE"""),"Кулер Deepcool AG400 BK ARGB V2")</f>
        <v>Кулер Deepcool AG400 BK ARGB V2</v>
      </c>
      <c r="B1143" s="16" t="str">
        <f ca="1">IFERROR(__xludf.DUMMYFUNCTION("""COMPUTED_VALUE"""),"R-AG400-BKAMMN-GJD")</f>
        <v>R-AG400-BKAMMN-GJD</v>
      </c>
      <c r="C1143" s="16" t="str">
        <f ca="1">IFERROR(__xludf.DUMMYFUNCTION("""COMPUTED_VALUE"""),"25,")</f>
        <v>25,</v>
      </c>
    </row>
    <row r="1144" spans="1:3" ht="15.75" customHeight="1">
      <c r="A1144" s="16" t="str">
        <f ca="1">IFERROR(__xludf.DUMMYFUNCTION("""COMPUTED_VALUE"""),"Кулер Deepcool AG400 BK ARGB")</f>
        <v>Кулер Deepcool AG400 BK ARGB</v>
      </c>
      <c r="B1144" s="16" t="str">
        <f ca="1">IFERROR(__xludf.DUMMYFUNCTION("""COMPUTED_VALUE"""),"")</f>
        <v/>
      </c>
      <c r="C1144" s="16" t="str">
        <f ca="1">IFERROR(__xludf.DUMMYFUNCTION("""COMPUTED_VALUE"""),"18,")</f>
        <v>18,</v>
      </c>
    </row>
    <row r="1145" spans="1:3" ht="15.75" customHeight="1">
      <c r="A1145" s="16" t="str">
        <f ca="1">IFERROR(__xludf.DUMMYFUNCTION("""COMPUTED_VALUE"""),"Кулер Deepcool AG400 LED")</f>
        <v>Кулер Deepcool AG400 LED</v>
      </c>
      <c r="B1145" s="16" t="str">
        <f ca="1">IFERROR(__xludf.DUMMYFUNCTION("""COMPUTED_VALUE"""),"R-AG400-BKLNMC-G-1")</f>
        <v>R-AG400-BKLNMC-G-1</v>
      </c>
      <c r="C1145" s="16" t="str">
        <f ca="1">IFERROR(__xludf.DUMMYFUNCTION("""COMPUTED_VALUE"""),"19,")</f>
        <v>19,</v>
      </c>
    </row>
    <row r="1146" spans="1:3" ht="15.75" customHeight="1">
      <c r="A1146" s="16" t="str">
        <f ca="1">IFERROR(__xludf.DUMMYFUNCTION("""COMPUTED_VALUE"""),"Кулер Deepcool AG400 G2 WH")</f>
        <v>Кулер Deepcool AG400 G2 WH</v>
      </c>
      <c r="B1146" s="16" t="str">
        <f ca="1">IFERROR(__xludf.DUMMYFUNCTION("""COMPUTED_VALUE"""),"R-AG400-WHNPMG2-G")</f>
        <v>R-AG400-WHNPMG2-G</v>
      </c>
      <c r="C1146" s="16" t="str">
        <f ca="1">IFERROR(__xludf.DUMMYFUNCTION("""COMPUTED_VALUE"""),"18,")</f>
        <v>18,</v>
      </c>
    </row>
    <row r="1147" spans="1:3" ht="15.75" customHeight="1">
      <c r="A1147" s="16" t="str">
        <f ca="1">IFERROR(__xludf.DUMMYFUNCTION("""COMPUTED_VALUE"""),"Кулер Deepcool AG400 G2")</f>
        <v>Кулер Deepcool AG400 G2</v>
      </c>
      <c r="B1147" s="16" t="str">
        <f ca="1">IFERROR(__xludf.DUMMYFUNCTION("""COMPUTED_VALUE"""),"R-AG400-BKNPMG2-G")</f>
        <v>R-AG400-BKNPMG2-G</v>
      </c>
      <c r="C1147" s="16" t="str">
        <f ca="1">IFERROR(__xludf.DUMMYFUNCTION("""COMPUTED_VALUE"""),"18,")</f>
        <v>18,</v>
      </c>
    </row>
    <row r="1148" spans="1:3" ht="15.75" customHeight="1">
      <c r="A1148" s="16" t="str">
        <f ca="1">IFERROR(__xludf.DUMMYFUNCTION("""COMPUTED_VALUE"""),"Кулер Deepcool AG300 LED")</f>
        <v>Кулер Deepcool AG300 LED</v>
      </c>
      <c r="B1148" s="16" t="str">
        <f ca="1">IFERROR(__xludf.DUMMYFUNCTION("""COMPUTED_VALUE"""),"R-AG300-BKLNMN-G")</f>
        <v>R-AG300-BKLNMN-G</v>
      </c>
      <c r="C1148" s="16" t="str">
        <f ca="1">IFERROR(__xludf.DUMMYFUNCTION("""COMPUTED_VALUE"""),"12,")</f>
        <v>12,</v>
      </c>
    </row>
    <row r="1149" spans="1:3" ht="15.75" customHeight="1">
      <c r="A1149" s="16" t="str">
        <f ca="1">IFERROR(__xludf.DUMMYFUNCTION("""COMPUTED_VALUE"""),"Кулер Deepcool AG300")</f>
        <v>Кулер Deepcool AG300</v>
      </c>
      <c r="B1149" s="16" t="str">
        <f ca="1">IFERROR(__xludf.DUMMYFUNCTION("""COMPUTED_VALUE"""),"")</f>
        <v/>
      </c>
      <c r="C1149" s="16" t="str">
        <f ca="1">IFERROR(__xludf.DUMMYFUNCTION("""COMPUTED_VALUE"""),"10,")</f>
        <v>10,</v>
      </c>
    </row>
    <row r="1150" spans="1:3" ht="15.75" customHeight="1">
      <c r="A1150" s="16" t="str">
        <f ca="1">IFERROR(__xludf.DUMMYFUNCTION("""COMPUTED_VALUE"""),"Кулер Deepcool GAMMA ARCHER V2 (опт - 6)")</f>
        <v>Кулер Deepcool GAMMA ARCHER V2 (опт - 6)</v>
      </c>
      <c r="B1150" s="16" t="str">
        <f ca="1">IFERROR(__xludf.DUMMYFUNCTION("""COMPUTED_VALUE"""),"")</f>
        <v/>
      </c>
      <c r="C1150" s="16" t="str">
        <f ca="1">IFERROR(__xludf.DUMMYFUNCTION("""COMPUTED_VALUE"""),"6,5")</f>
        <v>6,5</v>
      </c>
    </row>
    <row r="1151" spans="1:3" ht="15.75" customHeight="1">
      <c r="A1151" s="16" t="str">
        <f ca="1">IFERROR(__xludf.DUMMYFUNCTION("""COMPUTED_VALUE"""),"Кулер Deepcool CK-11508 PWM (опт - 3)")</f>
        <v>Кулер Deepcool CK-11508 PWM (опт - 3)</v>
      </c>
      <c r="B1151" s="16" t="str">
        <f ca="1">IFERROR(__xludf.DUMMYFUNCTION("""COMPUTED_VALUE"""),"")</f>
        <v/>
      </c>
      <c r="C1151" s="16" t="str">
        <f ca="1">IFERROR(__xludf.DUMMYFUNCTION("""COMPUTED_VALUE"""),"3,5")</f>
        <v>3,5</v>
      </c>
    </row>
    <row r="1152" spans="1:3" ht="15.75" customHeight="1">
      <c r="A1152" s="16" t="str">
        <f ca="1">IFERROR(__xludf.DUMMYFUNCTION("""COMPUTED_VALUE"""),"Водяной кулер TRYX PANORAMA 360mm AIO Liquid Cooler ARGB Black")</f>
        <v>Водяной кулер TRYX PANORAMA 360mm AIO Liquid Cooler ARGB Black</v>
      </c>
      <c r="B1152" s="16" t="str">
        <f ca="1">IFERROR(__xludf.DUMMYFUNCTION("""COMPUTED_VALUE"""),"L-P360A-AS3M-G1K")</f>
        <v>L-P360A-AS3M-G1K</v>
      </c>
      <c r="C1152" s="16" t="str">
        <f ca="1">IFERROR(__xludf.DUMMYFUNCTION("""COMPUTED_VALUE"""),"370,")</f>
        <v>370,</v>
      </c>
    </row>
    <row r="1153" spans="1:3" ht="15.75" customHeight="1">
      <c r="A1153" s="16" t="str">
        <f ca="1">IFERROR(__xludf.DUMMYFUNCTION("""COMPUTED_VALUE"""),"Водяной кулер TRYX PANORAMA 360mm AIO Liquid Cooler ARGB White")</f>
        <v>Водяной кулер TRYX PANORAMA 360mm AIO Liquid Cooler ARGB White</v>
      </c>
      <c r="B1153" s="16" t="str">
        <f ca="1">IFERROR(__xludf.DUMMYFUNCTION("""COMPUTED_VALUE"""),"L-P360A-AS3M-G1W")</f>
        <v>L-P360A-AS3M-G1W</v>
      </c>
      <c r="C1153" s="16" t="str">
        <f ca="1">IFERROR(__xludf.DUMMYFUNCTION("""COMPUTED_VALUE"""),"370,")</f>
        <v>370,</v>
      </c>
    </row>
    <row r="1154" spans="1:3" ht="15.75" customHeight="1">
      <c r="A1154" s="16" t="str">
        <f ca="1">IFERROR(__xludf.DUMMYFUNCTION("""COMPUTED_VALUE"""),"Водяной кулер TRYX PANORAMA 360mm AIO Liquid Cooler Black")</f>
        <v>Водяной кулер TRYX PANORAMA 360mm AIO Liquid Cooler Black</v>
      </c>
      <c r="B1154" s="16" t="str">
        <f ca="1">IFERROR(__xludf.DUMMYFUNCTION("""COMPUTED_VALUE"""),"L-P360N-DS3M-G1K")</f>
        <v>L-P360N-DS3M-G1K</v>
      </c>
      <c r="C1154" s="16" t="str">
        <f ca="1">IFERROR(__xludf.DUMMYFUNCTION("""COMPUTED_VALUE"""),"360,")</f>
        <v>360,</v>
      </c>
    </row>
    <row r="1155" spans="1:3" ht="15.75" customHeight="1">
      <c r="A1155" s="16" t="str">
        <f ca="1">IFERROR(__xludf.DUMMYFUNCTION("""COMPUTED_VALUE"""),"Водяной кулер TRYX PANORAMA 360mm AIO Liquid Cooler White")</f>
        <v>Водяной кулер TRYX PANORAMA 360mm AIO Liquid Cooler White</v>
      </c>
      <c r="B1155" s="16" t="str">
        <f ca="1">IFERROR(__xludf.DUMMYFUNCTION("""COMPUTED_VALUE"""),"L-P360N-DS3M-G1W")</f>
        <v>L-P360N-DS3M-G1W</v>
      </c>
      <c r="C1155" s="16" t="str">
        <f ca="1">IFERROR(__xludf.DUMMYFUNCTION("""COMPUTED_VALUE"""),"360,")</f>
        <v>360,</v>
      </c>
    </row>
    <row r="1156" spans="1:3" ht="15.75" customHeight="1">
      <c r="A1156" s="16" t="str">
        <f ca="1">IFERROR(__xludf.DUMMYFUNCTION("""COMPUTED_VALUE"""),"Водяной кулер TRYX PANORAMA SE 360 ARGB Liquid Cooler Black")</f>
        <v>Водяной кулер TRYX PANORAMA SE 360 ARGB Liquid Cooler Black</v>
      </c>
      <c r="B1156" s="16" t="str">
        <f ca="1">IFERROR(__xludf.DUMMYFUNCTION("""COMPUTED_VALUE"""),"L-P360L-AM3M-G0K")</f>
        <v>L-P360L-AM3M-G0K</v>
      </c>
      <c r="C1156" s="16" t="str">
        <f ca="1">IFERROR(__xludf.DUMMYFUNCTION("""COMPUTED_VALUE"""),"270,")</f>
        <v>270,</v>
      </c>
    </row>
    <row r="1157" spans="1:3" ht="15.75" customHeight="1">
      <c r="A1157" s="16" t="str">
        <f ca="1">IFERROR(__xludf.DUMMYFUNCTION("""COMPUTED_VALUE"""),"Водяной кулер TRYX PANORAMA SE 360 ARGB Liquid Cooler White")</f>
        <v>Водяной кулер TRYX PANORAMA SE 360 ARGB Liquid Cooler White</v>
      </c>
      <c r="B1157" s="16" t="str">
        <f ca="1">IFERROR(__xludf.DUMMYFUNCTION("""COMPUTED_VALUE"""),"L-P360L-AM3M-G0W")</f>
        <v>L-P360L-AM3M-G0W</v>
      </c>
      <c r="C1157" s="16" t="str">
        <f ca="1">IFERROR(__xludf.DUMMYFUNCTION("""COMPUTED_VALUE"""),"270,")</f>
        <v>270,</v>
      </c>
    </row>
    <row r="1158" spans="1:3" ht="15.75" customHeight="1">
      <c r="A1158" s="16" t="str">
        <f ca="1">IFERROR(__xludf.DUMMYFUNCTION("""COMPUTED_VALUE"""),"Корпус TRYX LUCA L70 Midtower Case Black")</f>
        <v>Корпус TRYX LUCA L70 Midtower Case Black</v>
      </c>
      <c r="B1158" s="16" t="str">
        <f ca="1">IFERROR(__xludf.DUMMYFUNCTION("""COMPUTED_VALUE"""),"C-L700N-NN0H-G0K")</f>
        <v>C-L700N-NN0H-G0K</v>
      </c>
      <c r="C1158" s="16" t="str">
        <f ca="1">IFERROR(__xludf.DUMMYFUNCTION("""COMPUTED_VALUE"""),"230,")</f>
        <v>230,</v>
      </c>
    </row>
    <row r="1159" spans="1:3" ht="15.75" customHeight="1">
      <c r="A1159" s="16" t="str">
        <f ca="1">IFERROR(__xludf.DUMMYFUNCTION("""COMPUTED_VALUE"""),"Корпус TRYX LUCA L70 Midtower Case White")</f>
        <v>Корпус TRYX LUCA L70 Midtower Case White</v>
      </c>
      <c r="B1159" s="16" t="str">
        <f ca="1">IFERROR(__xludf.DUMMYFUNCTION("""COMPUTED_VALUE"""),"C-L700N-NN0H-G0W")</f>
        <v>C-L700N-NN0H-G0W</v>
      </c>
      <c r="C1159" s="16" t="str">
        <f ca="1">IFERROR(__xludf.DUMMYFUNCTION("""COMPUTED_VALUE"""),"230,")</f>
        <v>230,</v>
      </c>
    </row>
    <row r="1160" spans="1:3" ht="15.75" customHeight="1">
      <c r="A1160" s="16" t="str">
        <f ca="1">IFERROR(__xludf.DUMMYFUNCTION("""COMPUTED_VALUE"""),"TRYX STRING PCIE 5.0 Riser cable 300mm Black")</f>
        <v>TRYX STRING PCIE 5.0 Riser cable 300mm Black</v>
      </c>
      <c r="B1160" s="16" t="str">
        <f ca="1">IFERROR(__xludf.DUMMYFUNCTION("""COMPUTED_VALUE"""),"A-S300C-PCI5-G0K")</f>
        <v>A-S300C-PCI5-G0K</v>
      </c>
      <c r="C1160" s="16" t="str">
        <f ca="1">IFERROR(__xludf.DUMMYFUNCTION("""COMPUTED_VALUE"""),"70,")</f>
        <v>70,</v>
      </c>
    </row>
    <row r="1161" spans="1:3" ht="15.75" customHeight="1">
      <c r="A1161" s="16" t="str">
        <f ca="1">IFERROR(__xludf.DUMMYFUNCTION("""COMPUTED_VALUE"""),"TRYX STRING PCIE 5.0 Riser cable 300mm White")</f>
        <v>TRYX STRING PCIE 5.0 Riser cable 300mm White</v>
      </c>
      <c r="B1161" s="16" t="str">
        <f ca="1">IFERROR(__xludf.DUMMYFUNCTION("""COMPUTED_VALUE"""),"A-S300C-PCI5-G0W")</f>
        <v>A-S300C-PCI5-G0W</v>
      </c>
      <c r="C1161" s="16" t="str">
        <f ca="1">IFERROR(__xludf.DUMMYFUNCTION("""COMPUTED_VALUE"""),"70,")</f>
        <v>70,</v>
      </c>
    </row>
    <row r="1162" spans="1:3" ht="15.75" customHeight="1">
      <c r="A1162" s="16" t="str">
        <f ca="1">IFERROR(__xludf.DUMMYFUNCTION("""COMPUTED_VALUE"""),"SPG3-B-5PPB  1,5м                                                                  ")</f>
        <v xml:space="preserve">SPG3-B-5PPB  1,5м                                                                  </v>
      </c>
      <c r="B1162" s="16" t="str">
        <f ca="1">IFERROR(__xludf.DUMMYFUNCTION("""COMPUTED_VALUE"""),"")</f>
        <v/>
      </c>
      <c r="C1162" s="16" t="str">
        <f ca="1">IFERROR(__xludf.DUMMYFUNCTION("""COMPUTED_VALUE"""),"3,")</f>
        <v>3,</v>
      </c>
    </row>
    <row r="1163" spans="1:3" ht="15.75" customHeight="1">
      <c r="A1163" s="16" t="str">
        <f ca="1">IFERROR(__xludf.DUMMYFUNCTION("""COMPUTED_VALUE"""),"SPG6-B-10PPB 3м                                                            ")</f>
        <v xml:space="preserve">SPG6-B-10PPB 3м                                                            </v>
      </c>
      <c r="B1163" s="16" t="str">
        <f ca="1">IFERROR(__xludf.DUMMYFUNCTION("""COMPUTED_VALUE"""),"")</f>
        <v/>
      </c>
      <c r="C1163" s="16" t="str">
        <f ca="1">IFERROR(__xludf.DUMMYFUNCTION("""COMPUTED_VALUE"""),"3,8")</f>
        <v>3,8</v>
      </c>
    </row>
    <row r="1164" spans="1:3" ht="15.75" customHeight="1">
      <c r="A1164" s="16" t="str">
        <f ca="1">IFERROR(__xludf.DUMMYFUNCTION("""COMPUTED_VALUE"""),"SPG6-B-15PPB 5м                                                                    ")</f>
        <v xml:space="preserve">SPG6-B-15PPB 5м                                                                    </v>
      </c>
      <c r="B1164" s="16" t="str">
        <f ca="1">IFERROR(__xludf.DUMMYFUNCTION("""COMPUTED_VALUE"""),"")</f>
        <v/>
      </c>
      <c r="C1164" s="16" t="str">
        <f ca="1">IFERROR(__xludf.DUMMYFUNCTION("""COMPUTED_VALUE"""),"4,5")</f>
        <v>4,5</v>
      </c>
    </row>
    <row r="1165" spans="1:3" ht="15.75" customHeight="1">
      <c r="A1165" s="16" t="str">
        <f ca="1">IFERROR(__xludf.DUMMYFUNCTION("""COMPUTED_VALUE"""),"SPG5-C-5 1,5м                                                                                                  для нагрузки до 16 ампер                                         продажа только коробка                                                         "&amp;"                   кол-во в коробке: 20шт ")</f>
        <v xml:space="preserve">SPG5-C-5 1,5м                                                                                                  для нагрузки до 16 ампер                                         продажа только коробка                                                                            кол-во в коробке: 20шт </v>
      </c>
      <c r="B1165" s="16" t="str">
        <f ca="1">IFERROR(__xludf.DUMMYFUNCTION("""COMPUTED_VALUE"""),"")</f>
        <v/>
      </c>
      <c r="C1165" s="16" t="str">
        <f ca="1">IFERROR(__xludf.DUMMYFUNCTION("""COMPUTED_VALUE"""),"6,3")</f>
        <v>6,3</v>
      </c>
    </row>
    <row r="1166" spans="1:3" ht="15.75" customHeight="1">
      <c r="A1166" s="16" t="str">
        <f ca="1">IFERROR(__xludf.DUMMYFUNCTION("""COMPUTED_VALUE"""),"SPG5-C-10 3м                                                                                               для нагрузки до 16 ампер                                        продажа только коробка                                                             к"&amp;"ол-во в коробке: 20шт ")</f>
        <v xml:space="preserve">SPG5-C-10 3м                                                                                               для нагрузки до 16 ампер                                        продажа только коробка                                                             кол-во в коробке: 20шт </v>
      </c>
      <c r="B1166" s="16" t="str">
        <f ca="1">IFERROR(__xludf.DUMMYFUNCTION("""COMPUTED_VALUE"""),"")</f>
        <v/>
      </c>
      <c r="C1166" s="16" t="str">
        <f ca="1">IFERROR(__xludf.DUMMYFUNCTION("""COMPUTED_VALUE"""),"7,")</f>
        <v>7,</v>
      </c>
    </row>
    <row r="1167" spans="1:3" ht="15.75" customHeight="1">
      <c r="A1167" s="16" t="str">
        <f ca="1">IFERROR(__xludf.DUMMYFUNCTION("""COMPUTED_VALUE"""),"SPG5-C-15  4,5м                                                                                                         для нагрузки до 16 ампер                                              продажа только коробка                                           "&amp;"                   кол-во в коробке: 20шт ")</f>
        <v xml:space="preserve">SPG5-C-15  4,5м                                                                                                         для нагрузки до 16 ампер                                              продажа только коробка                                                              кол-во в коробке: 20шт </v>
      </c>
      <c r="B1167" s="16" t="str">
        <f ca="1">IFERROR(__xludf.DUMMYFUNCTION("""COMPUTED_VALUE"""),"")</f>
        <v/>
      </c>
      <c r="C1167" s="16" t="str">
        <f ca="1">IFERROR(__xludf.DUMMYFUNCTION("""COMPUTED_VALUE"""),"8,")</f>
        <v>8,</v>
      </c>
    </row>
    <row r="1168" spans="1:3" ht="15.75" customHeight="1">
      <c r="A1168" s="16" t="str">
        <f ca="1">IFERROR(__xludf.DUMMYFUNCTION("""COMPUTED_VALUE"""),"BAT-12V7AH")</f>
        <v>BAT-12V7AH</v>
      </c>
      <c r="B1168" s="16" t="str">
        <f ca="1">IFERROR(__xludf.DUMMYFUNCTION("""COMPUTED_VALUE"""),"")</f>
        <v/>
      </c>
      <c r="C1168" s="16" t="str">
        <f ca="1">IFERROR(__xludf.DUMMYFUNCTION("""COMPUTED_VALUE"""),"15,")</f>
        <v>15,</v>
      </c>
    </row>
    <row r="1169" spans="1:3" ht="15.75" customHeight="1">
      <c r="A1169" s="16" t="str">
        <f ca="1">IFERROR(__xludf.DUMMYFUNCTION("""COMPUTED_VALUE"""),"BAT-12V9AH")</f>
        <v>BAT-12V9AH</v>
      </c>
      <c r="B1169" s="16" t="str">
        <f ca="1">IFERROR(__xludf.DUMMYFUNCTION("""COMPUTED_VALUE"""),"")</f>
        <v/>
      </c>
      <c r="C1169" s="16" t="str">
        <f ca="1">IFERROR(__xludf.DUMMYFUNCTION("""COMPUTED_VALUE"""),"18,")</f>
        <v>18,</v>
      </c>
    </row>
    <row r="1170" spans="1:3" ht="15.75" customHeight="1">
      <c r="A1170" s="16" t="str">
        <f ca="1">IFERROR(__xludf.DUMMYFUNCTION("""COMPUTED_VALUE"""),"ID Cooling DK-03 Halo AMD RED")</f>
        <v>ID Cooling DK-03 Halo AMD RED</v>
      </c>
      <c r="B1170" s="16" t="str">
        <f ca="1">IFERROR(__xludf.DUMMYFUNCTION("""COMPUTED_VALUE"""),"")</f>
        <v/>
      </c>
      <c r="C1170" s="16" t="str">
        <f ca="1">IFERROR(__xludf.DUMMYFUNCTION("""COMPUTED_VALUE"""),"3,")</f>
        <v>3,</v>
      </c>
    </row>
    <row r="1171" spans="1:3" ht="15.75" customHeight="1">
      <c r="A1171" s="16" t="str">
        <f ca="1">IFERROR(__xludf.DUMMYFUNCTION("""COMPUTED_VALUE"""),"ID Cooling  Брикет  ABF-1700")</f>
        <v>ID Cooling  Брикет  ABF-1700</v>
      </c>
      <c r="B1171" s="16" t="str">
        <f ca="1">IFERROR(__xludf.DUMMYFUNCTION("""COMPUTED_VALUE"""),"")</f>
        <v/>
      </c>
      <c r="C1171" s="16" t="str">
        <f ca="1">IFERROR(__xludf.DUMMYFUNCTION("""COMPUTED_VALUE"""),"7,")</f>
        <v>7,</v>
      </c>
    </row>
    <row r="1172" spans="1:3" ht="15.75" customHeight="1">
      <c r="A1172" s="16" t="str">
        <f ca="1">IFERROR(__xludf.DUMMYFUNCTION("""COMPUTED_VALUE"""),"ID Cooling  Брикет  ABF-1851")</f>
        <v>ID Cooling  Брикет  ABF-1851</v>
      </c>
      <c r="B1172" s="16" t="str">
        <f ca="1">IFERROR(__xludf.DUMMYFUNCTION("""COMPUTED_VALUE"""),"")</f>
        <v/>
      </c>
      <c r="C1172" s="16" t="str">
        <f ca="1">IFERROR(__xludf.DUMMYFUNCTION("""COMPUTED_VALUE"""),"7,")</f>
        <v>7,</v>
      </c>
    </row>
    <row r="1173" spans="1:3" ht="15.75" customHeight="1">
      <c r="A1173" s="16" t="str">
        <f ca="1">IFERROR(__xludf.DUMMYFUNCTION("""COMPUTED_VALUE"""),"ID Cooling  Брикет  ABF-AM5")</f>
        <v>ID Cooling  Брикет  ABF-AM5</v>
      </c>
      <c r="B1173" s="16" t="str">
        <f ca="1">IFERROR(__xludf.DUMMYFUNCTION("""COMPUTED_VALUE"""),"")</f>
        <v/>
      </c>
      <c r="C1173" s="16" t="str">
        <f ca="1">IFERROR(__xludf.DUMMYFUNCTION("""COMPUTED_VALUE"""),"7,")</f>
        <v>7,</v>
      </c>
    </row>
    <row r="1174" spans="1:3" ht="15.75" customHeight="1">
      <c r="A1174" s="16" t="str">
        <f ca="1">IFERROR(__xludf.DUMMYFUNCTION("""COMPUTED_VALUE"""),"ID Cooling  SE-802-SD V3")</f>
        <v>ID Cooling  SE-802-SD V3</v>
      </c>
      <c r="B1174" s="16" t="str">
        <f ca="1">IFERROR(__xludf.DUMMYFUNCTION("""COMPUTED_VALUE"""),"")</f>
        <v/>
      </c>
      <c r="C1174" s="16" t="str">
        <f ca="1">IFERROR(__xludf.DUMMYFUNCTION("""COMPUTED_VALUE"""),"6,")</f>
        <v>6,</v>
      </c>
    </row>
    <row r="1175" spans="1:3" ht="15.75" customHeight="1">
      <c r="A1175" s="16" t="str">
        <f ca="1">IFERROR(__xludf.DUMMYFUNCTION("""COMPUTED_VALUE"""),"ID Cooling  SE-903-XT FRGB")</f>
        <v>ID Cooling  SE-903-XT FRGB</v>
      </c>
      <c r="B1175" s="16" t="str">
        <f ca="1">IFERROR(__xludf.DUMMYFUNCTION("""COMPUTED_VALUE"""),"")</f>
        <v/>
      </c>
      <c r="C1175" s="16" t="str">
        <f ca="1">IFERROR(__xludf.DUMMYFUNCTION("""COMPUTED_VALUE"""),"10,")</f>
        <v>10,</v>
      </c>
    </row>
    <row r="1176" spans="1:3" ht="15.75" customHeight="1">
      <c r="A1176" s="16" t="str">
        <f ca="1">IFERROR(__xludf.DUMMYFUNCTION("""COMPUTED_VALUE"""),"ID Cooling BLITZ X4")</f>
        <v>ID Cooling BLITZ X4</v>
      </c>
      <c r="B1176" s="16" t="str">
        <f ca="1">IFERROR(__xludf.DUMMYFUNCTION("""COMPUTED_VALUE"""),"")</f>
        <v/>
      </c>
      <c r="C1176" s="16" t="str">
        <f ca="1">IFERROR(__xludf.DUMMYFUNCTION("""COMPUTED_VALUE"""),"13,")</f>
        <v>13,</v>
      </c>
    </row>
    <row r="1177" spans="1:3" ht="15.75" customHeight="1">
      <c r="A1177" s="16" t="str">
        <f ca="1">IFERROR(__xludf.DUMMYFUNCTION("""COMPUTED_VALUE"""),"ID Cooling SE-214-XT ARGB")</f>
        <v>ID Cooling SE-214-XT ARGB</v>
      </c>
      <c r="B1177" s="16" t="str">
        <f ca="1">IFERROR(__xludf.DUMMYFUNCTION("""COMPUTED_VALUE"""),"")</f>
        <v/>
      </c>
      <c r="C1177" s="16" t="str">
        <f ca="1">IFERROR(__xludf.DUMMYFUNCTION("""COMPUTED_VALUE"""),"13,")</f>
        <v>13,</v>
      </c>
    </row>
    <row r="1178" spans="1:3" ht="15.75" customHeight="1">
      <c r="A1178" s="16" t="str">
        <f ca="1">IFERROR(__xludf.DUMMYFUNCTION("""COMPUTED_VALUE"""),"ID Cooling SE-224-XTS")</f>
        <v>ID Cooling SE-224-XTS</v>
      </c>
      <c r="B1178" s="16" t="str">
        <f ca="1">IFERROR(__xludf.DUMMYFUNCTION("""COMPUTED_VALUE"""),"")</f>
        <v/>
      </c>
      <c r="C1178" s="16" t="str">
        <f ca="1">IFERROR(__xludf.DUMMYFUNCTION("""COMPUTED_VALUE"""),"15,")</f>
        <v>15,</v>
      </c>
    </row>
    <row r="1179" spans="1:3" ht="15.75" customHeight="1">
      <c r="A1179" s="16" t="str">
        <f ca="1">IFERROR(__xludf.DUMMYFUNCTION("""COMPUTED_VALUE"""),"ID Cooling SE-224-XTS ARGB")</f>
        <v>ID Cooling SE-224-XTS ARGB</v>
      </c>
      <c r="B1179" s="16" t="str">
        <f ca="1">IFERROR(__xludf.DUMMYFUNCTION("""COMPUTED_VALUE"""),"")</f>
        <v/>
      </c>
      <c r="C1179" s="16" t="str">
        <f ca="1">IFERROR(__xludf.DUMMYFUNCTION("""COMPUTED_VALUE"""),"19,")</f>
        <v>19,</v>
      </c>
    </row>
    <row r="1180" spans="1:3" ht="15.75" customHeight="1">
      <c r="A1180" s="16" t="str">
        <f ca="1">IFERROR(__xludf.DUMMYFUNCTION("""COMPUTED_VALUE"""),"ID Cooling FROZN A400 BLACK")</f>
        <v>ID Cooling FROZN A400 BLACK</v>
      </c>
      <c r="B1180" s="16" t="str">
        <f ca="1">IFERROR(__xludf.DUMMYFUNCTION("""COMPUTED_VALUE"""),"")</f>
        <v/>
      </c>
      <c r="C1180" s="16" t="str">
        <f ca="1">IFERROR(__xludf.DUMMYFUNCTION("""COMPUTED_VALUE"""),"16,")</f>
        <v>16,</v>
      </c>
    </row>
    <row r="1181" spans="1:3" ht="15.75" customHeight="1">
      <c r="A1181" s="16" t="str">
        <f ca="1">IFERROR(__xludf.DUMMYFUNCTION("""COMPUTED_VALUE"""),"ID Cooling FROZN A410 DK")</f>
        <v>ID Cooling FROZN A410 DK</v>
      </c>
      <c r="B1181" s="16" t="str">
        <f ca="1">IFERROR(__xludf.DUMMYFUNCTION("""COMPUTED_VALUE"""),"")</f>
        <v/>
      </c>
      <c r="C1181" s="16" t="str">
        <f ca="1">IFERROR(__xludf.DUMMYFUNCTION("""COMPUTED_VALUE"""),"20,")</f>
        <v>20,</v>
      </c>
    </row>
    <row r="1182" spans="1:3" ht="15.75" customHeight="1">
      <c r="A1182" s="16" t="str">
        <f ca="1">IFERROR(__xludf.DUMMYFUNCTION("""COMPUTED_VALUE"""),"ID Cooling FROZN A410 DW")</f>
        <v>ID Cooling FROZN A410 DW</v>
      </c>
      <c r="B1182" s="16" t="str">
        <f ca="1">IFERROR(__xludf.DUMMYFUNCTION("""COMPUTED_VALUE"""),"")</f>
        <v/>
      </c>
      <c r="C1182" s="16" t="str">
        <f ca="1">IFERROR(__xludf.DUMMYFUNCTION("""COMPUTED_VALUE"""),"22,")</f>
        <v>22,</v>
      </c>
    </row>
    <row r="1183" spans="1:3" ht="15.75" customHeight="1">
      <c r="A1183" s="16" t="str">
        <f ca="1">IFERROR(__xludf.DUMMYFUNCTION("""COMPUTED_VALUE"""),"ID Cooling FROZN A410 GDL")</f>
        <v>ID Cooling FROZN A410 GDL</v>
      </c>
      <c r="B1183" s="16" t="str">
        <f ca="1">IFERROR(__xludf.DUMMYFUNCTION("""COMPUTED_VALUE"""),"")</f>
        <v/>
      </c>
      <c r="C1183" s="16" t="str">
        <f ca="1">IFERROR(__xludf.DUMMYFUNCTION("""COMPUTED_VALUE"""),"22,")</f>
        <v>22,</v>
      </c>
    </row>
    <row r="1184" spans="1:3" ht="15.75" customHeight="1">
      <c r="A1184" s="16" t="str">
        <f ca="1">IFERROR(__xludf.DUMMYFUNCTION("""COMPUTED_VALUE"""),"ID Cooling FROZN A410 ARGB")</f>
        <v>ID Cooling FROZN A410 ARGB</v>
      </c>
      <c r="B1184" s="16" t="str">
        <f ca="1">IFERROR(__xludf.DUMMYFUNCTION("""COMPUTED_VALUE"""),"")</f>
        <v/>
      </c>
      <c r="C1184" s="16" t="str">
        <f ca="1">IFERROR(__xludf.DUMMYFUNCTION("""COMPUTED_VALUE"""),"23,")</f>
        <v>23,</v>
      </c>
    </row>
    <row r="1185" spans="1:3" ht="15.75" customHeight="1">
      <c r="A1185" s="16" t="str">
        <f ca="1">IFERROR(__xludf.DUMMYFUNCTION("""COMPUTED_VALUE"""),"ID Cooling FROZN A410 ARGB WHITE")</f>
        <v>ID Cooling FROZN A410 ARGB WHITE</v>
      </c>
      <c r="B1185" s="16" t="str">
        <f ca="1">IFERROR(__xludf.DUMMYFUNCTION("""COMPUTED_VALUE"""),"")</f>
        <v/>
      </c>
      <c r="C1185" s="16" t="str">
        <f ca="1">IFERROR(__xludf.DUMMYFUNCTION("""COMPUTED_VALUE"""),"30,")</f>
        <v>30,</v>
      </c>
    </row>
    <row r="1186" spans="1:3" ht="15.75" customHeight="1">
      <c r="A1186" s="16" t="str">
        <f ca="1">IFERROR(__xludf.DUMMYFUNCTION("""COMPUTED_VALUE"""),"ID Cooling FROZN A620 ARGB WHITE")</f>
        <v>ID Cooling FROZN A620 ARGB WHITE</v>
      </c>
      <c r="B1186" s="16" t="str">
        <f ca="1">IFERROR(__xludf.DUMMYFUNCTION("""COMPUTED_VALUE"""),"")</f>
        <v/>
      </c>
      <c r="C1186" s="16" t="str">
        <f ca="1">IFERROR(__xludf.DUMMYFUNCTION("""COMPUTED_VALUE"""),"50,")</f>
        <v>50,</v>
      </c>
    </row>
    <row r="1187" spans="1:3" ht="15.75" customHeight="1">
      <c r="A1187" s="16" t="str">
        <f ca="1">IFERROR(__xludf.DUMMYFUNCTION("""COMPUTED_VALUE"""),"ID Cooling SE-225-XT BLACK V2")</f>
        <v>ID Cooling SE-225-XT BLACK V2</v>
      </c>
      <c r="B1187" s="16" t="str">
        <f ca="1">IFERROR(__xludf.DUMMYFUNCTION("""COMPUTED_VALUE"""),"")</f>
        <v/>
      </c>
      <c r="C1187" s="16" t="str">
        <f ca="1">IFERROR(__xludf.DUMMYFUNCTION("""COMPUTED_VALUE"""),"32,")</f>
        <v>32,</v>
      </c>
    </row>
    <row r="1188" spans="1:3" ht="15.75" customHeight="1">
      <c r="A1188" s="16" t="str">
        <f ca="1">IFERROR(__xludf.DUMMYFUNCTION("""COMPUTED_VALUE"""),"ID Cooling FX360 INF")</f>
        <v>ID Cooling FX360 INF</v>
      </c>
      <c r="B1188" s="16" t="str">
        <f ca="1">IFERROR(__xludf.DUMMYFUNCTION("""COMPUTED_VALUE"""),"")</f>
        <v/>
      </c>
      <c r="C1188" s="16" t="str">
        <f ca="1">IFERROR(__xludf.DUMMYFUNCTION("""COMPUTED_VALUE"""),"63,")</f>
        <v>63,</v>
      </c>
    </row>
    <row r="1189" spans="1:3" ht="15.75" customHeight="1">
      <c r="A1189" s="16" t="str">
        <f ca="1">IFERROR(__xludf.DUMMYFUNCTION("""COMPUTED_VALUE"""),"ID Cooling FX360 INF WHITE")</f>
        <v>ID Cooling FX360 INF WHITE</v>
      </c>
      <c r="B1189" s="16" t="str">
        <f ca="1">IFERROR(__xludf.DUMMYFUNCTION("""COMPUTED_VALUE"""),"")</f>
        <v/>
      </c>
      <c r="C1189" s="16" t="str">
        <f ca="1">IFERROR(__xludf.DUMMYFUNCTION("""COMPUTED_VALUE"""),"66,")</f>
        <v>66,</v>
      </c>
    </row>
    <row r="1190" spans="1:3" ht="15.75" customHeight="1">
      <c r="A1190" s="16" t="str">
        <f ca="1">IFERROR(__xludf.DUMMYFUNCTION("""COMPUTED_VALUE"""),"ID Cooling DX360 MAX")</f>
        <v>ID Cooling DX360 MAX</v>
      </c>
      <c r="B1190" s="16" t="str">
        <f ca="1">IFERROR(__xludf.DUMMYFUNCTION("""COMPUTED_VALUE"""),"")</f>
        <v/>
      </c>
      <c r="C1190" s="16" t="str">
        <f ca="1">IFERROR(__xludf.DUMMYFUNCTION("""COMPUTED_VALUE"""),"68,")</f>
        <v>68,</v>
      </c>
    </row>
    <row r="1191" spans="1:3" ht="15.75" customHeight="1">
      <c r="A1191" s="16" t="str">
        <f ca="1">IFERROR(__xludf.DUMMYFUNCTION("""COMPUTED_VALUE"""),"ID Cooling PINKFLOW 240 ARGB (водяной кулер)")</f>
        <v>ID Cooling PINKFLOW 240 ARGB (водяной кулер)</v>
      </c>
      <c r="B1191" s="16" t="str">
        <f ca="1">IFERROR(__xludf.DUMMYFUNCTION("""COMPUTED_VALUE"""),"")</f>
        <v/>
      </c>
      <c r="C1191" s="16" t="str">
        <f ca="1">IFERROR(__xludf.DUMMYFUNCTION("""COMPUTED_VALUE"""),"50,")</f>
        <v>50,</v>
      </c>
    </row>
    <row r="1192" spans="1:3" ht="15.75" customHeight="1">
      <c r="A1192" s="16" t="str">
        <f ca="1">IFERROR(__xludf.DUMMYFUNCTION("""COMPUTED_VALUE"""),"ID Cooling PINKFLOW 240 DIAMOND (водяной кулер)")</f>
        <v>ID Cooling PINKFLOW 240 DIAMOND (водяной кулер)</v>
      </c>
      <c r="B1192" s="16" t="str">
        <f ca="1">IFERROR(__xludf.DUMMYFUNCTION("""COMPUTED_VALUE"""),"")</f>
        <v/>
      </c>
      <c r="C1192" s="16" t="str">
        <f ca="1">IFERROR(__xludf.DUMMYFUNCTION("""COMPUTED_VALUE"""),"50,")</f>
        <v>50,</v>
      </c>
    </row>
    <row r="1193" spans="1:3" ht="15.75" customHeight="1">
      <c r="A1193" s="16" t="str">
        <f ca="1">IFERROR(__xludf.DUMMYFUNCTION("""COMPUTED_VALUE"""),"ID Cooling DASHFLOW 360 XT PRO")</f>
        <v>ID Cooling DASHFLOW 360 XT PRO</v>
      </c>
      <c r="B1193" s="16" t="str">
        <f ca="1">IFERROR(__xludf.DUMMYFUNCTION("""COMPUTED_VALUE"""),"")</f>
        <v/>
      </c>
      <c r="C1193" s="16" t="str">
        <f ca="1">IFERROR(__xludf.DUMMYFUNCTION("""COMPUTED_VALUE"""),"85,")</f>
        <v>85,</v>
      </c>
    </row>
    <row r="1194" spans="1:3" ht="15.75" customHeight="1">
      <c r="A1194" s="16" t="str">
        <f ca="1">IFERROR(__xludf.DUMMYFUNCTION("""COMPUTED_VALUE"""),"ID Cooling SL360 PRO SE")</f>
        <v>ID Cooling SL360 PRO SE</v>
      </c>
      <c r="B1194" s="16" t="str">
        <f ca="1">IFERROR(__xludf.DUMMYFUNCTION("""COMPUTED_VALUE"""),"")</f>
        <v/>
      </c>
      <c r="C1194" s="16" t="str">
        <f ca="1">IFERROR(__xludf.DUMMYFUNCTION("""COMPUTED_VALUE"""),"100,")</f>
        <v>100,</v>
      </c>
    </row>
    <row r="1195" spans="1:3" ht="15.75" customHeight="1">
      <c r="A1195" s="16" t="str">
        <f ca="1">IFERROR(__xludf.DUMMYFUNCTION("""COMPUTED_VALUE"""),"ID Cooling SL360 XE")</f>
        <v>ID Cooling SL360 XE</v>
      </c>
      <c r="B1195" s="16" t="str">
        <f ca="1">IFERROR(__xludf.DUMMYFUNCTION("""COMPUTED_VALUE"""),"")</f>
        <v/>
      </c>
      <c r="C1195" s="16" t="str">
        <f ca="1">IFERROR(__xludf.DUMMYFUNCTION("""COMPUTED_VALUE"""),"100,")</f>
        <v>100,</v>
      </c>
    </row>
    <row r="1196" spans="1:3" ht="15.75" customHeight="1">
      <c r="A1196" s="16" t="str">
        <f ca="1">IFERROR(__xludf.DUMMYFUNCTION("""COMPUTED_VALUE"""),"ID Cooling SL360 XE WHITE")</f>
        <v>ID Cooling SL360 XE WHITE</v>
      </c>
      <c r="B1196" s="16" t="str">
        <f ca="1">IFERROR(__xludf.DUMMYFUNCTION("""COMPUTED_VALUE"""),"")</f>
        <v/>
      </c>
      <c r="C1196" s="16" t="str">
        <f ca="1">IFERROR(__xludf.DUMMYFUNCTION("""COMPUTED_VALUE"""),"100,")</f>
        <v>100,</v>
      </c>
    </row>
    <row r="1197" spans="1:3" ht="15.75" customHeight="1">
      <c r="A1197" s="16" t="str">
        <f ca="1">IFERROR(__xludf.DUMMYFUNCTION("""COMPUTED_VALUE"""),"ID Cooling SL360 WHITE")</f>
        <v>ID Cooling SL360 WHITE</v>
      </c>
      <c r="B1197" s="16" t="str">
        <f ca="1">IFERROR(__xludf.DUMMYFUNCTION("""COMPUTED_VALUE"""),"")</f>
        <v/>
      </c>
      <c r="C1197" s="16" t="str">
        <f ca="1">IFERROR(__xludf.DUMMYFUNCTION("""COMPUTED_VALUE"""),"127,")</f>
        <v>127,</v>
      </c>
    </row>
    <row r="1198" spans="1:3" ht="15.75" customHeight="1">
      <c r="A1198" s="16" t="str">
        <f ca="1">IFERROR(__xludf.DUMMYFUNCTION("""COMPUTED_VALUE"""),"Fan - ID Cooling WF-14025-XT ARGB")</f>
        <v>Fan - ID Cooling WF-14025-XT ARGB</v>
      </c>
      <c r="B1198" s="16" t="str">
        <f ca="1">IFERROR(__xludf.DUMMYFUNCTION("""COMPUTED_VALUE"""),"")</f>
        <v/>
      </c>
      <c r="C1198" s="16" t="str">
        <f ca="1">IFERROR(__xludf.DUMMYFUNCTION("""COMPUTED_VALUE"""),"7,")</f>
        <v>7,</v>
      </c>
    </row>
    <row r="1199" spans="1:3" ht="15.75" customHeight="1">
      <c r="A1199" s="16" t="str">
        <f ca="1">IFERROR(__xludf.DUMMYFUNCTION("""COMPUTED_VALUE"""),"Проводная клавиатура+мышь Genius KM-170, Black")</f>
        <v>Проводная клавиатура+мышь Genius KM-170, Black</v>
      </c>
      <c r="B1199" s="16" t="str">
        <f ca="1">IFERROR(__xludf.DUMMYFUNCTION("""COMPUTED_VALUE"""),"")</f>
        <v/>
      </c>
      <c r="C1199" s="16" t="str">
        <f ca="1">IFERROR(__xludf.DUMMYFUNCTION("""COMPUTED_VALUE"""),"8,5")</f>
        <v>8,5</v>
      </c>
    </row>
    <row r="1200" spans="1:3" ht="15.75" customHeight="1">
      <c r="A1200" s="16" t="str">
        <f ca="1">IFERROR(__xludf.DUMMYFUNCTION("""COMPUTED_VALUE"""),"Проводная клавиатура+мышь Genius KM-160, Black")</f>
        <v>Проводная клавиатура+мышь Genius KM-160, Black</v>
      </c>
      <c r="B1200" s="16" t="str">
        <f ca="1">IFERROR(__xludf.DUMMYFUNCTION("""COMPUTED_VALUE"""),"")</f>
        <v/>
      </c>
      <c r="C1200" s="16" t="str">
        <f ca="1">IFERROR(__xludf.DUMMYFUNCTION("""COMPUTED_VALUE"""),"9,")</f>
        <v>9,</v>
      </c>
    </row>
    <row r="1201" spans="1:3" ht="15.75" customHeight="1">
      <c r="A1201" s="16" t="str">
        <f ca="1">IFERROR(__xludf.DUMMYFUNCTION("""COMPUTED_VALUE"""),"Проводная клавиатура+мышь Genius Smart KM-200, Black")</f>
        <v>Проводная клавиатура+мышь Genius Smart KM-200, Black</v>
      </c>
      <c r="B1201" s="16" t="str">
        <f ca="1">IFERROR(__xludf.DUMMYFUNCTION("""COMPUTED_VALUE"""),"")</f>
        <v/>
      </c>
      <c r="C1201" s="16" t="str">
        <f ca="1">IFERROR(__xludf.DUMMYFUNCTION("""COMPUTED_VALUE"""),"9,")</f>
        <v>9,</v>
      </c>
    </row>
    <row r="1202" spans="1:3" ht="15.75" customHeight="1">
      <c r="A1202" s="16" t="str">
        <f ca="1">IFERROR(__xludf.DUMMYFUNCTION("""COMPUTED_VALUE"""),"Проводная клавиатура+мышь Genius SlimStar C126, Black")</f>
        <v>Проводная клавиатура+мышь Genius SlimStar C126, Black</v>
      </c>
      <c r="B1202" s="16" t="str">
        <f ca="1">IFERROR(__xludf.DUMMYFUNCTION("""COMPUTED_VALUE"""),"")</f>
        <v/>
      </c>
      <c r="C1202" s="16" t="str">
        <f ca="1">IFERROR(__xludf.DUMMYFUNCTION("""COMPUTED_VALUE"""),"10,")</f>
        <v>10,</v>
      </c>
    </row>
    <row r="1203" spans="1:3" ht="15.75" customHeight="1">
      <c r="A1203" s="16" t="str">
        <f ca="1">IFERROR(__xludf.DUMMYFUNCTION("""COMPUTED_VALUE"""),"Беспроводная клавиатура+мышь Genius KM-8101, Black, 2.4GHZ")</f>
        <v>Беспроводная клавиатура+мышь Genius KM-8101, Black, 2.4GHZ</v>
      </c>
      <c r="B1203" s="16" t="str">
        <f ca="1">IFERROR(__xludf.DUMMYFUNCTION("""COMPUTED_VALUE"""),"")</f>
        <v/>
      </c>
      <c r="C1203" s="16" t="str">
        <f ca="1">IFERROR(__xludf.DUMMYFUNCTION("""COMPUTED_VALUE"""),"14,")</f>
        <v>14,</v>
      </c>
    </row>
    <row r="1204" spans="1:3" ht="15.75" customHeight="1">
      <c r="A1204" s="16" t="str">
        <f ca="1">IFERROR(__xludf.DUMMYFUNCTION("""COMPUTED_VALUE"""),"Беспроводная клавиатура+мышь Genius KM-8206S Wireless Black")</f>
        <v>Беспроводная клавиатура+мышь Genius KM-8206S Wireless Black</v>
      </c>
      <c r="B1204" s="16" t="str">
        <f ca="1">IFERROR(__xludf.DUMMYFUNCTION("""COMPUTED_VALUE"""),"")</f>
        <v/>
      </c>
      <c r="C1204" s="16" t="str">
        <f ca="1">IFERROR(__xludf.DUMMYFUNCTION("""COMPUTED_VALUE"""),"15,")</f>
        <v>15,</v>
      </c>
    </row>
    <row r="1205" spans="1:3" ht="15.75" customHeight="1">
      <c r="A1205" s="16" t="str">
        <f ca="1">IFERROR(__xludf.DUMMYFUNCTION("""COMPUTED_VALUE"""),"Беспроводная клавиатура+мышь Genius Smart KM-8200, Black, 2.4GHZ")</f>
        <v>Беспроводная клавиатура+мышь Genius Smart KM-8200, Black, 2.4GHZ</v>
      </c>
      <c r="B1205" s="16" t="str">
        <f ca="1">IFERROR(__xludf.DUMMYFUNCTION("""COMPUTED_VALUE"""),"")</f>
        <v/>
      </c>
      <c r="C1205" s="16" t="str">
        <f ca="1">IFERROR(__xludf.DUMMYFUNCTION("""COMPUTED_VALUE"""),"16,")</f>
        <v>16,</v>
      </c>
    </row>
    <row r="1206" spans="1:3" ht="15.75" customHeight="1">
      <c r="A1206" s="16" t="str">
        <f ca="1">IFERROR(__xludf.DUMMYFUNCTION("""COMPUTED_VALUE"""),"Беспроводная клавиатура+мышь Genius SlimStar 8230, Black, 2.4GHz")</f>
        <v>Беспроводная клавиатура+мышь Genius SlimStar 8230, Black, 2.4GHz</v>
      </c>
      <c r="B1206" s="16" t="str">
        <f ca="1">IFERROR(__xludf.DUMMYFUNCTION("""COMPUTED_VALUE"""),"")</f>
        <v/>
      </c>
      <c r="C1206" s="16" t="str">
        <f ca="1">IFERROR(__xludf.DUMMYFUNCTION("""COMPUTED_VALUE"""),"19,")</f>
        <v>19,</v>
      </c>
    </row>
    <row r="1207" spans="1:3" ht="15.75" customHeight="1">
      <c r="A1207" s="16" t="str">
        <f ca="1">IFERROR(__xludf.DUMMYFUNCTION("""COMPUTED_VALUE"""),"Беспроводная клавиатура+мышь Genius SlimStar 8230, White, 2.4GHz")</f>
        <v>Беспроводная клавиатура+мышь Genius SlimStar 8230, White, 2.4GHz</v>
      </c>
      <c r="B1207" s="16" t="str">
        <f ca="1">IFERROR(__xludf.DUMMYFUNCTION("""COMPUTED_VALUE"""),"")</f>
        <v/>
      </c>
      <c r="C1207" s="16" t="str">
        <f ca="1">IFERROR(__xludf.DUMMYFUNCTION("""COMPUTED_VALUE"""),"19,5")</f>
        <v>19,5</v>
      </c>
    </row>
    <row r="1208" spans="1:3" ht="15.75" customHeight="1">
      <c r="A1208" s="16" t="str">
        <f ca="1">IFERROR(__xludf.DUMMYFUNCTION("""COMPUTED_VALUE"""),"Наушник Genius HS-400A, GREEN")</f>
        <v>Наушник Genius HS-400A, GREEN</v>
      </c>
      <c r="B1208" s="16" t="str">
        <f ca="1">IFERROR(__xludf.DUMMYFUNCTION("""COMPUTED_VALUE"""),"")</f>
        <v/>
      </c>
      <c r="C1208" s="16" t="str">
        <f ca="1">IFERROR(__xludf.DUMMYFUNCTION("""COMPUTED_VALUE"""),"9,")</f>
        <v>9,</v>
      </c>
    </row>
    <row r="1209" spans="1:3" ht="15.75" customHeight="1">
      <c r="A1209" s="16" t="str">
        <f ca="1">IFERROR(__xludf.DUMMYFUNCTION("""COMPUTED_VALUE"""),"Корпус Gigabyte C102G M-ATX")</f>
        <v>Корпус Gigabyte C102G M-ATX</v>
      </c>
      <c r="B1209" s="16" t="str">
        <f ca="1">IFERROR(__xludf.DUMMYFUNCTION("""COMPUTED_VALUE"""),"")</f>
        <v/>
      </c>
      <c r="C1209" s="16" t="str">
        <f ca="1">IFERROR(__xludf.DUMMYFUNCTION("""COMPUTED_VALUE"""),"40,")</f>
        <v>40,</v>
      </c>
    </row>
    <row r="1210" spans="1:3" ht="15.75" customHeight="1">
      <c r="A1210" s="16" t="str">
        <f ca="1">IFERROR(__xludf.DUMMYFUNCTION("""COMPUTED_VALUE"""),"Корпус Gigabyte C500P ST ATX")</f>
        <v>Корпус Gigabyte C500P ST ATX</v>
      </c>
      <c r="B1210" s="16" t="str">
        <f ca="1">IFERROR(__xludf.DUMMYFUNCTION("""COMPUTED_VALUE"""),"")</f>
        <v/>
      </c>
      <c r="C1210" s="16" t="str">
        <f ca="1">IFERROR(__xludf.DUMMYFUNCTION("""COMPUTED_VALUE"""),"85,")</f>
        <v>85,</v>
      </c>
    </row>
    <row r="1211" spans="1:3" ht="15.75" customHeight="1">
      <c r="A1211" s="16" t="str">
        <f ca="1">IFERROR(__xludf.DUMMYFUNCTION("""COMPUTED_VALUE"""),"Корпус Gigabyte GB-C500PI ST")</f>
        <v>Корпус Gigabyte GB-C500PI ST</v>
      </c>
      <c r="B1211" s="16" t="str">
        <f ca="1">IFERROR(__xludf.DUMMYFUNCTION("""COMPUTED_VALUE"""),"")</f>
        <v/>
      </c>
      <c r="C1211" s="16" t="str">
        <f ca="1">IFERROR(__xludf.DUMMYFUNCTION("""COMPUTED_VALUE"""),"85,")</f>
        <v>85,</v>
      </c>
    </row>
    <row r="1212" spans="1:3" ht="15.75" customHeight="1">
      <c r="A1212" s="16" t="str">
        <f ca="1">IFERROR(__xludf.DUMMYFUNCTION("""COMPUTED_VALUE"""),"Корпус Gigabyte AORUS GB-AC300G")</f>
        <v>Корпус Gigabyte AORUS GB-AC300G</v>
      </c>
      <c r="B1212" s="16" t="str">
        <f ca="1">IFERROR(__xludf.DUMMYFUNCTION("""COMPUTED_VALUE"""),"")</f>
        <v/>
      </c>
      <c r="C1212" s="16" t="str">
        <f ca="1">IFERROR(__xludf.DUMMYFUNCTION("""COMPUTED_VALUE"""),"170,")</f>
        <v>170,</v>
      </c>
    </row>
    <row r="1213" spans="1:3" ht="15.75" customHeight="1">
      <c r="A1213" s="16" t="str">
        <f ca="1">IFERROR(__xludf.DUMMYFUNCTION("""COMPUTED_VALUE"""),"Клавиатура Gigabyte GK-KM6300 (Клава+мышь) (50 штук - 10.5, 100 штук - 10)")</f>
        <v>Клавиатура Gigabyte GK-KM6300 (Клава+мышь) (50 штук - 10.5, 100 штук - 10)</v>
      </c>
      <c r="B1213" s="16" t="str">
        <f ca="1">IFERROR(__xludf.DUMMYFUNCTION("""COMPUTED_VALUE"""),"")</f>
        <v/>
      </c>
      <c r="C1213" s="16" t="str">
        <f ca="1">IFERROR(__xludf.DUMMYFUNCTION("""COMPUTED_VALUE"""),"11,")</f>
        <v>11,</v>
      </c>
    </row>
    <row r="1214" spans="1:3" ht="15.75" customHeight="1">
      <c r="A1214" s="16" t="str">
        <f ca="1">IFERROR(__xludf.DUMMYFUNCTION("""COMPUTED_VALUE"""),"Водяной кулер GP-AORUS WATERFORCE X II 360")</f>
        <v>Водяной кулер GP-AORUS WATERFORCE X II 360</v>
      </c>
      <c r="B1214" s="16" t="str">
        <f ca="1">IFERROR(__xludf.DUMMYFUNCTION("""COMPUTED_VALUE"""),"")</f>
        <v/>
      </c>
      <c r="C1214" s="16" t="str">
        <f ca="1">IFERROR(__xludf.DUMMYFUNCTION("""COMPUTED_VALUE"""),"250,")</f>
        <v>250,</v>
      </c>
    </row>
    <row r="1215" spans="1:3" ht="15.75" customHeight="1">
      <c r="A1215" s="16" t="str">
        <f ca="1">IFERROR(__xludf.DUMMYFUNCTION("""COMPUTED_VALUE"""),"Водяной кулер GP-AORUS WATERFORCE X 240")</f>
        <v>Водяной кулер GP-AORUS WATERFORCE X 240</v>
      </c>
      <c r="B1215" s="16" t="str">
        <f ca="1">IFERROR(__xludf.DUMMYFUNCTION("""COMPUTED_VALUE"""),"")</f>
        <v/>
      </c>
      <c r="C1215" s="16" t="str">
        <f ca="1">IFERROR(__xludf.DUMMYFUNCTION("""COMPUTED_VALUE"""),"140,")</f>
        <v>140,</v>
      </c>
    </row>
    <row r="1216" spans="1:3" ht="15.75" customHeight="1">
      <c r="A1216" s="16" t="str">
        <f ca="1">IFERROR(__xludf.DUMMYFUNCTION("""COMPUTED_VALUE"""),"Водяной кулер GP-AORUS WATERFORCE II 360I")</f>
        <v>Водяной кулер GP-AORUS WATERFORCE II 360I</v>
      </c>
      <c r="B1216" s="16" t="str">
        <f ca="1">IFERROR(__xludf.DUMMYFUNCTION("""COMPUTED_VALUE"""),"")</f>
        <v/>
      </c>
      <c r="C1216" s="16" t="str">
        <f ca="1">IFERROR(__xludf.DUMMYFUNCTION("""COMPUTED_VALUE"""),"125,")</f>
        <v>125,</v>
      </c>
    </row>
    <row r="1217" spans="1:3" ht="15.75" customHeight="1">
      <c r="A1217" s="16" t="str">
        <f ca="1">IFERROR(__xludf.DUMMYFUNCTION("""COMPUTED_VALUE"""),"Водяной кулер GP-GIGABYTE GME 360I")</f>
        <v>Водяной кулер GP-GIGABYTE GME 360I</v>
      </c>
      <c r="B1217" s="16" t="str">
        <f ca="1">IFERROR(__xludf.DUMMYFUNCTION("""COMPUTED_VALUE"""),"")</f>
        <v/>
      </c>
      <c r="C1217" s="16" t="str">
        <f ca="1">IFERROR(__xludf.DUMMYFUNCTION("""COMPUTED_VALUE"""),"125,")</f>
        <v>125,</v>
      </c>
    </row>
    <row r="1218" spans="1:3" ht="15.75" customHeight="1">
      <c r="A1218" s="16" t="str">
        <f ca="1">IFERROR(__xludf.DUMMYFUNCTION("""COMPUTED_VALUE"""),"Водяной кулер GP-AORUS WATERFORCE 240 ")</f>
        <v xml:space="preserve">Водяной кулер GP-AORUS WATERFORCE 240 </v>
      </c>
      <c r="B1218" s="16" t="str">
        <f ca="1">IFERROR(__xludf.DUMMYFUNCTION("""COMPUTED_VALUE"""),"")</f>
        <v/>
      </c>
      <c r="C1218" s="16" t="str">
        <f ca="1">IFERROR(__xludf.DUMMYFUNCTION("""COMPUTED_VALUE"""),"105,")</f>
        <v>105,</v>
      </c>
    </row>
    <row r="1219" spans="1:3" ht="15.75" customHeight="1">
      <c r="A1219" s="16" t="str">
        <f ca="1">IFERROR(__xludf.DUMMYFUNCTION("""COMPUTED_VALUE"""),"Блок питание Gigabyte P550B 550W, 120mm, 80 Plus Bronze,  ATX Power Supply")</f>
        <v>Блок питание Gigabyte P550B 550W, 120mm, 80 Plus Bronze,  ATX Power Supply</v>
      </c>
      <c r="B1219" s="16" t="str">
        <f ca="1">IFERROR(__xludf.DUMMYFUNCTION("""COMPUTED_VALUE"""),"")</f>
        <v/>
      </c>
      <c r="C1219" s="16" t="str">
        <f ca="1">IFERROR(__xludf.DUMMYFUNCTION("""COMPUTED_VALUE"""),"46,")</f>
        <v>46,</v>
      </c>
    </row>
    <row r="1220" spans="1:3" ht="15.75" customHeight="1">
      <c r="A1220" s="16" t="str">
        <f ca="1">IFERROR(__xludf.DUMMYFUNCTION("""COMPUTED_VALUE"""),"Блок питание Gigabyte GP-P650SS 650W, 120mm, 80 Plus Silver,  ATX Power Supply (Распродажа)")</f>
        <v>Блок питание Gigabyte GP-P650SS 650W, 120mm, 80 Plus Silver,  ATX Power Supply (Распродажа)</v>
      </c>
      <c r="B1220" s="16" t="str">
        <f ca="1">IFERROR(__xludf.DUMMYFUNCTION("""COMPUTED_VALUE"""),"")</f>
        <v/>
      </c>
      <c r="C1220" s="16" t="str">
        <f ca="1">IFERROR(__xludf.DUMMYFUNCTION("""COMPUTED_VALUE"""),"43,")</f>
        <v>43,</v>
      </c>
    </row>
    <row r="1221" spans="1:3" ht="15.75" customHeight="1">
      <c r="A1221" s="16" t="str">
        <f ca="1">IFERROR(__xludf.DUMMYFUNCTION("""COMPUTED_VALUE"""),"Блок питание Gigabyte GP-P650SS ICE 650W, 120mm, 80 Plus Silver,  ATX Power Supply ")</f>
        <v xml:space="preserve">Блок питание Gigabyte GP-P650SS ICE 650W, 120mm, 80 Plus Silver,  ATX Power Supply </v>
      </c>
      <c r="B1221" s="16" t="str">
        <f ca="1">IFERROR(__xludf.DUMMYFUNCTION("""COMPUTED_VALUE"""),"")</f>
        <v/>
      </c>
      <c r="C1221" s="16" t="str">
        <f ca="1">IFERROR(__xludf.DUMMYFUNCTION("""COMPUTED_VALUE"""),"55,")</f>
        <v>55,</v>
      </c>
    </row>
    <row r="1222" spans="1:3" ht="15.75" customHeight="1">
      <c r="A1222" s="16" t="str">
        <f ca="1">IFERROR(__xludf.DUMMYFUNCTION("""COMPUTED_VALUE"""),"Блок питание Gigabyte P650G 650W, 120mm, 80 Plus Gold,  ATX Power Supply (Распродажа)")</f>
        <v>Блок питание Gigabyte P650G 650W, 120mm, 80 Plus Gold,  ATX Power Supply (Распродажа)</v>
      </c>
      <c r="B1222" s="16" t="str">
        <f ca="1">IFERROR(__xludf.DUMMYFUNCTION("""COMPUTED_VALUE"""),"")</f>
        <v/>
      </c>
      <c r="C1222" s="16" t="str">
        <f ca="1">IFERROR(__xludf.DUMMYFUNCTION("""COMPUTED_VALUE"""),"47,")</f>
        <v>47,</v>
      </c>
    </row>
    <row r="1223" spans="1:3" ht="15.75" customHeight="1">
      <c r="A1223" s="16" t="str">
        <f ca="1">IFERROR(__xludf.DUMMYFUNCTION("""COMPUTED_VALUE"""),"Блок питание Gigabyte GP-P750BS 750W, 120mm, 80 Plus Bronze, ATX Power Supply ")</f>
        <v xml:space="preserve">Блок питание Gigabyte GP-P750BS 750W, 120mm, 80 Plus Bronze, ATX Power Supply </v>
      </c>
      <c r="B1223" s="16" t="str">
        <f ca="1">IFERROR(__xludf.DUMMYFUNCTION("""COMPUTED_VALUE"""),"")</f>
        <v/>
      </c>
      <c r="C1223" s="16" t="str">
        <f ca="1">IFERROR(__xludf.DUMMYFUNCTION("""COMPUTED_VALUE"""),"64,")</f>
        <v>64,</v>
      </c>
    </row>
    <row r="1224" spans="1:3" ht="15.75" customHeight="1">
      <c r="A1224" s="16" t="str">
        <f ca="1">IFERROR(__xludf.DUMMYFUNCTION("""COMPUTED_VALUE"""),"Блок питание Gigabyte GP-P750GM 750W, 120mm, 80 Plus Gold, ATX Power Supply ")</f>
        <v xml:space="preserve">Блок питание Gigabyte GP-P750GM 750W, 120mm, 80 Plus Gold, ATX Power Supply </v>
      </c>
      <c r="B1224" s="16" t="str">
        <f ca="1">IFERROR(__xludf.DUMMYFUNCTION("""COMPUTED_VALUE"""),"")</f>
        <v/>
      </c>
      <c r="C1224" s="16" t="str">
        <f ca="1">IFERROR(__xludf.DUMMYFUNCTION("""COMPUTED_VALUE"""),"78,")</f>
        <v>78,</v>
      </c>
    </row>
    <row r="1225" spans="1:3" ht="15.75" customHeight="1">
      <c r="A1225" s="16" t="str">
        <f ca="1">IFERROR(__xludf.DUMMYFUNCTION("""COMPUTED_VALUE"""),"Блок питание Gigabyte GP-UD750GM PG5 V2, 750W, 120mm, 80 Plus Gold,  Modular ATX Power Supply ")</f>
        <v xml:space="preserve">Блок питание Gigabyte GP-UD750GM PG5 V2, 750W, 120mm, 80 Plus Gold,  Modular ATX Power Supply </v>
      </c>
      <c r="B1225" s="16" t="str">
        <f ca="1">IFERROR(__xludf.DUMMYFUNCTION("""COMPUTED_VALUE"""),"")</f>
        <v/>
      </c>
      <c r="C1225" s="16" t="str">
        <f ca="1">IFERROR(__xludf.DUMMYFUNCTION("""COMPUTED_VALUE"""),"100,")</f>
        <v>100,</v>
      </c>
    </row>
    <row r="1226" spans="1:3" ht="15.75" customHeight="1">
      <c r="A1226" s="16" t="str">
        <f ca="1">IFERROR(__xludf.DUMMYFUNCTION("""COMPUTED_VALUE"""),"Блок питание Gigabyte GP-P850GM 850W, 120mm, 80 Plus Gold,  Modular ATX Power Supply ")</f>
        <v xml:space="preserve">Блок питание Gigabyte GP-P850GM 850W, 120mm, 80 Plus Gold,  Modular ATX Power Supply </v>
      </c>
      <c r="B1226" s="16" t="str">
        <f ca="1">IFERROR(__xludf.DUMMYFUNCTION("""COMPUTED_VALUE"""),"")</f>
        <v/>
      </c>
      <c r="C1226" s="16" t="str">
        <f ca="1">IFERROR(__xludf.DUMMYFUNCTION("""COMPUTED_VALUE"""),"100,")</f>
        <v>100,</v>
      </c>
    </row>
    <row r="1227" spans="1:3" ht="15.75" customHeight="1">
      <c r="A1227" s="16" t="str">
        <f ca="1">IFERROR(__xludf.DUMMYFUNCTION("""COMPUTED_VALUE"""),"Блок питание Gigabyte UD850GM PG5 850W, 120mm, 80 Plus Gold,  Modular ATX Power Supply ")</f>
        <v xml:space="preserve">Блок питание Gigabyte UD850GM PG5 850W, 120mm, 80 Plus Gold,  Modular ATX Power Supply </v>
      </c>
      <c r="B1227" s="16" t="str">
        <f ca="1">IFERROR(__xludf.DUMMYFUNCTION("""COMPUTED_VALUE"""),"")</f>
        <v/>
      </c>
      <c r="C1227" s="16" t="str">
        <f ca="1">IFERROR(__xludf.DUMMYFUNCTION("""COMPUTED_VALUE"""),"110,")</f>
        <v>110,</v>
      </c>
    </row>
    <row r="1228" spans="1:3" ht="15.75" customHeight="1">
      <c r="A1228" s="16" t="str">
        <f ca="1">IFERROR(__xludf.DUMMYFUNCTION("""COMPUTED_VALUE"""),"Блок питание Gigabyte UD850GM PG5W White 850W, 120mm, 80 Plus Gold,  Modular ATX Power Supply ")</f>
        <v xml:space="preserve">Блок питание Gigabyte UD850GM PG5W White 850W, 120mm, 80 Plus Gold,  Modular ATX Power Supply </v>
      </c>
      <c r="B1228" s="16" t="str">
        <f ca="1">IFERROR(__xludf.DUMMYFUNCTION("""COMPUTED_VALUE"""),"")</f>
        <v/>
      </c>
      <c r="C1228" s="16" t="str">
        <f ca="1">IFERROR(__xludf.DUMMYFUNCTION("""COMPUTED_VALUE"""),"130,")</f>
        <v>130,</v>
      </c>
    </row>
    <row r="1229" spans="1:3" ht="15.75" customHeight="1">
      <c r="A1229" s="16" t="str">
        <f ca="1">IFERROR(__xludf.DUMMYFUNCTION("""COMPUTED_VALUE"""),"Блок питание AORUS GP-AE850PM PG5 80+ Platinum Modular ATX Power Supply ")</f>
        <v xml:space="preserve">Блок питание AORUS GP-AE850PM PG5 80+ Platinum Modular ATX Power Supply </v>
      </c>
      <c r="B1229" s="16" t="str">
        <f ca="1">IFERROR(__xludf.DUMMYFUNCTION("""COMPUTED_VALUE"""),"")</f>
        <v/>
      </c>
      <c r="C1229" s="16" t="str">
        <f ca="1">IFERROR(__xludf.DUMMYFUNCTION("""COMPUTED_VALUE"""),"140,")</f>
        <v>140,</v>
      </c>
    </row>
    <row r="1230" spans="1:3" ht="15.75" customHeight="1">
      <c r="A1230" s="16" t="str">
        <f ca="1">IFERROR(__xludf.DUMMYFUNCTION("""COMPUTED_VALUE"""),"Блок питание Gigabyte GP-UD1000GM PG5, 1000W, 80 Plus Gold, Modular ATX Power Supply ")</f>
        <v xml:space="preserve">Блок питание Gigabyte GP-UD1000GM PG5, 1000W, 80 Plus Gold, Modular ATX Power Supply </v>
      </c>
      <c r="B1230" s="16" t="str">
        <f ca="1">IFERROR(__xludf.DUMMYFUNCTION("""COMPUTED_VALUE"""),"")</f>
        <v/>
      </c>
      <c r="C1230" s="16" t="str">
        <f ca="1">IFERROR(__xludf.DUMMYFUNCTION("""COMPUTED_VALUE"""),"155,")</f>
        <v>155,</v>
      </c>
    </row>
    <row r="1231" spans="1:3" ht="15.75" customHeight="1">
      <c r="A1231" s="16" t="str">
        <f ca="1">IFERROR(__xludf.DUMMYFUNCTION("""COMPUTED_VALUE"""),"Блок питание AORUS GP-AE1000PM PG5 80+ Platinum Modular ATX Power Supply ")</f>
        <v xml:space="preserve">Блок питание AORUS GP-AE1000PM PG5 80+ Platinum Modular ATX Power Supply </v>
      </c>
      <c r="B1231" s="16" t="str">
        <f ca="1">IFERROR(__xludf.DUMMYFUNCTION("""COMPUTED_VALUE"""),"")</f>
        <v/>
      </c>
      <c r="C1231" s="16" t="str">
        <f ca="1">IFERROR(__xludf.DUMMYFUNCTION("""COMPUTED_VALUE"""),"170,")</f>
        <v>170,</v>
      </c>
    </row>
    <row r="1232" spans="1:3" ht="15.75" customHeight="1">
      <c r="A1232" s="16" t="str">
        <f ca="1">IFERROR(__xludf.DUMMYFUNCTION("""COMPUTED_VALUE"""),"Кресло DXRacer Black Prince Chair (GC-P132-N-F2-158)")</f>
        <v>Кресло DXRacer Black Prince Chair (GC-P132-N-F2-158)</v>
      </c>
      <c r="B1232" s="16" t="str">
        <f ca="1">IFERROR(__xludf.DUMMYFUNCTION("""COMPUTED_VALUE"""),"GC-P132-N-F2-158")</f>
        <v>GC-P132-N-F2-158</v>
      </c>
      <c r="C1232" s="16" t="str">
        <f ca="1">IFERROR(__xludf.DUMMYFUNCTION("""COMPUTED_VALUE"""),"175,")</f>
        <v>175,</v>
      </c>
    </row>
    <row r="1233" spans="1:3" ht="15.75" customHeight="1">
      <c r="A1233" s="16" t="str">
        <f ca="1">IFERROR(__xludf.DUMMYFUNCTION("""COMPUTED_VALUE"""),"Кресло DXRacer Black and White Prince Chair (GC-P132-NW-F2-158)")</f>
        <v>Кресло DXRacer Black and White Prince Chair (GC-P132-NW-F2-158)</v>
      </c>
      <c r="B1233" s="16" t="str">
        <f ca="1">IFERROR(__xludf.DUMMYFUNCTION("""COMPUTED_VALUE"""),"GC-P132-NW-F2-158")</f>
        <v>GC-P132-NW-F2-158</v>
      </c>
      <c r="C1233" s="16" t="str">
        <f ca="1">IFERROR(__xludf.DUMMYFUNCTION("""COMPUTED_VALUE"""),"175,")</f>
        <v>175,</v>
      </c>
    </row>
    <row r="1234" spans="1:3" ht="15.75" customHeight="1">
      <c r="A1234" s="16" t="str">
        <f ca="1">IFERROR(__xludf.DUMMYFUNCTION("""COMPUTED_VALUE"""),"Кресло DXRacer Black and Blue Gladiator Chair (GC-G001-NB-B2-423)")</f>
        <v>Кресло DXRacer Black and Blue Gladiator Chair (GC-G001-NB-B2-423)</v>
      </c>
      <c r="B1234" s="16" t="str">
        <f ca="1">IFERROR(__xludf.DUMMYFUNCTION("""COMPUTED_VALUE"""),"GC-G001-NB-B2-423")</f>
        <v>GC-G001-NB-B2-423</v>
      </c>
      <c r="C1234" s="16" t="str">
        <f ca="1">IFERROR(__xludf.DUMMYFUNCTION("""COMPUTED_VALUE"""),"230,")</f>
        <v>230,</v>
      </c>
    </row>
    <row r="1235" spans="1:3" ht="15.75" customHeight="1">
      <c r="A1235" s="16" t="str">
        <f ca="1">IFERROR(__xludf.DUMMYFUNCTION("""COMPUTED_VALUE"""),"Кресло DXRacer Black and White Gladiator Chair (GC-G001-NW-B2-423)")</f>
        <v>Кресло DXRacer Black and White Gladiator Chair (GC-G001-NW-B2-423)</v>
      </c>
      <c r="B1235" s="16" t="str">
        <f ca="1">IFERROR(__xludf.DUMMYFUNCTION("""COMPUTED_VALUE"""),"GC-G001-NW-B2-423")</f>
        <v>GC-G001-NW-B2-423</v>
      </c>
      <c r="C1235" s="16" t="str">
        <f ca="1">IFERROR(__xludf.DUMMYFUNCTION("""COMPUTED_VALUE"""),"230,")</f>
        <v>230,</v>
      </c>
    </row>
    <row r="1236" spans="1:3" ht="15.75" customHeight="1">
      <c r="A1236" s="16" t="str">
        <f ca="1">IFERROR(__xludf.DUMMYFUNCTION("""COMPUTED_VALUE"""),"Кресло DXRacer Full Black Master Chair (DMC-I238S-N-N1-A1)")</f>
        <v>Кресло DXRacer Full Black Master Chair (DMC-I238S-N-N1-A1)</v>
      </c>
      <c r="B1236" s="16" t="str">
        <f ca="1">IFERROR(__xludf.DUMMYFUNCTION("""COMPUTED_VALUE"""),"DMC-I238S-N-N1-A1")</f>
        <v>DMC-I238S-N-N1-A1</v>
      </c>
      <c r="C1236" s="16" t="str">
        <f ca="1">IFERROR(__xludf.DUMMYFUNCTION("""COMPUTED_VALUE"""),"330,")</f>
        <v>330,</v>
      </c>
    </row>
    <row r="1237" spans="1:3" ht="15.75" customHeight="1">
      <c r="A1237" s="16" t="str">
        <f ca="1">IFERROR(__xludf.DUMMYFUNCTION("""COMPUTED_VALUE"""),"Кресло DXRacer Full Red Master Chair (DMC-I238S-R-A1)")</f>
        <v>Кресло DXRacer Full Red Master Chair (DMC-I238S-R-A1)</v>
      </c>
      <c r="B1237" s="16" t="str">
        <f ca="1">IFERROR(__xludf.DUMMYFUNCTION("""COMPUTED_VALUE"""),"DMC-I238S-R-A1")</f>
        <v>DMC-I238S-R-A1</v>
      </c>
      <c r="C1237" s="16" t="str">
        <f ca="1">IFERROR(__xludf.DUMMYFUNCTION("""COMPUTED_VALUE"""),"330,")</f>
        <v>330,</v>
      </c>
    </row>
    <row r="1238" spans="1:3" ht="15.75" customHeight="1">
      <c r="A1238" s="16" t="str">
        <f ca="1">IFERROR(__xludf.DUMMYFUNCTION("""COMPUTED_VALUE"""),"Кресло DXRacer White and Black Master Chair (DMC-I238S-WN-A1)")</f>
        <v>Кресло DXRacer White and Black Master Chair (DMC-I238S-WN-A1)</v>
      </c>
      <c r="B1238" s="16" t="str">
        <f ca="1">IFERROR(__xludf.DUMMYFUNCTION("""COMPUTED_VALUE"""),"DMC-I238S-WN-A1")</f>
        <v>DMC-I238S-WN-A1</v>
      </c>
      <c r="C1238" s="16" t="str">
        <f ca="1">IFERROR(__xludf.DUMMYFUNCTION("""COMPUTED_VALUE"""),"330,")</f>
        <v>330,</v>
      </c>
    </row>
    <row r="1239" spans="1:3" ht="15.75" customHeight="1">
      <c r="A1239" s="16" t="str">
        <f ca="1">IFERROR(__xludf.DUMMYFUNCTION("""COMPUTED_VALUE"""),"Кресло DXRacer White and Grey Master Chair - Fabric (DMC-I238S-GNF-GNF1-A1)")</f>
        <v>Кресло DXRacer White and Grey Master Chair - Fabric (DMC-I238S-GNF-GNF1-A1)</v>
      </c>
      <c r="B1239" s="16" t="str">
        <f ca="1">IFERROR(__xludf.DUMMYFUNCTION("""COMPUTED_VALUE"""),"DMC-I238S-GNF-GNF1-A1")</f>
        <v>DMC-I238S-GNF-GNF1-A1</v>
      </c>
      <c r="C1239" s="16" t="str">
        <f ca="1">IFERROR(__xludf.DUMMYFUNCTION("""COMPUTED_VALUE"""),"330,")</f>
        <v>330,</v>
      </c>
    </row>
    <row r="1240" spans="1:3" ht="15.75" customHeight="1">
      <c r="A1240" s="16" t="str">
        <f ca="1">IFERROR(__xludf.DUMMYFUNCTION("""COMPUTED_VALUE"""),"Кресло DXRacer Full Purple Master Chair (DMC-I238S-V-V1-A1)")</f>
        <v>Кресло DXRacer Full Purple Master Chair (DMC-I238S-V-V1-A1)</v>
      </c>
      <c r="B1240" s="16" t="str">
        <f ca="1">IFERROR(__xludf.DUMMYFUNCTION("""COMPUTED_VALUE"""),"DMC-I238S-V-V1-A1")</f>
        <v>DMC-I238S-V-V1-A1</v>
      </c>
      <c r="C1240" s="16" t="str">
        <f ca="1">IFERROR(__xludf.DUMMYFUNCTION("""COMPUTED_VALUE"""),"330,")</f>
        <v>330,</v>
      </c>
    </row>
    <row r="1241" spans="1:3" ht="15.75" customHeight="1">
      <c r="A1241" s="16" t="str">
        <f ca="1">IFERROR(__xludf.DUMMYFUNCTION("""COMPUTED_VALUE"""),"Кресло DXRacer Full Yellow Craft Pro Chair (GC-CRA-PRO-Y)")</f>
        <v>Кресло DXRacer Full Yellow Craft Pro Chair (GC-CRA-PRO-Y)</v>
      </c>
      <c r="B1241" s="16" t="str">
        <f ca="1">IFERROR(__xludf.DUMMYFUNCTION("""COMPUTED_VALUE"""),"GC-CRA-PRO-Y")</f>
        <v>GC-CRA-PRO-Y</v>
      </c>
      <c r="C1241" s="16" t="str">
        <f ca="1">IFERROR(__xludf.DUMMYFUNCTION("""COMPUTED_VALUE"""),"300,")</f>
        <v>300,</v>
      </c>
    </row>
    <row r="1242" spans="1:3" ht="15.75" customHeight="1">
      <c r="A1242" s="16" t="str">
        <f ca="1">IFERROR(__xludf.DUMMYFUNCTION("""COMPUTED_VALUE"""),"Кресло DXRacer Full Orange Craft Pro Chair (GC-CRA-PRO-O)")</f>
        <v>Кресло DXRacer Full Orange Craft Pro Chair (GC-CRA-PRO-O)</v>
      </c>
      <c r="B1242" s="16" t="str">
        <f ca="1">IFERROR(__xludf.DUMMYFUNCTION("""COMPUTED_VALUE"""),"GC-CRA-PRO-O")</f>
        <v>GC-CRA-PRO-O</v>
      </c>
      <c r="C1242" s="16" t="str">
        <f ca="1">IFERROR(__xludf.DUMMYFUNCTION("""COMPUTED_VALUE"""),"300,")</f>
        <v>300,</v>
      </c>
    </row>
    <row r="1243" spans="1:3" ht="15.75" customHeight="1">
      <c r="A1243" s="16" t="str">
        <f ca="1">IFERROR(__xludf.DUMMYFUNCTION("""COMPUTED_VALUE"""),"Кресло DXRacer Full Pink Craft Pro Chair (GC-CRA-PRO-P)")</f>
        <v>Кресло DXRacer Full Pink Craft Pro Chair (GC-CRA-PRO-P)</v>
      </c>
      <c r="B1243" s="16" t="str">
        <f ca="1">IFERROR(__xludf.DUMMYFUNCTION("""COMPUTED_VALUE"""),"GC-CRA-PRO-P")</f>
        <v>GC-CRA-PRO-P</v>
      </c>
      <c r="C1243" s="16" t="str">
        <f ca="1">IFERROR(__xludf.DUMMYFUNCTION("""COMPUTED_VALUE"""),"300,")</f>
        <v>300,</v>
      </c>
    </row>
    <row r="1244" spans="1:3" ht="15.75" customHeight="1">
      <c r="A1244" s="16" t="str">
        <f ca="1">IFERROR(__xludf.DUMMYFUNCTION("""COMPUTED_VALUE"""),"Кресло  DXRacer Black and Red Drifting Chair")</f>
        <v>Кресло  DXRacer Black and Red Drifting Chair</v>
      </c>
      <c r="B1244" s="16" t="str">
        <f ca="1">IFERROR(__xludf.DUMMYFUNCTION("""COMPUTED_VALUE"""),"")</f>
        <v/>
      </c>
      <c r="C1244" s="16" t="str">
        <f ca="1">IFERROR(__xludf.DUMMYFUNCTION("""COMPUTED_VALUE"""),"220,")</f>
        <v>220,</v>
      </c>
    </row>
    <row r="1245" spans="1:3" ht="15.75" customHeight="1">
      <c r="A1245" s="16" t="str">
        <f ca="1">IFERROR(__xludf.DUMMYFUNCTION("""COMPUTED_VALUE"""),"Корпус Gamdias AURA GC9M ELITE ARGB")</f>
        <v>Корпус Gamdias AURA GC9M ELITE ARGB</v>
      </c>
      <c r="B1245" s="16" t="str">
        <f ca="1">IFERROR(__xludf.DUMMYFUNCTION("""COMPUTED_VALUE"""),"")</f>
        <v/>
      </c>
      <c r="C1245" s="16" t="str">
        <f ca="1">IFERROR(__xludf.DUMMYFUNCTION("""COMPUTED_VALUE"""),"27,")</f>
        <v>27,</v>
      </c>
    </row>
    <row r="1246" spans="1:3" ht="15.75" customHeight="1">
      <c r="A1246" s="16" t="str">
        <f ca="1">IFERROR(__xludf.DUMMYFUNCTION("""COMPUTED_VALUE"""),"Корпус Gamdias AURA GC10M V2 ARGB Gaming Case (3 Built-in 120mm ARGB Fans)")</f>
        <v>Корпус Gamdias AURA GC10M V2 ARGB Gaming Case (3 Built-in 120mm ARGB Fans)</v>
      </c>
      <c r="B1246" s="16" t="str">
        <f ca="1">IFERROR(__xludf.DUMMYFUNCTION("""COMPUTED_VALUE"""),"")</f>
        <v/>
      </c>
      <c r="C1246" s="16" t="str">
        <f ca="1">IFERROR(__xludf.DUMMYFUNCTION("""COMPUTED_VALUE"""),"32,")</f>
        <v>32,</v>
      </c>
    </row>
    <row r="1247" spans="1:3" ht="15.75" customHeight="1">
      <c r="A1247" s="16" t="str">
        <f ca="1">IFERROR(__xludf.DUMMYFUNCTION("""COMPUTED_VALUE"""),"Корпус Gamdias ATHENA M3 Gaming Case (4 Built-in 120mm PWM ARGB Fans with 8-port Hub)")</f>
        <v>Корпус Gamdias ATHENA M3 Gaming Case (4 Built-in 120mm PWM ARGB Fans with 8-port Hub)</v>
      </c>
      <c r="B1247" s="16" t="str">
        <f ca="1">IFERROR(__xludf.DUMMYFUNCTION("""COMPUTED_VALUE"""),"")</f>
        <v/>
      </c>
      <c r="C1247" s="16" t="str">
        <f ca="1">IFERROR(__xludf.DUMMYFUNCTION("""COMPUTED_VALUE"""),"44,")</f>
        <v>44,</v>
      </c>
    </row>
    <row r="1248" spans="1:3" ht="15.75" customHeight="1">
      <c r="A1248" s="16" t="str">
        <f ca="1">IFERROR(__xludf.DUMMYFUNCTION("""COMPUTED_VALUE"""),"Корпус Gamdias ATHENA M3 WHITE Gaming Case (4 Built-in 120mm PWM ARGB Fans with 8-port Hub)")</f>
        <v>Корпус Gamdias ATHENA M3 WHITE Gaming Case (4 Built-in 120mm PWM ARGB Fans with 8-port Hub)</v>
      </c>
      <c r="B1248" s="16" t="str">
        <f ca="1">IFERROR(__xludf.DUMMYFUNCTION("""COMPUTED_VALUE"""),"")</f>
        <v/>
      </c>
      <c r="C1248" s="16" t="str">
        <f ca="1">IFERROR(__xludf.DUMMYFUNCTION("""COMPUTED_VALUE"""),"44,")</f>
        <v>44,</v>
      </c>
    </row>
    <row r="1249" spans="1:3" ht="15.75" customHeight="1">
      <c r="A1249" s="16" t="str">
        <f ca="1">IFERROR(__xludf.DUMMYFUNCTION("""COMPUTED_VALUE"""),"Корпус Gamdias ATLAS M3M (3 Built-in 120mm ARGB PWM Fans) MicroATX")</f>
        <v>Корпус Gamdias ATLAS M3M (3 Built-in 120mm ARGB PWM Fans) MicroATX</v>
      </c>
      <c r="B1249" s="16" t="str">
        <f ca="1">IFERROR(__xludf.DUMMYFUNCTION("""COMPUTED_VALUE"""),"")</f>
        <v/>
      </c>
      <c r="C1249" s="16" t="str">
        <f ca="1">IFERROR(__xludf.DUMMYFUNCTION("""COMPUTED_VALUE"""),"55,")</f>
        <v>55,</v>
      </c>
    </row>
    <row r="1250" spans="1:3" ht="15.75" customHeight="1">
      <c r="A1250" s="16" t="str">
        <f ca="1">IFERROR(__xludf.DUMMYFUNCTION("""COMPUTED_VALUE"""),"Корпус Gamdias ATLAS M4 (4 Built-in 120mm NOTUS M1 ARGB Fans)")</f>
        <v>Корпус Gamdias ATLAS M4 (4 Built-in 120mm NOTUS M1 ARGB Fans)</v>
      </c>
      <c r="B1250" s="16" t="str">
        <f ca="1">IFERROR(__xludf.DUMMYFUNCTION("""COMPUTED_VALUE"""),"")</f>
        <v/>
      </c>
      <c r="C1250" s="16" t="str">
        <f ca="1">IFERROR(__xludf.DUMMYFUNCTION("""COMPUTED_VALUE"""),"60,")</f>
        <v>60,</v>
      </c>
    </row>
    <row r="1251" spans="1:3" ht="15.75" customHeight="1">
      <c r="A1251" s="16" t="str">
        <f ca="1">IFERROR(__xludf.DUMMYFUNCTION("""COMPUTED_VALUE"""),"Корпус Gamdias ATLAS M1 (3 Built-in 120mm ARGB PWM Fans)")</f>
        <v>Корпус Gamdias ATLAS M1 (3 Built-in 120mm ARGB PWM Fans)</v>
      </c>
      <c r="B1251" s="16" t="str">
        <f ca="1">IFERROR(__xludf.DUMMYFUNCTION("""COMPUTED_VALUE"""),"")</f>
        <v/>
      </c>
      <c r="C1251" s="16" t="str">
        <f ca="1">IFERROR(__xludf.DUMMYFUNCTION("""COMPUTED_VALUE"""),"59,")</f>
        <v>59,</v>
      </c>
    </row>
    <row r="1252" spans="1:3" ht="15.75" customHeight="1">
      <c r="A1252" s="16" t="str">
        <f ca="1">IFERROR(__xludf.DUMMYFUNCTION("""COMPUTED_VALUE"""),"Корпус Gamdias ATHENA M6 LITE WHITE (4 Built-in 120mm ARGB Fans)")</f>
        <v>Корпус Gamdias ATHENA M6 LITE WHITE (4 Built-in 120mm ARGB Fans)</v>
      </c>
      <c r="B1252" s="16" t="str">
        <f ca="1">IFERROR(__xludf.DUMMYFUNCTION("""COMPUTED_VALUE"""),"")</f>
        <v/>
      </c>
      <c r="C1252" s="16" t="str">
        <f ca="1">IFERROR(__xludf.DUMMYFUNCTION("""COMPUTED_VALUE"""),"56,")</f>
        <v>56,</v>
      </c>
    </row>
    <row r="1253" spans="1:3" ht="15.75" customHeight="1">
      <c r="A1253" s="16" t="str">
        <f ca="1">IFERROR(__xludf.DUMMYFUNCTION("""COMPUTED_VALUE"""),"Корпус Gamdias ATLAS E2 CG (3 Built-in 120mm ARGB Fans, Customized Monitor for System Information)")</f>
        <v>Корпус Gamdias ATLAS E2 CG (3 Built-in 120mm ARGB Fans, Customized Monitor for System Information)</v>
      </c>
      <c r="B1253" s="16" t="str">
        <f ca="1">IFERROR(__xludf.DUMMYFUNCTION("""COMPUTED_VALUE"""),"")</f>
        <v/>
      </c>
      <c r="C1253" s="16" t="str">
        <f ca="1">IFERROR(__xludf.DUMMYFUNCTION("""COMPUTED_VALUE"""),"55,")</f>
        <v>55,</v>
      </c>
    </row>
    <row r="1254" spans="1:3" ht="15.75" customHeight="1">
      <c r="A1254" s="16" t="str">
        <f ca="1">IFERROR(__xludf.DUMMYFUNCTION("""COMPUTED_VALUE"""),"Корпус Gamdias ATLAS P2 CG (4 Built-in 120mm ARGB Fans, Customized Monitor for System Information)")</f>
        <v>Корпус Gamdias ATLAS P2 CG (4 Built-in 120mm ARGB Fans, Customized Monitor for System Information)</v>
      </c>
      <c r="B1254" s="16" t="str">
        <f ca="1">IFERROR(__xludf.DUMMYFUNCTION("""COMPUTED_VALUE"""),"")</f>
        <v/>
      </c>
      <c r="C1254" s="16" t="str">
        <f ca="1">IFERROR(__xludf.DUMMYFUNCTION("""COMPUTED_VALUE"""),"90,")</f>
        <v>90,</v>
      </c>
    </row>
    <row r="1255" spans="1:3" ht="15.75" customHeight="1">
      <c r="A1255" s="16" t="str">
        <f ca="1">IFERROR(__xludf.DUMMYFUNCTION("""COMPUTED_VALUE"""),"Блок питание Gamdias AURA GP550 (на количестве - 23)")</f>
        <v>Блок питание Gamdias AURA GP550 (на количестве - 23)</v>
      </c>
      <c r="B1255" s="16" t="str">
        <f ca="1">IFERROR(__xludf.DUMMYFUNCTION("""COMPUTED_VALUE"""),"")</f>
        <v/>
      </c>
      <c r="C1255" s="16" t="str">
        <f ca="1">IFERROR(__xludf.DUMMYFUNCTION("""COMPUTED_VALUE"""),"24,")</f>
        <v>24,</v>
      </c>
    </row>
    <row r="1256" spans="1:3" ht="15.75" customHeight="1">
      <c r="A1256" s="16" t="str">
        <f ca="1">IFERROR(__xludf.DUMMYFUNCTION("""COMPUTED_VALUE"""),"Блок питание Gamdias AURA GP650 (на количестве - 26)")</f>
        <v>Блок питание Gamdias AURA GP650 (на количестве - 26)</v>
      </c>
      <c r="B1256" s="16" t="str">
        <f ca="1">IFERROR(__xludf.DUMMYFUNCTION("""COMPUTED_VALUE"""),"")</f>
        <v/>
      </c>
      <c r="C1256" s="16" t="str">
        <f ca="1">IFERROR(__xludf.DUMMYFUNCTION("""COMPUTED_VALUE"""),"27,")</f>
        <v>27,</v>
      </c>
    </row>
    <row r="1257" spans="1:3" ht="15.75" customHeight="1">
      <c r="A1257" s="16" t="str">
        <f ca="1">IFERROR(__xludf.DUMMYFUNCTION("""COMPUTED_VALUE"""),"Блок питание Gamdias AURA GP750 (на количестве - 31)")</f>
        <v>Блок питание Gamdias AURA GP750 (на количестве - 31)</v>
      </c>
      <c r="B1257" s="16" t="str">
        <f ca="1">IFERROR(__xludf.DUMMYFUNCTION("""COMPUTED_VALUE"""),"")</f>
        <v/>
      </c>
      <c r="C1257" s="16" t="str">
        <f ca="1">IFERROR(__xludf.DUMMYFUNCTION("""COMPUTED_VALUE"""),"32,")</f>
        <v>32,</v>
      </c>
    </row>
    <row r="1258" spans="1:3" ht="15.75" customHeight="1">
      <c r="A1258" s="16" t="str">
        <f ca="1">IFERROR(__xludf.DUMMYFUNCTION("""COMPUTED_VALUE"""),"Клавиатура Gamdias ARES E3 2-IN-1 COMBO (Клавиатура+мышь)")</f>
        <v>Клавиатура Gamdias ARES E3 2-IN-1 COMBO (Клавиатура+мышь)</v>
      </c>
      <c r="B1258" s="16" t="str">
        <f ca="1">IFERROR(__xludf.DUMMYFUNCTION("""COMPUTED_VALUE"""),"")</f>
        <v/>
      </c>
      <c r="C1258" s="16" t="str">
        <f ca="1">IFERROR(__xludf.DUMMYFUNCTION("""COMPUTED_VALUE"""),"14,")</f>
        <v>14,</v>
      </c>
    </row>
    <row r="1259" spans="1:3" ht="15.75" customHeight="1">
      <c r="A1259" s="16" t="str">
        <f ca="1">IFERROR(__xludf.DUMMYFUNCTION("""COMPUTED_VALUE"""),"Клавиатура Gamdias POSEIDON E2 3-IN-1 COMBO  (клавиатура+мышь+коврик)")</f>
        <v>Клавиатура Gamdias POSEIDON E2 3-IN-1 COMBO  (клавиатура+мышь+коврик)</v>
      </c>
      <c r="B1259" s="16" t="str">
        <f ca="1">IFERROR(__xludf.DUMMYFUNCTION("""COMPUTED_VALUE"""),"")</f>
        <v/>
      </c>
      <c r="C1259" s="16" t="str">
        <f ca="1">IFERROR(__xludf.DUMMYFUNCTION("""COMPUTED_VALUE"""),"19,")</f>
        <v>19,</v>
      </c>
    </row>
    <row r="1260" spans="1:3" ht="15.75" customHeight="1">
      <c r="A1260" s="16" t="str">
        <f ca="1">IFERROR(__xludf.DUMMYFUNCTION("""COMPUTED_VALUE"""),"Клавиатура Gamdias HERMES E5")</f>
        <v>Клавиатура Gamdias HERMES E5</v>
      </c>
      <c r="B1260" s="16" t="str">
        <f ca="1">IFERROR(__xludf.DUMMYFUNCTION("""COMPUTED_VALUE"""),"")</f>
        <v/>
      </c>
      <c r="C1260" s="16" t="str">
        <f ca="1">IFERROR(__xludf.DUMMYFUNCTION("""COMPUTED_VALUE"""),"27,")</f>
        <v>27,</v>
      </c>
    </row>
    <row r="1261" spans="1:3" ht="15.75" customHeight="1">
      <c r="A1261" s="16" t="str">
        <f ca="1">IFERROR(__xludf.DUMMYFUNCTION("""COMPUTED_VALUE"""),"Клавиатура Gamdias HERMES E6 Elite")</f>
        <v>Клавиатура Gamdias HERMES E6 Elite</v>
      </c>
      <c r="B1261" s="16" t="str">
        <f ca="1">IFERROR(__xludf.DUMMYFUNCTION("""COMPUTED_VALUE"""),"")</f>
        <v/>
      </c>
      <c r="C1261" s="16" t="str">
        <f ca="1">IFERROR(__xludf.DUMMYFUNCTION("""COMPUTED_VALUE"""),"30,")</f>
        <v>30,</v>
      </c>
    </row>
    <row r="1262" spans="1:3" ht="15.75" customHeight="1">
      <c r="A1262" s="16" t="str">
        <f ca="1">IFERROR(__xludf.DUMMYFUNCTION("""COMPUTED_VALUE"""),"Корпус MSI MAG FORGE M100R")</f>
        <v>Корпус MSI MAG FORGE M100R</v>
      </c>
      <c r="B1262" s="16" t="str">
        <f ca="1">IFERROR(__xludf.DUMMYFUNCTION("""COMPUTED_VALUE"""),"")</f>
        <v/>
      </c>
      <c r="C1262" s="16" t="str">
        <f ca="1">IFERROR(__xludf.DUMMYFUNCTION("""COMPUTED_VALUE"""),"43,")</f>
        <v>43,</v>
      </c>
    </row>
    <row r="1263" spans="1:3" ht="15.75" customHeight="1">
      <c r="A1263" s="16" t="str">
        <f ca="1">IFERROR(__xludf.DUMMYFUNCTION("""COMPUTED_VALUE"""),"Корпус MSI MAG PANO M100R PZ")</f>
        <v>Корпус MSI MAG PANO M100R PZ</v>
      </c>
      <c r="B1263" s="16" t="str">
        <f ca="1">IFERROR(__xludf.DUMMYFUNCTION("""COMPUTED_VALUE"""),"")</f>
        <v/>
      </c>
      <c r="C1263" s="16" t="str">
        <f ca="1">IFERROR(__xludf.DUMMYFUNCTION("""COMPUTED_VALUE"""),"70,")</f>
        <v>70,</v>
      </c>
    </row>
    <row r="1264" spans="1:3" ht="15.75" customHeight="1">
      <c r="A1264" s="16" t="str">
        <f ca="1">IFERROR(__xludf.DUMMYFUNCTION("""COMPUTED_VALUE"""),"Корпус MSI MAG PANO M100R PZ WHITE")</f>
        <v>Корпус MSI MAG PANO M100R PZ WHITE</v>
      </c>
      <c r="B1264" s="16" t="str">
        <f ca="1">IFERROR(__xludf.DUMMYFUNCTION("""COMPUTED_VALUE"""),"")</f>
        <v/>
      </c>
      <c r="C1264" s="16" t="str">
        <f ca="1">IFERROR(__xludf.DUMMYFUNCTION("""COMPUTED_VALUE"""),"70,")</f>
        <v>70,</v>
      </c>
    </row>
    <row r="1265" spans="1:3" ht="15.75" customHeight="1">
      <c r="A1265" s="16" t="str">
        <f ca="1">IFERROR(__xludf.DUMMYFUNCTION("""COMPUTED_VALUE"""),"Корпус MSI MAG PANO 110R PZ ")</f>
        <v xml:space="preserve">Корпус MSI MAG PANO 110R PZ </v>
      </c>
      <c r="B1265" s="16" t="str">
        <f ca="1">IFERROR(__xludf.DUMMYFUNCTION("""COMPUTED_VALUE"""),"")</f>
        <v/>
      </c>
      <c r="C1265" s="16" t="str">
        <f ca="1">IFERROR(__xludf.DUMMYFUNCTION("""COMPUTED_VALUE"""),"70,")</f>
        <v>70,</v>
      </c>
    </row>
    <row r="1266" spans="1:3" ht="15.75" customHeight="1">
      <c r="A1266" s="16" t="str">
        <f ca="1">IFERROR(__xludf.DUMMYFUNCTION("""COMPUTED_VALUE"""),"Корпус MSI MPG GUNGNIR 300R AIRFLOW WHITE")</f>
        <v>Корпус MSI MPG GUNGNIR 300R AIRFLOW WHITE</v>
      </c>
      <c r="B1266" s="16" t="str">
        <f ca="1">IFERROR(__xludf.DUMMYFUNCTION("""COMPUTED_VALUE"""),"")</f>
        <v/>
      </c>
      <c r="C1266" s="16" t="str">
        <f ca="1">IFERROR(__xludf.DUMMYFUNCTION("""COMPUTED_VALUE"""),"160,")</f>
        <v>160,</v>
      </c>
    </row>
    <row r="1267" spans="1:3" ht="15.75" customHeight="1">
      <c r="A1267" s="16" t="str">
        <f ca="1">IFERROR(__xludf.DUMMYFUNCTION("""COMPUTED_VALUE"""),"MSI - Cooler MAG CORELIQUID M360 ")</f>
        <v xml:space="preserve">MSI - Cooler MAG CORELIQUID M360 </v>
      </c>
      <c r="B1267" s="16" t="str">
        <f ca="1">IFERROR(__xludf.DUMMYFUNCTION("""COMPUTED_VALUE"""),"")</f>
        <v/>
      </c>
      <c r="C1267" s="16" t="str">
        <f ca="1">IFERROR(__xludf.DUMMYFUNCTION("""COMPUTED_VALUE"""),"95,")</f>
        <v>95,</v>
      </c>
    </row>
    <row r="1268" spans="1:3" ht="15.75" customHeight="1">
      <c r="A1268" s="16" t="str">
        <f ca="1">IFERROR(__xludf.DUMMYFUNCTION("""COMPUTED_VALUE"""),"MSI - Cooler MAG CORELIQUID i360 ")</f>
        <v xml:space="preserve">MSI - Cooler MAG CORELIQUID i360 </v>
      </c>
      <c r="B1268" s="16" t="str">
        <f ca="1">IFERROR(__xludf.DUMMYFUNCTION("""COMPUTED_VALUE"""),"")</f>
        <v/>
      </c>
      <c r="C1268" s="16" t="str">
        <f ca="1">IFERROR(__xludf.DUMMYFUNCTION("""COMPUTED_VALUE"""),"100,")</f>
        <v>100,</v>
      </c>
    </row>
    <row r="1269" spans="1:3" ht="15.75" customHeight="1">
      <c r="A1269" s="16" t="str">
        <f ca="1">IFERROR(__xludf.DUMMYFUNCTION("""COMPUTED_VALUE"""),"MSI - Cooler MAG CORELIQUID P240")</f>
        <v>MSI - Cooler MAG CORELIQUID P240</v>
      </c>
      <c r="B1269" s="16" t="str">
        <f ca="1">IFERROR(__xludf.DUMMYFUNCTION("""COMPUTED_VALUE"""),"")</f>
        <v/>
      </c>
      <c r="C1269" s="16" t="str">
        <f ca="1">IFERROR(__xludf.DUMMYFUNCTION("""COMPUTED_VALUE"""),"80,")</f>
        <v>80,</v>
      </c>
    </row>
    <row r="1270" spans="1:3" ht="15.75" customHeight="1">
      <c r="A1270" s="16" t="str">
        <f ca="1">IFERROR(__xludf.DUMMYFUNCTION("""COMPUTED_VALUE"""),"MSI - Cooler MEG CORELIQUID S360")</f>
        <v>MSI - Cooler MEG CORELIQUID S360</v>
      </c>
      <c r="B1270" s="16" t="str">
        <f ca="1">IFERROR(__xludf.DUMMYFUNCTION("""COMPUTED_VALUE"""),"")</f>
        <v/>
      </c>
      <c r="C1270" s="16" t="str">
        <f ca="1">IFERROR(__xludf.DUMMYFUNCTION("""COMPUTED_VALUE"""),"230,")</f>
        <v>230,</v>
      </c>
    </row>
    <row r="1271" spans="1:3" ht="15.75" customHeight="1">
      <c r="A1271" s="16" t="str">
        <f ca="1">IFERROR(__xludf.DUMMYFUNCTION("""COMPUTED_VALUE"""),"MSI MAG A500N-H, 80 PLUS Standard, 500 Watt Power Supply")</f>
        <v>MSI MAG A500N-H, 80 PLUS Standard, 500 Watt Power Supply</v>
      </c>
      <c r="B1271" s="16" t="str">
        <f ca="1">IFERROR(__xludf.DUMMYFUNCTION("""COMPUTED_VALUE"""),"")</f>
        <v/>
      </c>
      <c r="C1271" s="16" t="str">
        <f ca="1">IFERROR(__xludf.DUMMYFUNCTION("""COMPUTED_VALUE"""),"24,")</f>
        <v>24,</v>
      </c>
    </row>
    <row r="1272" spans="1:3" ht="15.75" customHeight="1">
      <c r="A1272" s="16" t="str">
        <f ca="1">IFERROR(__xludf.DUMMYFUNCTION("""COMPUTED_VALUE"""),"MSI MAG A500DN, 80 PLUS Standard, 500 Watt Power Supply")</f>
        <v>MSI MAG A500DN, 80 PLUS Standard, 500 Watt Power Supply</v>
      </c>
      <c r="B1272" s="16" t="str">
        <f ca="1">IFERROR(__xludf.DUMMYFUNCTION("""COMPUTED_VALUE"""),"")</f>
        <v/>
      </c>
      <c r="C1272" s="16" t="str">
        <f ca="1">IFERROR(__xludf.DUMMYFUNCTION("""COMPUTED_VALUE"""),"27,")</f>
        <v>27,</v>
      </c>
    </row>
    <row r="1273" spans="1:3" ht="15.75" customHeight="1">
      <c r="A1273" s="16" t="str">
        <f ca="1">IFERROR(__xludf.DUMMYFUNCTION("""COMPUTED_VALUE"""),"MSI MAG A600DN, 80 PLUS Standard, 600 Watt Power Supply")</f>
        <v>MSI MAG A600DN, 80 PLUS Standard, 600 Watt Power Supply</v>
      </c>
      <c r="B1273" s="16" t="str">
        <f ca="1">IFERROR(__xludf.DUMMYFUNCTION("""COMPUTED_VALUE"""),"")</f>
        <v/>
      </c>
      <c r="C1273" s="16" t="str">
        <f ca="1">IFERROR(__xludf.DUMMYFUNCTION("""COMPUTED_VALUE"""),"35,")</f>
        <v>35,</v>
      </c>
    </row>
    <row r="1274" spans="1:3" ht="15.75" customHeight="1">
      <c r="A1274" s="16" t="str">
        <f ca="1">IFERROR(__xludf.DUMMYFUNCTION("""COMPUTED_VALUE"""),"MSI MAG A550BN, 80 PLUS Bronze, 550 Watt Power Supply")</f>
        <v>MSI MAG A550BN, 80 PLUS Bronze, 550 Watt Power Supply</v>
      </c>
      <c r="B1274" s="16" t="str">
        <f ca="1">IFERROR(__xludf.DUMMYFUNCTION("""COMPUTED_VALUE"""),"")</f>
        <v/>
      </c>
      <c r="C1274" s="16" t="str">
        <f ca="1">IFERROR(__xludf.DUMMYFUNCTION("""COMPUTED_VALUE"""),"37,")</f>
        <v>37,</v>
      </c>
    </row>
    <row r="1275" spans="1:3" ht="15.75" customHeight="1">
      <c r="A1275" s="16" t="str">
        <f ca="1">IFERROR(__xludf.DUMMYFUNCTION("""COMPUTED_VALUE"""),"Блок питание - MSI MAG A650BN, 80 PLUS Bronze, 650 Watt Power Supply")</f>
        <v>Блок питание - MSI MAG A650BN, 80 PLUS Bronze, 650 Watt Power Supply</v>
      </c>
      <c r="B1275" s="16" t="str">
        <f ca="1">IFERROR(__xludf.DUMMYFUNCTION("""COMPUTED_VALUE"""),"")</f>
        <v/>
      </c>
      <c r="C1275" s="16" t="str">
        <f ca="1">IFERROR(__xludf.DUMMYFUNCTION("""COMPUTED_VALUE"""),"45,")</f>
        <v>45,</v>
      </c>
    </row>
    <row r="1276" spans="1:3" ht="15.75" customHeight="1">
      <c r="A1276" s="16" t="str">
        <f ca="1">IFERROR(__xludf.DUMMYFUNCTION("""COMPUTED_VALUE"""),"Блок питание - MSI MAG A750BN, 80 Plus Bronze, 750 Watt (306-7ZP2C11-CE0)")</f>
        <v>Блок питание - MSI MAG A750BN, 80 Plus Bronze, 750 Watt (306-7ZP2C11-CE0)</v>
      </c>
      <c r="B1276" s="16" t="str">
        <f ca="1">IFERROR(__xludf.DUMMYFUNCTION("""COMPUTED_VALUE"""),"306-7ZP2C11-CE0")</f>
        <v>306-7ZP2C11-CE0</v>
      </c>
      <c r="C1276" s="16" t="str">
        <f ca="1">IFERROR(__xludf.DUMMYFUNCTION("""COMPUTED_VALUE"""),"62,")</f>
        <v>62,</v>
      </c>
    </row>
    <row r="1277" spans="1:3" ht="15.75" customHeight="1">
      <c r="A1277" s="16" t="str">
        <f ca="1">IFERROR(__xludf.DUMMYFUNCTION("""COMPUTED_VALUE"""),"Блок питание - MSI MAG A750GN PCIE5, 80 Plus Gold, 750 Watt")</f>
        <v>Блок питание - MSI MAG A750GN PCIE5, 80 Plus Gold, 750 Watt</v>
      </c>
      <c r="B1277" s="16" t="str">
        <f ca="1">IFERROR(__xludf.DUMMYFUNCTION("""COMPUTED_VALUE"""),"")</f>
        <v/>
      </c>
      <c r="C1277" s="16" t="str">
        <f ca="1">IFERROR(__xludf.DUMMYFUNCTION("""COMPUTED_VALUE"""),"95,")</f>
        <v>95,</v>
      </c>
    </row>
    <row r="1278" spans="1:3" ht="15.75" customHeight="1">
      <c r="A1278" s="16" t="str">
        <f ca="1">IFERROR(__xludf.DUMMYFUNCTION("""COMPUTED_VALUE"""),"Блок питание - MSI MAG A850GN PCIE5, 80 Plus Gold, 850 Watt")</f>
        <v>Блок питание - MSI MAG A850GN PCIE5, 80 Plus Gold, 850 Watt</v>
      </c>
      <c r="B1278" s="16" t="str">
        <f ca="1">IFERROR(__xludf.DUMMYFUNCTION("""COMPUTED_VALUE"""),"")</f>
        <v/>
      </c>
      <c r="C1278" s="16" t="str">
        <f ca="1">IFERROR(__xludf.DUMMYFUNCTION("""COMPUTED_VALUE"""),"105,")</f>
        <v>105,</v>
      </c>
    </row>
    <row r="1279" spans="1:3" ht="15.75" customHeight="1">
      <c r="A1279" s="16" t="str">
        <f ca="1">IFERROR(__xludf.DUMMYFUNCTION("""COMPUTED_VALUE"""),"Блок питание - MSI MAG A750GL PCIE5, 80 Plus Gold, Modular, 750 Watt")</f>
        <v>Блок питание - MSI MAG A750GL PCIE5, 80 Plus Gold, Modular, 750 Watt</v>
      </c>
      <c r="B1279" s="16" t="str">
        <f ca="1">IFERROR(__xludf.DUMMYFUNCTION("""COMPUTED_VALUE"""),"")</f>
        <v/>
      </c>
      <c r="C1279" s="16" t="str">
        <f ca="1">IFERROR(__xludf.DUMMYFUNCTION("""COMPUTED_VALUE"""),"95,")</f>
        <v>95,</v>
      </c>
    </row>
    <row r="1280" spans="1:3" ht="15.75" customHeight="1">
      <c r="A1280" s="16" t="str">
        <f ca="1">IFERROR(__xludf.DUMMYFUNCTION("""COMPUTED_VALUE"""),"Блок питание - MSI MAG A850GL PCIE5, 80 Plus Gold, Modular, 850 Watt")</f>
        <v>Блок питание - MSI MAG A850GL PCIE5, 80 Plus Gold, Modular, 850 Watt</v>
      </c>
      <c r="B1280" s="16" t="str">
        <f ca="1">IFERROR(__xludf.DUMMYFUNCTION("""COMPUTED_VALUE"""),"")</f>
        <v/>
      </c>
      <c r="C1280" s="16" t="str">
        <f ca="1">IFERROR(__xludf.DUMMYFUNCTION("""COMPUTED_VALUE"""),"110,")</f>
        <v>110,</v>
      </c>
    </row>
    <row r="1281" spans="1:3" ht="15.75" customHeight="1">
      <c r="A1281" s="16" t="str">
        <f ca="1">IFERROR(__xludf.DUMMYFUNCTION("""COMPUTED_VALUE"""),"Блок питание - MSI MAG A850GL PCIE5, 80 Plus Gold, Modular, White")</f>
        <v>Блок питание - MSI MAG A850GL PCIE5, 80 Plus Gold, Modular, White</v>
      </c>
      <c r="B1281" s="16" t="str">
        <f ca="1">IFERROR(__xludf.DUMMYFUNCTION("""COMPUTED_VALUE"""),"")</f>
        <v/>
      </c>
      <c r="C1281" s="16" t="str">
        <f ca="1">IFERROR(__xludf.DUMMYFUNCTION("""COMPUTED_VALUE"""),"115,")</f>
        <v>115,</v>
      </c>
    </row>
    <row r="1282" spans="1:3" ht="15.75" customHeight="1">
      <c r="A1282" s="16" t="str">
        <f ca="1">IFERROR(__xludf.DUMMYFUNCTION("""COMPUTED_VALUE"""),"Блок питание - MSI A850GLS MLG EDITION, 80 Plus Gold, 850W")</f>
        <v>Блок питание - MSI A850GLS MLG EDITION, 80 Plus Gold, 850W</v>
      </c>
      <c r="B1282" s="16" t="str">
        <f ca="1">IFERROR(__xludf.DUMMYFUNCTION("""COMPUTED_VALUE"""),"")</f>
        <v/>
      </c>
      <c r="C1282" s="16" t="str">
        <f ca="1">IFERROR(__xludf.DUMMYFUNCTION("""COMPUTED_VALUE"""),"135,")</f>
        <v>135,</v>
      </c>
    </row>
    <row r="1283" spans="1:3" ht="15.75" customHeight="1">
      <c r="A1283" s="16" t="str">
        <f ca="1">IFERROR(__xludf.DUMMYFUNCTION("""COMPUTED_VALUE"""),"Блок питание - MSI MAG A1000GL PCIE5, 80 PLUS Gold, 1000W Modular")</f>
        <v>Блок питание - MSI MAG A1000GL PCIE5, 80 PLUS Gold, 1000W Modular</v>
      </c>
      <c r="B1283" s="16" t="str">
        <f ca="1">IFERROR(__xludf.DUMMYFUNCTION("""COMPUTED_VALUE"""),"")</f>
        <v/>
      </c>
      <c r="C1283" s="16" t="str">
        <f ca="1">IFERROR(__xludf.DUMMYFUNCTION("""COMPUTED_VALUE"""),"140,")</f>
        <v>140,</v>
      </c>
    </row>
    <row r="1284" spans="1:3" ht="15.75" customHeight="1">
      <c r="A1284" s="16" t="str">
        <f ca="1">IFERROR(__xludf.DUMMYFUNCTION("""COMPUTED_VALUE"""),"Блок питание - MSI MAG A1250GL PCIE5, 80 PLUS Gold, 1250W Modular")</f>
        <v>Блок питание - MSI MAG A1250GL PCIE5, 80 PLUS Gold, 1250W Modular</v>
      </c>
      <c r="B1284" s="16" t="str">
        <f ca="1">IFERROR(__xludf.DUMMYFUNCTION("""COMPUTED_VALUE"""),"")</f>
        <v/>
      </c>
      <c r="C1284" s="16" t="str">
        <f ca="1">IFERROR(__xludf.DUMMYFUNCTION("""COMPUTED_VALUE"""),"170,")</f>
        <v>170,</v>
      </c>
    </row>
    <row r="1285" spans="1:3" ht="15.75" customHeight="1">
      <c r="A1285" s="16" t="str">
        <f ca="1">IFERROR(__xludf.DUMMYFUNCTION("""COMPUTED_VALUE"""),"Наушники MSI-Headset Immerse GH30")</f>
        <v>Наушники MSI-Headset Immerse GH30</v>
      </c>
      <c r="B1285" s="16" t="str">
        <f ca="1">IFERROR(__xludf.DUMMYFUNCTION("""COMPUTED_VALUE"""),"")</f>
        <v/>
      </c>
      <c r="C1285" s="16" t="str">
        <f ca="1">IFERROR(__xludf.DUMMYFUNCTION("""COMPUTED_VALUE"""),"40,")</f>
        <v>40,</v>
      </c>
    </row>
    <row r="1286" spans="1:3" ht="15.75" customHeight="1">
      <c r="A1286" s="16" t="str">
        <f ca="1">IFERROR(__xludf.DUMMYFUNCTION("""COMPUTED_VALUE"""),"Наушники MSI-Headset Immerse GH50")</f>
        <v>Наушники MSI-Headset Immerse GH50</v>
      </c>
      <c r="B1286" s="16" t="str">
        <f ca="1">IFERROR(__xludf.DUMMYFUNCTION("""COMPUTED_VALUE"""),"")</f>
        <v/>
      </c>
      <c r="C1286" s="16" t="str">
        <f ca="1">IFERROR(__xludf.DUMMYFUNCTION("""COMPUTED_VALUE"""),"67,")</f>
        <v>67,</v>
      </c>
    </row>
    <row r="1287" spans="1:3" ht="15.75" customHeight="1">
      <c r="A1287" s="16" t="str">
        <f ca="1">IFERROR(__xludf.DUMMYFUNCTION("""COMPUTED_VALUE"""),"MSI-Коврик AGILITY GD20")</f>
        <v>MSI-Коврик AGILITY GD20</v>
      </c>
      <c r="B1287" s="16" t="str">
        <f ca="1">IFERROR(__xludf.DUMMYFUNCTION("""COMPUTED_VALUE"""),"")</f>
        <v/>
      </c>
      <c r="C1287" s="16" t="str">
        <f ca="1">IFERROR(__xludf.DUMMYFUNCTION("""COMPUTED_VALUE"""),"9,")</f>
        <v>9,</v>
      </c>
    </row>
    <row r="1288" spans="1:3" ht="15.75" customHeight="1">
      <c r="A1288" s="16" t="str">
        <f ca="1">IFERROR(__xludf.DUMMYFUNCTION("""COMPUTED_VALUE"""),"Кресло - MSI MAG CH120 X")</f>
        <v>Кресло - MSI MAG CH120 X</v>
      </c>
      <c r="B1288" s="16" t="str">
        <f ca="1">IFERROR(__xludf.DUMMYFUNCTION("""COMPUTED_VALUE"""),"")</f>
        <v/>
      </c>
      <c r="C1288" s="16" t="str">
        <f ca="1">IFERROR(__xludf.DUMMYFUNCTION("""COMPUTED_VALUE"""),"225,")</f>
        <v>225,</v>
      </c>
    </row>
    <row r="1289" spans="1:3" ht="15.75" customHeight="1">
      <c r="A1289" s="16" t="str">
        <f ca="1">IFERROR(__xludf.DUMMYFUNCTION("""COMPUTED_VALUE"""),"APX550                                                                                            80 PLUS White")</f>
        <v>APX550                                                                                            80 PLUS White</v>
      </c>
      <c r="B1289" s="16" t="str">
        <f ca="1">IFERROR(__xludf.DUMMYFUNCTION("""COMPUTED_VALUE"""),"")</f>
        <v/>
      </c>
      <c r="C1289" s="16" t="str">
        <f ca="1">IFERROR(__xludf.DUMMYFUNCTION("""COMPUTED_VALUE"""),"36,")</f>
        <v>36,</v>
      </c>
    </row>
    <row r="1290" spans="1:3" ht="15.75" customHeight="1">
      <c r="A1290" s="16" t="str">
        <f ca="1">IFERROR(__xludf.DUMMYFUNCTION("""COMPUTED_VALUE"""),"CENTURY G5 850 Модульный                                                                                  80 PLUS GOLD Мощность	 850W")</f>
        <v>CENTURY G5 850 Модульный                                                                                  80 PLUS GOLD Мощность	 850W</v>
      </c>
      <c r="B1290" s="16" t="str">
        <f ca="1">IFERROR(__xludf.DUMMYFUNCTION("""COMPUTED_VALUE"""),"")</f>
        <v/>
      </c>
      <c r="C1290" s="16" t="str">
        <f ca="1">IFERROR(__xludf.DUMMYFUNCTION("""COMPUTED_VALUE"""),"108,")</f>
        <v>108,</v>
      </c>
    </row>
    <row r="1291" spans="1:3" ht="15.75" customHeight="1">
      <c r="A1291" s="16" t="str">
        <f ca="1">IFERROR(__xludf.DUMMYFUNCTION("""COMPUTED_VALUE"""),"Century II 1050  Модульный                                                               80 PLUS GOLD Мощность 1050W                                          Выход постоянного                                                                                "&amp;"тока +12В - 1050W")</f>
        <v>Century II 1050  Модульный                                                               80 PLUS GOLD Мощность 1050W                                          Выход постоянного                                                                                тока +12В - 1050W</v>
      </c>
      <c r="B1291" s="16" t="str">
        <f ca="1">IFERROR(__xludf.DUMMYFUNCTION("""COMPUTED_VALUE"""),"")</f>
        <v/>
      </c>
      <c r="C1291" s="16" t="str">
        <f ca="1">IFERROR(__xludf.DUMMYFUNCTION("""COMPUTED_VALUE"""),"116,")</f>
        <v>116,</v>
      </c>
    </row>
    <row r="1292" spans="1:3" ht="15.75" customHeight="1">
      <c r="A1292" s="16" t="str">
        <f ca="1">IFERROR(__xludf.DUMMYFUNCTION("""COMPUTED_VALUE"""),"Century II 1200  Модульный                                                               80 PLUS GOLD Мощность 1200W                                                           Выход постоянного                                                               "&amp;"                              тока +12В - 1200W")</f>
        <v>Century II 1200  Модульный                                                               80 PLUS GOLD Мощность 1200W                                                           Выход постоянного                                                                                             тока +12В - 1200W</v>
      </c>
      <c r="B1292" s="16" t="str">
        <f ca="1">IFERROR(__xludf.DUMMYFUNCTION("""COMPUTED_VALUE"""),"")</f>
        <v/>
      </c>
      <c r="C1292" s="16" t="str">
        <f ca="1">IFERROR(__xludf.DUMMYFUNCTION("""COMPUTED_VALUE"""),"138,")</f>
        <v>138,</v>
      </c>
    </row>
    <row r="1293" spans="1:3" ht="15.75" customHeight="1">
      <c r="A1293" s="16" t="str">
        <f ca="1">IFERROR(__xludf.DUMMYFUNCTION("""COMPUTED_VALUE"""),"X3 MESH (B)")</f>
        <v>X3 MESH (B)</v>
      </c>
      <c r="B1293" s="16" t="str">
        <f ca="1">IFERROR(__xludf.DUMMYFUNCTION("""COMPUTED_VALUE"""),"")</f>
        <v/>
      </c>
      <c r="C1293" s="16" t="str">
        <f ca="1">IFERROR(__xludf.DUMMYFUNCTION("""COMPUTED_VALUE"""),"44,")</f>
        <v>44,</v>
      </c>
    </row>
    <row r="1294" spans="1:3" ht="15.75" customHeight="1">
      <c r="A1294" s="16" t="str">
        <f ca="1">IFERROR(__xludf.DUMMYFUNCTION("""COMPUTED_VALUE"""),"X3 GLASS (W)")</f>
        <v>X3 GLASS (W)</v>
      </c>
      <c r="B1294" s="16" t="str">
        <f ca="1">IFERROR(__xludf.DUMMYFUNCTION("""COMPUTED_VALUE"""),"")</f>
        <v/>
      </c>
      <c r="C1294" s="16" t="str">
        <f ca="1">IFERROR(__xludf.DUMMYFUNCTION("""COMPUTED_VALUE"""),"47,")</f>
        <v>47,</v>
      </c>
    </row>
    <row r="1295" spans="1:3" ht="15.75" customHeight="1">
      <c r="A1295" s="16" t="str">
        <f ca="1">IFERROR(__xludf.DUMMYFUNCTION("""COMPUTED_VALUE"""),"SKY TWO (M)")</f>
        <v>SKY TWO (M)</v>
      </c>
      <c r="B1295" s="16" t="str">
        <f ca="1">IFERROR(__xludf.DUMMYFUNCTION("""COMPUTED_VALUE"""),"")</f>
        <v/>
      </c>
      <c r="C1295" s="16" t="str">
        <f ca="1">IFERROR(__xludf.DUMMYFUNCTION("""COMPUTED_VALUE"""),"86,")</f>
        <v>86,</v>
      </c>
    </row>
    <row r="1296" spans="1:3" ht="15.75" customHeight="1">
      <c r="A1296" s="16" t="str">
        <f ca="1">IFERROR(__xludf.DUMMYFUNCTION("""COMPUTED_VALUE"""),"XR (B)")</f>
        <v>XR (B)</v>
      </c>
      <c r="B1296" s="16" t="str">
        <f ca="1">IFERROR(__xludf.DUMMYFUNCTION("""COMPUTED_VALUE"""),"")</f>
        <v/>
      </c>
      <c r="C1296" s="16" t="str">
        <f ca="1">IFERROR(__xludf.DUMMYFUNCTION("""COMPUTED_VALUE"""),"47,")</f>
        <v>47,</v>
      </c>
    </row>
    <row r="1297" spans="1:3" ht="15.75" customHeight="1">
      <c r="A1297" s="16" t="str">
        <f ca="1">IFERROR(__xludf.DUMMYFUNCTION("""COMPUTED_VALUE"""),"XR (W)")</f>
        <v>XR (W)</v>
      </c>
      <c r="B1297" s="16" t="str">
        <f ca="1">IFERROR(__xludf.DUMMYFUNCTION("""COMPUTED_VALUE"""),"")</f>
        <v/>
      </c>
      <c r="C1297" s="16" t="str">
        <f ca="1">IFERROR(__xludf.DUMMYFUNCTION("""COMPUTED_VALUE"""),"50,")</f>
        <v>50,</v>
      </c>
    </row>
    <row r="1298" spans="1:3" ht="15.75" customHeight="1">
      <c r="A1298" s="16" t="str">
        <f ca="1">IFERROR(__xludf.DUMMYFUNCTION("""COMPUTED_VALUE"""),"X5 (B)")</f>
        <v>X5 (B)</v>
      </c>
      <c r="B1298" s="16" t="str">
        <f ca="1">IFERROR(__xludf.DUMMYFUNCTION("""COMPUTED_VALUE"""),"")</f>
        <v/>
      </c>
      <c r="C1298" s="16" t="str">
        <f ca="1">IFERROR(__xludf.DUMMYFUNCTION("""COMPUTED_VALUE"""),"52,")</f>
        <v>52,</v>
      </c>
    </row>
    <row r="1299" spans="1:3" ht="15.75" customHeight="1">
      <c r="A1299" s="16" t="str">
        <f ca="1">IFERROR(__xludf.DUMMYFUNCTION("""COMPUTED_VALUE"""),"AIR 903 MAX (B)")</f>
        <v>AIR 903 MAX (B)</v>
      </c>
      <c r="B1299" s="16" t="str">
        <f ca="1">IFERROR(__xludf.DUMMYFUNCTION("""COMPUTED_VALUE"""),"")</f>
        <v/>
      </c>
      <c r="C1299" s="16" t="str">
        <f ca="1">IFERROR(__xludf.DUMMYFUNCTION("""COMPUTED_VALUE"""),"65,")</f>
        <v>65,</v>
      </c>
    </row>
    <row r="1300" spans="1:3" ht="15.75" customHeight="1">
      <c r="A1300" s="16" t="str">
        <f ca="1">IFERROR(__xludf.DUMMYFUNCTION("""COMPUTED_VALUE"""),"HS01 PRO (B)")</f>
        <v>HS01 PRO (B)</v>
      </c>
      <c r="B1300" s="16" t="str">
        <f ca="1">IFERROR(__xludf.DUMMYFUNCTION("""COMPUTED_VALUE"""),"")</f>
        <v/>
      </c>
      <c r="C1300" s="16" t="str">
        <f ca="1">IFERROR(__xludf.DUMMYFUNCTION("""COMPUTED_VALUE"""),"113,")</f>
        <v>113,</v>
      </c>
    </row>
    <row r="1301" spans="1:3" ht="15.75" customHeight="1">
      <c r="A1301" s="16" t="str">
        <f ca="1">IFERROR(__xludf.DUMMYFUNCTION("""COMPUTED_VALUE"""),"HS01 PRO (W)")</f>
        <v>HS01 PRO (W)</v>
      </c>
      <c r="B1301" s="16" t="str">
        <f ca="1">IFERROR(__xludf.DUMMYFUNCTION("""COMPUTED_VALUE"""),"")</f>
        <v/>
      </c>
      <c r="C1301" s="16" t="str">
        <f ca="1">IFERROR(__xludf.DUMMYFUNCTION("""COMPUTED_VALUE"""),"113,")</f>
        <v>113,</v>
      </c>
    </row>
    <row r="1302" spans="1:3" ht="15.75" customHeight="1">
      <c r="A1302" s="16" t="str">
        <f ca="1">IFERROR(__xludf.DUMMYFUNCTION("""COMPUTED_VALUE"""),"KING 45 PRO (B)")</f>
        <v>KING 45 PRO (B)</v>
      </c>
      <c r="B1302" s="16" t="str">
        <f ca="1">IFERROR(__xludf.DUMMYFUNCTION("""COMPUTED_VALUE"""),"")</f>
        <v/>
      </c>
      <c r="C1302" s="16" t="str">
        <f ca="1">IFERROR(__xludf.DUMMYFUNCTION("""COMPUTED_VALUE"""),"99,")</f>
        <v>99,</v>
      </c>
    </row>
    <row r="1303" spans="1:3" ht="15.75" customHeight="1">
      <c r="A1303" s="16" t="str">
        <f ca="1">IFERROR(__xludf.DUMMYFUNCTION("""COMPUTED_VALUE"""),"KING 45 PRO (W)")</f>
        <v>KING 45 PRO (W)</v>
      </c>
      <c r="B1303" s="16" t="str">
        <f ca="1">IFERROR(__xludf.DUMMYFUNCTION("""COMPUTED_VALUE"""),"")</f>
        <v/>
      </c>
      <c r="C1303" s="16" t="str">
        <f ca="1">IFERROR(__xludf.DUMMYFUNCTION("""COMPUTED_VALUE"""),"99,")</f>
        <v>99,</v>
      </c>
    </row>
    <row r="1304" spans="1:3" ht="15.75" customHeight="1">
      <c r="A1304" s="16" t="str">
        <f ca="1">IFERROR(__xludf.DUMMYFUNCTION("""COMPUTED_VALUE"""),"KING 65 Pro (B)")</f>
        <v>KING 65 Pro (B)</v>
      </c>
      <c r="B1304" s="16" t="str">
        <f ca="1">IFERROR(__xludf.DUMMYFUNCTION("""COMPUTED_VALUE"""),"")</f>
        <v/>
      </c>
      <c r="C1304" s="16" t="str">
        <f ca="1">IFERROR(__xludf.DUMMYFUNCTION("""COMPUTED_VALUE"""),"88,")</f>
        <v>88,</v>
      </c>
    </row>
    <row r="1305" spans="1:3" ht="15.75" customHeight="1">
      <c r="A1305" s="16" t="str">
        <f ca="1">IFERROR(__xludf.DUMMYFUNCTION("""COMPUTED_VALUE"""),"KING 65 Pro (W)")</f>
        <v>KING 65 Pro (W)</v>
      </c>
      <c r="B1305" s="16" t="str">
        <f ca="1">IFERROR(__xludf.DUMMYFUNCTION("""COMPUTED_VALUE"""),"")</f>
        <v/>
      </c>
      <c r="C1305" s="16" t="str">
        <f ca="1">IFERROR(__xludf.DUMMYFUNCTION("""COMPUTED_VALUE"""),"92,")</f>
        <v>92,</v>
      </c>
    </row>
    <row r="1306" spans="1:3" ht="15.75" customHeight="1">
      <c r="A1306" s="16" t="str">
        <f ca="1">IFERROR(__xludf.DUMMYFUNCTION("""COMPUTED_VALUE"""),"KING 95 Pro (B)")</f>
        <v>KING 95 Pro (B)</v>
      </c>
      <c r="B1306" s="16" t="str">
        <f ca="1">IFERROR(__xludf.DUMMYFUNCTION("""COMPUTED_VALUE"""),"")</f>
        <v/>
      </c>
      <c r="C1306" s="16" t="str">
        <f ca="1">IFERROR(__xludf.DUMMYFUNCTION("""COMPUTED_VALUE"""),"133,")</f>
        <v>133,</v>
      </c>
    </row>
    <row r="1307" spans="1:3" ht="15.75" customHeight="1">
      <c r="A1307" s="16" t="str">
        <f ca="1">IFERROR(__xludf.DUMMYFUNCTION("""COMPUTED_VALUE"""),"KING 95 Pro (W)")</f>
        <v>KING 95 Pro (W)</v>
      </c>
      <c r="B1307" s="16" t="str">
        <f ca="1">IFERROR(__xludf.DUMMYFUNCTION("""COMPUTED_VALUE"""),"")</f>
        <v/>
      </c>
      <c r="C1307" s="16" t="str">
        <f ca="1">IFERROR(__xludf.DUMMYFUNCTION("""COMPUTED_VALUE"""),"140,")</f>
        <v>140,</v>
      </c>
    </row>
    <row r="1308" spans="1:3" ht="15.75" customHeight="1">
      <c r="A1308" s="16" t="str">
        <f ca="1">IFERROR(__xludf.DUMMYFUNCTION("""COMPUTED_VALUE"""),"King95 PRO (R)")</f>
        <v>King95 PRO (R)</v>
      </c>
      <c r="B1308" s="16" t="str">
        <f ca="1">IFERROR(__xludf.DUMMYFUNCTION("""COMPUTED_VALUE"""),"")</f>
        <v/>
      </c>
      <c r="C1308" s="16" t="str">
        <f ca="1">IFERROR(__xludf.DUMMYFUNCTION("""COMPUTED_VALUE"""),"142,")</f>
        <v>142,</v>
      </c>
    </row>
    <row r="1309" spans="1:3" ht="15.75" customHeight="1">
      <c r="A1309" s="16" t="str">
        <f ca="1">IFERROR(__xludf.DUMMYFUNCTION("""COMPUTED_VALUE"""),"Проводная клавиатура Defender Daily HB-162")</f>
        <v>Проводная клавиатура Defender Daily HB-162</v>
      </c>
      <c r="B1309" s="16" t="str">
        <f ca="1">IFERROR(__xludf.DUMMYFUNCTION("""COMPUTED_VALUE"""),"")</f>
        <v/>
      </c>
      <c r="C1309" s="16" t="str">
        <f ca="1">IFERROR(__xludf.DUMMYFUNCTION("""COMPUTED_VALUE"""),"2,6")</f>
        <v>2,6</v>
      </c>
    </row>
    <row r="1310" spans="1:3" ht="15.75" customHeight="1">
      <c r="A1310" s="16" t="str">
        <f ca="1">IFERROR(__xludf.DUMMYFUNCTION("""COMPUTED_VALUE"""),"Проводная игровая клавиатура Defender Arx GK-196L")</f>
        <v>Проводная игровая клавиатура Defender Arx GK-196L</v>
      </c>
      <c r="B1310" s="16" t="str">
        <f ca="1">IFERROR(__xludf.DUMMYFUNCTION("""COMPUTED_VALUE"""),"")</f>
        <v/>
      </c>
      <c r="C1310" s="16" t="str">
        <f ca="1">IFERROR(__xludf.DUMMYFUNCTION("""COMPUTED_VALUE"""),"7,5")</f>
        <v>7,5</v>
      </c>
    </row>
    <row r="1311" spans="1:3" ht="15.75" customHeight="1">
      <c r="A1311" s="16" t="str">
        <f ca="1">IFERROR(__xludf.DUMMYFUNCTION("""COMPUTED_VALUE"""),"Проводная клавиатура Defender Ultra HB-330L")</f>
        <v>Проводная клавиатура Defender Ultra HB-330L</v>
      </c>
      <c r="B1311" s="16" t="str">
        <f ca="1">IFERROR(__xludf.DUMMYFUNCTION("""COMPUTED_VALUE"""),"")</f>
        <v/>
      </c>
      <c r="C1311" s="16" t="str">
        <f ca="1">IFERROR(__xludf.DUMMYFUNCTION("""COMPUTED_VALUE"""),"8,5")</f>
        <v>8,5</v>
      </c>
    </row>
    <row r="1312" spans="1:3" ht="15.75" customHeight="1">
      <c r="A1312" s="16" t="str">
        <f ca="1">IFERROR(__xludf.DUMMYFUNCTION("""COMPUTED_VALUE"""),"Проводная игровая клавиатура Defender Dark Knight GK-077")</f>
        <v>Проводная игровая клавиатура Defender Dark Knight GK-077</v>
      </c>
      <c r="B1312" s="16" t="str">
        <f ca="1">IFERROR(__xludf.DUMMYFUNCTION("""COMPUTED_VALUE"""),"")</f>
        <v/>
      </c>
      <c r="C1312" s="16" t="str">
        <f ca="1">IFERROR(__xludf.DUMMYFUNCTION("""COMPUTED_VALUE"""),"8,5")</f>
        <v>8,5</v>
      </c>
    </row>
    <row r="1313" spans="1:3" ht="15.75" customHeight="1">
      <c r="A1313" s="16" t="str">
        <f ca="1">IFERROR(__xludf.DUMMYFUNCTION("""COMPUTED_VALUE"""),"Проводная игровая клавиатура Defender Raid GK-778DL")</f>
        <v>Проводная игровая клавиатура Defender Raid GK-778DL</v>
      </c>
      <c r="B1313" s="16" t="str">
        <f ca="1">IFERROR(__xludf.DUMMYFUNCTION("""COMPUTED_VALUE"""),"")</f>
        <v/>
      </c>
      <c r="C1313" s="16" t="str">
        <f ca="1">IFERROR(__xludf.DUMMYFUNCTION("""COMPUTED_VALUE"""),"9,")</f>
        <v>9,</v>
      </c>
    </row>
    <row r="1314" spans="1:3" ht="15.75" customHeight="1">
      <c r="A1314" s="16" t="str">
        <f ca="1">IFERROR(__xludf.DUMMYFUNCTION("""COMPUTED_VALUE"""),"Проводная игровая клавиатура Defender Doom Keeper GK-100DL")</f>
        <v>Проводная игровая клавиатура Defender Doom Keeper GK-100DL</v>
      </c>
      <c r="B1314" s="16" t="str">
        <f ca="1">IFERROR(__xludf.DUMMYFUNCTION("""COMPUTED_VALUE"""),"")</f>
        <v/>
      </c>
      <c r="C1314" s="16" t="str">
        <f ca="1">IFERROR(__xludf.DUMMYFUNCTION("""COMPUTED_VALUE"""),"14,")</f>
        <v>14,</v>
      </c>
    </row>
    <row r="1315" spans="1:3" ht="15.75" customHeight="1">
      <c r="A1315" s="16" t="str">
        <f ca="1">IFERROR(__xludf.DUMMYFUNCTION("""COMPUTED_VALUE"""),"Игравая клавиатура + мышь Defender Glion C-123")</f>
        <v>Игравая клавиатура + мышь Defender Glion C-123</v>
      </c>
      <c r="B1315" s="16" t="str">
        <f ca="1">IFERROR(__xludf.DUMMYFUNCTION("""COMPUTED_VALUE"""),"")</f>
        <v/>
      </c>
      <c r="C1315" s="16" t="str">
        <f ca="1">IFERROR(__xludf.DUMMYFUNCTION("""COMPUTED_VALUE"""),"10,")</f>
        <v>10,</v>
      </c>
    </row>
    <row r="1316" spans="1:3" ht="15.75" customHeight="1">
      <c r="A1316" s="16" t="str">
        <f ca="1">IFERROR(__xludf.DUMMYFUNCTION("""COMPUTED_VALUE"""),"Игравая клавиатура + мышь Defender Singularity MKP-118")</f>
        <v>Игравая клавиатура + мышь Defender Singularity MKP-118</v>
      </c>
      <c r="B1316" s="16" t="str">
        <f ca="1">IFERROR(__xludf.DUMMYFUNCTION("""COMPUTED_VALUE"""),"")</f>
        <v/>
      </c>
      <c r="C1316" s="16" t="str">
        <f ca="1">IFERROR(__xludf.DUMMYFUNCTION("""COMPUTED_VALUE"""),"18,5")</f>
        <v>18,5</v>
      </c>
    </row>
    <row r="1317" spans="1:3" ht="15.75" customHeight="1">
      <c r="A1317" s="16" t="str">
        <f ca="1">IFERROR(__xludf.DUMMYFUNCTION("""COMPUTED_VALUE"""),"Игравая клавиатура + мышь+наушники Defender Target MKP-350")</f>
        <v>Игравая клавиатура + мышь+наушники Defender Target MKP-350</v>
      </c>
      <c r="B1317" s="16" t="str">
        <f ca="1">IFERROR(__xludf.DUMMYFUNCTION("""COMPUTED_VALUE"""),"")</f>
        <v/>
      </c>
      <c r="C1317" s="16" t="str">
        <f ca="1">IFERROR(__xludf.DUMMYFUNCTION("""COMPUTED_VALUE"""),"20,")</f>
        <v>20,</v>
      </c>
    </row>
    <row r="1318" spans="1:3" ht="15.75" customHeight="1">
      <c r="A1318" s="16" t="str">
        <f ca="1">IFERROR(__xludf.DUMMYFUNCTION("""COMPUTED_VALUE"""),"Механическая игровая клавиатура Defender Mechanoid GK-581")</f>
        <v>Механическая игровая клавиатура Defender Mechanoid GK-581</v>
      </c>
      <c r="B1318" s="16" t="str">
        <f ca="1">IFERROR(__xludf.DUMMYFUNCTION("""COMPUTED_VALUE"""),"")</f>
        <v/>
      </c>
      <c r="C1318" s="16" t="str">
        <f ca="1">IFERROR(__xludf.DUMMYFUNCTION("""COMPUTED_VALUE"""),"16,")</f>
        <v>16,</v>
      </c>
    </row>
    <row r="1319" spans="1:3" ht="15.75" customHeight="1">
      <c r="A1319" s="16" t="str">
        <f ca="1">IFERROR(__xludf.DUMMYFUNCTION("""COMPUTED_VALUE"""),"Механическая игровая клавиатура Defender Quest GK-596")</f>
        <v>Механическая игровая клавиатура Defender Quest GK-596</v>
      </c>
      <c r="B1319" s="16" t="str">
        <f ca="1">IFERROR(__xludf.DUMMYFUNCTION("""COMPUTED_VALUE"""),"")</f>
        <v/>
      </c>
      <c r="C1319" s="16" t="str">
        <f ca="1">IFERROR(__xludf.DUMMYFUNCTION("""COMPUTED_VALUE"""),"18,")</f>
        <v>18,</v>
      </c>
    </row>
    <row r="1320" spans="1:3" ht="15.75" customHeight="1">
      <c r="A1320" s="16" t="str">
        <f ca="1">IFERROR(__xludf.DUMMYFUNCTION("""COMPUTED_VALUE"""),"Беспроводной набор Defender Berkeley C-925")</f>
        <v>Беспроводной набор Defender Berkeley C-925</v>
      </c>
      <c r="B1320" s="16" t="str">
        <f ca="1">IFERROR(__xludf.DUMMYFUNCTION("""COMPUTED_VALUE"""),"")</f>
        <v/>
      </c>
      <c r="C1320" s="16" t="str">
        <f ca="1">IFERROR(__xludf.DUMMYFUNCTION("""COMPUTED_VALUE"""),"16,5")</f>
        <v>16,5</v>
      </c>
    </row>
    <row r="1321" spans="1:3" ht="15.75" customHeight="1">
      <c r="A1321" s="16" t="str">
        <f ca="1">IFERROR(__xludf.DUMMYFUNCTION("""COMPUTED_VALUE"""),"Беспроводной набор Defender Lima C-993")</f>
        <v>Беспроводной набор Defender Lima C-993</v>
      </c>
      <c r="B1321" s="16" t="str">
        <f ca="1">IFERROR(__xludf.DUMMYFUNCTION("""COMPUTED_VALUE"""),"")</f>
        <v/>
      </c>
      <c r="C1321" s="16" t="str">
        <f ca="1">IFERROR(__xludf.DUMMYFUNCTION("""COMPUTED_VALUE"""),"8,")</f>
        <v>8,</v>
      </c>
    </row>
    <row r="1322" spans="1:3" ht="15.75" customHeight="1">
      <c r="A1322" s="16" t="str">
        <f ca="1">IFERROR(__xludf.DUMMYFUNCTION("""COMPUTED_VALUE"""),"Беспроводной набор Defender Skyline 895")</f>
        <v>Беспроводной набор Defender Skyline 895</v>
      </c>
      <c r="B1322" s="16" t="str">
        <f ca="1">IFERROR(__xludf.DUMMYFUNCTION("""COMPUTED_VALUE"""),"")</f>
        <v/>
      </c>
      <c r="C1322" s="16" t="str">
        <f ca="1">IFERROR(__xludf.DUMMYFUNCTION("""COMPUTED_VALUE"""),"17,")</f>
        <v>17,</v>
      </c>
    </row>
    <row r="1323" spans="1:3" ht="15.75" customHeight="1">
      <c r="A1323" s="16" t="str">
        <f ca="1">IFERROR(__xludf.DUMMYFUNCTION("""COMPUTED_VALUE"""),"Проводная оптическая мышь Defender Trace MB-989")</f>
        <v>Проводная оптическая мышь Defender Trace MB-989</v>
      </c>
      <c r="B1323" s="16" t="str">
        <f ca="1">IFERROR(__xludf.DUMMYFUNCTION("""COMPUTED_VALUE"""),"")</f>
        <v/>
      </c>
      <c r="C1323" s="16" t="str">
        <f ca="1">IFERROR(__xludf.DUMMYFUNCTION("""COMPUTED_VALUE"""),"1,1")</f>
        <v>1,1</v>
      </c>
    </row>
    <row r="1324" spans="1:3" ht="15.75" customHeight="1">
      <c r="A1324" s="16" t="str">
        <f ca="1">IFERROR(__xludf.DUMMYFUNCTION("""COMPUTED_VALUE"""),"Проводная оптическая мышь Defender Optimum MB-160")</f>
        <v>Проводная оптическая мышь Defender Optimum MB-160</v>
      </c>
      <c r="B1324" s="16" t="str">
        <f ca="1">IFERROR(__xludf.DUMMYFUNCTION("""COMPUTED_VALUE"""),"")</f>
        <v/>
      </c>
      <c r="C1324" s="16" t="str">
        <f ca="1">IFERROR(__xludf.DUMMYFUNCTION("""COMPUTED_VALUE"""),"1,7")</f>
        <v>1,7</v>
      </c>
    </row>
    <row r="1325" spans="1:3" ht="15.75" customHeight="1">
      <c r="A1325" s="16" t="str">
        <f ca="1">IFERROR(__xludf.DUMMYFUNCTION("""COMPUTED_VALUE"""),"Проводная игровая мышь Defender Killer GM-170L")</f>
        <v>Проводная игровая мышь Defender Killer GM-170L</v>
      </c>
      <c r="B1325" s="16" t="str">
        <f ca="1">IFERROR(__xludf.DUMMYFUNCTION("""COMPUTED_VALUE"""),"")</f>
        <v/>
      </c>
      <c r="C1325" s="16" t="str">
        <f ca="1">IFERROR(__xludf.DUMMYFUNCTION("""COMPUTED_VALUE"""),"7,")</f>
        <v>7,</v>
      </c>
    </row>
    <row r="1326" spans="1:3" ht="15.75" customHeight="1">
      <c r="A1326" s="16" t="str">
        <f ca="1">IFERROR(__xludf.DUMMYFUNCTION("""COMPUTED_VALUE"""),"Беспроводная игровая мышь Defender Katana GM-511")</f>
        <v>Беспроводная игровая мышь Defender Katana GM-511</v>
      </c>
      <c r="B1326" s="16" t="str">
        <f ca="1">IFERROR(__xludf.DUMMYFUNCTION("""COMPUTED_VALUE"""),"")</f>
        <v/>
      </c>
      <c r="C1326" s="16" t="str">
        <f ca="1">IFERROR(__xludf.DUMMYFUNCTION("""COMPUTED_VALUE"""),"8,")</f>
        <v>8,</v>
      </c>
    </row>
    <row r="1327" spans="1:3" ht="15.75" customHeight="1">
      <c r="A1327" s="16" t="str">
        <f ca="1">IFERROR(__xludf.DUMMYFUNCTION("""COMPUTED_VALUE"""),"Беспроводная оптическая мышь Defender Hit MM-495")</f>
        <v>Беспроводная оптическая мышь Defender Hit MM-495</v>
      </c>
      <c r="B1327" s="16" t="str">
        <f ca="1">IFERROR(__xludf.DUMMYFUNCTION("""COMPUTED_VALUE"""),"")</f>
        <v/>
      </c>
      <c r="C1327" s="16" t="str">
        <f ca="1">IFERROR(__xludf.DUMMYFUNCTION("""COMPUTED_VALUE"""),"2,5")</f>
        <v>2,5</v>
      </c>
    </row>
    <row r="1328" spans="1:3" ht="15.75" customHeight="1">
      <c r="A1328" s="16" t="str">
        <f ca="1">IFERROR(__xludf.DUMMYFUNCTION("""COMPUTED_VALUE"""),"Беспроводные стереонаушники Defender FreeMotion B595")</f>
        <v>Беспроводные стереонаушники Defender FreeMotion B595</v>
      </c>
      <c r="B1328" s="16" t="str">
        <f ca="1">IFERROR(__xludf.DUMMYFUNCTION("""COMPUTED_VALUE"""),"")</f>
        <v/>
      </c>
      <c r="C1328" s="16" t="str">
        <f ca="1">IFERROR(__xludf.DUMMYFUNCTION("""COMPUTED_VALUE"""),"9,")</f>
        <v>9,</v>
      </c>
    </row>
    <row r="1329" spans="1:3" ht="15.75" customHeight="1">
      <c r="A1329" s="16" t="str">
        <f ca="1">IFERROR(__xludf.DUMMYFUNCTION("""COMPUTED_VALUE"""),"Беспроводные стереонаушники Defender Twins 639")</f>
        <v>Беспроводные стереонаушники Defender Twins 639</v>
      </c>
      <c r="B1329" s="16" t="str">
        <f ca="1">IFERROR(__xludf.DUMMYFUNCTION("""COMPUTED_VALUE"""),"")</f>
        <v/>
      </c>
      <c r="C1329" s="16" t="str">
        <f ca="1">IFERROR(__xludf.DUMMYFUNCTION("""COMPUTED_VALUE"""),"10,")</f>
        <v>10,</v>
      </c>
    </row>
    <row r="1330" spans="1:3" ht="15.75" customHeight="1">
      <c r="A1330" s="16" t="str">
        <f ca="1">IFERROR(__xludf.DUMMYFUNCTION("""COMPUTED_VALUE"""),"Беспроводные стереонаушники Defender FreeMotion B445")</f>
        <v>Беспроводные стереонаушники Defender FreeMotion B445</v>
      </c>
      <c r="B1330" s="16" t="str">
        <f ca="1">IFERROR(__xludf.DUMMYFUNCTION("""COMPUTED_VALUE"""),"")</f>
        <v/>
      </c>
      <c r="C1330" s="16" t="str">
        <f ca="1">IFERROR(__xludf.DUMMYFUNCTION("""COMPUTED_VALUE"""),"11,")</f>
        <v>11,</v>
      </c>
    </row>
    <row r="1331" spans="1:3" ht="15.75" customHeight="1">
      <c r="A1331" s="16" t="str">
        <f ca="1">IFERROR(__xludf.DUMMYFUNCTION("""COMPUTED_VALUE"""),"Беспроводные стереонаушники Defender FreeMotion B695")</f>
        <v>Беспроводные стереонаушники Defender FreeMotion B695</v>
      </c>
      <c r="B1331" s="16" t="str">
        <f ca="1">IFERROR(__xludf.DUMMYFUNCTION("""COMPUTED_VALUE"""),"")</f>
        <v/>
      </c>
      <c r="C1331" s="16" t="str">
        <f ca="1">IFERROR(__xludf.DUMMYFUNCTION("""COMPUTED_VALUE"""),"14,")</f>
        <v>14,</v>
      </c>
    </row>
    <row r="1332" spans="1:3" ht="15.75" customHeight="1">
      <c r="A1332" s="16" t="str">
        <f ca="1">IFERROR(__xludf.DUMMYFUNCTION("""COMPUTED_VALUE"""),"Игровое кресло Defender Tornado")</f>
        <v>Игровое кресло Defender Tornado</v>
      </c>
      <c r="B1332" s="16" t="str">
        <f ca="1">IFERROR(__xludf.DUMMYFUNCTION("""COMPUTED_VALUE"""),"")</f>
        <v/>
      </c>
      <c r="C1332" s="16" t="str">
        <f ca="1">IFERROR(__xludf.DUMMYFUNCTION("""COMPUTED_VALUE"""),"100,")</f>
        <v>100,</v>
      </c>
    </row>
    <row r="1333" spans="1:3" ht="15.75" customHeight="1">
      <c r="A1333" s="16" t="str">
        <f ca="1">IFERROR(__xludf.DUMMYFUNCTION("""COMPUTED_VALUE"""),"Игровое кресло Defender xCom")</f>
        <v>Игровое кресло Defender xCom</v>
      </c>
      <c r="B1333" s="16" t="str">
        <f ca="1">IFERROR(__xludf.DUMMYFUNCTION("""COMPUTED_VALUE"""),"")</f>
        <v/>
      </c>
      <c r="C1333" s="16" t="str">
        <f ca="1">IFERROR(__xludf.DUMMYFUNCTION("""COMPUTED_VALUE"""),"100,")</f>
        <v>100,</v>
      </c>
    </row>
    <row r="1334" spans="1:3" ht="15.75" customHeight="1">
      <c r="A1334" s="16" t="str">
        <f ca="1">IFERROR(__xludf.DUMMYFUNCTION("""COMPUTED_VALUE"""),"Игровое кресло Defender Breeze")</f>
        <v>Игровое кресло Defender Breeze</v>
      </c>
      <c r="B1334" s="16" t="str">
        <f ca="1">IFERROR(__xludf.DUMMYFUNCTION("""COMPUTED_VALUE"""),"")</f>
        <v/>
      </c>
      <c r="C1334" s="16" t="str">
        <f ca="1">IFERROR(__xludf.DUMMYFUNCTION("""COMPUTED_VALUE"""),"120,")</f>
        <v>120,</v>
      </c>
    </row>
    <row r="1335" spans="1:3" ht="15.75" customHeight="1">
      <c r="A1335" s="16" t="str">
        <f ca="1">IFERROR(__xludf.DUMMYFUNCTION("""COMPUTED_VALUE"""),"Игровое кресло Defender Bora")</f>
        <v>Игровое кресло Defender Bora</v>
      </c>
      <c r="B1335" s="16" t="str">
        <f ca="1">IFERROR(__xludf.DUMMYFUNCTION("""COMPUTED_VALUE"""),"")</f>
        <v/>
      </c>
      <c r="C1335" s="16" t="str">
        <f ca="1">IFERROR(__xludf.DUMMYFUNCTION("""COMPUTED_VALUE"""),"130,")</f>
        <v>130,</v>
      </c>
    </row>
    <row r="1336" spans="1:3" ht="15.75" customHeight="1">
      <c r="A1336" s="16" t="str">
        <f ca="1">IFERROR(__xludf.DUMMYFUNCTION("""COMPUTED_VALUE"""),"Игровое кресло Defender Ego")</f>
        <v>Игровое кресло Defender Ego</v>
      </c>
      <c r="B1336" s="16" t="str">
        <f ca="1">IFERROR(__xludf.DUMMYFUNCTION("""COMPUTED_VALUE"""),"")</f>
        <v/>
      </c>
      <c r="C1336" s="16" t="str">
        <f ca="1">IFERROR(__xludf.DUMMYFUNCTION("""COMPUTED_VALUE"""),"130,")</f>
        <v>130,</v>
      </c>
    </row>
    <row r="1337" spans="1:3" ht="15.75" customHeight="1">
      <c r="A1337" s="16" t="str">
        <f ca="1">IFERROR(__xludf.DUMMYFUNCTION("""COMPUTED_VALUE"""),"Вебкамера Defender G-lens 2590 QHD ")</f>
        <v xml:space="preserve">Вебкамера Defender G-lens 2590 QHD </v>
      </c>
      <c r="B1337" s="16" t="str">
        <f ca="1">IFERROR(__xludf.DUMMYFUNCTION("""COMPUTED_VALUE"""),"")</f>
        <v/>
      </c>
      <c r="C1337" s="16" t="str">
        <f ca="1">IFERROR(__xludf.DUMMYFUNCTION("""COMPUTED_VALUE"""),"14,")</f>
        <v>14,</v>
      </c>
    </row>
    <row r="1338" spans="1:3" ht="15.75" customHeight="1">
      <c r="A1338" s="16" t="str">
        <f ca="1">IFERROR(__xludf.DUMMYFUNCTION("""COMPUTED_VALUE"""),"Игровой стол Defender Electric")</f>
        <v>Игровой стол Defender Electric</v>
      </c>
      <c r="B1338" s="16" t="str">
        <f ca="1">IFERROR(__xludf.DUMMYFUNCTION("""COMPUTED_VALUE"""),"")</f>
        <v/>
      </c>
      <c r="C1338" s="16" t="str">
        <f ca="1">IFERROR(__xludf.DUMMYFUNCTION("""COMPUTED_VALUE"""),"175,")</f>
        <v>175,</v>
      </c>
    </row>
    <row r="1339" spans="1:3" ht="15.75" customHeight="1">
      <c r="A1339" s="16" t="str">
        <f ca="1">IFERROR(__xludf.DUMMYFUNCTION("""COMPUTED_VALUE"""),"Игровой стол Defender Exos")</f>
        <v>Игровой стол Defender Exos</v>
      </c>
      <c r="B1339" s="16" t="str">
        <f ca="1">IFERROR(__xludf.DUMMYFUNCTION("""COMPUTED_VALUE"""),"")</f>
        <v/>
      </c>
      <c r="C1339" s="16" t="str">
        <f ca="1">IFERROR(__xludf.DUMMYFUNCTION("""COMPUTED_VALUE"""),"200,")</f>
        <v>200,</v>
      </c>
    </row>
    <row r="1340" spans="1:3" ht="15.75" customHeight="1">
      <c r="A1340" s="16" t="str">
        <f ca="1">IFERROR(__xludf.DUMMYFUNCTION("""COMPUTED_VALUE"""),"Кресло AULA F8093 Red (витрина)")</f>
        <v>Кресло AULA F8093 Red (витрина)</v>
      </c>
      <c r="B1340" s="16" t="str">
        <f ca="1">IFERROR(__xludf.DUMMYFUNCTION("""COMPUTED_VALUE"""),"")</f>
        <v/>
      </c>
      <c r="C1340" s="16" t="str">
        <f ca="1">IFERROR(__xludf.DUMMYFUNCTION("""COMPUTED_VALUE"""),"60,")</f>
        <v>60,</v>
      </c>
    </row>
    <row r="1341" spans="1:3" ht="15.75" customHeight="1">
      <c r="A1341" s="16" t="str">
        <f ca="1">IFERROR(__xludf.DUMMYFUNCTION("""COMPUTED_VALUE"""),"Мышь игровая проводная AULA S11")</f>
        <v>Мышь игровая проводная AULA S11</v>
      </c>
      <c r="B1341" s="16" t="str">
        <f ca="1">IFERROR(__xludf.DUMMYFUNCTION("""COMPUTED_VALUE"""),"")</f>
        <v/>
      </c>
      <c r="C1341" s="16" t="str">
        <f ca="1">IFERROR(__xludf.DUMMYFUNCTION("""COMPUTED_VALUE"""),"5,")</f>
        <v>5,</v>
      </c>
    </row>
    <row r="1342" spans="1:3" ht="15.75" customHeight="1">
      <c r="A1342" s="16" t="str">
        <f ca="1">IFERROR(__xludf.DUMMYFUNCTION("""COMPUTED_VALUE"""),"Мышь игровая проводная AULA S11 PRO (blue/white)")</f>
        <v>Мышь игровая проводная AULA S11 PRO (blue/white)</v>
      </c>
      <c r="B1342" s="16" t="str">
        <f ca="1">IFERROR(__xludf.DUMMYFUNCTION("""COMPUTED_VALUE"""),"")</f>
        <v/>
      </c>
      <c r="C1342" s="16" t="str">
        <f ca="1">IFERROR(__xludf.DUMMYFUNCTION("""COMPUTED_VALUE"""),"6,")</f>
        <v>6,</v>
      </c>
    </row>
    <row r="1343" spans="1:3" ht="15.75" customHeight="1">
      <c r="A1343" s="16" t="str">
        <f ca="1">IFERROR(__xludf.DUMMYFUNCTION("""COMPUTED_VALUE"""),"Мышь игровая проводная AULA S13")</f>
        <v>Мышь игровая проводная AULA S13</v>
      </c>
      <c r="B1343" s="16" t="str">
        <f ca="1">IFERROR(__xludf.DUMMYFUNCTION("""COMPUTED_VALUE"""),"")</f>
        <v/>
      </c>
      <c r="C1343" s="16" t="str">
        <f ca="1">IFERROR(__xludf.DUMMYFUNCTION("""COMPUTED_VALUE"""),"6,")</f>
        <v>6,</v>
      </c>
    </row>
    <row r="1344" spans="1:3" ht="15.75" customHeight="1">
      <c r="A1344" s="16" t="str">
        <f ca="1">IFERROR(__xludf.DUMMYFUNCTION("""COMPUTED_VALUE"""),"Мышь игровая проводная AULA F816")</f>
        <v>Мышь игровая проводная AULA F816</v>
      </c>
      <c r="B1344" s="16" t="str">
        <f ca="1">IFERROR(__xludf.DUMMYFUNCTION("""COMPUTED_VALUE"""),"")</f>
        <v/>
      </c>
      <c r="C1344" s="16" t="str">
        <f ca="1">IFERROR(__xludf.DUMMYFUNCTION("""COMPUTED_VALUE"""),"10,")</f>
        <v>10,</v>
      </c>
    </row>
    <row r="1345" spans="1:3" ht="15.75" customHeight="1">
      <c r="A1345" s="16" t="str">
        <f ca="1">IFERROR(__xludf.DUMMYFUNCTION("""COMPUTED_VALUE"""),"Мышь игровая проводная AULA F815")</f>
        <v>Мышь игровая проводная AULA F815</v>
      </c>
      <c r="B1345" s="16" t="str">
        <f ca="1">IFERROR(__xludf.DUMMYFUNCTION("""COMPUTED_VALUE"""),"")</f>
        <v/>
      </c>
      <c r="C1345" s="16" t="str">
        <f ca="1">IFERROR(__xludf.DUMMYFUNCTION("""COMPUTED_VALUE"""),"10,")</f>
        <v>10,</v>
      </c>
    </row>
    <row r="1346" spans="1:3" ht="15.75" customHeight="1">
      <c r="A1346" s="16" t="str">
        <f ca="1">IFERROR(__xludf.DUMMYFUNCTION("""COMPUTED_VALUE"""),"Мышь игровая проводная AULA S80")</f>
        <v>Мышь игровая проводная AULA S80</v>
      </c>
      <c r="B1346" s="16" t="str">
        <f ca="1">IFERROR(__xludf.DUMMYFUNCTION("""COMPUTED_VALUE"""),"")</f>
        <v/>
      </c>
      <c r="C1346" s="16" t="str">
        <f ca="1">IFERROR(__xludf.DUMMYFUNCTION("""COMPUTED_VALUE"""),"10,")</f>
        <v>10,</v>
      </c>
    </row>
    <row r="1347" spans="1:3" ht="15.75" customHeight="1">
      <c r="A1347" s="16" t="str">
        <f ca="1">IFERROR(__xludf.DUMMYFUNCTION("""COMPUTED_VALUE"""),"Мышь игровая проводная AULA F820 white")</f>
        <v>Мышь игровая проводная AULA F820 white</v>
      </c>
      <c r="B1347" s="16" t="str">
        <f ca="1">IFERROR(__xludf.DUMMYFUNCTION("""COMPUTED_VALUE"""),"")</f>
        <v/>
      </c>
      <c r="C1347" s="16" t="str">
        <f ca="1">IFERROR(__xludf.DUMMYFUNCTION("""COMPUTED_VALUE"""),"12,")</f>
        <v>12,</v>
      </c>
    </row>
    <row r="1348" spans="1:3" ht="15.75" customHeight="1">
      <c r="A1348" s="16" t="str">
        <f ca="1">IFERROR(__xludf.DUMMYFUNCTION("""COMPUTED_VALUE"""),"Мышь игровая беспроводная AULA SC620 (white)")</f>
        <v>Мышь игровая беспроводная AULA SC620 (white)</v>
      </c>
      <c r="B1348" s="16" t="str">
        <f ca="1">IFERROR(__xludf.DUMMYFUNCTION("""COMPUTED_VALUE"""),"")</f>
        <v/>
      </c>
      <c r="C1348" s="16" t="str">
        <f ca="1">IFERROR(__xludf.DUMMYFUNCTION("""COMPUTED_VALUE"""),"16,")</f>
        <v>16,</v>
      </c>
    </row>
    <row r="1349" spans="1:3" ht="15.75" customHeight="1">
      <c r="A1349" s="16" t="str">
        <f ca="1">IFERROR(__xludf.DUMMYFUNCTION("""COMPUTED_VALUE"""),"Мышь игровая беспроводная AULA SC620 (black)")</f>
        <v>Мышь игровая беспроводная AULA SC620 (black)</v>
      </c>
      <c r="B1349" s="16" t="str">
        <f ca="1">IFERROR(__xludf.DUMMYFUNCTION("""COMPUTED_VALUE"""),"")</f>
        <v/>
      </c>
      <c r="C1349" s="16" t="str">
        <f ca="1">IFERROR(__xludf.DUMMYFUNCTION("""COMPUTED_VALUE"""),"16,")</f>
        <v>16,</v>
      </c>
    </row>
    <row r="1350" spans="1:3" ht="15.75" customHeight="1">
      <c r="A1350" s="16" t="str">
        <f ca="1">IFERROR(__xludf.DUMMYFUNCTION("""COMPUTED_VALUE"""),"Мышь игровая беспроводная AULA SC580X black")</f>
        <v>Мышь игровая беспроводная AULA SC580X black</v>
      </c>
      <c r="B1350" s="16" t="str">
        <f ca="1">IFERROR(__xludf.DUMMYFUNCTION("""COMPUTED_VALUE"""),"")</f>
        <v/>
      </c>
      <c r="C1350" s="16" t="str">
        <f ca="1">IFERROR(__xludf.DUMMYFUNCTION("""COMPUTED_VALUE"""),"17,")</f>
        <v>17,</v>
      </c>
    </row>
    <row r="1351" spans="1:3" ht="15.75" customHeight="1">
      <c r="A1351" s="16" t="str">
        <f ca="1">IFERROR(__xludf.DUMMYFUNCTION("""COMPUTED_VALUE"""),"Мышь игровая беспроводная AULA SC580X white")</f>
        <v>Мышь игровая беспроводная AULA SC580X white</v>
      </c>
      <c r="B1351" s="16" t="str">
        <f ca="1">IFERROR(__xludf.DUMMYFUNCTION("""COMPUTED_VALUE"""),"")</f>
        <v/>
      </c>
      <c r="C1351" s="16" t="str">
        <f ca="1">IFERROR(__xludf.DUMMYFUNCTION("""COMPUTED_VALUE"""),"17,")</f>
        <v>17,</v>
      </c>
    </row>
    <row r="1352" spans="1:3" ht="15.75" customHeight="1">
      <c r="A1352" s="16" t="str">
        <f ca="1">IFERROR(__xludf.DUMMYFUNCTION("""COMPUTED_VALUE"""),"Мышь игровая беспроводная AULA SC590 Pro (Black)")</f>
        <v>Мышь игровая беспроводная AULA SC590 Pro (Black)</v>
      </c>
      <c r="B1352" s="16" t="str">
        <f ca="1">IFERROR(__xludf.DUMMYFUNCTION("""COMPUTED_VALUE"""),"")</f>
        <v/>
      </c>
      <c r="C1352" s="16" t="str">
        <f ca="1">IFERROR(__xludf.DUMMYFUNCTION("""COMPUTED_VALUE"""),"19,")</f>
        <v>19,</v>
      </c>
    </row>
    <row r="1353" spans="1:3" ht="15.75" customHeight="1">
      <c r="A1353" s="16" t="str">
        <f ca="1">IFERROR(__xludf.DUMMYFUNCTION("""COMPUTED_VALUE"""),"Мышь игровая беспроводная AULA SC590 Pro (White)")</f>
        <v>Мышь игровая беспроводная AULA SC590 Pro (White)</v>
      </c>
      <c r="B1353" s="16" t="str">
        <f ca="1">IFERROR(__xludf.DUMMYFUNCTION("""COMPUTED_VALUE"""),"")</f>
        <v/>
      </c>
      <c r="C1353" s="16" t="str">
        <f ca="1">IFERROR(__xludf.DUMMYFUNCTION("""COMPUTED_VALUE"""),"19,")</f>
        <v>19,</v>
      </c>
    </row>
    <row r="1354" spans="1:3" ht="15.75" customHeight="1">
      <c r="A1354" s="16" t="str">
        <f ca="1">IFERROR(__xludf.DUMMYFUNCTION("""COMPUTED_VALUE"""),"Мышь игровая беспроводная AULA SC380 Pro (White)")</f>
        <v>Мышь игровая беспроводная AULA SC380 Pro (White)</v>
      </c>
      <c r="B1354" s="16" t="str">
        <f ca="1">IFERROR(__xludf.DUMMYFUNCTION("""COMPUTED_VALUE"""),"")</f>
        <v/>
      </c>
      <c r="C1354" s="16" t="str">
        <f ca="1">IFERROR(__xludf.DUMMYFUNCTION("""COMPUTED_VALUE"""),"20,")</f>
        <v>20,</v>
      </c>
    </row>
    <row r="1355" spans="1:3" ht="15.75" customHeight="1">
      <c r="A1355" s="16" t="str">
        <f ca="1">IFERROR(__xludf.DUMMYFUNCTION("""COMPUTED_VALUE"""),"Мышь игровая беспроводная AULA SC380 Pro (Black)")</f>
        <v>Мышь игровая беспроводная AULA SC380 Pro (Black)</v>
      </c>
      <c r="B1355" s="16" t="str">
        <f ca="1">IFERROR(__xludf.DUMMYFUNCTION("""COMPUTED_VALUE"""),"")</f>
        <v/>
      </c>
      <c r="C1355" s="16" t="str">
        <f ca="1">IFERROR(__xludf.DUMMYFUNCTION("""COMPUTED_VALUE"""),"20,")</f>
        <v>20,</v>
      </c>
    </row>
    <row r="1356" spans="1:3" ht="15.75" customHeight="1">
      <c r="A1356" s="16" t="str">
        <f ca="1">IFERROR(__xludf.DUMMYFUNCTION("""COMPUTED_VALUE"""),"Мышь игровая беспроводная AULA S680 (black)")</f>
        <v>Мышь игровая беспроводная AULA S680 (black)</v>
      </c>
      <c r="B1356" s="16" t="str">
        <f ca="1">IFERROR(__xludf.DUMMYFUNCTION("""COMPUTED_VALUE"""),"")</f>
        <v/>
      </c>
      <c r="C1356" s="16" t="str">
        <f ca="1">IFERROR(__xludf.DUMMYFUNCTION("""COMPUTED_VALUE"""),"30,")</f>
        <v>30,</v>
      </c>
    </row>
    <row r="1357" spans="1:3" ht="15.75" customHeight="1">
      <c r="A1357" s="16" t="str">
        <f ca="1">IFERROR(__xludf.DUMMYFUNCTION("""COMPUTED_VALUE"""),"Мышь игровая беспроводная AULA SC900 Max (RED)")</f>
        <v>Мышь игровая беспроводная AULA SC900 Max (RED)</v>
      </c>
      <c r="B1357" s="16" t="str">
        <f ca="1">IFERROR(__xludf.DUMMYFUNCTION("""COMPUTED_VALUE"""),"")</f>
        <v/>
      </c>
      <c r="C1357" s="16" t="str">
        <f ca="1">IFERROR(__xludf.DUMMYFUNCTION("""COMPUTED_VALUE"""),"37,")</f>
        <v>37,</v>
      </c>
    </row>
    <row r="1358" spans="1:3" ht="15.75" customHeight="1">
      <c r="A1358" s="16" t="str">
        <f ca="1">IFERROR(__xludf.DUMMYFUNCTION("""COMPUTED_VALUE"""),"Мышь офисная проводная AULA AM104 (Black)")</f>
        <v>Мышь офисная проводная AULA AM104 (Black)</v>
      </c>
      <c r="B1358" s="16" t="str">
        <f ca="1">IFERROR(__xludf.DUMMYFUNCTION("""COMPUTED_VALUE"""),"")</f>
        <v/>
      </c>
      <c r="C1358" s="16" t="str">
        <f ca="1">IFERROR(__xludf.DUMMYFUNCTION("""COMPUTED_VALUE"""),"2,")</f>
        <v>2,</v>
      </c>
    </row>
    <row r="1359" spans="1:3" ht="15.75" customHeight="1">
      <c r="A1359" s="16" t="str">
        <f ca="1">IFERROR(__xludf.DUMMYFUNCTION("""COMPUTED_VALUE"""),"Мышь офисная беспроводная AULA AM205 (Black)")</f>
        <v>Мышь офисная беспроводная AULA AM205 (Black)</v>
      </c>
      <c r="B1359" s="16" t="str">
        <f ca="1">IFERROR(__xludf.DUMMYFUNCTION("""COMPUTED_VALUE"""),"")</f>
        <v/>
      </c>
      <c r="C1359" s="16" t="str">
        <f ca="1">IFERROR(__xludf.DUMMYFUNCTION("""COMPUTED_VALUE"""),"3,")</f>
        <v>3,</v>
      </c>
    </row>
    <row r="1360" spans="1:3" ht="15.75" customHeight="1">
      <c r="A1360" s="16" t="str">
        <f ca="1">IFERROR(__xludf.DUMMYFUNCTION("""COMPUTED_VALUE"""),"Мышь офисная беспроводная AULA AM212 (Black)")</f>
        <v>Мышь офисная беспроводная AULA AM212 (Black)</v>
      </c>
      <c r="B1360" s="16" t="str">
        <f ca="1">IFERROR(__xludf.DUMMYFUNCTION("""COMPUTED_VALUE"""),"")</f>
        <v/>
      </c>
      <c r="C1360" s="16" t="str">
        <f ca="1">IFERROR(__xludf.DUMMYFUNCTION("""COMPUTED_VALUE"""),"3,")</f>
        <v>3,</v>
      </c>
    </row>
    <row r="1361" spans="1:3" ht="15.75" customHeight="1">
      <c r="A1361" s="16" t="str">
        <f ca="1">IFERROR(__xludf.DUMMYFUNCTION("""COMPUTED_VALUE"""),"Мышь офисная беспроводная AULA AM212 (White)")</f>
        <v>Мышь офисная беспроводная AULA AM212 (White)</v>
      </c>
      <c r="B1361" s="16" t="str">
        <f ca="1">IFERROR(__xludf.DUMMYFUNCTION("""COMPUTED_VALUE"""),"")</f>
        <v/>
      </c>
      <c r="C1361" s="16" t="str">
        <f ca="1">IFERROR(__xludf.DUMMYFUNCTION("""COMPUTED_VALUE"""),"3,")</f>
        <v>3,</v>
      </c>
    </row>
    <row r="1362" spans="1:3" ht="15.75" customHeight="1">
      <c r="A1362" s="16" t="str">
        <f ca="1">IFERROR(__xludf.DUMMYFUNCTION("""COMPUTED_VALUE"""),"Клавиатура мембранная проводная AULA F2023 (RGB)")</f>
        <v>Клавиатура мембранная проводная AULA F2023 (RGB)</v>
      </c>
      <c r="B1362" s="16" t="str">
        <f ca="1">IFERROR(__xludf.DUMMYFUNCTION("""COMPUTED_VALUE"""),"")</f>
        <v/>
      </c>
      <c r="C1362" s="16" t="str">
        <f ca="1">IFERROR(__xludf.DUMMYFUNCTION("""COMPUTED_VALUE"""),"9,")</f>
        <v>9,</v>
      </c>
    </row>
    <row r="1363" spans="1:3" ht="15.75" customHeight="1">
      <c r="A1363" s="16" t="str">
        <f ca="1">IFERROR(__xludf.DUMMYFUNCTION("""COMPUTED_VALUE"""),"Клавиатура механическа проводная AULA S2022 (RGB)")</f>
        <v>Клавиатура механическа проводная AULA S2022 (RGB)</v>
      </c>
      <c r="B1363" s="16" t="str">
        <f ca="1">IFERROR(__xludf.DUMMYFUNCTION("""COMPUTED_VALUE"""),"")</f>
        <v/>
      </c>
      <c r="C1363" s="16" t="str">
        <f ca="1">IFERROR(__xludf.DUMMYFUNCTION("""COMPUTED_VALUE"""),"14,")</f>
        <v>14,</v>
      </c>
    </row>
    <row r="1364" spans="1:3" ht="15.75" customHeight="1">
      <c r="A1364" s="16" t="str">
        <f ca="1">IFERROR(__xludf.DUMMYFUNCTION("""COMPUTED_VALUE"""),"Клавиатура механическа проводная AULA F3287 (RGB 80% TKL)")</f>
        <v>Клавиатура механическа проводная AULA F3287 (RGB 80% TKL)</v>
      </c>
      <c r="B1364" s="16" t="str">
        <f ca="1">IFERROR(__xludf.DUMMYFUNCTION("""COMPUTED_VALUE"""),"")</f>
        <v/>
      </c>
      <c r="C1364" s="16" t="str">
        <f ca="1">IFERROR(__xludf.DUMMYFUNCTION("""COMPUTED_VALUE"""),"18,")</f>
        <v>18,</v>
      </c>
    </row>
    <row r="1365" spans="1:3" ht="15.75" customHeight="1">
      <c r="A1365" s="16" t="str">
        <f ca="1">IFERROR(__xludf.DUMMYFUNCTION("""COMPUTED_VALUE"""),"Клавиатура механическа проводная AULA F2066-II (RGB)")</f>
        <v>Клавиатура механическа проводная AULA F2066-II (RGB)</v>
      </c>
      <c r="B1365" s="16" t="str">
        <f ca="1">IFERROR(__xludf.DUMMYFUNCTION("""COMPUTED_VALUE"""),"")</f>
        <v/>
      </c>
      <c r="C1365" s="16" t="str">
        <f ca="1">IFERROR(__xludf.DUMMYFUNCTION("""COMPUTED_VALUE"""),"22,")</f>
        <v>22,</v>
      </c>
    </row>
    <row r="1366" spans="1:3" ht="15.75" customHeight="1">
      <c r="A1366" s="16" t="str">
        <f ca="1">IFERROR(__xludf.DUMMYFUNCTION("""COMPUTED_VALUE"""),"Клавиатура механическа проводная AULA F2058 (RGB, подставка под запястье)")</f>
        <v>Клавиатура механическа проводная AULA F2058 (RGB, подставка под запястье)</v>
      </c>
      <c r="B1366" s="16" t="str">
        <f ca="1">IFERROR(__xludf.DUMMYFUNCTION("""COMPUTED_VALUE"""),"")</f>
        <v/>
      </c>
      <c r="C1366" s="16" t="str">
        <f ca="1">IFERROR(__xludf.DUMMYFUNCTION("""COMPUTED_VALUE"""),"25,")</f>
        <v>25,</v>
      </c>
    </row>
    <row r="1367" spans="1:3" ht="15.75" customHeight="1">
      <c r="A1367" s="16" t="str">
        <f ca="1">IFERROR(__xludf.DUMMYFUNCTION("""COMPUTED_VALUE"""),"Клавиатура мембранная беспроводная AULA S99 (три вида подключения)")</f>
        <v>Клавиатура мембранная беспроводная AULA S99 (три вида подключения)</v>
      </c>
      <c r="B1367" s="16" t="str">
        <f ca="1">IFERROR(__xludf.DUMMYFUNCTION("""COMPUTED_VALUE"""),"")</f>
        <v/>
      </c>
      <c r="C1367" s="16" t="str">
        <f ca="1">IFERROR(__xludf.DUMMYFUNCTION("""COMPUTED_VALUE"""),"21,")</f>
        <v>21,</v>
      </c>
    </row>
    <row r="1368" spans="1:3" ht="15.75" customHeight="1">
      <c r="A1368" s="16" t="str">
        <f ca="1">IFERROR(__xludf.DUMMYFUNCTION("""COMPUTED_VALUE"""),"Клавиатура механическа беспроводная AULA S98 (три вида подключения)")</f>
        <v>Клавиатура механическа беспроводная AULA S98 (три вида подключения)</v>
      </c>
      <c r="B1368" s="16" t="str">
        <f ca="1">IFERROR(__xludf.DUMMYFUNCTION("""COMPUTED_VALUE"""),"")</f>
        <v/>
      </c>
      <c r="C1368" s="16" t="str">
        <f ca="1">IFERROR(__xludf.DUMMYFUNCTION("""COMPUTED_VALUE"""),"29,")</f>
        <v>29,</v>
      </c>
    </row>
    <row r="1369" spans="1:3" ht="15.75" customHeight="1">
      <c r="A1369" s="16" t="str">
        <f ca="1">IFERROR(__xludf.DUMMYFUNCTION("""COMPUTED_VALUE"""),"Клавиатура механическая проводная AULA F75 (проводное подключение) white")</f>
        <v>Клавиатура механическая проводная AULA F75 (проводное подключение) white</v>
      </c>
      <c r="B1369" s="16" t="str">
        <f ca="1">IFERROR(__xludf.DUMMYFUNCTION("""COMPUTED_VALUE"""),"")</f>
        <v/>
      </c>
      <c r="C1369" s="16" t="str">
        <f ca="1">IFERROR(__xludf.DUMMYFUNCTION("""COMPUTED_VALUE"""),"24,")</f>
        <v>24,</v>
      </c>
    </row>
    <row r="1370" spans="1:3" ht="15.75" customHeight="1">
      <c r="A1370" s="16" t="str">
        <f ca="1">IFERROR(__xludf.DUMMYFUNCTION("""COMPUTED_VALUE"""),"Клавиатура механическая проводная AULA F75 (проводное подключение) black")</f>
        <v>Клавиатура механическая проводная AULA F75 (проводное подключение) black</v>
      </c>
      <c r="B1370" s="16" t="str">
        <f ca="1">IFERROR(__xludf.DUMMYFUNCTION("""COMPUTED_VALUE"""),"")</f>
        <v/>
      </c>
      <c r="C1370" s="16" t="str">
        <f ca="1">IFERROR(__xludf.DUMMYFUNCTION("""COMPUTED_VALUE"""),"24,")</f>
        <v>24,</v>
      </c>
    </row>
    <row r="1371" spans="1:3" ht="15.75" customHeight="1">
      <c r="A1371" s="16" t="str">
        <f ca="1">IFERROR(__xludf.DUMMYFUNCTION("""COMPUTED_VALUE"""),"Клавиатура механическая беспроводная AULA F75 (три вида подключения) black-blue-orange")</f>
        <v>Клавиатура механическая беспроводная AULA F75 (три вида подключения) black-blue-orange</v>
      </c>
      <c r="B1371" s="16" t="str">
        <f ca="1">IFERROR(__xludf.DUMMYFUNCTION("""COMPUTED_VALUE"""),"")</f>
        <v/>
      </c>
      <c r="C1371" s="16" t="str">
        <f ca="1">IFERROR(__xludf.DUMMYFUNCTION("""COMPUTED_VALUE"""),"39,")</f>
        <v>39,</v>
      </c>
    </row>
    <row r="1372" spans="1:3" ht="15.75" customHeight="1">
      <c r="A1372" s="16" t="str">
        <f ca="1">IFERROR(__xludf.DUMMYFUNCTION("""COMPUTED_VALUE"""),"Клавиатура механическая беспроводная AULA F75 (три вида подключения) white-blue-purple")</f>
        <v>Клавиатура механическая беспроводная AULA F75 (три вида подключения) white-blue-purple</v>
      </c>
      <c r="B1372" s="16" t="str">
        <f ca="1">IFERROR(__xludf.DUMMYFUNCTION("""COMPUTED_VALUE"""),"")</f>
        <v/>
      </c>
      <c r="C1372" s="16" t="str">
        <f ca="1">IFERROR(__xludf.DUMMYFUNCTION("""COMPUTED_VALUE"""),"39,")</f>
        <v>39,</v>
      </c>
    </row>
    <row r="1373" spans="1:3" ht="15.75" customHeight="1">
      <c r="A1373" s="16" t="str">
        <f ca="1">IFERROR(__xludf.DUMMYFUNCTION("""COMPUTED_VALUE"""),"Клавиатура механическая беспроводная AULA F75 pro (три вида подключения) gradient white to purple")</f>
        <v>Клавиатура механическая беспроводная AULA F75 pro (три вида подключения) gradient white to purple</v>
      </c>
      <c r="B1373" s="16" t="str">
        <f ca="1">IFERROR(__xludf.DUMMYFUNCTION("""COMPUTED_VALUE"""),"")</f>
        <v/>
      </c>
      <c r="C1373" s="16" t="str">
        <f ca="1">IFERROR(__xludf.DUMMYFUNCTION("""COMPUTED_VALUE"""),"39,")</f>
        <v>39,</v>
      </c>
    </row>
    <row r="1374" spans="1:3" ht="15.75" customHeight="1">
      <c r="A1374" s="16" t="str">
        <f ca="1">IFERROR(__xludf.DUMMYFUNCTION("""COMPUTED_VALUE"""),"Клавиатура механическая беспроводная AULA F75 pro (три вида подключения) Black-Countour")</f>
        <v>Клавиатура механическая беспроводная AULA F75 pro (три вида подключения) Black-Countour</v>
      </c>
      <c r="B1374" s="16" t="str">
        <f ca="1">IFERROR(__xludf.DUMMYFUNCTION("""COMPUTED_VALUE"""),"")</f>
        <v/>
      </c>
      <c r="C1374" s="16" t="str">
        <f ca="1">IFERROR(__xludf.DUMMYFUNCTION("""COMPUTED_VALUE"""),"41,")</f>
        <v>41,</v>
      </c>
    </row>
    <row r="1375" spans="1:3" ht="15.75" customHeight="1">
      <c r="A1375" s="16" t="str">
        <f ca="1">IFERROR(__xludf.DUMMYFUNCTION("""COMPUTED_VALUE"""),"Клавиатура механическая беспроводная AULA F75 pro (три вида подключения) gradient black to grey ")</f>
        <v xml:space="preserve">Клавиатура механическая беспроводная AULA F75 pro (три вида подключения) gradient black to grey </v>
      </c>
      <c r="B1375" s="16" t="str">
        <f ca="1">IFERROR(__xludf.DUMMYFUNCTION("""COMPUTED_VALUE"""),"")</f>
        <v/>
      </c>
      <c r="C1375" s="16" t="str">
        <f ca="1">IFERROR(__xludf.DUMMYFUNCTION("""COMPUTED_VALUE"""),"41,")</f>
        <v>41,</v>
      </c>
    </row>
    <row r="1376" spans="1:3" ht="15.75" customHeight="1">
      <c r="A1376" s="16" t="str">
        <f ca="1">IFERROR(__xludf.DUMMYFUNCTION("""COMPUTED_VALUE"""),"Клавиатура механическая беспроводная AULA S75 Pro (три вида подключения) White-Blue-Purple")</f>
        <v>Клавиатура механическая беспроводная AULA S75 Pro (три вида подключения) White-Blue-Purple</v>
      </c>
      <c r="B1376" s="16" t="str">
        <f ca="1">IFERROR(__xludf.DUMMYFUNCTION("""COMPUTED_VALUE"""),"")</f>
        <v/>
      </c>
      <c r="C1376" s="16" t="str">
        <f ca="1">IFERROR(__xludf.DUMMYFUNCTION("""COMPUTED_VALUE"""),"43,")</f>
        <v>43,</v>
      </c>
    </row>
    <row r="1377" spans="1:3" ht="15.75" customHeight="1">
      <c r="A1377" s="16" t="str">
        <f ca="1">IFERROR(__xludf.DUMMYFUNCTION("""COMPUTED_VALUE"""),"Клавиатура механическа беспроводная AULA F87 (три вида подключения) Black-Blue-Orange")</f>
        <v>Клавиатура механическа беспроводная AULA F87 (три вида подключения) Black-Blue-Orange</v>
      </c>
      <c r="B1377" s="16" t="str">
        <f ca="1">IFERROR(__xludf.DUMMYFUNCTION("""COMPUTED_VALUE"""),"")</f>
        <v/>
      </c>
      <c r="C1377" s="16" t="str">
        <f ca="1">IFERROR(__xludf.DUMMYFUNCTION("""COMPUTED_VALUE"""),"40,")</f>
        <v>40,</v>
      </c>
    </row>
    <row r="1378" spans="1:3" ht="15.75" customHeight="1">
      <c r="A1378" s="16" t="str">
        <f ca="1">IFERROR(__xludf.DUMMYFUNCTION("""COMPUTED_VALUE"""),"Клавиатура механическа беспроводная AULA F87 PRO (три вида подключения)  black-green")</f>
        <v>Клавиатура механическа беспроводная AULA F87 PRO (три вида подключения)  black-green</v>
      </c>
      <c r="B1378" s="16" t="str">
        <f ca="1">IFERROR(__xludf.DUMMYFUNCTION("""COMPUTED_VALUE"""),"")</f>
        <v/>
      </c>
      <c r="C1378" s="16" t="str">
        <f ca="1">IFERROR(__xludf.DUMMYFUNCTION("""COMPUTED_VALUE"""),"40,")</f>
        <v>40,</v>
      </c>
    </row>
    <row r="1379" spans="1:3" ht="15.75" customHeight="1">
      <c r="A1379" s="16" t="str">
        <f ca="1">IFERROR(__xludf.DUMMYFUNCTION("""COMPUTED_VALUE"""),"Клавиатура механическа беспроводная AULA F87 PRO (три вида подключения)  Black-White-Green")</f>
        <v>Клавиатура механическа беспроводная AULA F87 PRO (три вида подключения)  Black-White-Green</v>
      </c>
      <c r="B1379" s="16" t="str">
        <f ca="1">IFERROR(__xludf.DUMMYFUNCTION("""COMPUTED_VALUE"""),"")</f>
        <v/>
      </c>
      <c r="C1379" s="16" t="str">
        <f ca="1">IFERROR(__xludf.DUMMYFUNCTION("""COMPUTED_VALUE"""),"40,")</f>
        <v>40,</v>
      </c>
    </row>
    <row r="1380" spans="1:3" ht="15.75" customHeight="1">
      <c r="A1380" s="16" t="str">
        <f ca="1">IFERROR(__xludf.DUMMYFUNCTION("""COMPUTED_VALUE"""),"Клавиатура механическа беспроводная AULA F87 pro V2 (три вида подключения) Yellow")</f>
        <v>Клавиатура механическа беспроводная AULA F87 pro V2 (три вида подключения) Yellow</v>
      </c>
      <c r="B1380" s="16" t="str">
        <f ca="1">IFERROR(__xludf.DUMMYFUNCTION("""COMPUTED_VALUE"""),"")</f>
        <v/>
      </c>
      <c r="C1380" s="16" t="str">
        <f ca="1">IFERROR(__xludf.DUMMYFUNCTION("""COMPUTED_VALUE"""),"58,")</f>
        <v>58,</v>
      </c>
    </row>
    <row r="1381" spans="1:3" ht="15.75" customHeight="1">
      <c r="A1381" s="16" t="str">
        <f ca="1">IFERROR(__xludf.DUMMYFUNCTION("""COMPUTED_VALUE"""),"Клавиатура механическа проводная AULA HERO 84 HE (проводное подключение) White-pink")</f>
        <v>Клавиатура механическа проводная AULA HERO 84 HE (проводное подключение) White-pink</v>
      </c>
      <c r="B1381" s="16" t="str">
        <f ca="1">IFERROR(__xludf.DUMMYFUNCTION("""COMPUTED_VALUE"""),"")</f>
        <v/>
      </c>
      <c r="C1381" s="16" t="str">
        <f ca="1">IFERROR(__xludf.DUMMYFUNCTION("""COMPUTED_VALUE"""),"43,")</f>
        <v>43,</v>
      </c>
    </row>
    <row r="1382" spans="1:3" ht="15.75" customHeight="1">
      <c r="A1382" s="16" t="str">
        <f ca="1">IFERROR(__xludf.DUMMYFUNCTION("""COMPUTED_VALUE"""),"Клавиатура механическа беспроводная AULA S98 Pro (три вида подключения) Black-White-Green")</f>
        <v>Клавиатура механическа беспроводная AULA S98 Pro (три вида подключения) Black-White-Green</v>
      </c>
      <c r="B1382" s="16" t="str">
        <f ca="1">IFERROR(__xludf.DUMMYFUNCTION("""COMPUTED_VALUE"""),"")</f>
        <v/>
      </c>
      <c r="C1382" s="16" t="str">
        <f ca="1">IFERROR(__xludf.DUMMYFUNCTION("""COMPUTED_VALUE"""),"53,")</f>
        <v>53,</v>
      </c>
    </row>
    <row r="1383" spans="1:3" ht="15.75" customHeight="1">
      <c r="A1383" s="16" t="str">
        <f ca="1">IFERROR(__xludf.DUMMYFUNCTION("""COMPUTED_VALUE"""),"Клавиатура механическа беспроводная AULA F98 (три вида подключения)")</f>
        <v>Клавиатура механическа беспроводная AULA F98 (три вида подключения)</v>
      </c>
      <c r="B1383" s="16" t="str">
        <f ca="1">IFERROR(__xludf.DUMMYFUNCTION("""COMPUTED_VALUE"""),"")</f>
        <v/>
      </c>
      <c r="C1383" s="16" t="str">
        <f ca="1">IFERROR(__xludf.DUMMYFUNCTION("""COMPUTED_VALUE"""),"50,")</f>
        <v>50,</v>
      </c>
    </row>
    <row r="1384" spans="1:3" ht="15.75" customHeight="1">
      <c r="A1384" s="16" t="str">
        <f ca="1">IFERROR(__xludf.DUMMYFUNCTION("""COMPUTED_VALUE"""),"Клавиатура механическа беспроводная AULA F98 PRO (три вида подключения)")</f>
        <v>Клавиатура механическа беспроводная AULA F98 PRO (три вида подключения)</v>
      </c>
      <c r="B1384" s="16" t="str">
        <f ca="1">IFERROR(__xludf.DUMMYFUNCTION("""COMPUTED_VALUE"""),"")</f>
        <v/>
      </c>
      <c r="C1384" s="16" t="str">
        <f ca="1">IFERROR(__xludf.DUMMYFUNCTION("""COMPUTED_VALUE"""),"55,")</f>
        <v>55,</v>
      </c>
    </row>
    <row r="1385" spans="1:3" ht="15.75" customHeight="1">
      <c r="A1385" s="16" t="str">
        <f ca="1">IFERROR(__xludf.DUMMYFUNCTION("""COMPUTED_VALUE"""),"Клавиатура механическа беспроводная AULA F99 (три вида подключения) Grey-White-Dark Grey")</f>
        <v>Клавиатура механическа беспроводная AULA F99 (три вида подключения) Grey-White-Dark Grey</v>
      </c>
      <c r="B1385" s="16" t="str">
        <f ca="1">IFERROR(__xludf.DUMMYFUNCTION("""COMPUTED_VALUE"""),"")</f>
        <v/>
      </c>
      <c r="C1385" s="16" t="str">
        <f ca="1">IFERROR(__xludf.DUMMYFUNCTION("""COMPUTED_VALUE"""),"49,")</f>
        <v>49,</v>
      </c>
    </row>
    <row r="1386" spans="1:3" ht="15.75" customHeight="1">
      <c r="A1386" s="16" t="str">
        <f ca="1">IFERROR(__xludf.DUMMYFUNCTION("""COMPUTED_VALUE"""),"Клавиатура механическа беспроводная AULA F99 (три вида подключения) Comics")</f>
        <v>Клавиатура механическа беспроводная AULA F99 (три вида подключения) Comics</v>
      </c>
      <c r="B1386" s="16" t="str">
        <f ca="1">IFERROR(__xludf.DUMMYFUNCTION("""COMPUTED_VALUE"""),"")</f>
        <v/>
      </c>
      <c r="C1386" s="16" t="str">
        <f ca="1">IFERROR(__xludf.DUMMYFUNCTION("""COMPUTED_VALUE"""),"49,")</f>
        <v>49,</v>
      </c>
    </row>
    <row r="1387" spans="1:3" ht="15.75" customHeight="1">
      <c r="A1387" s="16" t="str">
        <f ca="1">IFERROR(__xludf.DUMMYFUNCTION("""COMPUTED_VALUE"""),"Клавиатура механическа беспроводная AULA F99 Pro (три вида подключения) gradient black to grey")</f>
        <v>Клавиатура механическа беспроводная AULA F99 Pro (три вида подключения) gradient black to grey</v>
      </c>
      <c r="B1387" s="16" t="str">
        <f ca="1">IFERROR(__xludf.DUMMYFUNCTION("""COMPUTED_VALUE"""),"")</f>
        <v/>
      </c>
      <c r="C1387" s="16" t="str">
        <f ca="1">IFERROR(__xludf.DUMMYFUNCTION("""COMPUTED_VALUE"""),"51,")</f>
        <v>51,</v>
      </c>
    </row>
    <row r="1388" spans="1:3" ht="15.75" customHeight="1">
      <c r="A1388" s="16" t="str">
        <f ca="1">IFERROR(__xludf.DUMMYFUNCTION("""COMPUTED_VALUE"""),"Клавиатура механическа беспроводная F108 (три вида подключения) Black-Grey-Yellow")</f>
        <v>Клавиатура механическа беспроводная F108 (три вида подключения) Black-Grey-Yellow</v>
      </c>
      <c r="B1388" s="16" t="str">
        <f ca="1">IFERROR(__xludf.DUMMYFUNCTION("""COMPUTED_VALUE"""),"")</f>
        <v/>
      </c>
      <c r="C1388" s="16" t="str">
        <f ca="1">IFERROR(__xludf.DUMMYFUNCTION("""COMPUTED_VALUE"""),"51,")</f>
        <v>51,</v>
      </c>
    </row>
    <row r="1389" spans="1:3" ht="15.75" customHeight="1">
      <c r="A1389" s="16" t="str">
        <f ca="1">IFERROR(__xludf.DUMMYFUNCTION("""COMPUTED_VALUE"""),"Клавиатура механическа беспроводная F108 Pro (три вида подключения)  (Black-Grey-Yellow)")</f>
        <v>Клавиатура механическа беспроводная F108 Pro (три вида подключения)  (Black-Grey-Yellow)</v>
      </c>
      <c r="B1389" s="16" t="str">
        <f ca="1">IFERROR(__xludf.DUMMYFUNCTION("""COMPUTED_VALUE"""),"")</f>
        <v/>
      </c>
      <c r="C1389" s="16" t="str">
        <f ca="1">IFERROR(__xludf.DUMMYFUNCTION("""COMPUTED_VALUE"""),"56,")</f>
        <v>56,</v>
      </c>
    </row>
    <row r="1390" spans="1:3" ht="15.75" customHeight="1">
      <c r="A1390" s="16" t="str">
        <f ca="1">IFERROR(__xludf.DUMMYFUNCTION("""COMPUTED_VALUE"""),"Клавиатура механическа беспроводная AMG65 (три вида подключения) Purple")</f>
        <v>Клавиатура механическа беспроводная AMG65 (три вида подключения) Purple</v>
      </c>
      <c r="B1390" s="16" t="str">
        <f ca="1">IFERROR(__xludf.DUMMYFUNCTION("""COMPUTED_VALUE"""),"")</f>
        <v/>
      </c>
      <c r="C1390" s="16" t="str">
        <f ca="1">IFERROR(__xludf.DUMMYFUNCTION("""COMPUTED_VALUE"""),"66,")</f>
        <v>66,</v>
      </c>
    </row>
    <row r="1391" spans="1:3" ht="15.75" customHeight="1">
      <c r="A1391" s="16" t="str">
        <f ca="1">IFERROR(__xludf.DUMMYFUNCTION("""COMPUTED_VALUE"""),"Игровой набор 2 в 1 (клавиатура, мышь) AULA F2023 (RGB)")</f>
        <v>Игровой набор 2 в 1 (клавиатура, мышь) AULA F2023 (RGB)</v>
      </c>
      <c r="B1391" s="16" t="str">
        <f ca="1">IFERROR(__xludf.DUMMYFUNCTION("""COMPUTED_VALUE"""),"")</f>
        <v/>
      </c>
      <c r="C1391" s="16" t="str">
        <f ca="1">IFERROR(__xludf.DUMMYFUNCTION("""COMPUTED_VALUE"""),"11,")</f>
        <v>11,</v>
      </c>
    </row>
    <row r="1392" spans="1:3" ht="15.75" customHeight="1">
      <c r="A1392" s="16" t="str">
        <f ca="1">IFERROR(__xludf.DUMMYFUNCTION("""COMPUTED_VALUE"""),"Игровой набор 4 в 1 (клавиатура, мышь, коврик, наушники) AULA T650 подсветка")</f>
        <v>Игровой набор 4 в 1 (клавиатура, мышь, коврик, наушники) AULA T650 подсветка</v>
      </c>
      <c r="B1392" s="16" t="str">
        <f ca="1">IFERROR(__xludf.DUMMYFUNCTION("""COMPUTED_VALUE"""),"")</f>
        <v/>
      </c>
      <c r="C1392" s="16" t="str">
        <f ca="1">IFERROR(__xludf.DUMMYFUNCTION("""COMPUTED_VALUE"""),"21,")</f>
        <v>21,</v>
      </c>
    </row>
    <row r="1393" spans="1:3" ht="15.75" customHeight="1">
      <c r="A1393" s="16" t="str">
        <f ca="1">IFERROR(__xludf.DUMMYFUNCTION("""COMPUTED_VALUE"""),"Игровой набор 2 в 1  (механическая клавиатура, мышь) AULA T640")</f>
        <v>Игровой набор 2 в 1  (механическая клавиатура, мышь) AULA T640</v>
      </c>
      <c r="B1393" s="16" t="str">
        <f ca="1">IFERROR(__xludf.DUMMYFUNCTION("""COMPUTED_VALUE"""),"")</f>
        <v/>
      </c>
      <c r="C1393" s="16" t="str">
        <f ca="1">IFERROR(__xludf.DUMMYFUNCTION("""COMPUTED_VALUE"""),"24,")</f>
        <v>24,</v>
      </c>
    </row>
    <row r="1394" spans="1:3" ht="15.75" customHeight="1">
      <c r="A1394" s="16" t="str">
        <f ca="1">IFERROR(__xludf.DUMMYFUNCTION("""COMPUTED_VALUE"""),"Офисный набор 2 в 1 (проводная клавиатура, мышь) AC209")</f>
        <v>Офисный набор 2 в 1 (проводная клавиатура, мышь) AC209</v>
      </c>
      <c r="B1394" s="16" t="str">
        <f ca="1">IFERROR(__xludf.DUMMYFUNCTION("""COMPUTED_VALUE"""),"")</f>
        <v/>
      </c>
      <c r="C1394" s="16" t="str">
        <f ca="1">IFERROR(__xludf.DUMMYFUNCTION("""COMPUTED_VALUE"""),"5,")</f>
        <v>5,</v>
      </c>
    </row>
    <row r="1395" spans="1:3" ht="15.75" customHeight="1">
      <c r="A1395" s="16" t="str">
        <f ca="1">IFERROR(__xludf.DUMMYFUNCTION("""COMPUTED_VALUE"""),"Офисный набор 2 в 1  (беспроводная клавиатура, мышь) AC308")</f>
        <v>Офисный набор 2 в 1  (беспроводная клавиатура, мышь) AC308</v>
      </c>
      <c r="B1395" s="16" t="str">
        <f ca="1">IFERROR(__xludf.DUMMYFUNCTION("""COMPUTED_VALUE"""),"")</f>
        <v/>
      </c>
      <c r="C1395" s="16" t="str">
        <f ca="1">IFERROR(__xludf.DUMMYFUNCTION("""COMPUTED_VALUE"""),"10,")</f>
        <v>10,</v>
      </c>
    </row>
    <row r="1396" spans="1:3" ht="15.75" customHeight="1">
      <c r="A1396" s="16" t="str">
        <f ca="1">IFERROR(__xludf.DUMMYFUNCTION("""COMPUTED_VALUE"""),"Наушники проводные AULA S608 RGB")</f>
        <v>Наушники проводные AULA S608 RGB</v>
      </c>
      <c r="B1396" s="16" t="str">
        <f ca="1">IFERROR(__xludf.DUMMYFUNCTION("""COMPUTED_VALUE"""),"")</f>
        <v/>
      </c>
      <c r="C1396" s="16" t="str">
        <f ca="1">IFERROR(__xludf.DUMMYFUNCTION("""COMPUTED_VALUE"""),"11,")</f>
        <v>11,</v>
      </c>
    </row>
    <row r="1397" spans="1:3" ht="15.75" customHeight="1">
      <c r="A1397" s="16" t="str">
        <f ca="1">IFERROR(__xludf.DUMMYFUNCTION("""COMPUTED_VALUE"""),"Наушники проводные AULA S605 RGB")</f>
        <v>Наушники проводные AULA S605 RGB</v>
      </c>
      <c r="B1397" s="16" t="str">
        <f ca="1">IFERROR(__xludf.DUMMYFUNCTION("""COMPUTED_VALUE"""),"")</f>
        <v/>
      </c>
      <c r="C1397" s="16" t="str">
        <f ca="1">IFERROR(__xludf.DUMMYFUNCTION("""COMPUTED_VALUE"""),"11,")</f>
        <v>11,</v>
      </c>
    </row>
    <row r="1398" spans="1:3" ht="15.75" customHeight="1">
      <c r="A1398" s="16" t="str">
        <f ca="1">IFERROR(__xludf.DUMMYFUNCTION("""COMPUTED_VALUE"""),"Наушники проводные AULA S606 RGB WHITE")</f>
        <v>Наушники проводные AULA S606 RGB WHITE</v>
      </c>
      <c r="B1398" s="16" t="str">
        <f ca="1">IFERROR(__xludf.DUMMYFUNCTION("""COMPUTED_VALUE"""),"")</f>
        <v/>
      </c>
      <c r="C1398" s="16" t="str">
        <f ca="1">IFERROR(__xludf.DUMMYFUNCTION("""COMPUTED_VALUE"""),"12,")</f>
        <v>12,</v>
      </c>
    </row>
    <row r="1399" spans="1:3" ht="15.75" customHeight="1">
      <c r="A1399" s="16" t="str">
        <f ca="1">IFERROR(__xludf.DUMMYFUNCTION("""COMPUTED_VALUE"""),"Наушники проводные AULA S505 RGB (black)")</f>
        <v>Наушники проводные AULA S505 RGB (black)</v>
      </c>
      <c r="B1399" s="16" t="str">
        <f ca="1">IFERROR(__xludf.DUMMYFUNCTION("""COMPUTED_VALUE"""),"")</f>
        <v/>
      </c>
      <c r="C1399" s="16" t="str">
        <f ca="1">IFERROR(__xludf.DUMMYFUNCTION("""COMPUTED_VALUE"""),"17,")</f>
        <v>17,</v>
      </c>
    </row>
    <row r="1400" spans="1:3" ht="15.75" customHeight="1">
      <c r="A1400" s="16" t="str">
        <f ca="1">IFERROR(__xludf.DUMMYFUNCTION("""COMPUTED_VALUE"""),"Наушники беспроводные AULA S6 (black)")</f>
        <v>Наушники беспроводные AULA S6 (black)</v>
      </c>
      <c r="B1400" s="16" t="str">
        <f ca="1">IFERROR(__xludf.DUMMYFUNCTION("""COMPUTED_VALUE"""),"")</f>
        <v/>
      </c>
      <c r="C1400" s="16" t="str">
        <f ca="1">IFERROR(__xludf.DUMMYFUNCTION("""COMPUTED_VALUE"""),"18,")</f>
        <v>18,</v>
      </c>
    </row>
    <row r="1401" spans="1:3" ht="15.75" customHeight="1">
      <c r="A1401" s="16" t="str">
        <f ca="1">IFERROR(__xludf.DUMMYFUNCTION("""COMPUTED_VALUE"""),"Наушники беспроводные AULA S6 (white)")</f>
        <v>Наушники беспроводные AULA S6 (white)</v>
      </c>
      <c r="B1401" s="16" t="str">
        <f ca="1">IFERROR(__xludf.DUMMYFUNCTION("""COMPUTED_VALUE"""),"")</f>
        <v/>
      </c>
      <c r="C1401" s="16" t="str">
        <f ca="1">IFERROR(__xludf.DUMMYFUNCTION("""COMPUTED_VALUE"""),"18,")</f>
        <v>18,</v>
      </c>
    </row>
    <row r="1402" spans="1:3" ht="15.75" customHeight="1">
      <c r="A1402" s="16" t="str">
        <f ca="1">IFERROR(__xludf.DUMMYFUNCTION("""COMPUTED_VALUE"""),"Наушники беспроводные AULA G7 Pro (White)")</f>
        <v>Наушники беспроводные AULA G7 Pro (White)</v>
      </c>
      <c r="B1402" s="16" t="str">
        <f ca="1">IFERROR(__xludf.DUMMYFUNCTION("""COMPUTED_VALUE"""),"")</f>
        <v/>
      </c>
      <c r="C1402" s="16" t="str">
        <f ca="1">IFERROR(__xludf.DUMMYFUNCTION("""COMPUTED_VALUE"""),"29,")</f>
        <v>29,</v>
      </c>
    </row>
    <row r="1403" spans="1:3" ht="15.75" customHeight="1">
      <c r="A1403" s="16" t="str">
        <f ca="1">IFERROR(__xludf.DUMMYFUNCTION("""COMPUTED_VALUE"""),"Наушники беспроводные AULA G7 Pro (Black)")</f>
        <v>Наушники беспроводные AULA G7 Pro (Black)</v>
      </c>
      <c r="B1403" s="16" t="str">
        <f ca="1">IFERROR(__xludf.DUMMYFUNCTION("""COMPUTED_VALUE"""),"")</f>
        <v/>
      </c>
      <c r="C1403" s="16" t="str">
        <f ca="1">IFERROR(__xludf.DUMMYFUNCTION("""COMPUTED_VALUE"""),"29,")</f>
        <v>29,</v>
      </c>
    </row>
    <row r="1404" spans="1:3" ht="15.75" customHeight="1">
      <c r="A1404" s="16" t="str">
        <f ca="1">IFERROR(__xludf.DUMMYFUNCTION("""COMPUTED_VALUE"""),"Наушники беспроводные AULA A500 (Black)")</f>
        <v>Наушники беспроводные AULA A500 (Black)</v>
      </c>
      <c r="B1404" s="16" t="str">
        <f ca="1">IFERROR(__xludf.DUMMYFUNCTION("""COMPUTED_VALUE"""),"")</f>
        <v/>
      </c>
      <c r="C1404" s="16" t="str">
        <f ca="1">IFERROR(__xludf.DUMMYFUNCTION("""COMPUTED_VALUE"""),"53,")</f>
        <v>53,</v>
      </c>
    </row>
    <row r="1405" spans="1:3" ht="15.75" customHeight="1">
      <c r="A1405" s="16" t="str">
        <f ca="1">IFERROR(__xludf.DUMMYFUNCTION("""COMPUTED_VALUE"""),"Коврик AULA MP-W (250X300 mm)")</f>
        <v>Коврик AULA MP-W (250X300 mm)</v>
      </c>
      <c r="B1405" s="16" t="str">
        <f ca="1">IFERROR(__xludf.DUMMYFUNCTION("""COMPUTED_VALUE"""),"")</f>
        <v/>
      </c>
      <c r="C1405" s="16" t="str">
        <f ca="1">IFERROR(__xludf.DUMMYFUNCTION("""COMPUTED_VALUE"""),"2,")</f>
        <v>2,</v>
      </c>
    </row>
    <row r="1406" spans="1:3" ht="15.75" customHeight="1">
      <c r="A1406" s="16" t="str">
        <f ca="1">IFERROR(__xludf.DUMMYFUNCTION("""COMPUTED_VALUE"""),"Коврик AULA MP-WFFM (300X700 mm)")</f>
        <v>Коврик AULA MP-WFFM (300X700 mm)</v>
      </c>
      <c r="B1406" s="16" t="str">
        <f ca="1">IFERROR(__xludf.DUMMYFUNCTION("""COMPUTED_VALUE"""),"")</f>
        <v/>
      </c>
      <c r="C1406" s="16" t="str">
        <f ca="1">IFERROR(__xludf.DUMMYFUNCTION("""COMPUTED_VALUE"""),"4,")</f>
        <v>4,</v>
      </c>
    </row>
    <row r="1407" spans="1:3" ht="15.75" customHeight="1">
      <c r="A1407" s="16" t="str">
        <f ca="1">IFERROR(__xludf.DUMMYFUNCTION("""COMPUTED_VALUE"""),"Коврик AULA MP-XL (400X900 mm)")</f>
        <v>Коврик AULA MP-XL (400X900 mm)</v>
      </c>
      <c r="B1407" s="16" t="str">
        <f ca="1">IFERROR(__xludf.DUMMYFUNCTION("""COMPUTED_VALUE"""),"")</f>
        <v/>
      </c>
      <c r="C1407" s="16" t="str">
        <f ca="1">IFERROR(__xludf.DUMMYFUNCTION("""COMPUTED_VALUE"""),"8,")</f>
        <v>8,</v>
      </c>
    </row>
    <row r="1408" spans="1:3" ht="15.75" customHeight="1">
      <c r="A1408" s="16" t="str">
        <f ca="1">IFERROR(__xludf.DUMMYFUNCTION("""COMPUTED_VALUE"""),"Акустическая система AULA N521 (2.0)")</f>
        <v>Акустическая система AULA N521 (2.0)</v>
      </c>
      <c r="B1408" s="16" t="str">
        <f ca="1">IFERROR(__xludf.DUMMYFUNCTION("""COMPUTED_VALUE"""),"")</f>
        <v/>
      </c>
      <c r="C1408" s="16" t="str">
        <f ca="1">IFERROR(__xludf.DUMMYFUNCTION("""COMPUTED_VALUE"""),"13,")</f>
        <v>13,</v>
      </c>
    </row>
    <row r="1409" spans="1:3" ht="15.75" customHeight="1">
      <c r="A1409" s="16" t="str">
        <f ca="1">IFERROR(__xludf.DUMMYFUNCTION("""COMPUTED_VALUE"""),"Акустическая система AULA N169 Bluetooth")</f>
        <v>Акустическая система AULA N169 Bluetooth</v>
      </c>
      <c r="B1409" s="16" t="str">
        <f ca="1">IFERROR(__xludf.DUMMYFUNCTION("""COMPUTED_VALUE"""),"")</f>
        <v/>
      </c>
      <c r="C1409" s="16" t="str">
        <f ca="1">IFERROR(__xludf.DUMMYFUNCTION("""COMPUTED_VALUE"""),"15,")</f>
        <v>15,</v>
      </c>
    </row>
    <row r="1410" spans="1:3" ht="15.75" customHeight="1">
      <c r="A1410" s="16" t="str">
        <f ca="1">IFERROR(__xludf.DUMMYFUNCTION("""COMPUTED_VALUE"""),"Корпус Lian Li LANCOOL 205M MESH, Black")</f>
        <v>Корпус Lian Li LANCOOL 205M MESH, Black</v>
      </c>
      <c r="B1410" s="16" t="str">
        <f ca="1">IFERROR(__xludf.DUMMYFUNCTION("""COMPUTED_VALUE"""),"G99.OE744MX.10")</f>
        <v>G99.OE744MX.10</v>
      </c>
      <c r="C1410" s="16" t="str">
        <f ca="1">IFERROR(__xludf.DUMMYFUNCTION("""COMPUTED_VALUE"""),"43,")</f>
        <v>43,</v>
      </c>
    </row>
    <row r="1411" spans="1:3" ht="15.75" customHeight="1">
      <c r="A1411" s="16" t="str">
        <f ca="1">IFERROR(__xludf.DUMMYFUNCTION("""COMPUTED_VALUE"""),"Корпус Lian Li LANCOOL 205M MESH SNOW")</f>
        <v>Корпус Lian Li LANCOOL 205M MESH SNOW</v>
      </c>
      <c r="B1411" s="16" t="str">
        <f ca="1">IFERROR(__xludf.DUMMYFUNCTION("""COMPUTED_VALUE"""),"G99.OE744MS.10")</f>
        <v>G99.OE744MS.10</v>
      </c>
      <c r="C1411" s="16" t="str">
        <f ca="1">IFERROR(__xludf.DUMMYFUNCTION("""COMPUTED_VALUE"""),"43,")</f>
        <v>43,</v>
      </c>
    </row>
    <row r="1412" spans="1:3" ht="15.75" customHeight="1">
      <c r="A1412" s="16" t="str">
        <f ca="1">IFERROR(__xludf.DUMMYFUNCTION("""COMPUTED_VALUE"""),"Корпус Lian Li LANCOOL 215X black")</f>
        <v>Корпус Lian Li LANCOOL 215X black</v>
      </c>
      <c r="B1412" s="16" t="str">
        <f ca="1">IFERROR(__xludf.DUMMYFUNCTION("""COMPUTED_VALUE"""),"G99.LAN215X.00")</f>
        <v>G99.LAN215X.00</v>
      </c>
      <c r="C1412" s="16" t="str">
        <f ca="1">IFERROR(__xludf.DUMMYFUNCTION("""COMPUTED_VALUE"""),"75,")</f>
        <v>75,</v>
      </c>
    </row>
    <row r="1413" spans="1:3" ht="15.75" customHeight="1">
      <c r="A1413" s="16" t="str">
        <f ca="1">IFERROR(__xludf.DUMMYFUNCTION("""COMPUTED_VALUE"""),"Корпус Lian Li V100R case pre-installed Black")</f>
        <v>Корпус Lian Li V100R case pre-installed Black</v>
      </c>
      <c r="B1413" s="16" t="str">
        <f ca="1">IFERROR(__xludf.DUMMYFUNCTION("""COMPUTED_VALUE"""),"G99.V100RX.01")</f>
        <v>G99.V100RX.01</v>
      </c>
      <c r="C1413" s="16" t="str">
        <f ca="1">IFERROR(__xludf.DUMMYFUNCTION("""COMPUTED_VALUE"""),"75,")</f>
        <v>75,</v>
      </c>
    </row>
    <row r="1414" spans="1:3" ht="15.75" customHeight="1">
      <c r="A1414" s="16" t="str">
        <f ca="1">IFERROR(__xludf.DUMMYFUNCTION("""COMPUTED_VALUE"""),"Корпус Lian Li V100R case pre-installed White")</f>
        <v>Корпус Lian Li V100R case pre-installed White</v>
      </c>
      <c r="B1414" s="16" t="str">
        <f ca="1">IFERROR(__xludf.DUMMYFUNCTION("""COMPUTED_VALUE"""),"G99.V100RW.01")</f>
        <v>G99.V100RW.01</v>
      </c>
      <c r="C1414" s="16" t="str">
        <f ca="1">IFERROR(__xludf.DUMMYFUNCTION("""COMPUTED_VALUE"""),"80,")</f>
        <v>80,</v>
      </c>
    </row>
    <row r="1415" spans="1:3" ht="15.75" customHeight="1">
      <c r="A1415" s="16" t="str">
        <f ca="1">IFERROR(__xludf.DUMMYFUNCTION("""COMPUTED_VALUE"""),"Корпус Lian Li LANCOOL205 MESH BLACK")</f>
        <v>Корпус Lian Li LANCOOL205 MESH BLACK</v>
      </c>
      <c r="B1415" s="16" t="str">
        <f ca="1">IFERROR(__xludf.DUMMYFUNCTION("""COMPUTED_VALUE"""),"G99.OE764CX.00")</f>
        <v>G99.OE764CX.00</v>
      </c>
      <c r="C1415" s="16" t="str">
        <f ca="1">IFERROR(__xludf.DUMMYFUNCTION("""COMPUTED_VALUE"""),"53,")</f>
        <v>53,</v>
      </c>
    </row>
    <row r="1416" spans="1:3" ht="15.75" customHeight="1">
      <c r="A1416" s="16" t="str">
        <f ca="1">IFERROR(__xludf.DUMMYFUNCTION("""COMPUTED_VALUE"""),"Корпус Lian Li LANCOOL205 MESH WHITE")</f>
        <v>Корпус Lian Li LANCOOL205 MESH WHITE</v>
      </c>
      <c r="B1416" s="16" t="str">
        <f ca="1">IFERROR(__xludf.DUMMYFUNCTION("""COMPUTED_VALUE"""),"G99.OE764CW.00")</f>
        <v>G99.OE764CW.00</v>
      </c>
      <c r="C1416" s="16" t="str">
        <f ca="1">IFERROR(__xludf.DUMMYFUNCTION("""COMPUTED_VALUE"""),"53,")</f>
        <v>53,</v>
      </c>
    </row>
    <row r="1417" spans="1:3" ht="15.75" customHeight="1">
      <c r="A1417" s="16" t="str">
        <f ca="1">IFERROR(__xludf.DUMMYFUNCTION("""COMPUTED_VALUE"""),"Корпус Lian Li LANCOOL 216RW white")</f>
        <v>Корпус Lian Li LANCOOL 216RW white</v>
      </c>
      <c r="B1417" s="16" t="str">
        <f ca="1">IFERROR(__xludf.DUMMYFUNCTION("""COMPUTED_VALUE"""),"G99.LAN216RW.00")</f>
        <v>G99.LAN216RW.00</v>
      </c>
      <c r="C1417" s="16" t="str">
        <f ca="1">IFERROR(__xludf.DUMMYFUNCTION("""COMPUTED_VALUE"""),"90,")</f>
        <v>90,</v>
      </c>
    </row>
    <row r="1418" spans="1:3" ht="15.75" customHeight="1">
      <c r="A1418" s="16" t="str">
        <f ca="1">IFERROR(__xludf.DUMMYFUNCTION("""COMPUTED_VALUE"""),"Корпус Lian Li O11 Air Mini black")</f>
        <v>Корпус Lian Li O11 Air Mini black</v>
      </c>
      <c r="B1418" s="16" t="str">
        <f ca="1">IFERROR(__xludf.DUMMYFUNCTION("""COMPUTED_VALUE"""),"G99.O11AMX.00")</f>
        <v>G99.O11AMX.00</v>
      </c>
      <c r="C1418" s="16" t="str">
        <f ca="1">IFERROR(__xludf.DUMMYFUNCTION("""COMPUTED_VALUE"""),"95,")</f>
        <v>95,</v>
      </c>
    </row>
    <row r="1419" spans="1:3" ht="15.75" customHeight="1">
      <c r="A1419" s="16" t="str">
        <f ca="1">IFERROR(__xludf.DUMMYFUNCTION("""COMPUTED_VALUE"""),"Корпус Lian Li O11 Air Mini white")</f>
        <v>Корпус Lian Li O11 Air Mini white</v>
      </c>
      <c r="B1419" s="16" t="str">
        <f ca="1">IFERROR(__xludf.DUMMYFUNCTION("""COMPUTED_VALUE"""),"G99.O11AMW.00")</f>
        <v>G99.O11AMW.00</v>
      </c>
      <c r="C1419" s="16" t="str">
        <f ca="1">IFERROR(__xludf.DUMMYFUNCTION("""COMPUTED_VALUE"""),"105,")</f>
        <v>105,</v>
      </c>
    </row>
    <row r="1420" spans="1:3" ht="15.75" customHeight="1">
      <c r="A1420" s="16" t="str">
        <f ca="1">IFERROR(__xludf.DUMMYFUNCTION("""COMPUTED_VALUE"""),"Корпус Lian Li O11 Dynamic Mini black")</f>
        <v>Корпус Lian Li O11 Dynamic Mini black</v>
      </c>
      <c r="B1420" s="16" t="str">
        <f ca="1">IFERROR(__xludf.DUMMYFUNCTION("""COMPUTED_VALUE"""),"G99.O11DMI-X.00")</f>
        <v>G99.O11DMI-X.00</v>
      </c>
      <c r="C1420" s="16" t="str">
        <f ca="1">IFERROR(__xludf.DUMMYFUNCTION("""COMPUTED_VALUE"""),"110,")</f>
        <v>110,</v>
      </c>
    </row>
    <row r="1421" spans="1:3" ht="15.75" customHeight="1">
      <c r="A1421" s="16" t="str">
        <f ca="1">IFERROR(__xludf.DUMMYFUNCTION("""COMPUTED_VALUE"""),"Корпус Lian Li O11 Dynamic Mini snow")</f>
        <v>Корпус Lian Li O11 Dynamic Mini snow</v>
      </c>
      <c r="B1421" s="16" t="str">
        <f ca="1">IFERROR(__xludf.DUMMYFUNCTION("""COMPUTED_VALUE"""),"G99.O11DMI-S.00")</f>
        <v>G99.O11DMI-S.00</v>
      </c>
      <c r="C1421" s="16" t="str">
        <f ca="1">IFERROR(__xludf.DUMMYFUNCTION("""COMPUTED_VALUE"""),"115,")</f>
        <v>115,</v>
      </c>
    </row>
    <row r="1422" spans="1:3" ht="15.75" customHeight="1">
      <c r="A1422" s="16" t="str">
        <f ca="1">IFERROR(__xludf.DUMMYFUNCTION("""COMPUTED_VALUE"""),"Корпус Lian Li LANCOOL II Mesh C RGB-X Black")</f>
        <v>Корпус Lian Li LANCOOL II Mesh C RGB-X Black</v>
      </c>
      <c r="B1422" s="16" t="str">
        <f ca="1">IFERROR(__xludf.DUMMYFUNCTION("""COMPUTED_VALUE"""),"G99.LAN2MRX.50")</f>
        <v>G99.LAN2MRX.50</v>
      </c>
      <c r="C1422" s="16" t="str">
        <f ca="1">IFERROR(__xludf.DUMMYFUNCTION("""COMPUTED_VALUE"""),"100,")</f>
        <v>100,</v>
      </c>
    </row>
    <row r="1423" spans="1:3" ht="15.75" customHeight="1">
      <c r="A1423" s="16" t="str">
        <f ca="1">IFERROR(__xludf.DUMMYFUNCTION("""COMPUTED_VALUE"""),"Корпус Lian Li LANCOOL II Mesh C RGB-S Snow")</f>
        <v>Корпус Lian Li LANCOOL II Mesh C RGB-S Snow</v>
      </c>
      <c r="B1423" s="16" t="str">
        <f ca="1">IFERROR(__xludf.DUMMYFUNCTION("""COMPUTED_VALUE"""),"G99.LAN2MRS.50")</f>
        <v>G99.LAN2MRS.50</v>
      </c>
      <c r="C1423" s="16" t="str">
        <f ca="1">IFERROR(__xludf.DUMMYFUNCTION("""COMPUTED_VALUE"""),"105,")</f>
        <v>105,</v>
      </c>
    </row>
    <row r="1424" spans="1:3" ht="15.75" customHeight="1">
      <c r="A1424" s="16" t="str">
        <f ca="1">IFERROR(__xludf.DUMMYFUNCTION("""COMPUTED_VALUE"""),"Корпус Lian Li O11 VISION Compact, black")</f>
        <v>Корпус Lian Li O11 VISION Compact, black</v>
      </c>
      <c r="B1424" s="16" t="str">
        <f ca="1">IFERROR(__xludf.DUMMYFUNCTION("""COMPUTED_VALUE"""),"G99.O11VPX.00")</f>
        <v>G99.O11VPX.00</v>
      </c>
      <c r="C1424" s="16" t="str">
        <f ca="1">IFERROR(__xludf.DUMMYFUNCTION("""COMPUTED_VALUE"""),"120,")</f>
        <v>120,</v>
      </c>
    </row>
    <row r="1425" spans="1:3" ht="15.75" customHeight="1">
      <c r="A1425" s="16" t="str">
        <f ca="1">IFERROR(__xludf.DUMMYFUNCTION("""COMPUTED_VALUE"""),"Корпус Lian Li O11 Dynamic EVO RGB")</f>
        <v>Корпус Lian Li O11 Dynamic EVO RGB</v>
      </c>
      <c r="B1425" s="16" t="str">
        <f ca="1">IFERROR(__xludf.DUMMYFUNCTION("""COMPUTED_VALUE"""),"G99.O11DERGBX.00")</f>
        <v>G99.O11DERGBX.00</v>
      </c>
      <c r="C1425" s="16" t="str">
        <f ca="1">IFERROR(__xludf.DUMMYFUNCTION("""COMPUTED_VALUE"""),"160,")</f>
        <v>160,</v>
      </c>
    </row>
    <row r="1426" spans="1:3" ht="15.75" customHeight="1">
      <c r="A1426" s="16" t="str">
        <f ca="1">IFERROR(__xludf.DUMMYFUNCTION("""COMPUTED_VALUE"""),"Корпус Lian Li O11 Dynamic EVO RGB White")</f>
        <v>Корпус Lian Li O11 Dynamic EVO RGB White</v>
      </c>
      <c r="B1426" s="16" t="str">
        <f ca="1">IFERROR(__xludf.DUMMYFUNCTION("""COMPUTED_VALUE"""),"G99.O11DERGBW.00")</f>
        <v>G99.O11DERGBW.00</v>
      </c>
      <c r="C1426" s="16" t="str">
        <f ca="1">IFERROR(__xludf.DUMMYFUNCTION("""COMPUTED_VALUE"""),"170,")</f>
        <v>170,</v>
      </c>
    </row>
    <row r="1427" spans="1:3" ht="15.75" customHeight="1">
      <c r="A1427" s="16" t="str">
        <f ca="1">IFERROR(__xludf.DUMMYFUNCTION("""COMPUTED_VALUE"""),"Корпус Lian Li O11 Dynamic EVO XL black")</f>
        <v>Корпус Lian Li O11 Dynamic EVO XL black</v>
      </c>
      <c r="B1427" s="16" t="str">
        <f ca="1">IFERROR(__xludf.DUMMYFUNCTION("""COMPUTED_VALUE"""),"G99.O11DEXL-X.00")</f>
        <v>G99.O11DEXL-X.00</v>
      </c>
      <c r="C1427" s="16" t="str">
        <f ca="1">IFERROR(__xludf.DUMMYFUNCTION("""COMPUTED_VALUE"""),"230,")</f>
        <v>230,</v>
      </c>
    </row>
    <row r="1428" spans="1:3" ht="15.75" customHeight="1">
      <c r="A1428" s="16" t="str">
        <f ca="1">IFERROR(__xludf.DUMMYFUNCTION("""COMPUTED_VALUE"""),"Корпус Lian Li O11 Dynamic EVO XL white")</f>
        <v>Корпус Lian Li O11 Dynamic EVO XL white</v>
      </c>
      <c r="B1428" s="16" t="str">
        <f ca="1">IFERROR(__xludf.DUMMYFUNCTION("""COMPUTED_VALUE"""),"G99.O11DEXL-W.00")</f>
        <v>G99.O11DEXL-W.00</v>
      </c>
      <c r="C1428" s="16" t="str">
        <f ca="1">IFERROR(__xludf.DUMMYFUNCTION("""COMPUTED_VALUE"""),"240,")</f>
        <v>240,</v>
      </c>
    </row>
    <row r="1429" spans="1:3" ht="15.75" customHeight="1">
      <c r="A1429" s="16" t="str">
        <f ca="1">IFERROR(__xludf.DUMMYFUNCTION("""COMPUTED_VALUE"""),"Lian Li Strimer PLUS V2 16-8")</f>
        <v>Lian Li Strimer PLUS V2 16-8</v>
      </c>
      <c r="B1429" s="16" t="str">
        <f ca="1">IFERROR(__xludf.DUMMYFUNCTION("""COMPUTED_VALUE"""),"G89.PW16-8PV2.00")</f>
        <v>G89.PW16-8PV2.00</v>
      </c>
      <c r="C1429" s="16" t="str">
        <f ca="1">IFERROR(__xludf.DUMMYFUNCTION("""COMPUTED_VALUE"""),"40,")</f>
        <v>40,</v>
      </c>
    </row>
    <row r="1430" spans="1:3" ht="15.75" customHeight="1">
      <c r="A1430" s="16" t="str">
        <f ca="1">IFERROR(__xludf.DUMMYFUNCTION("""COMPUTED_VALUE"""),"Lian Li Strimer PLUS V2 16-12")</f>
        <v>Lian Li Strimer PLUS V2 16-12</v>
      </c>
      <c r="B1430" s="16" t="str">
        <f ca="1">IFERROR(__xludf.DUMMYFUNCTION("""COMPUTED_VALUE"""),"G89.PW16-12PV2.00")</f>
        <v>G89.PW16-12PV2.00</v>
      </c>
      <c r="C1430" s="16" t="str">
        <f ca="1">IFERROR(__xludf.DUMMYFUNCTION("""COMPUTED_VALUE"""),"55,")</f>
        <v>55,</v>
      </c>
    </row>
    <row r="1431" spans="1:3" ht="15.75" customHeight="1">
      <c r="A1431" s="16" t="str">
        <f ca="1">IFERROR(__xludf.DUMMYFUNCTION("""COMPUTED_VALUE"""),"Lian Li Strimer PLUS V2 168-8")</f>
        <v>Lian Li Strimer PLUS V2 168-8</v>
      </c>
      <c r="B1431" s="16" t="str">
        <f ca="1">IFERROR(__xludf.DUMMYFUNCTION("""COMPUTED_VALUE"""),"G89.PW168-8PV2.00")</f>
        <v>G89.PW168-8PV2.00</v>
      </c>
      <c r="C1431" s="16" t="str">
        <f ca="1">IFERROR(__xludf.DUMMYFUNCTION("""COMPUTED_VALUE"""),"45,")</f>
        <v>45,</v>
      </c>
    </row>
    <row r="1432" spans="1:3" ht="15.75" customHeight="1">
      <c r="A1432" s="16" t="str">
        <f ca="1">IFERROR(__xludf.DUMMYFUNCTION("""COMPUTED_VALUE"""),"Lian Li SL120V2-3B Black Cooler")</f>
        <v>Lian Li SL120V2-3B Black Cooler</v>
      </c>
      <c r="B1432" s="16" t="str">
        <f ca="1">IFERROR(__xludf.DUMMYFUNCTION("""COMPUTED_VALUE"""),"G99.12SLV23B.00")</f>
        <v>G99.12SLV23B.00</v>
      </c>
      <c r="C1432" s="16" t="str">
        <f ca="1">IFERROR(__xludf.DUMMYFUNCTION("""COMPUTED_VALUE"""),"90,")</f>
        <v>90,</v>
      </c>
    </row>
    <row r="1433" spans="1:3" ht="15.75" customHeight="1">
      <c r="A1433" s="16" t="str">
        <f ca="1">IFERROR(__xludf.DUMMYFUNCTION("""COMPUTED_VALUE"""),"Lian Li SL120V2-3W White Cooler")</f>
        <v>Lian Li SL120V2-3W White Cooler</v>
      </c>
      <c r="B1433" s="16" t="str">
        <f ca="1">IFERROR(__xludf.DUMMYFUNCTION("""COMPUTED_VALUE"""),"G99.12SLV23W.00")</f>
        <v>G99.12SLV23W.00</v>
      </c>
      <c r="C1433" s="16" t="str">
        <f ca="1">IFERROR(__xludf.DUMMYFUNCTION("""COMPUTED_VALUE"""),"90,")</f>
        <v>90,</v>
      </c>
    </row>
    <row r="1434" spans="1:3" ht="15.75" customHeight="1">
      <c r="A1434" s="16" t="str">
        <f ca="1">IFERROR(__xludf.DUMMYFUNCTION("""COMPUTED_VALUE"""),"Lian Li AL120V2-3B Black Cooler")</f>
        <v>Lian Li AL120V2-3B Black Cooler</v>
      </c>
      <c r="B1434" s="16" t="str">
        <f ca="1">IFERROR(__xludf.DUMMYFUNCTION("""COMPUTED_VALUE"""),"G99.12ALV23B.00")</f>
        <v>G99.12ALV23B.00</v>
      </c>
      <c r="C1434" s="16" t="str">
        <f ca="1">IFERROR(__xludf.DUMMYFUNCTION("""COMPUTED_VALUE"""),"85,")</f>
        <v>85,</v>
      </c>
    </row>
    <row r="1435" spans="1:3" ht="15.75" customHeight="1">
      <c r="A1435" s="16" t="str">
        <f ca="1">IFERROR(__xludf.DUMMYFUNCTION("""COMPUTED_VALUE"""),"Lian Li AL120V2-3W White Cooler")</f>
        <v>Lian Li AL120V2-3W White Cooler</v>
      </c>
      <c r="B1435" s="16" t="str">
        <f ca="1">IFERROR(__xludf.DUMMYFUNCTION("""COMPUTED_VALUE"""),"G99.12ALV23W.00")</f>
        <v>G99.12ALV23W.00</v>
      </c>
      <c r="C1435" s="16" t="str">
        <f ca="1">IFERROR(__xludf.DUMMYFUNCTION("""COMPUTED_VALUE"""),"85,")</f>
        <v>85,</v>
      </c>
    </row>
    <row r="1436" spans="1:3" ht="15.75" customHeight="1">
      <c r="A1436" s="16" t="str">
        <f ca="1">IFERROR(__xludf.DUMMYFUNCTION("""COMPUTED_VALUE"""),"Lian Li SL-INF 120-3 Black Cooler")</f>
        <v>Lian Li SL-INF 120-3 Black Cooler</v>
      </c>
      <c r="B1436" s="16" t="str">
        <f ca="1">IFERROR(__xludf.DUMMYFUNCTION("""COMPUTED_VALUE"""),"G99.12SLIN3B.00")</f>
        <v>G99.12SLIN3B.00</v>
      </c>
      <c r="C1436" s="16" t="str">
        <f ca="1">IFERROR(__xludf.DUMMYFUNCTION("""COMPUTED_VALUE"""),"90,")</f>
        <v>90,</v>
      </c>
    </row>
    <row r="1437" spans="1:3" ht="15.75" customHeight="1">
      <c r="A1437" s="16" t="str">
        <f ca="1">IFERROR(__xludf.DUMMYFUNCTION("""COMPUTED_VALUE"""),"Lian Li SL-INF 120-3 White Cooler")</f>
        <v>Lian Li SL-INF 120-3 White Cooler</v>
      </c>
      <c r="B1437" s="16" t="str">
        <f ca="1">IFERROR(__xludf.DUMMYFUNCTION("""COMPUTED_VALUE"""),"G99.12SLIN3W.00")</f>
        <v>G99.12SLIN3W.00</v>
      </c>
      <c r="C1437" s="16" t="str">
        <f ca="1">IFERROR(__xludf.DUMMYFUNCTION("""COMPUTED_VALUE"""),"90,")</f>
        <v>90,</v>
      </c>
    </row>
    <row r="1438" spans="1:3" ht="15.75" customHeight="1">
      <c r="A1438" s="16" t="str">
        <f ca="1">IFERROR(__xludf.DUMMYFUNCTION("""COMPUTED_VALUE"""),"Lian Li P28-3B Black Cooler")</f>
        <v>Lian Li P28-3B Black Cooler</v>
      </c>
      <c r="B1438" s="16" t="str">
        <f ca="1">IFERROR(__xludf.DUMMYFUNCTION("""COMPUTED_VALUE"""),"G99.12P283B.00")</f>
        <v>G99.12P283B.00</v>
      </c>
      <c r="C1438" s="16" t="str">
        <f ca="1">IFERROR(__xludf.DUMMYFUNCTION("""COMPUTED_VALUE"""),"70,")</f>
        <v>70,</v>
      </c>
    </row>
    <row r="1439" spans="1:3" ht="15.75" customHeight="1">
      <c r="A1439" s="16" t="str">
        <f ca="1">IFERROR(__xludf.DUMMYFUNCTION("""COMPUTED_VALUE"""),"Lian Li P28-3W White Cooler")</f>
        <v>Lian Li P28-3W White Cooler</v>
      </c>
      <c r="B1439" s="16" t="str">
        <f ca="1">IFERROR(__xludf.DUMMYFUNCTION("""COMPUTED_VALUE"""),"G99.12P283W.00")</f>
        <v>G99.12P283W.00</v>
      </c>
      <c r="C1439" s="16" t="str">
        <f ca="1">IFERROR(__xludf.DUMMYFUNCTION("""COMPUTED_VALUE"""),"70,")</f>
        <v>70,</v>
      </c>
    </row>
    <row r="1440" spans="1:3" ht="15.75" customHeight="1">
      <c r="A1440" s="16" t="str">
        <f ca="1">IFERROR(__xludf.DUMMYFUNCTION("""COMPUTED_VALUE"""),"Lian Li Reverse SL120V2-1B Black")</f>
        <v>Lian Li Reverse SL120V2-1B Black</v>
      </c>
      <c r="B1440" s="16" t="str">
        <f ca="1">IFERROR(__xludf.DUMMYFUNCTION("""COMPUTED_VALUE"""),"G99.12RSLV21B.00")</f>
        <v>G99.12RSLV21B.00</v>
      </c>
      <c r="C1440" s="16" t="str">
        <f ca="1">IFERROR(__xludf.DUMMYFUNCTION("""COMPUTED_VALUE"""),"24,")</f>
        <v>24,</v>
      </c>
    </row>
    <row r="1441" spans="1:3" ht="15.75" customHeight="1">
      <c r="A1441" s="16" t="str">
        <f ca="1">IFERROR(__xludf.DUMMYFUNCTION("""COMPUTED_VALUE"""),"Lian Li Reverse SL120V2-1B White")</f>
        <v>Lian Li Reverse SL120V2-1B White</v>
      </c>
      <c r="B1441" s="16" t="str">
        <f ca="1">IFERROR(__xludf.DUMMYFUNCTION("""COMPUTED_VALUE"""),"G99.12RSLV21W.00")</f>
        <v>G99.12RSLV21W.00</v>
      </c>
      <c r="C1441" s="16" t="str">
        <f ca="1">IFERROR(__xludf.DUMMYFUNCTION("""COMPUTED_VALUE"""),"24,")</f>
        <v>24,</v>
      </c>
    </row>
    <row r="1442" spans="1:3" ht="15.75" customHeight="1">
      <c r="A1442" s="16" t="str">
        <f ca="1">IFERROR(__xludf.DUMMYFUNCTION("""COMPUTED_VALUE"""),"Lian Li AL140V2-1B Black Cooler")</f>
        <v>Lian Li AL140V2-1B Black Cooler</v>
      </c>
      <c r="B1442" s="16" t="str">
        <f ca="1">IFERROR(__xludf.DUMMYFUNCTION("""COMPUTED_VALUE"""),"G99.14ALV21B.00")</f>
        <v>G99.14ALV21B.00</v>
      </c>
      <c r="C1442" s="16" t="str">
        <f ca="1">IFERROR(__xludf.DUMMYFUNCTION("""COMPUTED_VALUE"""),"27,")</f>
        <v>27,</v>
      </c>
    </row>
    <row r="1443" spans="1:3" ht="15.75" customHeight="1">
      <c r="A1443" s="16" t="str">
        <f ca="1">IFERROR(__xludf.DUMMYFUNCTION("""COMPUTED_VALUE"""),"Lian Li AL140V2-1W White Cooler")</f>
        <v>Lian Li AL140V2-1W White Cooler</v>
      </c>
      <c r="B1443" s="16" t="str">
        <f ca="1">IFERROR(__xludf.DUMMYFUNCTION("""COMPUTED_VALUE"""),"G99.14ALV21W.00")</f>
        <v>G99.14ALV21W.00</v>
      </c>
      <c r="C1443" s="16" t="str">
        <f ca="1">IFERROR(__xludf.DUMMYFUNCTION("""COMPUTED_VALUE"""),"27,")</f>
        <v>27,</v>
      </c>
    </row>
    <row r="1444" spans="1:3" ht="15.75" customHeight="1">
      <c r="A1444" s="16" t="str">
        <f ca="1">IFERROR(__xludf.DUMMYFUNCTION("""COMPUTED_VALUE"""),"Lian Li TL120-1 Black Cooler")</f>
        <v>Lian Li TL120-1 Black Cooler</v>
      </c>
      <c r="B1444" s="16" t="str">
        <f ca="1">IFERROR(__xludf.DUMMYFUNCTION("""COMPUTED_VALUE"""),"G99.12TL1B.00")</f>
        <v>G99.12TL1B.00</v>
      </c>
      <c r="C1444" s="16" t="str">
        <f ca="1">IFERROR(__xludf.DUMMYFUNCTION("""COMPUTED_VALUE"""),"30,")</f>
        <v>30,</v>
      </c>
    </row>
    <row r="1445" spans="1:3" ht="15.75" customHeight="1">
      <c r="A1445" s="16" t="str">
        <f ca="1">IFERROR(__xludf.DUMMYFUNCTION("""COMPUTED_VALUE"""),"Lian Li TL120-3 Black Cooler")</f>
        <v>Lian Li TL120-3 Black Cooler</v>
      </c>
      <c r="B1445" s="16" t="str">
        <f ca="1">IFERROR(__xludf.DUMMYFUNCTION("""COMPUTED_VALUE"""),"G99.12TL3B.00")</f>
        <v>G99.12TL3B.00</v>
      </c>
      <c r="C1445" s="16" t="str">
        <f ca="1">IFERROR(__xludf.DUMMYFUNCTION("""COMPUTED_VALUE"""),"95,")</f>
        <v>95,</v>
      </c>
    </row>
    <row r="1446" spans="1:3" ht="15.75" customHeight="1">
      <c r="A1446" s="16" t="str">
        <f ca="1">IFERROR(__xludf.DUMMYFUNCTION("""COMPUTED_VALUE"""),"Lian Li TL120-1 White Cooler")</f>
        <v>Lian Li TL120-1 White Cooler</v>
      </c>
      <c r="B1446" s="16" t="str">
        <f ca="1">IFERROR(__xludf.DUMMYFUNCTION("""COMPUTED_VALUE"""),"G99.12TL1W.00")</f>
        <v>G99.12TL1W.00</v>
      </c>
      <c r="C1446" s="16" t="str">
        <f ca="1">IFERROR(__xludf.DUMMYFUNCTION("""COMPUTED_VALUE"""),"30,")</f>
        <v>30,</v>
      </c>
    </row>
    <row r="1447" spans="1:3" ht="15.75" customHeight="1">
      <c r="A1447" s="16" t="str">
        <f ca="1">IFERROR(__xludf.DUMMYFUNCTION("""COMPUTED_VALUE"""),"Lian Li TL120-3 White Cooler")</f>
        <v>Lian Li TL120-3 White Cooler</v>
      </c>
      <c r="B1447" s="16" t="str">
        <f ca="1">IFERROR(__xludf.DUMMYFUNCTION("""COMPUTED_VALUE"""),"G99.12TL3W.00")</f>
        <v>G99.12TL3W.00</v>
      </c>
      <c r="C1447" s="16" t="str">
        <f ca="1">IFERROR(__xludf.DUMMYFUNCTION("""COMPUTED_VALUE"""),"95,")</f>
        <v>95,</v>
      </c>
    </row>
    <row r="1448" spans="1:3" ht="15.75" customHeight="1">
      <c r="A1448" s="16" t="str">
        <f ca="1">IFERROR(__xludf.DUMMYFUNCTION("""COMPUTED_VALUE"""),"Lian Li Reverse TL 120mm-1 Black")</f>
        <v>Lian Li Reverse TL 120mm-1 Black</v>
      </c>
      <c r="B1448" s="16" t="str">
        <f ca="1">IFERROR(__xludf.DUMMYFUNCTION("""COMPUTED_VALUE"""),"G99.12RTL1B.00")</f>
        <v>G99.12RTL1B.00</v>
      </c>
      <c r="C1448" s="16" t="str">
        <f ca="1">IFERROR(__xludf.DUMMYFUNCTION("""COMPUTED_VALUE"""),"30,")</f>
        <v>30,</v>
      </c>
    </row>
    <row r="1449" spans="1:3" ht="15.75" customHeight="1">
      <c r="A1449" s="16" t="str">
        <f ca="1">IFERROR(__xludf.DUMMYFUNCTION("""COMPUTED_VALUE"""),"Lian Li Reverse TL 120mm-3 Black")</f>
        <v>Lian Li Reverse TL 120mm-3 Black</v>
      </c>
      <c r="B1449" s="16" t="str">
        <f ca="1">IFERROR(__xludf.DUMMYFUNCTION("""COMPUTED_VALUE"""),"G99.12RTL3B.00")</f>
        <v>G99.12RTL3B.00</v>
      </c>
      <c r="C1449" s="16" t="str">
        <f ca="1">IFERROR(__xludf.DUMMYFUNCTION("""COMPUTED_VALUE"""),"95,")</f>
        <v>95,</v>
      </c>
    </row>
    <row r="1450" spans="1:3" ht="15.75" customHeight="1">
      <c r="A1450" s="16" t="str">
        <f ca="1">IFERROR(__xludf.DUMMYFUNCTION("""COMPUTED_VALUE"""),"Lian Li Reverse TL 120mm-1 White")</f>
        <v>Lian Li Reverse TL 120mm-1 White</v>
      </c>
      <c r="B1450" s="16" t="str">
        <f ca="1">IFERROR(__xludf.DUMMYFUNCTION("""COMPUTED_VALUE"""),"G99.12RTL1W.00")</f>
        <v>G99.12RTL1W.00</v>
      </c>
      <c r="C1450" s="16" t="str">
        <f ca="1">IFERROR(__xludf.DUMMYFUNCTION("""COMPUTED_VALUE"""),"30,")</f>
        <v>30,</v>
      </c>
    </row>
    <row r="1451" spans="1:3" ht="15.75" customHeight="1">
      <c r="A1451" s="16" t="str">
        <f ca="1">IFERROR(__xludf.DUMMYFUNCTION("""COMPUTED_VALUE"""),"Lian Li Reverse TL 120mm-3 White")</f>
        <v>Lian Li Reverse TL 120mm-3 White</v>
      </c>
      <c r="B1451" s="16" t="str">
        <f ca="1">IFERROR(__xludf.DUMMYFUNCTION("""COMPUTED_VALUE"""),"G99.12RTL3W.00")</f>
        <v>G99.12RTL3W.00</v>
      </c>
      <c r="C1451" s="16" t="str">
        <f ca="1">IFERROR(__xludf.DUMMYFUNCTION("""COMPUTED_VALUE"""),"95,")</f>
        <v>95,</v>
      </c>
    </row>
    <row r="1452" spans="1:3" ht="15.75" customHeight="1">
      <c r="A1452" s="16" t="str">
        <f ca="1">IFERROR(__xludf.DUMMYFUNCTION("""COMPUTED_VALUE"""),"Lian Li TLLCD 120-3 Black Cooler")</f>
        <v>Lian Li TLLCD 120-3 Black Cooler</v>
      </c>
      <c r="B1452" s="16" t="str">
        <f ca="1">IFERROR(__xludf.DUMMYFUNCTION("""COMPUTED_VALUE"""),"G99.12TLLCD3B.00")</f>
        <v>G99.12TLLCD3B.00</v>
      </c>
      <c r="C1452" s="16" t="str">
        <f ca="1">IFERROR(__xludf.DUMMYFUNCTION("""COMPUTED_VALUE"""),"135,")</f>
        <v>135,</v>
      </c>
    </row>
    <row r="1453" spans="1:3" ht="15.75" customHeight="1">
      <c r="A1453" s="16" t="str">
        <f ca="1">IFERROR(__xludf.DUMMYFUNCTION("""COMPUTED_VALUE"""),"Lian Li TLLCD 120-3 White Cooler")</f>
        <v>Lian Li TLLCD 120-3 White Cooler</v>
      </c>
      <c r="B1453" s="16" t="str">
        <f ca="1">IFERROR(__xludf.DUMMYFUNCTION("""COMPUTED_VALUE"""),"G99.12TLLCD3W.00")</f>
        <v>G99.12TLLCD3W.00</v>
      </c>
      <c r="C1453" s="16" t="str">
        <f ca="1">IFERROR(__xludf.DUMMYFUNCTION("""COMPUTED_VALUE"""),"135,")</f>
        <v>135,</v>
      </c>
    </row>
    <row r="1454" spans="1:3" ht="15.75" customHeight="1">
      <c r="A1454" s="16" t="str">
        <f ca="1">IFERROR(__xludf.DUMMYFUNCTION("""COMPUTED_VALUE"""),"Lian Li Reverse TLLCD 120mm-3 Black")</f>
        <v>Lian Li Reverse TLLCD 120mm-3 Black</v>
      </c>
      <c r="B1454" s="16" t="str">
        <f ca="1">IFERROR(__xludf.DUMMYFUNCTION("""COMPUTED_VALUE"""),"G99.12RTLLCD3B.00")</f>
        <v>G99.12RTLLCD3B.00</v>
      </c>
      <c r="C1454" s="16" t="str">
        <f ca="1">IFERROR(__xludf.DUMMYFUNCTION("""COMPUTED_VALUE"""),"135,")</f>
        <v>135,</v>
      </c>
    </row>
    <row r="1455" spans="1:3" ht="15.75" customHeight="1">
      <c r="A1455" s="16" t="str">
        <f ca="1">IFERROR(__xludf.DUMMYFUNCTION("""COMPUTED_VALUE"""),"Lian Li Reverse TLLCD 120mm-3 White")</f>
        <v>Lian Li Reverse TLLCD 120mm-3 White</v>
      </c>
      <c r="B1455" s="16" t="str">
        <f ca="1">IFERROR(__xludf.DUMMYFUNCTION("""COMPUTED_VALUE"""),"G99.12RTLLCD3W.00")</f>
        <v>G99.12RTLLCD3W.00</v>
      </c>
      <c r="C1455" s="16" t="str">
        <f ca="1">IFERROR(__xludf.DUMMYFUNCTION("""COMPUTED_VALUE"""),"135,")</f>
        <v>135,</v>
      </c>
    </row>
    <row r="1456" spans="1:3" ht="15.75" customHeight="1">
      <c r="A1456" s="16" t="str">
        <f ca="1">IFERROR(__xludf.DUMMYFUNCTION("""COMPUTED_VALUE"""),"Lian Li GA II Trinity 240 SL-Inf Black")</f>
        <v>Lian Li GA II Trinity 240 SL-Inf Black</v>
      </c>
      <c r="B1456" s="16" t="str">
        <f ca="1">IFERROR(__xludf.DUMMYFUNCTION("""COMPUTED_VALUE"""),"G89.GA2T24INB.00")</f>
        <v>G89.GA2T24INB.00</v>
      </c>
      <c r="C1456" s="16" t="str">
        <f ca="1">IFERROR(__xludf.DUMMYFUNCTION("""COMPUTED_VALUE"""),"100,")</f>
        <v>100,</v>
      </c>
    </row>
    <row r="1457" spans="1:3" ht="15.75" customHeight="1">
      <c r="A1457" s="16" t="str">
        <f ca="1">IFERROR(__xludf.DUMMYFUNCTION("""COMPUTED_VALUE"""),"Lian Li GA II Trinity 240 SL-Inf White")</f>
        <v>Lian Li GA II Trinity 240 SL-Inf White</v>
      </c>
      <c r="B1457" s="16" t="str">
        <f ca="1">IFERROR(__xludf.DUMMYFUNCTION("""COMPUTED_VALUE"""),"G89.GA2T24INW.00")</f>
        <v>G89.GA2T24INW.00</v>
      </c>
      <c r="C1457" s="16" t="str">
        <f ca="1">IFERROR(__xludf.DUMMYFUNCTION("""COMPUTED_VALUE"""),"100,")</f>
        <v>100,</v>
      </c>
    </row>
    <row r="1458" spans="1:3" ht="15.75" customHeight="1">
      <c r="A1458" s="16" t="str">
        <f ca="1">IFERROR(__xludf.DUMMYFUNCTION("""COMPUTED_VALUE"""),"Водяной кулер Lian Li HydroShift LCD 360S BLACK")</f>
        <v>Водяной кулер Lian Li HydroShift LCD 360S BLACK</v>
      </c>
      <c r="B1458" s="16" t="str">
        <f ca="1">IFERROR(__xludf.DUMMYFUNCTION("""COMPUTED_VALUE"""),"G89.GHSLCD36SB.00")</f>
        <v>G89.GHSLCD36SB.00</v>
      </c>
      <c r="C1458" s="16" t="str">
        <f ca="1">IFERROR(__xludf.DUMMYFUNCTION("""COMPUTED_VALUE"""),"155,")</f>
        <v>155,</v>
      </c>
    </row>
    <row r="1459" spans="1:3" ht="15.75" customHeight="1">
      <c r="A1459" s="16" t="str">
        <f ca="1">IFERROR(__xludf.DUMMYFUNCTION("""COMPUTED_VALUE"""),"Водяной кулер Lian Li HydroShift LCD 360S WHITE")</f>
        <v>Водяной кулер Lian Li HydroShift LCD 360S WHITE</v>
      </c>
      <c r="B1459" s="16" t="str">
        <f ca="1">IFERROR(__xludf.DUMMYFUNCTION("""COMPUTED_VALUE"""),"G89.GHSLCD36SW.00")</f>
        <v>G89.GHSLCD36SW.00</v>
      </c>
      <c r="C1459" s="16" t="str">
        <f ca="1">IFERROR(__xludf.DUMMYFUNCTION("""COMPUTED_VALUE"""),"155,")</f>
        <v>155,</v>
      </c>
    </row>
    <row r="1460" spans="1:3" ht="15.75" customHeight="1">
      <c r="A1460" s="16" t="str">
        <f ca="1">IFERROR(__xludf.DUMMYFUNCTION("""COMPUTED_VALUE"""),"Водяной кулер HydroShift 2 LCD-C 360R")</f>
        <v>Водяной кулер HydroShift 2 LCD-C 360R</v>
      </c>
      <c r="B1460" s="16" t="str">
        <f ca="1">IFERROR(__xludf.DUMMYFUNCTION("""COMPUTED_VALUE"""),"G89.GHS2LCD36RB.00")</f>
        <v>G89.GHS2LCD36RB.00</v>
      </c>
      <c r="C1460" s="16" t="str">
        <f ca="1">IFERROR(__xludf.DUMMYFUNCTION("""COMPUTED_VALUE"""),"170,")</f>
        <v>170,</v>
      </c>
    </row>
    <row r="1461" spans="1:3" ht="15.75" customHeight="1">
      <c r="A1461" s="16" t="str">
        <f ca="1">IFERROR(__xludf.DUMMYFUNCTION("""COMPUTED_VALUE"""),"Водяной кулер HydroShift 2 LCD-C 360R")</f>
        <v>Водяной кулер HydroShift 2 LCD-C 360R</v>
      </c>
      <c r="B1461" s="16" t="str">
        <f ca="1">IFERROR(__xludf.DUMMYFUNCTION("""COMPUTED_VALUE"""),"G89.GHS2LCD36RW.00")</f>
        <v>G89.GHS2LCD36RW.00</v>
      </c>
      <c r="C1461" s="16" t="str">
        <f ca="1">IFERROR(__xludf.DUMMYFUNCTION("""COMPUTED_VALUE"""),"170,")</f>
        <v>170,</v>
      </c>
    </row>
    <row r="1462" spans="1:3" ht="15.75" customHeight="1">
      <c r="A1462" s="16" t="str">
        <f ca="1">IFERROR(__xludf.DUMMYFUNCTION("""COMPUTED_VALUE"""),"Водяной кулер Lian Li HydroShift 2 LCD-C 360T")</f>
        <v>Водяной кулер Lian Li HydroShift 2 LCD-C 360T</v>
      </c>
      <c r="B1462" s="16" t="str">
        <f ca="1">IFERROR(__xludf.DUMMYFUNCTION("""COMPUTED_VALUE"""),"G89.GHS2LCD36TB.00")</f>
        <v>G89.GHS2LCD36TB.00</v>
      </c>
      <c r="C1462" s="16" t="str">
        <f ca="1">IFERROR(__xludf.DUMMYFUNCTION("""COMPUTED_VALUE"""),"230,")</f>
        <v>230,</v>
      </c>
    </row>
    <row r="1463" spans="1:3" ht="15.75" customHeight="1">
      <c r="A1463" s="16" t="str">
        <f ca="1">IFERROR(__xludf.DUMMYFUNCTION("""COMPUTED_VALUE"""),"Водяной кулер Lian Li HydroShift 2 LCD-C 360TL")</f>
        <v>Водяной кулер Lian Li HydroShift 2 LCD-C 360TL</v>
      </c>
      <c r="B1463" s="16" t="str">
        <f ca="1">IFERROR(__xludf.DUMMYFUNCTION("""COMPUTED_VALUE"""),"G89.GHS2LCD36TW.00")</f>
        <v>G89.GHS2LCD36TW.00</v>
      </c>
      <c r="C1463" s="16" t="str">
        <f ca="1">IFERROR(__xludf.DUMMYFUNCTION("""COMPUTED_VALUE"""),"230,")</f>
        <v>230,</v>
      </c>
    </row>
    <row r="1464" spans="1:3" ht="15.75" customHeight="1">
      <c r="A1464" s="16" t="str">
        <f ca="1">IFERROR(__xludf.DUMMYFUNCTION("""COMPUTED_VALUE"""),"Lian-Li SP750 750W SFX 80 Plus Gold Full Modular Black")</f>
        <v>Lian-Li SP750 750W SFX 80 Plus Gold Full Modular Black</v>
      </c>
      <c r="B1464" s="16" t="str">
        <f ca="1">IFERROR(__xludf.DUMMYFUNCTION("""COMPUTED_VALUE"""),"G89.SP750B.00EU")</f>
        <v>G89.SP750B.00EU</v>
      </c>
      <c r="C1464" s="16" t="str">
        <f ca="1">IFERROR(__xludf.DUMMYFUNCTION("""COMPUTED_VALUE"""),"120,")</f>
        <v>120,</v>
      </c>
    </row>
    <row r="1465" spans="1:3" ht="15.75" customHeight="1">
      <c r="A1465" s="16" t="str">
        <f ca="1">IFERROR(__xludf.DUMMYFUNCTION("""COMPUTED_VALUE"""),"Lian-Li SP850 850W SFX 80 Plus Gold Full Modular Black")</f>
        <v>Lian-Li SP850 850W SFX 80 Plus Gold Full Modular Black</v>
      </c>
      <c r="B1465" s="16" t="str">
        <f ca="1">IFERROR(__xludf.DUMMYFUNCTION("""COMPUTED_VALUE"""),"G89.SP850B.01EU")</f>
        <v>G89.SP850B.01EU</v>
      </c>
      <c r="C1465" s="16" t="str">
        <f ca="1">IFERROR(__xludf.DUMMYFUNCTION("""COMPUTED_VALUE"""),"140,")</f>
        <v>140,</v>
      </c>
    </row>
    <row r="1466" spans="1:3" ht="15.75" customHeight="1">
      <c r="A1466" s="16" t="str">
        <f ca="1">IFERROR(__xludf.DUMMYFUNCTION("""COMPUTED_VALUE"""),"Lian-Li SP850 850W SFX 80 Plus Gold Full Modular White")</f>
        <v>Lian-Li SP850 850W SFX 80 Plus Gold Full Modular White</v>
      </c>
      <c r="B1466" s="16" t="str">
        <f ca="1">IFERROR(__xludf.DUMMYFUNCTION("""COMPUTED_VALUE"""),"G89.SP850W.01EU")</f>
        <v>G89.SP850W.01EU</v>
      </c>
      <c r="C1466" s="16" t="str">
        <f ca="1">IFERROR(__xludf.DUMMYFUNCTION("""COMPUTED_VALUE"""),"140,")</f>
        <v>140,</v>
      </c>
    </row>
    <row r="1467" spans="1:3" ht="15.75" customHeight="1">
      <c r="A1467" s="16" t="str">
        <f ca="1">IFERROR(__xludf.DUMMYFUNCTION("""COMPUTED_VALUE"""),"Lian Li Vertical GPU Bracket Kit")</f>
        <v>Lian Li Vertical GPU Bracket Kit</v>
      </c>
      <c r="B1467" s="16" t="str">
        <f ca="1">IFERROR(__xludf.DUMMYFUNCTION("""COMPUTED_VALUE"""),"G89.VG4-4-V2X.00")</f>
        <v>G89.VG4-4-V2X.00</v>
      </c>
      <c r="C1467" s="16" t="str">
        <f ca="1">IFERROR(__xludf.DUMMYFUNCTION("""COMPUTED_VALUE"""),"60,")</f>
        <v>60,</v>
      </c>
    </row>
    <row r="1468" spans="1:3" ht="15.75" customHeight="1">
      <c r="A1468" s="16" t="str">
        <f ca="1">IFERROR(__xludf.DUMMYFUNCTION("""COMPUTED_VALUE"""),"Lian Li O11-MINI PCIe 4.0 Black Vertical GPU Bracket Kit ")</f>
        <v xml:space="preserve">Lian Li O11-MINI PCIe 4.0 Black Vertical GPU Bracket Kit </v>
      </c>
      <c r="B1468" s="16" t="str">
        <f ca="1">IFERROR(__xludf.DUMMYFUNCTION("""COMPUTED_VALUE"""),"G89.O11DM-1X.40")</f>
        <v>G89.O11DM-1X.40</v>
      </c>
      <c r="C1468" s="16" t="str">
        <f ca="1">IFERROR(__xludf.DUMMYFUNCTION("""COMPUTED_VALUE"""),"60,")</f>
        <v>60,</v>
      </c>
    </row>
    <row r="1469" spans="1:3" ht="15.75" customHeight="1">
      <c r="A1469" s="16" t="str">
        <f ca="1">IFERROR(__xludf.DUMMYFUNCTION("""COMPUTED_VALUE"""),"Lian Li O11-MINI PCIe 4.0 White Vertical GPU Bracket Kit ")</f>
        <v xml:space="preserve">Lian Li O11-MINI PCIe 4.0 White Vertical GPU Bracket Kit </v>
      </c>
      <c r="B1469" s="16" t="str">
        <f ca="1">IFERROR(__xludf.DUMMYFUNCTION("""COMPUTED_VALUE"""),"G89.O11DM-1W.40")</f>
        <v>G89.O11DM-1W.40</v>
      </c>
      <c r="C1469" s="16" t="str">
        <f ca="1">IFERROR(__xludf.DUMMYFUNCTION("""COMPUTED_VALUE"""),"60,")</f>
        <v>60,</v>
      </c>
    </row>
    <row r="1470" spans="1:3" ht="15.75" customHeight="1">
      <c r="A1470" s="16" t="str">
        <f ca="1">IFERROR(__xludf.DUMMYFUNCTION("""COMPUTED_VALUE"""),"FSP HV Pro 550W 80 Plus Power Supply (FSP550-51AAC)")</f>
        <v>FSP HV Pro 550W 80 Plus Power Supply (FSP550-51AAC)</v>
      </c>
      <c r="B1470" s="16" t="str">
        <f ca="1">IFERROR(__xludf.DUMMYFUNCTION("""COMPUTED_VALUE"""),"FSP550-51AAC")</f>
        <v>FSP550-51AAC</v>
      </c>
      <c r="C1470" s="16" t="str">
        <f ca="1">IFERROR(__xludf.DUMMYFUNCTION("""COMPUTED_VALUE"""),"33,")</f>
        <v>33,</v>
      </c>
    </row>
    <row r="1471" spans="1:3" ht="15.75" customHeight="1">
      <c r="A1471" s="16" t="str">
        <f ca="1">IFERROR(__xludf.DUMMYFUNCTION("""COMPUTED_VALUE"""),"FSP HV Pro 650W 80 Plus Power Supply (FSP650-51AAC)")</f>
        <v>FSP HV Pro 650W 80 Plus Power Supply (FSP650-51AAC)</v>
      </c>
      <c r="B1471" s="16" t="str">
        <f ca="1">IFERROR(__xludf.DUMMYFUNCTION("""COMPUTED_VALUE"""),"FSP650-51AAC")</f>
        <v>FSP650-51AAC</v>
      </c>
      <c r="C1471" s="16" t="str">
        <f ca="1">IFERROR(__xludf.DUMMYFUNCTION("""COMPUTED_VALUE"""),"41,")</f>
        <v>41,</v>
      </c>
    </row>
    <row r="1472" spans="1:3" ht="15.75" customHeight="1">
      <c r="A1472" s="16" t="str">
        <f ca="1">IFERROR(__xludf.DUMMYFUNCTION("""COMPUTED_VALUE"""),"FSP HYDRO K Pro 750W 80 PLUS Power Supply (PCIe 5.0)")</f>
        <v>FSP HYDRO K Pro 750W 80 PLUS Power Supply (PCIe 5.0)</v>
      </c>
      <c r="B1472" s="16" t="str">
        <f ca="1">IFERROR(__xludf.DUMMYFUNCTION("""COMPUTED_VALUE"""),"")</f>
        <v/>
      </c>
      <c r="C1472" s="16" t="str">
        <f ca="1">IFERROR(__xludf.DUMMYFUNCTION("""COMPUTED_VALUE"""),"70,")</f>
        <v>70,</v>
      </c>
    </row>
    <row r="1473" spans="1:3" ht="15.75" customHeight="1">
      <c r="A1473" s="16" t="str">
        <f ca="1">IFERROR(__xludf.DUMMYFUNCTION("""COMPUTED_VALUE"""),"FSP HYDRO Pro 800W 80 PLUS Bronze Power Supply (HP2-800)")</f>
        <v>FSP HYDRO Pro 800W 80 PLUS Bronze Power Supply (HP2-800)</v>
      </c>
      <c r="B1473" s="16" t="str">
        <f ca="1">IFERROR(__xludf.DUMMYFUNCTION("""COMPUTED_VALUE"""),"HP2-800")</f>
        <v>HP2-800</v>
      </c>
      <c r="C1473" s="16" t="str">
        <f ca="1">IFERROR(__xludf.DUMMYFUNCTION("""COMPUTED_VALUE"""),"80,")</f>
        <v>80,</v>
      </c>
    </row>
    <row r="1474" spans="1:3" ht="15.75" customHeight="1">
      <c r="A1474" s="16" t="str">
        <f ca="1">IFERROR(__xludf.DUMMYFUNCTION("""COMPUTED_VALUE"""),"FSP HYDRO Pro 800W 80 PLUS Bronze Power Supply PCIe 5.0 ATX 3.0 (HP2-800 Gen5)")</f>
        <v>FSP HYDRO Pro 800W 80 PLUS Bronze Power Supply PCIe 5.0 ATX 3.0 (HP2-800 Gen5)</v>
      </c>
      <c r="B1474" s="16" t="str">
        <f ca="1">IFERROR(__xludf.DUMMYFUNCTION("""COMPUTED_VALUE"""),"HP2-800 Gen5")</f>
        <v>HP2-800 Gen5</v>
      </c>
      <c r="C1474" s="16" t="str">
        <f ca="1">IFERROR(__xludf.DUMMYFUNCTION("""COMPUTED_VALUE"""),"83,")</f>
        <v>83,</v>
      </c>
    </row>
    <row r="1475" spans="1:3" ht="15.75" customHeight="1">
      <c r="A1475" s="16" t="str">
        <f ca="1">IFERROR(__xludf.DUMMYFUNCTION("""COMPUTED_VALUE"""),"FSP HEXA 85+ Pro 850W 80 PLUS Bronze Power Supply (HA2-850)")</f>
        <v>FSP HEXA 85+ Pro 850W 80 PLUS Bronze Power Supply (HA2-850)</v>
      </c>
      <c r="B1475" s="16" t="str">
        <f ca="1">IFERROR(__xludf.DUMMYFUNCTION("""COMPUTED_VALUE"""),"HA2-850")</f>
        <v>HA2-850</v>
      </c>
      <c r="C1475" s="16" t="str">
        <f ca="1">IFERROR(__xludf.DUMMYFUNCTION("""COMPUTED_VALUE"""),"90,")</f>
        <v>90,</v>
      </c>
    </row>
    <row r="1476" spans="1:3" ht="15.75" customHeight="1">
      <c r="A1476" s="16" t="str">
        <f ca="1">IFERROR(__xludf.DUMMYFUNCTION("""COMPUTED_VALUE"""),"FSP DAGGER Pro 750W 80 PLUS Gold Power Supply (SDA2-750)")</f>
        <v>FSP DAGGER Pro 750W 80 PLUS Gold Power Supply (SDA2-750)</v>
      </c>
      <c r="B1476" s="16" t="str">
        <f ca="1">IFERROR(__xludf.DUMMYFUNCTION("""COMPUTED_VALUE"""),"SDA2-750")</f>
        <v>SDA2-750</v>
      </c>
      <c r="C1476" s="16" t="str">
        <f ca="1">IFERROR(__xludf.DUMMYFUNCTION("""COMPUTED_VALUE"""),"130,")</f>
        <v>130,</v>
      </c>
    </row>
    <row r="1477" spans="1:3" ht="15.75" customHeight="1">
      <c r="A1477" s="16" t="str">
        <f ca="1">IFERROR(__xludf.DUMMYFUNCTION("""COMPUTED_VALUE"""),"FSP HYDRO G Pro 750W 80 PLUS Gold Power Supply (HG2-750)")</f>
        <v>FSP HYDRO G Pro 750W 80 PLUS Gold Power Supply (HG2-750)</v>
      </c>
      <c r="B1477" s="16" t="str">
        <f ca="1">IFERROR(__xludf.DUMMYFUNCTION("""COMPUTED_VALUE"""),"HG2-750")</f>
        <v>HG2-750</v>
      </c>
      <c r="C1477" s="16" t="str">
        <f ca="1">IFERROR(__xludf.DUMMYFUNCTION("""COMPUTED_VALUE"""),"115,")</f>
        <v>115,</v>
      </c>
    </row>
    <row r="1478" spans="1:3" ht="15.75" customHeight="1">
      <c r="A1478" s="16" t="str">
        <f ca="1">IFERROR(__xludf.DUMMYFUNCTION("""COMPUTED_VALUE"""),"FSP HYDRO G Pro 850W 80 PLUS Gold Power Supply (HG2-850)")</f>
        <v>FSP HYDRO G Pro 850W 80 PLUS Gold Power Supply (HG2-850)</v>
      </c>
      <c r="B1478" s="16" t="str">
        <f ca="1">IFERROR(__xludf.DUMMYFUNCTION("""COMPUTED_VALUE"""),"HG2-850")</f>
        <v>HG2-850</v>
      </c>
      <c r="C1478" s="16" t="str">
        <f ca="1">IFERROR(__xludf.DUMMYFUNCTION("""COMPUTED_VALUE"""),"140,")</f>
        <v>140,</v>
      </c>
    </row>
    <row r="1479" spans="1:3" ht="15.75" customHeight="1">
      <c r="A1479" s="16" t="str">
        <f ca="1">IFERROR(__xludf.DUMMYFUNCTION("""COMPUTED_VALUE"""),"FSP HYDRO G Pro 850W 80 PLUS Gold Power Supply (HG2-850) GEN5")</f>
        <v>FSP HYDRO G Pro 850W 80 PLUS Gold Power Supply (HG2-850) GEN5</v>
      </c>
      <c r="B1479" s="16" t="str">
        <f ca="1">IFERROR(__xludf.DUMMYFUNCTION("""COMPUTED_VALUE"""),"HG2-850")</f>
        <v>HG2-850</v>
      </c>
      <c r="C1479" s="16" t="str">
        <f ca="1">IFERROR(__xludf.DUMMYFUNCTION("""COMPUTED_VALUE"""),"150,")</f>
        <v>150,</v>
      </c>
    </row>
    <row r="1480" spans="1:3" ht="15.75" customHeight="1">
      <c r="A1480" s="16" t="str">
        <f ca="1">IFERROR(__xludf.DUMMYFUNCTION("""COMPUTED_VALUE"""),"FSP HYDRO G Pro 1000W 80 PLUS Gold Power Supply (HG2-1000) GEN5")</f>
        <v>FSP HYDRO G Pro 1000W 80 PLUS Gold Power Supply (HG2-1000) GEN5</v>
      </c>
      <c r="B1480" s="16" t="str">
        <f ca="1">IFERROR(__xludf.DUMMYFUNCTION("""COMPUTED_VALUE"""),"HG2-1000")</f>
        <v>HG2-1000</v>
      </c>
      <c r="C1480" s="16" t="str">
        <f ca="1">IFERROR(__xludf.DUMMYFUNCTION("""COMPUTED_VALUE"""),"170,")</f>
        <v>170,</v>
      </c>
    </row>
    <row r="1481" spans="1:3" ht="15.75" customHeight="1">
      <c r="A1481" s="16" t="str">
        <f ca="1">IFERROR(__xludf.DUMMYFUNCTION("""COMPUTED_VALUE"""),"FSP HYDRO G Pro 1200W Power Supply, 80 Plus Gold  (HG2-1200-G5T)")</f>
        <v>FSP HYDRO G Pro 1200W Power Supply, 80 Plus Gold  (HG2-1200-G5T)</v>
      </c>
      <c r="B1481" s="16" t="str">
        <f ca="1">IFERROR(__xludf.DUMMYFUNCTION("""COMPUTED_VALUE"""),"HG2-1200-G5T")</f>
        <v>HG2-1200-G5T</v>
      </c>
      <c r="C1481" s="16" t="str">
        <f ca="1">IFERROR(__xludf.DUMMYFUNCTION("""COMPUTED_VALUE"""),"195,")</f>
        <v>195,</v>
      </c>
    </row>
    <row r="1482" spans="1:3" ht="15.75" customHeight="1">
      <c r="A1482" s="16" t="str">
        <f ca="1">IFERROR(__xludf.DUMMYFUNCTION("""COMPUTED_VALUE"""),"FSP HYDRO PTM PRO 1000W 80 PLUS Platinum Power Supply (HPT2-1000M) GEN5")</f>
        <v>FSP HYDRO PTM PRO 1000W 80 PLUS Platinum Power Supply (HPT2-1000M) GEN5</v>
      </c>
      <c r="B1482" s="16" t="str">
        <f ca="1">IFERROR(__xludf.DUMMYFUNCTION("""COMPUTED_VALUE"""),"HPT2-1000M")</f>
        <v>HPT2-1000M</v>
      </c>
      <c r="C1482" s="16" t="str">
        <f ca="1">IFERROR(__xludf.DUMMYFUNCTION("""COMPUTED_VALUE"""),"210,")</f>
        <v>210,</v>
      </c>
    </row>
    <row r="1483" spans="1:3" ht="15.75" customHeight="1">
      <c r="A1483" s="16" t="str">
        <f ca="1">IFERROR(__xludf.DUMMYFUNCTION("""COMPUTED_VALUE"""),"FSP HYDRO PTM PRO 1350W 80 Plus Platinum, Full Modular (HPT2-1350M, GEN5)")</f>
        <v>FSP HYDRO PTM PRO 1350W 80 Plus Platinum, Full Modular (HPT2-1350M, GEN5)</v>
      </c>
      <c r="B1483" s="16" t="str">
        <f ca="1">IFERROR(__xludf.DUMMYFUNCTION("""COMPUTED_VALUE"""),"HPT2-1350M, GEN5")</f>
        <v>HPT2-1350M, GEN5</v>
      </c>
      <c r="C1483" s="16" t="str">
        <f ca="1">IFERROR(__xludf.DUMMYFUNCTION("""COMPUTED_VALUE"""),"280,")</f>
        <v>280,</v>
      </c>
    </row>
    <row r="1484" spans="1:3" ht="15.75" customHeight="1">
      <c r="A1484" s="16" t="str">
        <f ca="1">IFERROR(__xludf.DUMMYFUNCTION("""COMPUTED_VALUE"""),"Case FSP CMT195A")</f>
        <v>Case FSP CMT195A</v>
      </c>
      <c r="B1484" s="16" t="str">
        <f ca="1">IFERROR(__xludf.DUMMYFUNCTION("""COMPUTED_VALUE"""),"")</f>
        <v/>
      </c>
      <c r="C1484" s="16" t="str">
        <f ca="1">IFERROR(__xludf.DUMMYFUNCTION("""COMPUTED_VALUE"""),"32,")</f>
        <v>32,</v>
      </c>
    </row>
    <row r="1485" spans="1:3" ht="15.75" customHeight="1">
      <c r="A1485" s="16" t="str">
        <f ca="1">IFERROR(__xludf.DUMMYFUNCTION("""COMPUTED_VALUE"""),"Case FSP CMT192 (Glass)")</f>
        <v>Case FSP CMT192 (Glass)</v>
      </c>
      <c r="B1485" s="16" t="str">
        <f ca="1">IFERROR(__xludf.DUMMYFUNCTION("""COMPUTED_VALUE"""),"")</f>
        <v/>
      </c>
      <c r="C1485" s="16" t="str">
        <f ca="1">IFERROR(__xludf.DUMMYFUNCTION("""COMPUTED_VALUE"""),"28,")</f>
        <v>28,</v>
      </c>
    </row>
    <row r="1486" spans="1:3" ht="15.75" customHeight="1">
      <c r="A1486" s="16" t="str">
        <f ca="1">IFERROR(__xludf.DUMMYFUNCTION("""COMPUTED_VALUE"""),"Case FSP CMT192 (Mesh)")</f>
        <v>Case FSP CMT192 (Mesh)</v>
      </c>
      <c r="B1486" s="16" t="str">
        <f ca="1">IFERROR(__xludf.DUMMYFUNCTION("""COMPUTED_VALUE"""),"")</f>
        <v/>
      </c>
      <c r="C1486" s="16" t="str">
        <f ca="1">IFERROR(__xludf.DUMMYFUNCTION("""COMPUTED_VALUE"""),"35,")</f>
        <v>35,</v>
      </c>
    </row>
    <row r="1487" spans="1:3" ht="15.75" customHeight="1">
      <c r="A1487" s="16" t="str">
        <f ca="1">IFERROR(__xludf.DUMMYFUNCTION("""COMPUTED_VALUE"""),"Case FSP CMT196 (Black)")</f>
        <v>Case FSP CMT196 (Black)</v>
      </c>
      <c r="B1487" s="16" t="str">
        <f ca="1">IFERROR(__xludf.DUMMYFUNCTION("""COMPUTED_VALUE"""),"")</f>
        <v/>
      </c>
      <c r="C1487" s="16" t="str">
        <f ca="1">IFERROR(__xludf.DUMMYFUNCTION("""COMPUTED_VALUE"""),"32,")</f>
        <v>32,</v>
      </c>
    </row>
    <row r="1488" spans="1:3" ht="15.75" customHeight="1">
      <c r="A1488" s="16" t="str">
        <f ca="1">IFERROR(__xludf.DUMMYFUNCTION("""COMPUTED_VALUE"""),"Case FSP CMT380W")</f>
        <v>Case FSP CMT380W</v>
      </c>
      <c r="B1488" s="16" t="str">
        <f ca="1">IFERROR(__xludf.DUMMYFUNCTION("""COMPUTED_VALUE"""),"")</f>
        <v/>
      </c>
      <c r="C1488" s="16" t="str">
        <f ca="1">IFERROR(__xludf.DUMMYFUNCTION("""COMPUTED_VALUE"""),"55,")</f>
        <v>55,</v>
      </c>
    </row>
    <row r="1489" spans="1:3" ht="15.75" customHeight="1">
      <c r="A1489" s="16" t="str">
        <f ca="1">IFERROR(__xludf.DUMMYFUNCTION("""COMPUTED_VALUE"""),"Case FSP M340-BA Black")</f>
        <v>Case FSP M340-BA Black</v>
      </c>
      <c r="B1489" s="16" t="str">
        <f ca="1">IFERROR(__xludf.DUMMYFUNCTION("""COMPUTED_VALUE"""),"")</f>
        <v/>
      </c>
      <c r="C1489" s="16" t="str">
        <f ca="1">IFERROR(__xludf.DUMMYFUNCTION("""COMPUTED_VALUE"""),"60,")</f>
        <v>60,</v>
      </c>
    </row>
    <row r="1490" spans="1:3" ht="15.75" customHeight="1">
      <c r="A1490" s="16" t="str">
        <f ca="1">IFERROR(__xludf.DUMMYFUNCTION("""COMPUTED_VALUE"""),"Case FSP M340-WA White")</f>
        <v>Case FSP M340-WA White</v>
      </c>
      <c r="B1490" s="16" t="str">
        <f ca="1">IFERROR(__xludf.DUMMYFUNCTION("""COMPUTED_VALUE"""),"")</f>
        <v/>
      </c>
      <c r="C1490" s="16" t="str">
        <f ca="1">IFERROR(__xludf.DUMMYFUNCTION("""COMPUTED_VALUE"""),"63,")</f>
        <v>63,</v>
      </c>
    </row>
    <row r="1491" spans="1:3" ht="15.75" customHeight="1">
      <c r="A1491" s="16" t="str">
        <f ca="1">IFERROR(__xludf.DUMMYFUNCTION("""COMPUTED_VALUE"""),"Case FSP S380 (S380-BA) Black")</f>
        <v>Case FSP S380 (S380-BA) Black</v>
      </c>
      <c r="B1491" s="16" t="str">
        <f ca="1">IFERROR(__xludf.DUMMYFUNCTION("""COMPUTED_VALUE"""),"S380-BA")</f>
        <v>S380-BA</v>
      </c>
      <c r="C1491" s="16" t="str">
        <f ca="1">IFERROR(__xludf.DUMMYFUNCTION("""COMPUTED_VALUE"""),"65,")</f>
        <v>65,</v>
      </c>
    </row>
    <row r="1492" spans="1:3" ht="15.75" customHeight="1">
      <c r="A1492" s="16" t="str">
        <f ca="1">IFERROR(__xludf.DUMMYFUNCTION("""COMPUTED_VALUE"""),"Case FSP S380 (S380-WA) White")</f>
        <v>Case FSP S380 (S380-WA) White</v>
      </c>
      <c r="B1492" s="16" t="str">
        <f ca="1">IFERROR(__xludf.DUMMYFUNCTION("""COMPUTED_VALUE"""),"S380-WA")</f>
        <v>S380-WA</v>
      </c>
      <c r="C1492" s="16" t="str">
        <f ca="1">IFERROR(__xludf.DUMMYFUNCTION("""COMPUTED_VALUE"""),"65,")</f>
        <v>65,</v>
      </c>
    </row>
    <row r="1493" spans="1:3" ht="15.75" customHeight="1">
      <c r="A1493" s="16" t="str">
        <f ca="1">IFERROR(__xludf.DUMMYFUNCTION("""COMPUTED_VALUE"""),"Case FSP M580-BA Black")</f>
        <v>Case FSP M580-BA Black</v>
      </c>
      <c r="B1493" s="16" t="str">
        <f ca="1">IFERROR(__xludf.DUMMYFUNCTION("""COMPUTED_VALUE"""),"")</f>
        <v/>
      </c>
      <c r="C1493" s="16" t="str">
        <f ca="1">IFERROR(__xludf.DUMMYFUNCTION("""COMPUTED_VALUE"""),"105,")</f>
        <v>105,</v>
      </c>
    </row>
    <row r="1494" spans="1:3" ht="15.75" customHeight="1">
      <c r="A1494" s="16" t="str">
        <f ca="1">IFERROR(__xludf.DUMMYFUNCTION("""COMPUTED_VALUE"""),"Case FSP M580-WA White")</f>
        <v>Case FSP M580-WA White</v>
      </c>
      <c r="B1494" s="16" t="str">
        <f ca="1">IFERROR(__xludf.DUMMYFUNCTION("""COMPUTED_VALUE"""),"")</f>
        <v/>
      </c>
      <c r="C1494" s="16" t="str">
        <f ca="1">IFERROR(__xludf.DUMMYFUNCTION("""COMPUTED_VALUE"""),"107,")</f>
        <v>107,</v>
      </c>
    </row>
    <row r="1495" spans="1:3" ht="15.75" customHeight="1">
      <c r="A1495" s="16" t="str">
        <f ca="1">IFERROR(__xludf.DUMMYFUNCTION("""COMPUTED_VALUE"""),"Case FSP CUT593P (Black)")</f>
        <v>Case FSP CUT593P (Black)</v>
      </c>
      <c r="B1495" s="16" t="str">
        <f ca="1">IFERROR(__xludf.DUMMYFUNCTION("""COMPUTED_VALUE"""),"")</f>
        <v/>
      </c>
      <c r="C1495" s="16" t="str">
        <f ca="1">IFERROR(__xludf.DUMMYFUNCTION("""COMPUTED_VALUE"""),"120,")</f>
        <v>120,</v>
      </c>
    </row>
    <row r="1496" spans="1:3" ht="15.75" customHeight="1">
      <c r="A1496" s="16" t="str">
        <f ca="1">IFERROR(__xludf.DUMMYFUNCTION("""COMPUTED_VALUE"""),"Case FSP CUT593P (White)")</f>
        <v>Case FSP CUT593P (White)</v>
      </c>
      <c r="B1496" s="16" t="str">
        <f ca="1">IFERROR(__xludf.DUMMYFUNCTION("""COMPUTED_VALUE"""),"")</f>
        <v/>
      </c>
      <c r="C1496" s="16" t="str">
        <f ca="1">IFERROR(__xludf.DUMMYFUNCTION("""COMPUTED_VALUE"""),"123,")</f>
        <v>123,</v>
      </c>
    </row>
    <row r="1497" spans="1:3" ht="15.75" customHeight="1">
      <c r="A1497" s="16" t="str">
        <f ca="1">IFERROR(__xludf.DUMMYFUNCTION("""COMPUTED_VALUE"""),"Litepower 550W")</f>
        <v>Litepower 550W</v>
      </c>
      <c r="B1497" s="16" t="str">
        <f ca="1">IFERROR(__xludf.DUMMYFUNCTION("""COMPUTED_VALUE"""),"")</f>
        <v/>
      </c>
      <c r="C1497" s="16" t="str">
        <f ca="1">IFERROR(__xludf.DUMMYFUNCTION("""COMPUTED_VALUE"""),"35,")</f>
        <v>35,</v>
      </c>
    </row>
    <row r="1498" spans="1:3" ht="15.75" customHeight="1">
      <c r="A1498" s="16" t="str">
        <f ca="1">IFERROR(__xludf.DUMMYFUNCTION("""COMPUTED_VALUE"""),"Litepower 650W")</f>
        <v>Litepower 650W</v>
      </c>
      <c r="B1498" s="16" t="str">
        <f ca="1">IFERROR(__xludf.DUMMYFUNCTION("""COMPUTED_VALUE"""),"")</f>
        <v/>
      </c>
      <c r="C1498" s="16" t="str">
        <f ca="1">IFERROR(__xludf.DUMMYFUNCTION("""COMPUTED_VALUE"""),"38,")</f>
        <v>38,</v>
      </c>
    </row>
    <row r="1499" spans="1:3" ht="15.75" customHeight="1">
      <c r="A1499" s="16" t="str">
        <f ca="1">IFERROR(__xludf.DUMMYFUNCTION("""COMPUTED_VALUE"""),"Toughpower SFX 1000W 80 Plus Gold")</f>
        <v>Toughpower SFX 1000W 80 Plus Gold</v>
      </c>
      <c r="B1499" s="16" t="str">
        <f ca="1">IFERROR(__xludf.DUMMYFUNCTION("""COMPUTED_VALUE"""),"")</f>
        <v/>
      </c>
      <c r="C1499" s="16" t="str">
        <f ca="1">IFERROR(__xludf.DUMMYFUNCTION("""COMPUTED_VALUE"""),"175,")</f>
        <v>175,</v>
      </c>
    </row>
    <row r="1500" spans="1:3" ht="15.75" customHeight="1">
      <c r="A1500" s="16" t="str">
        <f ca="1">IFERROR(__xludf.DUMMYFUNCTION("""COMPUTED_VALUE"""),"Toughpower GF A3 1050W  80 Plus Gold")</f>
        <v>Toughpower GF A3 1050W  80 Plus Gold</v>
      </c>
      <c r="B1500" s="16" t="str">
        <f ca="1">IFERROR(__xludf.DUMMYFUNCTION("""COMPUTED_VALUE"""),"")</f>
        <v/>
      </c>
      <c r="C1500" s="16" t="str">
        <f ca="1">IFERROR(__xludf.DUMMYFUNCTION("""COMPUTED_VALUE"""),"155,")</f>
        <v>155,</v>
      </c>
    </row>
    <row r="1501" spans="1:3" ht="15.75" customHeight="1">
      <c r="A1501" s="16" t="str">
        <f ca="1">IFERROR(__xludf.DUMMYFUNCTION("""COMPUTED_VALUE"""),"Toughpower GF A3 1200W  80 Plus Gold")</f>
        <v>Toughpower GF A3 1200W  80 Plus Gold</v>
      </c>
      <c r="B1501" s="16" t="str">
        <f ca="1">IFERROR(__xludf.DUMMYFUNCTION("""COMPUTED_VALUE"""),"")</f>
        <v/>
      </c>
      <c r="C1501" s="16" t="str">
        <f ca="1">IFERROR(__xludf.DUMMYFUNCTION("""COMPUTED_VALUE"""),"170,")</f>
        <v>170,</v>
      </c>
    </row>
    <row r="1502" spans="1:3" ht="15.75" customHeight="1">
      <c r="A1502" s="16" t="str">
        <f ca="1">IFERROR(__xludf.DUMMYFUNCTION("""COMPUTED_VALUE"""),"Toughpower GF3 1000W 80 Plus Gold")</f>
        <v>Toughpower GF3 1000W 80 Plus Gold</v>
      </c>
      <c r="B1502" s="16" t="str">
        <f ca="1">IFERROR(__xludf.DUMMYFUNCTION("""COMPUTED_VALUE"""),"")</f>
        <v/>
      </c>
      <c r="C1502" s="16" t="str">
        <f ca="1">IFERROR(__xludf.DUMMYFUNCTION("""COMPUTED_VALUE"""),"146,")</f>
        <v>146,</v>
      </c>
    </row>
    <row r="1503" spans="1:3" ht="15.75" customHeight="1">
      <c r="A1503" s="16" t="str">
        <f ca="1">IFERROR(__xludf.DUMMYFUNCTION("""COMPUTED_VALUE"""),"Toughpower GF3 1350W 80 Plus Gold")</f>
        <v>Toughpower GF3 1350W 80 Plus Gold</v>
      </c>
      <c r="B1503" s="16" t="str">
        <f ca="1">IFERROR(__xludf.DUMMYFUNCTION("""COMPUTED_VALUE"""),"")</f>
        <v/>
      </c>
      <c r="C1503" s="16" t="str">
        <f ca="1">IFERROR(__xludf.DUMMYFUNCTION("""COMPUTED_VALUE"""),"200,")</f>
        <v>200,</v>
      </c>
    </row>
    <row r="1504" spans="1:3" ht="15.75" customHeight="1">
      <c r="A1504" s="16" t="str">
        <f ca="1">IFERROR(__xludf.DUMMYFUNCTION("""COMPUTED_VALUE"""),"Versa J24 TG RGB Black")</f>
        <v>Versa J24 TG RGB Black</v>
      </c>
      <c r="B1504" s="16" t="str">
        <f ca="1">IFERROR(__xludf.DUMMYFUNCTION("""COMPUTED_VALUE"""),"")</f>
        <v/>
      </c>
      <c r="C1504" s="16" t="str">
        <f ca="1">IFERROR(__xludf.DUMMYFUNCTION("""COMPUTED_VALUE"""),"48,")</f>
        <v>48,</v>
      </c>
    </row>
    <row r="1505" spans="1:3" ht="15.75" customHeight="1">
      <c r="A1505" s="16" t="str">
        <f ca="1">IFERROR(__xludf.DUMMYFUNCTION("""COMPUTED_VALUE"""),"S200 TG ARGB Black")</f>
        <v>S200 TG ARGB Black</v>
      </c>
      <c r="B1505" s="16" t="str">
        <f ca="1">IFERROR(__xludf.DUMMYFUNCTION("""COMPUTED_VALUE"""),"")</f>
        <v/>
      </c>
      <c r="C1505" s="16" t="str">
        <f ca="1">IFERROR(__xludf.DUMMYFUNCTION("""COMPUTED_VALUE"""),"60,")</f>
        <v>60,</v>
      </c>
    </row>
    <row r="1506" spans="1:3" ht="15.75" customHeight="1">
      <c r="A1506" s="16" t="str">
        <f ca="1">IFERROR(__xludf.DUMMYFUNCTION("""COMPUTED_VALUE"""),"S200 TG ARGB Snow")</f>
        <v>S200 TG ARGB Snow</v>
      </c>
      <c r="B1506" s="16" t="str">
        <f ca="1">IFERROR(__xludf.DUMMYFUNCTION("""COMPUTED_VALUE"""),"")</f>
        <v/>
      </c>
      <c r="C1506" s="16" t="str">
        <f ca="1">IFERROR(__xludf.DUMMYFUNCTION("""COMPUTED_VALUE"""),"64,")</f>
        <v>64,</v>
      </c>
    </row>
    <row r="1507" spans="1:3" ht="15.75" customHeight="1">
      <c r="A1507" s="16" t="str">
        <f ca="1">IFERROR(__xludf.DUMMYFUNCTION("""COMPUTED_VALUE"""),"V350TG")</f>
        <v>V350TG</v>
      </c>
      <c r="B1507" s="16" t="str">
        <f ca="1">IFERROR(__xludf.DUMMYFUNCTION("""COMPUTED_VALUE"""),"")</f>
        <v/>
      </c>
      <c r="C1507" s="16" t="str">
        <f ca="1">IFERROR(__xludf.DUMMYFUNCTION("""COMPUTED_VALUE"""),"95,")</f>
        <v>95,</v>
      </c>
    </row>
    <row r="1508" spans="1:3" ht="15.75" customHeight="1">
      <c r="A1508" s="16" t="str">
        <f ca="1">IFERROR(__xludf.DUMMYFUNCTION("""COMPUTED_VALUE"""),"V350TG Snow")</f>
        <v>V350TG Snow</v>
      </c>
      <c r="B1508" s="16" t="str">
        <f ca="1">IFERROR(__xludf.DUMMYFUNCTION("""COMPUTED_VALUE"""),"")</f>
        <v/>
      </c>
      <c r="C1508" s="16" t="str">
        <f ca="1">IFERROR(__xludf.DUMMYFUNCTION("""COMPUTED_VALUE"""),"98,")</f>
        <v>98,</v>
      </c>
    </row>
    <row r="1509" spans="1:3" ht="15.75" customHeight="1">
      <c r="A1509" s="16" t="str">
        <f ca="1">IFERROR(__xludf.DUMMYFUNCTION("""COMPUTED_VALUE"""),"S250 TG ARGB Snow")</f>
        <v>S250 TG ARGB Snow</v>
      </c>
      <c r="B1509" s="16" t="str">
        <f ca="1">IFERROR(__xludf.DUMMYFUNCTION("""COMPUTED_VALUE"""),"")</f>
        <v/>
      </c>
      <c r="C1509" s="16" t="str">
        <f ca="1">IFERROR(__xludf.DUMMYFUNCTION("""COMPUTED_VALUE"""),"95,")</f>
        <v>95,</v>
      </c>
    </row>
    <row r="1510" spans="1:3" ht="15.75" customHeight="1">
      <c r="A1510" s="16" t="str">
        <f ca="1">IFERROR(__xludf.DUMMYFUNCTION("""COMPUTED_VALUE"""),"TT Premium A500 TG")</f>
        <v>TT Premium A500 TG</v>
      </c>
      <c r="B1510" s="16" t="str">
        <f ca="1">IFERROR(__xludf.DUMMYFUNCTION("""COMPUTED_VALUE"""),"")</f>
        <v/>
      </c>
      <c r="C1510" s="16" t="str">
        <f ca="1">IFERROR(__xludf.DUMMYFUNCTION("""COMPUTED_VALUE"""),"235,")</f>
        <v>235,</v>
      </c>
    </row>
    <row r="1511" spans="1:3" ht="15.75" customHeight="1">
      <c r="A1511" s="16" t="str">
        <f ca="1">IFERROR(__xludf.DUMMYFUNCTION("""COMPUTED_VALUE"""),"Commander C34 TG White")</f>
        <v>Commander C34 TG White</v>
      </c>
      <c r="B1511" s="16" t="str">
        <f ca="1">IFERROR(__xludf.DUMMYFUNCTION("""COMPUTED_VALUE"""),"")</f>
        <v/>
      </c>
      <c r="C1511" s="16" t="str">
        <f ca="1">IFERROR(__xludf.DUMMYFUNCTION("""COMPUTED_VALUE"""),"103,")</f>
        <v>103,</v>
      </c>
    </row>
    <row r="1512" spans="1:3" ht="15.75" customHeight="1">
      <c r="A1512" s="16" t="str">
        <f ca="1">IFERROR(__xludf.DUMMYFUNCTION("""COMPUTED_VALUE"""),"View 200 TG ARG  Black")</f>
        <v>View 200 TG ARG  Black</v>
      </c>
      <c r="B1512" s="16" t="str">
        <f ca="1">IFERROR(__xludf.DUMMYFUNCTION("""COMPUTED_VALUE"""),"")</f>
        <v/>
      </c>
      <c r="C1512" s="16" t="str">
        <f ca="1">IFERROR(__xludf.DUMMYFUNCTION("""COMPUTED_VALUE"""),"65,")</f>
        <v>65,</v>
      </c>
    </row>
    <row r="1513" spans="1:3" ht="15.75" customHeight="1">
      <c r="A1513" s="16" t="str">
        <f ca="1">IFERROR(__xludf.DUMMYFUNCTION("""COMPUTED_VALUE"""),"View 200 TG ARGB Snow")</f>
        <v>View 200 TG ARGB Snow</v>
      </c>
      <c r="B1513" s="16" t="str">
        <f ca="1">IFERROR(__xludf.DUMMYFUNCTION("""COMPUTED_VALUE"""),"")</f>
        <v/>
      </c>
      <c r="C1513" s="16" t="str">
        <f ca="1">IFERROR(__xludf.DUMMYFUNCTION("""COMPUTED_VALUE"""),"71,")</f>
        <v>71,</v>
      </c>
    </row>
    <row r="1514" spans="1:3" ht="15.75" customHeight="1">
      <c r="A1514" s="16" t="str">
        <f ca="1">IFERROR(__xludf.DUMMYFUNCTION("""COMPUTED_VALUE"""),"View 51TG Snow")</f>
        <v>View 51TG Snow</v>
      </c>
      <c r="B1514" s="16" t="str">
        <f ca="1">IFERROR(__xludf.DUMMYFUNCTION("""COMPUTED_VALUE"""),"")</f>
        <v/>
      </c>
      <c r="C1514" s="16" t="str">
        <f ca="1">IFERROR(__xludf.DUMMYFUNCTION("""COMPUTED_VALUE"""),"190,")</f>
        <v>190,</v>
      </c>
    </row>
    <row r="1515" spans="1:3" ht="15.75" customHeight="1">
      <c r="A1515" s="16" t="str">
        <f ca="1">IFERROR(__xludf.DUMMYFUNCTION("""COMPUTED_VALUE"""),"View 71TG Black")</f>
        <v>View 71TG Black</v>
      </c>
      <c r="B1515" s="16" t="str">
        <f ca="1">IFERROR(__xludf.DUMMYFUNCTION("""COMPUTED_VALUE"""),"")</f>
        <v/>
      </c>
      <c r="C1515" s="16" t="str">
        <f ca="1">IFERROR(__xludf.DUMMYFUNCTION("""COMPUTED_VALUE"""),"165,")</f>
        <v>165,</v>
      </c>
    </row>
    <row r="1516" spans="1:3" ht="15.75" customHeight="1">
      <c r="A1516" s="16" t="str">
        <f ca="1">IFERROR(__xludf.DUMMYFUNCTION("""COMPUTED_VALUE"""),"View 71TG RGB")</f>
        <v>View 71TG RGB</v>
      </c>
      <c r="B1516" s="16" t="str">
        <f ca="1">IFERROR(__xludf.DUMMYFUNCTION("""COMPUTED_VALUE"""),"")</f>
        <v/>
      </c>
      <c r="C1516" s="16" t="str">
        <f ca="1">IFERROR(__xludf.DUMMYFUNCTION("""COMPUTED_VALUE"""),"180,")</f>
        <v>180,</v>
      </c>
    </row>
    <row r="1517" spans="1:3" ht="15.75" customHeight="1">
      <c r="A1517" s="16" t="str">
        <f ca="1">IFERROR(__xludf.DUMMYFUNCTION("""COMPUTED_VALUE"""),"View 71TG Snow")</f>
        <v>View 71TG Snow</v>
      </c>
      <c r="B1517" s="16" t="str">
        <f ca="1">IFERROR(__xludf.DUMMYFUNCTION("""COMPUTED_VALUE"""),"")</f>
        <v/>
      </c>
      <c r="C1517" s="16" t="str">
        <f ca="1">IFERROR(__xludf.DUMMYFUNCTION("""COMPUTED_VALUE"""),"175,")</f>
        <v>175,</v>
      </c>
    </row>
    <row r="1518" spans="1:3" ht="15.75" customHeight="1">
      <c r="A1518" s="16" t="str">
        <f ca="1">IFERROR(__xludf.DUMMYFUNCTION("""COMPUTED_VALUE"""),"View 380 TG ARGB Black")</f>
        <v>View 380 TG ARGB Black</v>
      </c>
      <c r="B1518" s="16" t="str">
        <f ca="1">IFERROR(__xludf.DUMMYFUNCTION("""COMPUTED_VALUE"""),"")</f>
        <v/>
      </c>
      <c r="C1518" s="16" t="str">
        <f ca="1">IFERROR(__xludf.DUMMYFUNCTION("""COMPUTED_VALUE"""),"97,")</f>
        <v>97,</v>
      </c>
    </row>
    <row r="1519" spans="1:3" ht="15.75" customHeight="1">
      <c r="A1519" s="16" t="str">
        <f ca="1">IFERROR(__xludf.DUMMYFUNCTION("""COMPUTED_VALUE"""),"View 380 TG ARGB Snow")</f>
        <v>View 380 TG ARGB Snow</v>
      </c>
      <c r="B1519" s="16" t="str">
        <f ca="1">IFERROR(__xludf.DUMMYFUNCTION("""COMPUTED_VALUE"""),"")</f>
        <v/>
      </c>
      <c r="C1519" s="16" t="str">
        <f ca="1">IFERROR(__xludf.DUMMYFUNCTION("""COMPUTED_VALUE"""),"100,")</f>
        <v>100,</v>
      </c>
    </row>
    <row r="1520" spans="1:3" ht="15.75" customHeight="1">
      <c r="A1520" s="16" t="str">
        <f ca="1">IFERROR(__xludf.DUMMYFUNCTION("""COMPUTED_VALUE"""),"View 380 TG ARGB Matcha Green")</f>
        <v>View 380 TG ARGB Matcha Green</v>
      </c>
      <c r="B1520" s="16" t="str">
        <f ca="1">IFERROR(__xludf.DUMMYFUNCTION("""COMPUTED_VALUE"""),"")</f>
        <v/>
      </c>
      <c r="C1520" s="16" t="str">
        <f ca="1">IFERROR(__xludf.DUMMYFUNCTION("""COMPUTED_VALUE"""),"100,")</f>
        <v>100,</v>
      </c>
    </row>
    <row r="1521" spans="1:3" ht="15.75" customHeight="1">
      <c r="A1521" s="16" t="str">
        <f ca="1">IFERROR(__xludf.DUMMYFUNCTION("""COMPUTED_VALUE"""),"View 380 TG ARGB Hydrangea Blue")</f>
        <v>View 380 TG ARGB Hydrangea Blue</v>
      </c>
      <c r="B1521" s="16" t="str">
        <f ca="1">IFERROR(__xludf.DUMMYFUNCTION("""COMPUTED_VALUE"""),"")</f>
        <v/>
      </c>
      <c r="C1521" s="16" t="str">
        <f ca="1">IFERROR(__xludf.DUMMYFUNCTION("""COMPUTED_VALUE"""),"100,")</f>
        <v>100,</v>
      </c>
    </row>
    <row r="1522" spans="1:3" ht="15.75" customHeight="1">
      <c r="A1522" s="16" t="str">
        <f ca="1">IFERROR(__xludf.DUMMYFUNCTION("""COMPUTED_VALUE"""),"Divider 300 TG")</f>
        <v>Divider 300 TG</v>
      </c>
      <c r="B1522" s="16" t="str">
        <f ca="1">IFERROR(__xludf.DUMMYFUNCTION("""COMPUTED_VALUE"""),"")</f>
        <v/>
      </c>
      <c r="C1522" s="16" t="str">
        <f ca="1">IFERROR(__xludf.DUMMYFUNCTION("""COMPUTED_VALUE"""),"76,")</f>
        <v>76,</v>
      </c>
    </row>
    <row r="1523" spans="1:3" ht="15.75" customHeight="1">
      <c r="A1523" s="16" t="str">
        <f ca="1">IFERROR(__xludf.DUMMYFUNCTION("""COMPUTED_VALUE"""),"Divider 300 TG Snow")</f>
        <v>Divider 300 TG Snow</v>
      </c>
      <c r="B1523" s="16" t="str">
        <f ca="1">IFERROR(__xludf.DUMMYFUNCTION("""COMPUTED_VALUE"""),"")</f>
        <v/>
      </c>
      <c r="C1523" s="16" t="str">
        <f ca="1">IFERROR(__xludf.DUMMYFUNCTION("""COMPUTED_VALUE"""),"76,")</f>
        <v>76,</v>
      </c>
    </row>
    <row r="1524" spans="1:3" ht="15.75" customHeight="1">
      <c r="A1524" s="16" t="str">
        <f ca="1">IFERROR(__xludf.DUMMYFUNCTION("""COMPUTED_VALUE"""),"Divider 300 TG ARGB")</f>
        <v>Divider 300 TG ARGB</v>
      </c>
      <c r="B1524" s="16" t="str">
        <f ca="1">IFERROR(__xludf.DUMMYFUNCTION("""COMPUTED_VALUE"""),"")</f>
        <v/>
      </c>
      <c r="C1524" s="16" t="str">
        <f ca="1">IFERROR(__xludf.DUMMYFUNCTION("""COMPUTED_VALUE"""),"104,")</f>
        <v>104,</v>
      </c>
    </row>
    <row r="1525" spans="1:3" ht="15.75" customHeight="1">
      <c r="A1525" s="16" t="str">
        <f ca="1">IFERROR(__xludf.DUMMYFUNCTION("""COMPUTED_VALUE"""),"Divider 300 TG Snow ARGB")</f>
        <v>Divider 300 TG Snow ARGB</v>
      </c>
      <c r="B1525" s="16" t="str">
        <f ca="1">IFERROR(__xludf.DUMMYFUNCTION("""COMPUTED_VALUE"""),"")</f>
        <v/>
      </c>
      <c r="C1525" s="16" t="str">
        <f ca="1">IFERROR(__xludf.DUMMYFUNCTION("""COMPUTED_VALUE"""),"104,")</f>
        <v>104,</v>
      </c>
    </row>
    <row r="1526" spans="1:3" ht="15.75" customHeight="1">
      <c r="A1526" s="16" t="str">
        <f ca="1">IFERROR(__xludf.DUMMYFUNCTION("""COMPUTED_VALUE"""),"Divider 500 TG ARGB")</f>
        <v>Divider 500 TG ARGB</v>
      </c>
      <c r="B1526" s="16" t="str">
        <f ca="1">IFERROR(__xludf.DUMMYFUNCTION("""COMPUTED_VALUE"""),"")</f>
        <v/>
      </c>
      <c r="C1526" s="16" t="str">
        <f ca="1">IFERROR(__xludf.DUMMYFUNCTION("""COMPUTED_VALUE"""),"133,")</f>
        <v>133,</v>
      </c>
    </row>
    <row r="1527" spans="1:3" ht="15.75" customHeight="1">
      <c r="A1527" s="16" t="str">
        <f ca="1">IFERROR(__xludf.DUMMYFUNCTION("""COMPUTED_VALUE"""),"Divider 500 TG Snow ARGB")</f>
        <v>Divider 500 TG Snow ARGB</v>
      </c>
      <c r="B1527" s="16" t="str">
        <f ca="1">IFERROR(__xludf.DUMMYFUNCTION("""COMPUTED_VALUE"""),"")</f>
        <v/>
      </c>
      <c r="C1527" s="16" t="str">
        <f ca="1">IFERROR(__xludf.DUMMYFUNCTION("""COMPUTED_VALUE"""),"138,")</f>
        <v>138,</v>
      </c>
    </row>
    <row r="1528" spans="1:3" ht="15.75" customHeight="1">
      <c r="A1528" s="16" t="str">
        <f ca="1">IFERROR(__xludf.DUMMYFUNCTION("""COMPUTED_VALUE"""),"Divider 500 TG Snow Air")</f>
        <v>Divider 500 TG Snow Air</v>
      </c>
      <c r="B1528" s="16" t="str">
        <f ca="1">IFERROR(__xludf.DUMMYFUNCTION("""COMPUTED_VALUE"""),"")</f>
        <v/>
      </c>
      <c r="C1528" s="16" t="str">
        <f ca="1">IFERROR(__xludf.DUMMYFUNCTION("""COMPUTED_VALUE"""),"120,")</f>
        <v>120,</v>
      </c>
    </row>
    <row r="1529" spans="1:3" ht="15.75" customHeight="1">
      <c r="A1529" s="16" t="str">
        <f ca="1">IFERROR(__xludf.DUMMYFUNCTION("""COMPUTED_VALUE"""),"Divider 550 TG Ultra")</f>
        <v>Divider 550 TG Ultra</v>
      </c>
      <c r="B1529" s="16" t="str">
        <f ca="1">IFERROR(__xludf.DUMMYFUNCTION("""COMPUTED_VALUE"""),"")</f>
        <v/>
      </c>
      <c r="C1529" s="16" t="str">
        <f ca="1">IFERROR(__xludf.DUMMYFUNCTION("""COMPUTED_VALUE"""),"255,")</f>
        <v>255,</v>
      </c>
    </row>
    <row r="1530" spans="1:3" ht="15.75" customHeight="1">
      <c r="A1530" s="16" t="str">
        <f ca="1">IFERROR(__xludf.DUMMYFUNCTION("""COMPUTED_VALUE"""),"The Tower 600 Hydrangea Blue")</f>
        <v>The Tower 600 Hydrangea Blue</v>
      </c>
      <c r="B1530" s="16" t="str">
        <f ca="1">IFERROR(__xludf.DUMMYFUNCTION("""COMPUTED_VALUE"""),"")</f>
        <v/>
      </c>
      <c r="C1530" s="16" t="str">
        <f ca="1">IFERROR(__xludf.DUMMYFUNCTION("""COMPUTED_VALUE"""),"155,")</f>
        <v>155,</v>
      </c>
    </row>
    <row r="1531" spans="1:3" ht="15.75" customHeight="1">
      <c r="A1531" s="16" t="str">
        <f ca="1">IFERROR(__xludf.DUMMYFUNCTION("""COMPUTED_VALUE"""),"UFT Black &amp; Red")</f>
        <v>UFT Black &amp; Red</v>
      </c>
      <c r="B1531" s="16" t="str">
        <f ca="1">IFERROR(__xludf.DUMMYFUNCTION("""COMPUTED_VALUE"""),"")</f>
        <v/>
      </c>
      <c r="C1531" s="16" t="str">
        <f ca="1">IFERROR(__xludf.DUMMYFUNCTION("""COMPUTED_VALUE"""),"235,")</f>
        <v>235,</v>
      </c>
    </row>
    <row r="1532" spans="1:3" ht="15.75" customHeight="1">
      <c r="A1532" s="16" t="str">
        <f ca="1">IFERROR(__xludf.DUMMYFUNCTION("""COMPUTED_VALUE"""),"U Comfort Black &amp; Red")</f>
        <v>U Comfort Black &amp; Red</v>
      </c>
      <c r="B1532" s="16" t="str">
        <f ca="1">IFERROR(__xludf.DUMMYFUNCTION("""COMPUTED_VALUE"""),"")</f>
        <v/>
      </c>
      <c r="C1532" s="16" t="str">
        <f ca="1">IFERROR(__xludf.DUMMYFUNCTION("""COMPUTED_VALUE"""),"250,")</f>
        <v>250,</v>
      </c>
    </row>
    <row r="1533" spans="1:3" ht="15.75" customHeight="1">
      <c r="A1533" s="16" t="str">
        <f ca="1">IFERROR(__xludf.DUMMYFUNCTION("""COMPUTED_VALUE"""),"V Comfort Series Black &amp; Red")</f>
        <v>V Comfort Series Black &amp; Red</v>
      </c>
      <c r="B1533" s="16" t="str">
        <f ca="1">IFERROR(__xludf.DUMMYFUNCTION("""COMPUTED_VALUE"""),"")</f>
        <v/>
      </c>
      <c r="C1533" s="16" t="str">
        <f ca="1">IFERROR(__xludf.DUMMYFUNCTION("""COMPUTED_VALUE"""),"265,")</f>
        <v>265,</v>
      </c>
    </row>
    <row r="1534" spans="1:3" ht="15.75" customHeight="1">
      <c r="A1534" s="16" t="str">
        <f ca="1">IFERROR(__xludf.DUMMYFUNCTION("""COMPUTED_VALUE"""),"Корпус Jonsbo D200 Black")</f>
        <v>Корпус Jonsbo D200 Black</v>
      </c>
      <c r="B1534" s="16" t="str">
        <f ca="1">IFERROR(__xludf.DUMMYFUNCTION("""COMPUTED_VALUE"""),"")</f>
        <v/>
      </c>
      <c r="C1534" s="16" t="str">
        <f ca="1">IFERROR(__xludf.DUMMYFUNCTION("""COMPUTED_VALUE"""),"44,")</f>
        <v>44,</v>
      </c>
    </row>
    <row r="1535" spans="1:3" ht="15.75" customHeight="1">
      <c r="A1535" s="16" t="str">
        <f ca="1">IFERROR(__xludf.DUMMYFUNCTION("""COMPUTED_VALUE"""),"Корпус Jonsbo D40 Silver")</f>
        <v>Корпус Jonsbo D40 Silver</v>
      </c>
      <c r="B1535" s="16" t="str">
        <f ca="1">IFERROR(__xludf.DUMMYFUNCTION("""COMPUTED_VALUE"""),"")</f>
        <v/>
      </c>
      <c r="C1535" s="16" t="str">
        <f ca="1">IFERROR(__xludf.DUMMYFUNCTION("""COMPUTED_VALUE"""),"33,")</f>
        <v>33,</v>
      </c>
    </row>
    <row r="1536" spans="1:3" ht="15.75" customHeight="1">
      <c r="A1536" s="16" t="str">
        <f ca="1">IFERROR(__xludf.DUMMYFUNCTION("""COMPUTED_VALUE"""),"Корпус Jonsbo D400 Black")</f>
        <v>Корпус Jonsbo D400 Black</v>
      </c>
      <c r="B1536" s="16" t="str">
        <f ca="1">IFERROR(__xludf.DUMMYFUNCTION("""COMPUTED_VALUE"""),"")</f>
        <v/>
      </c>
      <c r="C1536" s="16" t="str">
        <f ca="1">IFERROR(__xludf.DUMMYFUNCTION("""COMPUTED_VALUE"""),"52,")</f>
        <v>52,</v>
      </c>
    </row>
    <row r="1537" spans="1:3" ht="15.75" customHeight="1">
      <c r="A1537" s="16" t="str">
        <f ca="1">IFERROR(__xludf.DUMMYFUNCTION("""COMPUTED_VALUE"""),"Корпус Jonsbo U5 Black")</f>
        <v>Корпус Jonsbo U5 Black</v>
      </c>
      <c r="B1537" s="16" t="str">
        <f ca="1">IFERROR(__xludf.DUMMYFUNCTION("""COMPUTED_VALUE"""),"")</f>
        <v/>
      </c>
      <c r="C1537" s="16" t="str">
        <f ca="1">IFERROR(__xludf.DUMMYFUNCTION("""COMPUTED_VALUE"""),"43,")</f>
        <v>43,</v>
      </c>
    </row>
    <row r="1538" spans="1:3" ht="15.75" customHeight="1">
      <c r="A1538" s="16" t="str">
        <f ca="1">IFERROR(__xludf.DUMMYFUNCTION("""COMPUTED_VALUE"""),"Корпус Jonsbo U5 Silver")</f>
        <v>Корпус Jonsbo U5 Silver</v>
      </c>
      <c r="B1538" s="16" t="str">
        <f ca="1">IFERROR(__xludf.DUMMYFUNCTION("""COMPUTED_VALUE"""),"")</f>
        <v/>
      </c>
      <c r="C1538" s="16" t="str">
        <f ca="1">IFERROR(__xludf.DUMMYFUNCTION("""COMPUTED_VALUE"""),"43,")</f>
        <v>43,</v>
      </c>
    </row>
    <row r="1539" spans="1:3" ht="15.75" customHeight="1">
      <c r="A1539" s="16" t="str">
        <f ca="1">IFERROR(__xludf.DUMMYFUNCTION("""COMPUTED_VALUE"""),"Jonsbo UMX4W Black")</f>
        <v>Jonsbo UMX4W Black</v>
      </c>
      <c r="B1539" s="16" t="str">
        <f ca="1">IFERROR(__xludf.DUMMYFUNCTION("""COMPUTED_VALUE"""),"")</f>
        <v/>
      </c>
      <c r="C1539" s="16" t="str">
        <f ca="1">IFERROR(__xludf.DUMMYFUNCTION("""COMPUTED_VALUE"""),"53,")</f>
        <v>53,</v>
      </c>
    </row>
    <row r="1540" spans="1:3" ht="15.75" customHeight="1">
      <c r="A1540" s="16" t="str">
        <f ca="1">IFERROR(__xludf.DUMMYFUNCTION("""COMPUTED_VALUE"""),"Jonsbo UMX4W Silver")</f>
        <v>Jonsbo UMX4W Silver</v>
      </c>
      <c r="B1540" s="16" t="str">
        <f ca="1">IFERROR(__xludf.DUMMYFUNCTION("""COMPUTED_VALUE"""),"")</f>
        <v/>
      </c>
      <c r="C1540" s="16" t="str">
        <f ca="1">IFERROR(__xludf.DUMMYFUNCTION("""COMPUTED_VALUE"""),"53,")</f>
        <v>53,</v>
      </c>
    </row>
    <row r="1541" spans="1:3" ht="15.75" customHeight="1">
      <c r="A1541" s="16" t="str">
        <f ca="1">IFERROR(__xludf.DUMMYFUNCTION("""COMPUTED_VALUE"""),"Корпус Jonsbo V12 Black")</f>
        <v>Корпус Jonsbo V12 Black</v>
      </c>
      <c r="B1541" s="16" t="str">
        <f ca="1">IFERROR(__xludf.DUMMYFUNCTION("""COMPUTED_VALUE"""),"")</f>
        <v/>
      </c>
      <c r="C1541" s="16" t="str">
        <f ca="1">IFERROR(__xludf.DUMMYFUNCTION("""COMPUTED_VALUE"""),"95,")</f>
        <v>95,</v>
      </c>
    </row>
    <row r="1542" spans="1:3" ht="15.75" customHeight="1">
      <c r="A1542" s="16" t="str">
        <f ca="1">IFERROR(__xludf.DUMMYFUNCTION("""COMPUTED_VALUE"""),"Корпус Jonsbo V12 White")</f>
        <v>Корпус Jonsbo V12 White</v>
      </c>
      <c r="B1542" s="16" t="str">
        <f ca="1">IFERROR(__xludf.DUMMYFUNCTION("""COMPUTED_VALUE"""),"")</f>
        <v/>
      </c>
      <c r="C1542" s="16" t="str">
        <f ca="1">IFERROR(__xludf.DUMMYFUNCTION("""COMPUTED_VALUE"""),"95,")</f>
        <v>95,</v>
      </c>
    </row>
    <row r="1543" spans="1:3" ht="15.75" customHeight="1">
      <c r="A1543" s="16" t="str">
        <f ca="1">IFERROR(__xludf.DUMMYFUNCTION("""COMPUTED_VALUE"""),"Корпус Jonsbo TK-2 Black")</f>
        <v>Корпус Jonsbo TK-2 Black</v>
      </c>
      <c r="B1543" s="16" t="str">
        <f ca="1">IFERROR(__xludf.DUMMYFUNCTION("""COMPUTED_VALUE"""),"")</f>
        <v/>
      </c>
      <c r="C1543" s="16" t="str">
        <f ca="1">IFERROR(__xludf.DUMMYFUNCTION("""COMPUTED_VALUE"""),"105,")</f>
        <v>105,</v>
      </c>
    </row>
    <row r="1544" spans="1:3" ht="15.75" customHeight="1">
      <c r="A1544" s="16" t="str">
        <f ca="1">IFERROR(__xludf.DUMMYFUNCTION("""COMPUTED_VALUE"""),"Корпус Jonsbo TK-2 White")</f>
        <v>Корпус Jonsbo TK-2 White</v>
      </c>
      <c r="B1544" s="16" t="str">
        <f ca="1">IFERROR(__xludf.DUMMYFUNCTION("""COMPUTED_VALUE"""),"")</f>
        <v/>
      </c>
      <c r="C1544" s="16" t="str">
        <f ca="1">IFERROR(__xludf.DUMMYFUNCTION("""COMPUTED_VALUE"""),"105,")</f>
        <v>105,</v>
      </c>
    </row>
    <row r="1545" spans="1:3" ht="15.75" customHeight="1">
      <c r="A1545" s="16" t="str">
        <f ca="1">IFERROR(__xludf.DUMMYFUNCTION("""COMPUTED_VALUE"""),"Корпус Jonsbo A4 Black")</f>
        <v>Корпус Jonsbo A4 Black</v>
      </c>
      <c r="B1545" s="16" t="str">
        <f ca="1">IFERROR(__xludf.DUMMYFUNCTION("""COMPUTED_VALUE"""),"")</f>
        <v/>
      </c>
      <c r="C1545" s="16" t="str">
        <f ca="1">IFERROR(__xludf.DUMMYFUNCTION("""COMPUTED_VALUE"""),"115,")</f>
        <v>115,</v>
      </c>
    </row>
    <row r="1546" spans="1:3" ht="15.75" customHeight="1">
      <c r="A1546" s="16" t="str">
        <f ca="1">IFERROR(__xludf.DUMMYFUNCTION("""COMPUTED_VALUE"""),"Корпус Jonsbo UMX6-G Silver")</f>
        <v>Корпус Jonsbo UMX6-G Silver</v>
      </c>
      <c r="B1546" s="16" t="str">
        <f ca="1">IFERROR(__xludf.DUMMYFUNCTION("""COMPUTED_VALUE"""),"")</f>
        <v/>
      </c>
      <c r="C1546" s="16" t="str">
        <f ca="1">IFERROR(__xludf.DUMMYFUNCTION("""COMPUTED_VALUE"""),"145,")</f>
        <v>145,</v>
      </c>
    </row>
    <row r="1547" spans="1:3" ht="15.75" customHeight="1">
      <c r="A1547" s="16" t="str">
        <f ca="1">IFERROR(__xludf.DUMMYFUNCTION("""COMPUTED_VALUE"""),"Корпус Jonsbo MOD-3 mini Gray")</f>
        <v>Корпус Jonsbo MOD-3 mini Gray</v>
      </c>
      <c r="B1547" s="16" t="str">
        <f ca="1">IFERROR(__xludf.DUMMYFUNCTION("""COMPUTED_VALUE"""),"")</f>
        <v/>
      </c>
      <c r="C1547" s="16" t="str">
        <f ca="1">IFERROR(__xludf.DUMMYFUNCTION("""COMPUTED_VALUE"""),"85,")</f>
        <v>85,</v>
      </c>
    </row>
    <row r="1548" spans="1:3" ht="15.75" customHeight="1">
      <c r="A1548" s="16" t="str">
        <f ca="1">IFERROR(__xludf.DUMMYFUNCTION("""COMPUTED_VALUE"""),"Корпус Jonsbo MOD-3 mini White")</f>
        <v>Корпус Jonsbo MOD-3 mini White</v>
      </c>
      <c r="B1548" s="16" t="str">
        <f ca="1">IFERROR(__xludf.DUMMYFUNCTION("""COMPUTED_VALUE"""),"")</f>
        <v/>
      </c>
      <c r="C1548" s="16" t="str">
        <f ca="1">IFERROR(__xludf.DUMMYFUNCTION("""COMPUTED_VALUE"""),"85,")</f>
        <v>85,</v>
      </c>
    </row>
    <row r="1549" spans="1:3" ht="15.75" customHeight="1">
      <c r="A1549" s="16" t="str">
        <f ca="1">IFERROR(__xludf.DUMMYFUNCTION("""COMPUTED_VALUE"""),"Корпус Jonsbo MOD-3 Gray")</f>
        <v>Корпус Jonsbo MOD-3 Gray</v>
      </c>
      <c r="B1549" s="16" t="str">
        <f ca="1">IFERROR(__xludf.DUMMYFUNCTION("""COMPUTED_VALUE"""),"")</f>
        <v/>
      </c>
      <c r="C1549" s="16" t="str">
        <f ca="1">IFERROR(__xludf.DUMMYFUNCTION("""COMPUTED_VALUE"""),"105,")</f>
        <v>105,</v>
      </c>
    </row>
    <row r="1550" spans="1:3" ht="15.75" customHeight="1">
      <c r="A1550" s="16" t="str">
        <f ca="1">IFERROR(__xludf.DUMMYFUNCTION("""COMPUTED_VALUE"""),"Корпус Jonsbo MOD-3 Black")</f>
        <v>Корпус Jonsbo MOD-3 Black</v>
      </c>
      <c r="B1550" s="16" t="str">
        <f ca="1">IFERROR(__xludf.DUMMYFUNCTION("""COMPUTED_VALUE"""),"")</f>
        <v/>
      </c>
      <c r="C1550" s="16" t="str">
        <f ca="1">IFERROR(__xludf.DUMMYFUNCTION("""COMPUTED_VALUE"""),"105,")</f>
        <v>105,</v>
      </c>
    </row>
    <row r="1551" spans="1:3" ht="15.75" customHeight="1">
      <c r="A1551" s="16" t="str">
        <f ca="1">IFERROR(__xludf.DUMMYFUNCTION("""COMPUTED_VALUE"""),"Корпус Jonsbo TR03-G Silver")</f>
        <v>Корпус Jonsbo TR03-G Silver</v>
      </c>
      <c r="B1551" s="16" t="str">
        <f ca="1">IFERROR(__xludf.DUMMYFUNCTION("""COMPUTED_VALUE"""),"")</f>
        <v/>
      </c>
      <c r="C1551" s="16" t="str">
        <f ca="1">IFERROR(__xludf.DUMMYFUNCTION("""COMPUTED_VALUE"""),"135,")</f>
        <v>135,</v>
      </c>
    </row>
    <row r="1552" spans="1:3" ht="15.75" customHeight="1">
      <c r="A1552" s="16" t="str">
        <f ca="1">IFERROR(__xludf.DUMMYFUNCTION("""COMPUTED_VALUE"""),"Корпус Jonsbo TR03-G Black")</f>
        <v>Корпус Jonsbo TR03-G Black</v>
      </c>
      <c r="B1552" s="16" t="str">
        <f ca="1">IFERROR(__xludf.DUMMYFUNCTION("""COMPUTED_VALUE"""),"")</f>
        <v/>
      </c>
      <c r="C1552" s="16" t="str">
        <f ca="1">IFERROR(__xludf.DUMMYFUNCTION("""COMPUTED_VALUE"""),"135,")</f>
        <v>135,</v>
      </c>
    </row>
    <row r="1553" spans="1:3" ht="15.75" customHeight="1">
      <c r="A1553" s="16" t="str">
        <f ca="1">IFERROR(__xludf.DUMMYFUNCTION("""COMPUTED_VALUE"""),"Корпус Jonsbo MOD-5 Gray")</f>
        <v>Корпус Jonsbo MOD-5 Gray</v>
      </c>
      <c r="B1553" s="16" t="str">
        <f ca="1">IFERROR(__xludf.DUMMYFUNCTION("""COMPUTED_VALUE"""),"")</f>
        <v/>
      </c>
      <c r="C1553" s="16" t="str">
        <f ca="1">IFERROR(__xludf.DUMMYFUNCTION("""COMPUTED_VALUE"""),"155,")</f>
        <v>155,</v>
      </c>
    </row>
    <row r="1554" spans="1:3" ht="15.75" customHeight="1">
      <c r="A1554" s="16" t="str">
        <f ca="1">IFERROR(__xludf.DUMMYFUNCTION("""COMPUTED_VALUE"""),"Корпус Jonsbo MOD-5 Black")</f>
        <v>Корпус Jonsbo MOD-5 Black</v>
      </c>
      <c r="B1554" s="16" t="str">
        <f ca="1">IFERROR(__xludf.DUMMYFUNCTION("""COMPUTED_VALUE"""),"")</f>
        <v/>
      </c>
      <c r="C1554" s="16" t="str">
        <f ca="1">IFERROR(__xludf.DUMMYFUNCTION("""COMPUTED_VALUE"""),"155,")</f>
        <v>155,</v>
      </c>
    </row>
    <row r="1555" spans="1:3" ht="15.75" customHeight="1">
      <c r="A1555" s="16" t="str">
        <f ca="1">IFERROR(__xludf.DUMMYFUNCTION("""COMPUTED_VALUE"""),"Jonsbo CR-1200E Black")</f>
        <v>Jonsbo CR-1200E Black</v>
      </c>
      <c r="B1555" s="16" t="str">
        <f ca="1">IFERROR(__xludf.DUMMYFUNCTION("""COMPUTED_VALUE"""),"")</f>
        <v/>
      </c>
      <c r="C1555" s="16" t="str">
        <f ca="1">IFERROR(__xludf.DUMMYFUNCTION("""COMPUTED_VALUE"""),"6,")</f>
        <v>6,</v>
      </c>
    </row>
    <row r="1556" spans="1:3" ht="15.75" customHeight="1">
      <c r="A1556" s="16" t="str">
        <f ca="1">IFERROR(__xludf.DUMMYFUNCTION("""COMPUTED_VALUE"""),"Jonsbo CR-1200 Black")</f>
        <v>Jonsbo CR-1200 Black</v>
      </c>
      <c r="B1556" s="16" t="str">
        <f ca="1">IFERROR(__xludf.DUMMYFUNCTION("""COMPUTED_VALUE"""),"")</f>
        <v/>
      </c>
      <c r="C1556" s="16" t="str">
        <f ca="1">IFERROR(__xludf.DUMMYFUNCTION("""COMPUTED_VALUE"""),"7,")</f>
        <v>7,</v>
      </c>
    </row>
    <row r="1557" spans="1:3" ht="15.75" customHeight="1">
      <c r="A1557" s="16" t="str">
        <f ca="1">IFERROR(__xludf.DUMMYFUNCTION("""COMPUTED_VALUE"""),"Кулер Jonsbo CR-1000E Black")</f>
        <v>Кулер Jonsbo CR-1000E Black</v>
      </c>
      <c r="B1557" s="16" t="str">
        <f ca="1">IFERROR(__xludf.DUMMYFUNCTION("""COMPUTED_VALUE"""),"")</f>
        <v/>
      </c>
      <c r="C1557" s="16" t="str">
        <f ca="1">IFERROR(__xludf.DUMMYFUNCTION("""COMPUTED_VALUE"""),"9,")</f>
        <v>9,</v>
      </c>
    </row>
    <row r="1558" spans="1:3" ht="15.75" customHeight="1">
      <c r="A1558" s="16" t="str">
        <f ca="1">IFERROR(__xludf.DUMMYFUNCTION("""COMPUTED_VALUE"""),"Jonsbo CR-1400 EVO (ARGB)")</f>
        <v>Jonsbo CR-1400 EVO (ARGB)</v>
      </c>
      <c r="B1558" s="16" t="str">
        <f ca="1">IFERROR(__xludf.DUMMYFUNCTION("""COMPUTED_VALUE"""),"")</f>
        <v/>
      </c>
      <c r="C1558" s="16" t="str">
        <f ca="1">IFERROR(__xludf.DUMMYFUNCTION("""COMPUTED_VALUE"""),"14,")</f>
        <v>14,</v>
      </c>
    </row>
    <row r="1559" spans="1:3" ht="15.75" customHeight="1">
      <c r="A1559" s="16" t="str">
        <f ca="1">IFERROR(__xludf.DUMMYFUNCTION("""COMPUTED_VALUE"""),"Jonsbo PISA A5 ARGB Black")</f>
        <v>Jonsbo PISA A5 ARGB Black</v>
      </c>
      <c r="B1559" s="16" t="str">
        <f ca="1">IFERROR(__xludf.DUMMYFUNCTION("""COMPUTED_VALUE"""),"")</f>
        <v/>
      </c>
      <c r="C1559" s="16" t="str">
        <f ca="1">IFERROR(__xludf.DUMMYFUNCTION("""COMPUTED_VALUE"""),"22,")</f>
        <v>22,</v>
      </c>
    </row>
    <row r="1560" spans="1:3" ht="15.75" customHeight="1">
      <c r="A1560" s="16" t="str">
        <f ca="1">IFERROR(__xludf.DUMMYFUNCTION("""COMPUTED_VALUE"""),"Jonsbo HX5230")</f>
        <v>Jonsbo HX5230</v>
      </c>
      <c r="B1560" s="16" t="str">
        <f ca="1">IFERROR(__xludf.DUMMYFUNCTION("""COMPUTED_VALUE"""),"")</f>
        <v/>
      </c>
      <c r="C1560" s="16" t="str">
        <f ca="1">IFERROR(__xludf.DUMMYFUNCTION("""COMPUTED_VALUE"""),"27,")</f>
        <v>27,</v>
      </c>
    </row>
    <row r="1561" spans="1:3" ht="15.75" customHeight="1">
      <c r="A1561" s="16" t="str">
        <f ca="1">IFERROR(__xludf.DUMMYFUNCTION("""COMPUTED_VALUE"""),"Jonsbo HX6240 White")</f>
        <v>Jonsbo HX6240 White</v>
      </c>
      <c r="B1561" s="16" t="str">
        <f ca="1">IFERROR(__xludf.DUMMYFUNCTION("""COMPUTED_VALUE"""),"")</f>
        <v/>
      </c>
      <c r="C1561" s="16" t="str">
        <f ca="1">IFERROR(__xludf.DUMMYFUNCTION("""COMPUTED_VALUE"""),"40,")</f>
        <v>40,</v>
      </c>
    </row>
    <row r="1562" spans="1:3" ht="15.75" customHeight="1">
      <c r="A1562" s="16" t="str">
        <f ca="1">IFERROR(__xludf.DUMMYFUNCTION("""COMPUTED_VALUE"""),"Кулер Jonsbo HX6280 Black")</f>
        <v>Кулер Jonsbo HX6280 Black</v>
      </c>
      <c r="B1562" s="16" t="str">
        <f ca="1">IFERROR(__xludf.DUMMYFUNCTION("""COMPUTED_VALUE"""),"")</f>
        <v/>
      </c>
      <c r="C1562" s="16" t="str">
        <f ca="1">IFERROR(__xludf.DUMMYFUNCTION("""COMPUTED_VALUE"""),"48,")</f>
        <v>48,</v>
      </c>
    </row>
    <row r="1563" spans="1:3" ht="15.75" customHeight="1">
      <c r="A1563" s="16" t="str">
        <f ca="1">IFERROR(__xludf.DUMMYFUNCTION("""COMPUTED_VALUE"""),"Кулер Jonsbo HX6280 White")</f>
        <v>Кулер Jonsbo HX6280 White</v>
      </c>
      <c r="B1563" s="16" t="str">
        <f ca="1">IFERROR(__xludf.DUMMYFUNCTION("""COMPUTED_VALUE"""),"")</f>
        <v/>
      </c>
      <c r="C1563" s="16" t="str">
        <f ca="1">IFERROR(__xludf.DUMMYFUNCTION("""COMPUTED_VALUE"""),"48,")</f>
        <v>48,</v>
      </c>
    </row>
    <row r="1564" spans="1:3" ht="15.75" customHeight="1">
      <c r="A1564" s="16" t="str">
        <f ca="1">IFERROR(__xludf.DUMMYFUNCTION("""COMPUTED_VALUE"""),"Jonsbo TG-360 Black/White")</f>
        <v>Jonsbo TG-360 Black/White</v>
      </c>
      <c r="B1564" s="16" t="str">
        <f ca="1">IFERROR(__xludf.DUMMYFUNCTION("""COMPUTED_VALUE"""),"")</f>
        <v/>
      </c>
      <c r="C1564" s="16" t="str">
        <f ca="1">IFERROR(__xludf.DUMMYFUNCTION("""COMPUTED_VALUE"""),"50,")</f>
        <v>50,</v>
      </c>
    </row>
    <row r="1565" spans="1:3" ht="15.75" customHeight="1">
      <c r="A1565" s="16" t="str">
        <f ca="1">IFERROR(__xludf.DUMMYFUNCTION("""COMPUTED_VALUE"""),"Jonsbo TF 360 ARGB ")</f>
        <v xml:space="preserve">Jonsbo TF 360 ARGB </v>
      </c>
      <c r="B1565" s="16" t="str">
        <f ca="1">IFERROR(__xludf.DUMMYFUNCTION("""COMPUTED_VALUE"""),"")</f>
        <v/>
      </c>
      <c r="C1565" s="16" t="str">
        <f ca="1">IFERROR(__xludf.DUMMYFUNCTION("""COMPUTED_VALUE"""),"70,")</f>
        <v>70,</v>
      </c>
    </row>
    <row r="1566" spans="1:3" ht="15.75" customHeight="1">
      <c r="A1566" s="16" t="str">
        <f ca="1">IFERROR(__xludf.DUMMYFUNCTION("""COMPUTED_VALUE"""),"Jonsbo Fan SL-120W White")</f>
        <v>Jonsbo Fan SL-120W White</v>
      </c>
      <c r="B1566" s="16" t="str">
        <f ca="1">IFERROR(__xludf.DUMMYFUNCTION("""COMPUTED_VALUE"""),"")</f>
        <v/>
      </c>
      <c r="C1566" s="16" t="str">
        <f ca="1">IFERROR(__xludf.DUMMYFUNCTION("""COMPUTED_VALUE"""),"5,")</f>
        <v>5,</v>
      </c>
    </row>
    <row r="1567" spans="1:3" ht="15.75" customHeight="1">
      <c r="A1567" s="16" t="str">
        <f ca="1">IFERROR(__xludf.DUMMYFUNCTION("""COMPUTED_VALUE"""),"Jonsbo Fan SL-120WR White")</f>
        <v>Jonsbo Fan SL-120WR White</v>
      </c>
      <c r="B1567" s="16" t="str">
        <f ca="1">IFERROR(__xludf.DUMMYFUNCTION("""COMPUTED_VALUE"""),"")</f>
        <v/>
      </c>
      <c r="C1567" s="16" t="str">
        <f ca="1">IFERROR(__xludf.DUMMYFUNCTION("""COMPUTED_VALUE"""),"5,")</f>
        <v>5,</v>
      </c>
    </row>
    <row r="1568" spans="1:3" ht="15.75" customHeight="1">
      <c r="A1568" s="16" t="str">
        <f ca="1">IFERROR(__xludf.DUMMYFUNCTION("""COMPUTED_VALUE"""),"Jonsbo Fan HF2-120B Black")</f>
        <v>Jonsbo Fan HF2-120B Black</v>
      </c>
      <c r="B1568" s="16" t="str">
        <f ca="1">IFERROR(__xludf.DUMMYFUNCTION("""COMPUTED_VALUE"""),"")</f>
        <v/>
      </c>
      <c r="C1568" s="16" t="str">
        <f ca="1">IFERROR(__xludf.DUMMYFUNCTION("""COMPUTED_VALUE"""),"10,")</f>
        <v>10,</v>
      </c>
    </row>
    <row r="1569" spans="1:3" ht="15.75" customHeight="1">
      <c r="A1569" s="16" t="str">
        <f ca="1">IFERROR(__xludf.DUMMYFUNCTION("""COMPUTED_VALUE"""),"Jonsbo Fan ZB-360B Black")</f>
        <v>Jonsbo Fan ZB-360B Black</v>
      </c>
      <c r="B1569" s="16" t="str">
        <f ca="1">IFERROR(__xludf.DUMMYFUNCTION("""COMPUTED_VALUE"""),"")</f>
        <v/>
      </c>
      <c r="C1569" s="16" t="str">
        <f ca="1">IFERROR(__xludf.DUMMYFUNCTION("""COMPUTED_VALUE"""),"26,")</f>
        <v>26,</v>
      </c>
    </row>
    <row r="1570" spans="1:3" ht="15.75" customHeight="1">
      <c r="A1570" s="16" t="str">
        <f ca="1">IFERROR(__xludf.DUMMYFUNCTION("""COMPUTED_VALUE"""),"Jonsbo Fan ZB-360BR Black")</f>
        <v>Jonsbo Fan ZB-360BR Black</v>
      </c>
      <c r="B1570" s="16" t="str">
        <f ca="1">IFERROR(__xludf.DUMMYFUNCTION("""COMPUTED_VALUE"""),"")</f>
        <v/>
      </c>
      <c r="C1570" s="16" t="str">
        <f ca="1">IFERROR(__xludf.DUMMYFUNCTION("""COMPUTED_VALUE"""),"26,")</f>
        <v>26,</v>
      </c>
    </row>
    <row r="1571" spans="1:3" ht="15.75" customHeight="1">
      <c r="A1571" s="16" t="str">
        <f ca="1">IFERROR(__xludf.DUMMYFUNCTION("""COMPUTED_VALUE"""),"Jonsbo Fan ZA-360B Black")</f>
        <v>Jonsbo Fan ZA-360B Black</v>
      </c>
      <c r="B1571" s="16" t="str">
        <f ca="1">IFERROR(__xludf.DUMMYFUNCTION("""COMPUTED_VALUE"""),"")</f>
        <v/>
      </c>
      <c r="C1571" s="16" t="str">
        <f ca="1">IFERROR(__xludf.DUMMYFUNCTION("""COMPUTED_VALUE"""),"29,")</f>
        <v>29,</v>
      </c>
    </row>
    <row r="1572" spans="1:3" ht="15.75" customHeight="1">
      <c r="A1572" s="16" t="str">
        <f ca="1">IFERROR(__xludf.DUMMYFUNCTION("""COMPUTED_VALUE"""),"Jonsbo Fan ZA-360BR Black")</f>
        <v>Jonsbo Fan ZA-360BR Black</v>
      </c>
      <c r="B1572" s="16" t="str">
        <f ca="1">IFERROR(__xludf.DUMMYFUNCTION("""COMPUTED_VALUE"""),"")</f>
        <v/>
      </c>
      <c r="C1572" s="16" t="str">
        <f ca="1">IFERROR(__xludf.DUMMYFUNCTION("""COMPUTED_VALUE"""),"29,")</f>
        <v>29,</v>
      </c>
    </row>
    <row r="1573" spans="1:3" ht="15.75" customHeight="1">
      <c r="A1573" s="16" t="str">
        <f ca="1">IFERROR(__xludf.DUMMYFUNCTION("""COMPUTED_VALUE"""),"Безпровадная мышь MT-R545 2.4Ghz Wireless Mouse 3 buttons black ")</f>
        <v xml:space="preserve">Безпровадная мышь MT-R545 2.4Ghz Wireless Mouse 3 buttons black </v>
      </c>
      <c r="B1573" s="16" t="str">
        <f ca="1">IFERROR(__xludf.DUMMYFUNCTION("""COMPUTED_VALUE"""),"")</f>
        <v/>
      </c>
      <c r="C1573" s="16" t="str">
        <f ca="1">IFERROR(__xludf.DUMMYFUNCTION("""COMPUTED_VALUE"""),"3,5")</f>
        <v>3,5</v>
      </c>
    </row>
    <row r="1574" spans="1:3" ht="15.75" customHeight="1">
      <c r="A1574" s="16" t="str">
        <f ca="1">IFERROR(__xludf.DUMMYFUNCTION("""COMPUTED_VALUE"""),"Игравая мышь MT-M930 USB Corded Backlit Mouse ")</f>
        <v xml:space="preserve">Игравая мышь MT-M930 USB Corded Backlit Mouse </v>
      </c>
      <c r="B1574" s="16" t="str">
        <f ca="1">IFERROR(__xludf.DUMMYFUNCTION("""COMPUTED_VALUE"""),"")</f>
        <v/>
      </c>
      <c r="C1574" s="16" t="str">
        <f ca="1">IFERROR(__xludf.DUMMYFUNCTION("""COMPUTED_VALUE"""),"7,")</f>
        <v>7,</v>
      </c>
    </row>
    <row r="1575" spans="1:3" ht="15.75" customHeight="1">
      <c r="A1575" s="16" t="str">
        <f ca="1">IFERROR(__xludf.DUMMYFUNCTION("""COMPUTED_VALUE"""),"Игравая мышь USB Corded Backlit Gaming Mouse MT-M940")</f>
        <v>Игравая мышь USB Corded Backlit Gaming Mouse MT-M940</v>
      </c>
      <c r="B1575" s="16" t="str">
        <f ca="1">IFERROR(__xludf.DUMMYFUNCTION("""COMPUTED_VALUE"""),"")</f>
        <v/>
      </c>
      <c r="C1575" s="16" t="str">
        <f ca="1">IFERROR(__xludf.DUMMYFUNCTION("""COMPUTED_VALUE"""),"8,")</f>
        <v>8,</v>
      </c>
    </row>
    <row r="1576" spans="1:3" ht="15.75" customHeight="1">
      <c r="A1576" s="16" t="str">
        <f ca="1">IFERROR(__xludf.DUMMYFUNCTION("""COMPUTED_VALUE"""),"Игравая мышь MT-GM20 Gaming Mouse ")</f>
        <v xml:space="preserve">Игравая мышь MT-GM20 Gaming Mouse </v>
      </c>
      <c r="B1576" s="16" t="str">
        <f ca="1">IFERROR(__xludf.DUMMYFUNCTION("""COMPUTED_VALUE"""),"")</f>
        <v/>
      </c>
      <c r="C1576" s="16" t="str">
        <f ca="1">IFERROR(__xludf.DUMMYFUNCTION("""COMPUTED_VALUE"""),"11,")</f>
        <v>11,</v>
      </c>
    </row>
    <row r="1577" spans="1:3" ht="15.75" customHeight="1">
      <c r="A1577" s="16" t="str">
        <f ca="1">IFERROR(__xludf.DUMMYFUNCTION("""COMPUTED_VALUE"""),"Игравая мышь MT-GM30 Gaming Mouse ")</f>
        <v xml:space="preserve">Игравая мышь MT-GM30 Gaming Mouse </v>
      </c>
      <c r="B1577" s="16" t="str">
        <f ca="1">IFERROR(__xludf.DUMMYFUNCTION("""COMPUTED_VALUE"""),"")</f>
        <v/>
      </c>
      <c r="C1577" s="16" t="str">
        <f ca="1">IFERROR(__xludf.DUMMYFUNCTION("""COMPUTED_VALUE"""),"13,")</f>
        <v>13,</v>
      </c>
    </row>
    <row r="1578" spans="1:3" ht="15.75" customHeight="1">
      <c r="A1578" s="16" t="str">
        <f ca="1">IFERROR(__xludf.DUMMYFUNCTION("""COMPUTED_VALUE"""),"Игравая мышь MT-G3325 Gaming Mouse ")</f>
        <v xml:space="preserve">Игравая мышь MT-G3325 Gaming Mouse </v>
      </c>
      <c r="B1578" s="16" t="str">
        <f ca="1">IFERROR(__xludf.DUMMYFUNCTION("""COMPUTED_VALUE"""),"")</f>
        <v/>
      </c>
      <c r="C1578" s="16" t="str">
        <f ca="1">IFERROR(__xludf.DUMMYFUNCTION("""COMPUTED_VALUE"""),"22,5")</f>
        <v>22,5</v>
      </c>
    </row>
    <row r="1579" spans="1:3" ht="15.75" customHeight="1">
      <c r="A1579" s="16" t="str">
        <f ca="1">IFERROR(__xludf.DUMMYFUNCTION("""COMPUTED_VALUE"""),"Клавиатура MT-K841 USB Corded Keyboard AR  US+RU ")</f>
        <v xml:space="preserve">Клавиатура MT-K841 USB Corded Keyboard AR  US+RU </v>
      </c>
      <c r="B1579" s="16" t="str">
        <f ca="1">IFERROR(__xludf.DUMMYFUNCTION("""COMPUTED_VALUE"""),"")</f>
        <v/>
      </c>
      <c r="C1579" s="16" t="str">
        <f ca="1">IFERROR(__xludf.DUMMYFUNCTION("""COMPUTED_VALUE"""),"5,5")</f>
        <v>5,5</v>
      </c>
    </row>
    <row r="1580" spans="1:3" ht="15.75" customHeight="1">
      <c r="A1580" s="16" t="str">
        <f ca="1">IFERROR(__xludf.DUMMYFUNCTION("""COMPUTED_VALUE"""),"Игравая клавиатура MT-K9320 Gaming Keyboard US+RU ")</f>
        <v xml:space="preserve">Игравая клавиатура MT-K9320 Gaming Keyboard US+RU </v>
      </c>
      <c r="B1580" s="16" t="str">
        <f ca="1">IFERROR(__xludf.DUMMYFUNCTION("""COMPUTED_VALUE"""),"")</f>
        <v/>
      </c>
      <c r="C1580" s="16" t="str">
        <f ca="1">IFERROR(__xludf.DUMMYFUNCTION("""COMPUTED_VALUE"""),"7,")</f>
        <v>7,</v>
      </c>
    </row>
    <row r="1581" spans="1:3" ht="15.75" customHeight="1">
      <c r="A1581" s="16" t="str">
        <f ca="1">IFERROR(__xludf.DUMMYFUNCTION("""COMPUTED_VALUE"""),"Игравая клавиатура MT-K9300 Gaming Keyboard US+RU ")</f>
        <v xml:space="preserve">Игравая клавиатура MT-K9300 Gaming Keyboard US+RU </v>
      </c>
      <c r="B1581" s="16" t="str">
        <f ca="1">IFERROR(__xludf.DUMMYFUNCTION("""COMPUTED_VALUE"""),"")</f>
        <v/>
      </c>
      <c r="C1581" s="16" t="str">
        <f ca="1">IFERROR(__xludf.DUMMYFUNCTION("""COMPUTED_VALUE"""),"10,")</f>
        <v>10,</v>
      </c>
    </row>
    <row r="1582" spans="1:3" ht="15.75" customHeight="1">
      <c r="A1582" s="16" t="str">
        <f ca="1">IFERROR(__xludf.DUMMYFUNCTION("""COMPUTED_VALUE"""),"Беспроводная клавиатура + мышь MT-C4120 2.4G Wireless Combo black  US+RU ")</f>
        <v xml:space="preserve">Беспроводная клавиатура + мышь MT-C4120 2.4G Wireless Combo black  US+RU </v>
      </c>
      <c r="B1582" s="16" t="str">
        <f ca="1">IFERROR(__xludf.DUMMYFUNCTION("""COMPUTED_VALUE"""),"")</f>
        <v/>
      </c>
      <c r="C1582" s="16" t="str">
        <f ca="1">IFERROR(__xludf.DUMMYFUNCTION("""COMPUTED_VALUE"""),"10,")</f>
        <v>10,</v>
      </c>
    </row>
    <row r="1583" spans="1:3" ht="15.75" customHeight="1">
      <c r="A1583" s="16" t="str">
        <f ca="1">IFERROR(__xludf.DUMMYFUNCTION("""COMPUTED_VALUE"""),"Игравая клавиатура + мышь MT-C510 Backlit Gaming Keyboard and Mouse Combo  US+RU ")</f>
        <v xml:space="preserve">Игравая клавиатура + мышь MT-C510 Backlit Gaming Keyboard and Mouse Combo  US+RU </v>
      </c>
      <c r="B1583" s="16" t="str">
        <f ca="1">IFERROR(__xludf.DUMMYFUNCTION("""COMPUTED_VALUE"""),"")</f>
        <v/>
      </c>
      <c r="C1583" s="16" t="str">
        <f ca="1">IFERROR(__xludf.DUMMYFUNCTION("""COMPUTED_VALUE"""),"14,")</f>
        <v>14,</v>
      </c>
    </row>
    <row r="1584" spans="1:3" ht="15.75" customHeight="1">
      <c r="A1584" s="16" t="str">
        <f ca="1">IFERROR(__xludf.DUMMYFUNCTION("""COMPUTED_VALUE"""),"Kits for PC Gaming 4 in 1 Combo  US+RU MT-C500")</f>
        <v>Kits for PC Gaming 4 in 1 Combo  US+RU MT-C500</v>
      </c>
      <c r="B1584" s="16" t="str">
        <f ca="1">IFERROR(__xludf.DUMMYFUNCTION("""COMPUTED_VALUE"""),"")</f>
        <v/>
      </c>
      <c r="C1584" s="16" t="str">
        <f ca="1">IFERROR(__xludf.DUMMYFUNCTION("""COMPUTED_VALUE"""),"25,")</f>
        <v>25,</v>
      </c>
    </row>
    <row r="1585" spans="1:3" ht="15.75" customHeight="1">
      <c r="A1585" s="16" t="str">
        <f ca="1">IFERROR(__xludf.DUMMYFUNCTION("""COMPUTED_VALUE"""),"Механическая клавиатура MT-MK20 Mechanical Keyboard Gray  US+RU")</f>
        <v>Механическая клавиатура MT-MK20 Mechanical Keyboard Gray  US+RU</v>
      </c>
      <c r="B1585" s="16" t="str">
        <f ca="1">IFERROR(__xludf.DUMMYFUNCTION("""COMPUTED_VALUE"""),"")</f>
        <v/>
      </c>
      <c r="C1585" s="16" t="str">
        <f ca="1">IFERROR(__xludf.DUMMYFUNCTION("""COMPUTED_VALUE"""),"48,")</f>
        <v>48,</v>
      </c>
    </row>
    <row r="1586" spans="1:3" ht="15.75" customHeight="1">
      <c r="A1586" s="16" t="str">
        <f ca="1">IFERROR(__xludf.DUMMYFUNCTION("""COMPUTED_VALUE"""),"Игравые наушники MT-HP010 Gaming Headset ")</f>
        <v xml:space="preserve">Игравые наушники MT-HP010 Gaming Headset </v>
      </c>
      <c r="B1586" s="16" t="str">
        <f ca="1">IFERROR(__xludf.DUMMYFUNCTION("""COMPUTED_VALUE"""),"")</f>
        <v/>
      </c>
      <c r="C1586" s="16" t="str">
        <f ca="1">IFERROR(__xludf.DUMMYFUNCTION("""COMPUTED_VALUE"""),"9,")</f>
        <v>9,</v>
      </c>
    </row>
    <row r="1587" spans="1:3" ht="15.75" customHeight="1">
      <c r="A1587" s="16" t="str">
        <f ca="1">IFERROR(__xludf.DUMMYFUNCTION("""COMPUTED_VALUE"""),"Игравые наушники MT-HP030 USB Gaming Headset Backlit ")</f>
        <v xml:space="preserve">Игравые наушники MT-HP030 USB Gaming Headset Backlit </v>
      </c>
      <c r="B1587" s="16" t="str">
        <f ca="1">IFERROR(__xludf.DUMMYFUNCTION("""COMPUTED_VALUE"""),"")</f>
        <v/>
      </c>
      <c r="C1587" s="16" t="str">
        <f ca="1">IFERROR(__xludf.DUMMYFUNCTION("""COMPUTED_VALUE"""),"16,")</f>
        <v>16,</v>
      </c>
    </row>
    <row r="1588" spans="1:3" ht="15.75" customHeight="1">
      <c r="A1588" s="16" t="str">
        <f ca="1">IFERROR(__xludf.DUMMYFUNCTION("""COMPUTED_VALUE"""),"PW500 80+ WHITE
мощность: 500W")</f>
        <v>PW500 80+ WHITE
мощность: 500W</v>
      </c>
      <c r="B1588" s="16" t="str">
        <f ca="1">IFERROR(__xludf.DUMMYFUNCTION("""COMPUTED_VALUE"""),"")</f>
        <v/>
      </c>
      <c r="C1588" s="16" t="str">
        <f ca="1">IFERROR(__xludf.DUMMYFUNCTION("""COMPUTED_VALUE"""),"25,")</f>
        <v>25,</v>
      </c>
    </row>
    <row r="1589" spans="1:3" ht="15.75" customHeight="1">
      <c r="A1589" s="16" t="str">
        <f ca="1">IFERROR(__xludf.DUMMYFUNCTION("""COMPUTED_VALUE"""),"PW600 80+ WHITE
мощность: 600W")</f>
        <v>PW600 80+ WHITE
мощность: 600W</v>
      </c>
      <c r="B1589" s="16" t="str">
        <f ca="1">IFERROR(__xludf.DUMMYFUNCTION("""COMPUTED_VALUE"""),"")</f>
        <v/>
      </c>
      <c r="C1589" s="16" t="str">
        <f ca="1">IFERROR(__xludf.DUMMYFUNCTION("""COMPUTED_VALUE"""),"31,")</f>
        <v>31,</v>
      </c>
    </row>
    <row r="1590" spans="1:3" ht="15.75" customHeight="1">
      <c r="A1590" s="16" t="str">
        <f ca="1">IFERROR(__xludf.DUMMYFUNCTION("""COMPUTED_VALUE"""),"PW700 80+ WHITE
мощность: 700W")</f>
        <v>PW700 80+ WHITE
мощность: 700W</v>
      </c>
      <c r="B1590" s="16" t="str">
        <f ca="1">IFERROR(__xludf.DUMMYFUNCTION("""COMPUTED_VALUE"""),"")</f>
        <v/>
      </c>
      <c r="C1590" s="16" t="str">
        <f ca="1">IFERROR(__xludf.DUMMYFUNCTION("""COMPUTED_VALUE"""),"37,")</f>
        <v>37,</v>
      </c>
    </row>
    <row r="1591" spans="1:3" ht="15.75" customHeight="1">
      <c r="A1591" s="16" t="str">
        <f ca="1">IFERROR(__xludf.DUMMYFUNCTION("""COMPUTED_VALUE"""),"PB600 80+ BRONZE
Мощность: 600W")</f>
        <v>PB600 80+ BRONZE
Мощность: 600W</v>
      </c>
      <c r="B1591" s="16" t="str">
        <f ca="1">IFERROR(__xludf.DUMMYFUNCTION("""COMPUTED_VALUE"""),"")</f>
        <v/>
      </c>
      <c r="C1591" s="16" t="str">
        <f ca="1">IFERROR(__xludf.DUMMYFUNCTION("""COMPUTED_VALUE"""),"36,")</f>
        <v>36,</v>
      </c>
    </row>
    <row r="1592" spans="1:3" ht="15.75" customHeight="1">
      <c r="A1592" s="16" t="str">
        <f ca="1">IFERROR(__xludf.DUMMYFUNCTION("""COMPUTED_VALUE"""),"PB700 80+ BRONZE
Мощность: 700W")</f>
        <v>PB700 80+ BRONZE
Мощность: 700W</v>
      </c>
      <c r="B1592" s="16" t="str">
        <f ca="1">IFERROR(__xludf.DUMMYFUNCTION("""COMPUTED_VALUE"""),"")</f>
        <v/>
      </c>
      <c r="C1592" s="16" t="str">
        <f ca="1">IFERROR(__xludf.DUMMYFUNCTION("""COMPUTED_VALUE"""),"41,")</f>
        <v>41,</v>
      </c>
    </row>
    <row r="1593" spans="1:3" ht="15.75" customHeight="1">
      <c r="A1593" s="16" t="str">
        <f ca="1">IFERROR(__xludf.DUMMYFUNCTION("""COMPUTED_VALUE"""),"PB850 80+ BRONZE
Мощность: 850W")</f>
        <v>PB850 80+ BRONZE
Мощность: 850W</v>
      </c>
      <c r="B1593" s="16" t="str">
        <f ca="1">IFERROR(__xludf.DUMMYFUNCTION("""COMPUTED_VALUE"""),"")</f>
        <v/>
      </c>
      <c r="C1593" s="16" t="str">
        <f ca="1">IFERROR(__xludf.DUMMYFUNCTION("""COMPUTED_VALUE"""),"60,")</f>
        <v>60,</v>
      </c>
    </row>
    <row r="1594" spans="1:3" ht="15.75" customHeight="1">
      <c r="A1594" s="16" t="str">
        <f ca="1">IFERROR(__xludf.DUMMYFUNCTION("""COMPUTED_VALUE"""),"PG1000 80+ GOLD
Мощность: 1000W")</f>
        <v>PG1000 80+ GOLD
Мощность: 1000W</v>
      </c>
      <c r="B1594" s="16" t="str">
        <f ca="1">IFERROR(__xludf.DUMMYFUNCTION("""COMPUTED_VALUE"""),"")</f>
        <v/>
      </c>
      <c r="C1594" s="16" t="str">
        <f ca="1">IFERROR(__xludf.DUMMYFUNCTION("""COMPUTED_VALUE"""),"99,")</f>
        <v>99,</v>
      </c>
    </row>
    <row r="1595" spans="1:3" ht="15.75" customHeight="1">
      <c r="A1595" s="16" t="str">
        <f ca="1">IFERROR(__xludf.DUMMYFUNCTION("""COMPUTED_VALUE"""),"PG1200 (B) 80+ GOLD
Мощность: 1200W")</f>
        <v>PG1200 (B) 80+ GOLD
Мощность: 1200W</v>
      </c>
      <c r="B1595" s="16" t="str">
        <f ca="1">IFERROR(__xludf.DUMMYFUNCTION("""COMPUTED_VALUE"""),"")</f>
        <v/>
      </c>
      <c r="C1595" s="16" t="str">
        <f ca="1">IFERROR(__xludf.DUMMYFUNCTION("""COMPUTED_VALUE"""),"115,")</f>
        <v>115,</v>
      </c>
    </row>
    <row r="1596" spans="1:3" ht="15.75" customHeight="1">
      <c r="A1596" s="16" t="str">
        <f ca="1">IFERROR(__xludf.DUMMYFUNCTION("""COMPUTED_VALUE"""),"PG1200 (W) 80+ GOLD
Мощность: 1200W")</f>
        <v>PG1200 (W) 80+ GOLD
Мощность: 1200W</v>
      </c>
      <c r="B1596" s="16" t="str">
        <f ca="1">IFERROR(__xludf.DUMMYFUNCTION("""COMPUTED_VALUE"""),"")</f>
        <v/>
      </c>
      <c r="C1596" s="16" t="str">
        <f ca="1">IFERROR(__xludf.DUMMYFUNCTION("""COMPUTED_VALUE"""),"120,")</f>
        <v>120,</v>
      </c>
    </row>
    <row r="1597" spans="1:3" ht="15.75" customHeight="1">
      <c r="A1597" s="16" t="str">
        <f ca="1">IFERROR(__xludf.DUMMYFUNCTION("""COMPUTED_VALUE"""),"
ByteFlow
+ БП PB700B (B) 80+ BRONZE ")</f>
        <v xml:space="preserve">
ByteFlow
+ БП PB700B (B) 80+ BRONZE </v>
      </c>
      <c r="B1597" s="16" t="str">
        <f ca="1">IFERROR(__xludf.DUMMYFUNCTION("""COMPUTED_VALUE"""),"")</f>
        <v/>
      </c>
      <c r="C1597" s="16" t="str">
        <f ca="1">IFERROR(__xludf.DUMMYFUNCTION("""COMPUTED_VALUE"""),"75,")</f>
        <v>75,</v>
      </c>
    </row>
    <row r="1598" spans="1:3" ht="15.75" customHeight="1">
      <c r="A1598" s="16" t="str">
        <f ca="1">IFERROR(__xludf.DUMMYFUNCTION("""COMPUTED_VALUE"""),"
ByteFlow (W)
+ БП PB700B (W) 80+ BRONZE")</f>
        <v xml:space="preserve">
ByteFlow (W)
+ БП PB700B (W) 80+ BRONZE</v>
      </c>
      <c r="B1598" s="16" t="str">
        <f ca="1">IFERROR(__xludf.DUMMYFUNCTION("""COMPUTED_VALUE"""),"")</f>
        <v/>
      </c>
      <c r="C1598" s="16" t="str">
        <f ca="1">IFERROR(__xludf.DUMMYFUNCTION("""COMPUTED_VALUE"""),"78,")</f>
        <v>78,</v>
      </c>
    </row>
    <row r="1599" spans="1:3" ht="15.75" customHeight="1">
      <c r="A1599" s="16" t="str">
        <f ca="1">IFERROR(__xludf.DUMMYFUNCTION("""COMPUTED_VALUE"""),"
Vision ATX WJ33
+ БП PG1000 (B) 80+ GOLD")</f>
        <v xml:space="preserve">
Vision ATX WJ33
+ БП PG1000 (B) 80+ GOLD</v>
      </c>
      <c r="B1599" s="16" t="str">
        <f ca="1">IFERROR(__xludf.DUMMYFUNCTION("""COMPUTED_VALUE"""),"")</f>
        <v/>
      </c>
      <c r="C1599" s="16" t="str">
        <f ca="1">IFERROR(__xludf.DUMMYFUNCTION("""COMPUTED_VALUE"""),"160,")</f>
        <v>160,</v>
      </c>
    </row>
    <row r="1600" spans="1:3" ht="15.75" customHeight="1">
      <c r="A1600" s="16" t="str">
        <f ca="1">IFERROR(__xludf.DUMMYFUNCTION("""COMPUTED_VALUE"""),"Mistral S4B
(CMSB-L4)")</f>
        <v>Mistral S4B
(CMSB-L4)</v>
      </c>
      <c r="B1600" s="16" t="str">
        <f ca="1">IFERROR(__xludf.DUMMYFUNCTION("""COMPUTED_VALUE"""),"")</f>
        <v/>
      </c>
      <c r="C1600" s="16" t="str">
        <f ca="1">IFERROR(__xludf.DUMMYFUNCTION("""COMPUTED_VALUE"""),"29,")</f>
        <v>29,</v>
      </c>
    </row>
    <row r="1601" spans="1:3" ht="15.75" customHeight="1">
      <c r="A1601" s="16" t="str">
        <f ca="1">IFERROR(__xludf.DUMMYFUNCTION("""COMPUTED_VALUE"""),"Mistral AY3B ARGB
(CMAYB-A3)")</f>
        <v>Mistral AY3B ARGB
(CMAYB-A3)</v>
      </c>
      <c r="B1601" s="16" t="str">
        <f ca="1">IFERROR(__xludf.DUMMYFUNCTION("""COMPUTED_VALUE"""),"")</f>
        <v/>
      </c>
      <c r="C1601" s="16" t="str">
        <f ca="1">IFERROR(__xludf.DUMMYFUNCTION("""COMPUTED_VALUE"""),"30,")</f>
        <v>30,</v>
      </c>
    </row>
    <row r="1602" spans="1:3" ht="15.75" customHeight="1">
      <c r="A1602" s="16" t="str">
        <f ca="1">IFERROR(__xludf.DUMMYFUNCTION("""COMPUTED_VALUE"""),"Mistral B415                                                                                 (CMAB415-A4)")</f>
        <v>Mistral B415                                                                                 (CMAB415-A4)</v>
      </c>
      <c r="B1602" s="16" t="str">
        <f ca="1">IFERROR(__xludf.DUMMYFUNCTION("""COMPUTED_VALUE"""),"")</f>
        <v/>
      </c>
      <c r="C1602" s="16" t="str">
        <f ca="1">IFERROR(__xludf.DUMMYFUNCTION("""COMPUTED_VALUE"""),"31,")</f>
        <v>31,</v>
      </c>
    </row>
    <row r="1603" spans="1:3" ht="15.75" customHeight="1">
      <c r="A1603" s="16" t="str">
        <f ca="1">IFERROR(__xludf.DUMMYFUNCTION("""COMPUTED_VALUE"""),"ByteFlow V2 (B)
(CBFB-A4-V2)")</f>
        <v>ByteFlow V2 (B)
(CBFB-A4-V2)</v>
      </c>
      <c r="B1603" s="16" t="str">
        <f ca="1">IFERROR(__xludf.DUMMYFUNCTION("""COMPUTED_VALUE"""),"")</f>
        <v/>
      </c>
      <c r="C1603" s="16" t="str">
        <f ca="1">IFERROR(__xludf.DUMMYFUNCTION("""COMPUTED_VALUE"""),"36,")</f>
        <v>36,</v>
      </c>
    </row>
    <row r="1604" spans="1:3" ht="15.75" customHeight="1">
      <c r="A1604" s="16" t="str">
        <f ca="1">IFERROR(__xludf.DUMMYFUNCTION("""COMPUTED_VALUE"""),"PWM + ARGB
 контроллер
без пульта ДУ")</f>
        <v>PWM + ARGB
 контроллер
без пульта ДУ</v>
      </c>
      <c r="B1604" s="16" t="str">
        <f ca="1">IFERROR(__xludf.DUMMYFUNCTION("""COMPUTED_VALUE"""),"")</f>
        <v/>
      </c>
      <c r="C1604" s="16" t="str">
        <f ca="1">IFERROR(__xludf.DUMMYFUNCTION("""COMPUTED_VALUE"""),"4,")</f>
        <v>4,</v>
      </c>
    </row>
    <row r="1605" spans="1:3" ht="15.75" customHeight="1">
      <c r="A1605" s="16" t="str">
        <f ca="1">IFERROR(__xludf.DUMMYFUNCTION("""COMPUTED_VALUE"""),"ZX03-360 (B)")</f>
        <v>ZX03-360 (B)</v>
      </c>
      <c r="B1605" s="16" t="str">
        <f ca="1">IFERROR(__xludf.DUMMYFUNCTION("""COMPUTED_VALUE"""),"")</f>
        <v/>
      </c>
      <c r="C1605" s="16" t="str">
        <f ca="1">IFERROR(__xludf.DUMMYFUNCTION("""COMPUTED_VALUE"""),"42,")</f>
        <v>42,</v>
      </c>
    </row>
    <row r="1606" spans="1:3" ht="15.75" customHeight="1">
      <c r="A1606" s="16" t="str">
        <f ca="1">IFERROR(__xludf.DUMMYFUNCTION("""COMPUTED_VALUE"""),"ZX03-360 (W)")</f>
        <v>ZX03-360 (W)</v>
      </c>
      <c r="B1606" s="16" t="str">
        <f ca="1">IFERROR(__xludf.DUMMYFUNCTION("""COMPUTED_VALUE"""),"")</f>
        <v/>
      </c>
      <c r="C1606" s="16" t="str">
        <f ca="1">IFERROR(__xludf.DUMMYFUNCTION("""COMPUTED_VALUE"""),"44,")</f>
        <v>44,</v>
      </c>
    </row>
    <row r="1607" spans="1:3" ht="15.75" customHeight="1">
      <c r="A1607" s="16" t="str">
        <f ca="1">IFERROR(__xludf.DUMMYFUNCTION("""COMPUTED_VALUE"""),"ZAC01-R (B)")</f>
        <v>ZAC01-R (B)</v>
      </c>
      <c r="B1607" s="16" t="str">
        <f ca="1">IFERROR(__xludf.DUMMYFUNCTION("""COMPUTED_VALUE"""),"")</f>
        <v/>
      </c>
      <c r="C1607" s="16" t="str">
        <f ca="1">IFERROR(__xludf.DUMMYFUNCTION("""COMPUTED_VALUE"""),"18,")</f>
        <v>18,</v>
      </c>
    </row>
    <row r="1608" spans="1:3" ht="15.75" customHeight="1">
      <c r="A1608" s="16" t="str">
        <f ca="1">IFERROR(__xludf.DUMMYFUNCTION("""COMPUTED_VALUE"""),"ZAC01-T (B)")</f>
        <v>ZAC01-T (B)</v>
      </c>
      <c r="B1608" s="16" t="str">
        <f ca="1">IFERROR(__xludf.DUMMYFUNCTION("""COMPUTED_VALUE"""),"")</f>
        <v/>
      </c>
      <c r="C1608" s="16" t="str">
        <f ca="1">IFERROR(__xludf.DUMMYFUNCTION("""COMPUTED_VALUE"""),"18,")</f>
        <v>18,</v>
      </c>
    </row>
    <row r="1609" spans="1:3" ht="15.75" customHeight="1">
      <c r="A1609" s="16" t="str">
        <f ca="1">IFERROR(__xludf.DUMMYFUNCTION("""COMPUTED_VALUE"""),"ZAC01-T (W)")</f>
        <v>ZAC01-T (W)</v>
      </c>
      <c r="B1609" s="16" t="str">
        <f ca="1">IFERROR(__xludf.DUMMYFUNCTION("""COMPUTED_VALUE"""),"")</f>
        <v/>
      </c>
      <c r="C1609" s="16" t="str">
        <f ca="1">IFERROR(__xludf.DUMMYFUNCTION("""COMPUTED_VALUE"""),"19,")</f>
        <v>19,</v>
      </c>
    </row>
    <row r="1610" spans="1:3" ht="15.75" customHeight="1">
      <c r="A1610" s="16" t="str">
        <f ca="1">IFERROR(__xludf.DUMMYFUNCTION("""COMPUTED_VALUE"""),"ZAC02-R (B)")</f>
        <v>ZAC02-R (B)</v>
      </c>
      <c r="B1610" s="16" t="str">
        <f ca="1">IFERROR(__xludf.DUMMYFUNCTION("""COMPUTED_VALUE"""),"")</f>
        <v/>
      </c>
      <c r="C1610" s="16" t="str">
        <f ca="1">IFERROR(__xludf.DUMMYFUNCTION("""COMPUTED_VALUE"""),"30,")</f>
        <v>30,</v>
      </c>
    </row>
    <row r="1611" spans="1:3" ht="15.75" customHeight="1">
      <c r="A1611" s="16" t="str">
        <f ca="1">IFERROR(__xludf.DUMMYFUNCTION("""COMPUTED_VALUE"""),"ZAC02-T (W)")</f>
        <v>ZAC02-T (W)</v>
      </c>
      <c r="B1611" s="16" t="str">
        <f ca="1">IFERROR(__xludf.DUMMYFUNCTION("""COMPUTED_VALUE"""),"")</f>
        <v/>
      </c>
      <c r="C1611" s="16" t="str">
        <f ca="1">IFERROR(__xludf.DUMMYFUNCTION("""COMPUTED_VALUE"""),"31,")</f>
        <v>31,</v>
      </c>
    </row>
    <row r="1612" spans="1:3" ht="15.75" customHeight="1">
      <c r="A1612" s="16" t="str">
        <f ca="1">IFERROR(__xludf.DUMMYFUNCTION("""COMPUTED_VALUE"""),"Игравой стол Sharkoon Skiller SGD20 Gaming Desk (черный)")</f>
        <v>Игравой стол Sharkoon Skiller SGD20 Gaming Desk (черный)</v>
      </c>
      <c r="B1612" s="16" t="str">
        <f ca="1">IFERROR(__xludf.DUMMYFUNCTION("""COMPUTED_VALUE"""),"")</f>
        <v/>
      </c>
      <c r="C1612" s="16" t="str">
        <f ca="1">IFERROR(__xludf.DUMMYFUNCTION("""COMPUTED_VALUE"""),"260,")</f>
        <v>260,</v>
      </c>
    </row>
    <row r="1613" spans="1:3" ht="15.75" customHeight="1">
      <c r="A1613" s="16" t="str">
        <f ca="1">IFERROR(__xludf.DUMMYFUNCTION("""COMPUTED_VALUE"""),"Кресло - Sharkoon Skiller SGS20 Gaming Seat (black/blue/red)")</f>
        <v>Кресло - Sharkoon Skiller SGS20 Gaming Seat (black/blue/red)</v>
      </c>
      <c r="B1613" s="16" t="str">
        <f ca="1">IFERROR(__xludf.DUMMYFUNCTION("""COMPUTED_VALUE"""),"")</f>
        <v/>
      </c>
      <c r="C1613" s="16" t="str">
        <f ca="1">IFERROR(__xludf.DUMMYFUNCTION("""COMPUTED_VALUE"""),"215,")</f>
        <v>215,</v>
      </c>
    </row>
    <row r="1614" spans="1:3" ht="15.75" customHeight="1">
      <c r="A1614" s="16" t="str">
        <f ca="1">IFERROR(__xludf.DUMMYFUNCTION("""COMPUTED_VALUE"""),"Кресло - Sharkoon Skiller SGS30 (черный/белый/серый)")</f>
        <v>Кресло - Sharkoon Skiller SGS30 (черный/белый/серый)</v>
      </c>
      <c r="B1614" s="16" t="str">
        <f ca="1">IFERROR(__xludf.DUMMYFUNCTION("""COMPUTED_VALUE"""),"")</f>
        <v/>
      </c>
      <c r="C1614" s="16" t="str">
        <f ca="1">IFERROR(__xludf.DUMMYFUNCTION("""COMPUTED_VALUE"""),"300,")</f>
        <v>300,</v>
      </c>
    </row>
    <row r="1615" spans="1:3" ht="15.75" customHeight="1">
      <c r="A1615" s="16" t="str">
        <f ca="1">IFERROR(__xludf.DUMMYFUNCTION("""COMPUTED_VALUE"""),"Кресло - MSI MAG CH120")</f>
        <v>Кресло - MSI MAG CH120</v>
      </c>
      <c r="B1615" s="16" t="str">
        <f ca="1">IFERROR(__xludf.DUMMYFUNCTION("""COMPUTED_VALUE"""),"")</f>
        <v/>
      </c>
      <c r="C1615" s="16" t="str">
        <f ca="1">IFERROR(__xludf.DUMMYFUNCTION("""COMPUTED_VALUE"""),"225,")</f>
        <v>225,</v>
      </c>
    </row>
    <row r="1616" spans="1:3" ht="15.75" customHeight="1">
      <c r="A1616" s="16" t="str">
        <f ca="1">IFERROR(__xludf.DUMMYFUNCTION("""COMPUTED_VALUE"""),"Кресло - MSI MAG CH120 I")</f>
        <v>Кресло - MSI MAG CH120 I</v>
      </c>
      <c r="B1616" s="16" t="str">
        <f ca="1">IFERROR(__xludf.DUMMYFUNCTION("""COMPUTED_VALUE"""),"")</f>
        <v/>
      </c>
      <c r="C1616" s="16" t="str">
        <f ca="1">IFERROR(__xludf.DUMMYFUNCTION("""COMPUTED_VALUE"""),"225,")</f>
        <v>225,</v>
      </c>
    </row>
    <row r="1617" spans="1:3" ht="15.75" customHeight="1">
      <c r="A1617" s="16" t="str">
        <f ca="1">IFERROR(__xludf.DUMMYFUNCTION("""COMPUTED_VALUE"""),"Кресло - MSI MAG CH120 X")</f>
        <v>Кресло - MSI MAG CH120 X</v>
      </c>
      <c r="B1617" s="16" t="str">
        <f ca="1">IFERROR(__xludf.DUMMYFUNCTION("""COMPUTED_VALUE"""),"")</f>
        <v/>
      </c>
      <c r="C1617" s="16" t="str">
        <f ca="1">IFERROR(__xludf.DUMMYFUNCTION("""COMPUTED_VALUE"""),"225,")</f>
        <v>225,</v>
      </c>
    </row>
    <row r="1618" spans="1:3" ht="15.75" customHeight="1">
      <c r="A1618" s="16" t="str">
        <f ca="1">IFERROR(__xludf.DUMMYFUNCTION("""COMPUTED_VALUE"""),"Кресло DXRacer Black Prince Chair (GC-P132-N-F2-158)")</f>
        <v>Кресло DXRacer Black Prince Chair (GC-P132-N-F2-158)</v>
      </c>
      <c r="B1618" s="16" t="str">
        <f ca="1">IFERROR(__xludf.DUMMYFUNCTION("""COMPUTED_VALUE"""),"")</f>
        <v/>
      </c>
      <c r="C1618" s="16" t="str">
        <f ca="1">IFERROR(__xludf.DUMMYFUNCTION("""COMPUTED_VALUE"""),"175,")</f>
        <v>175,</v>
      </c>
    </row>
    <row r="1619" spans="1:3" ht="15.75" customHeight="1">
      <c r="A1619" s="16" t="str">
        <f ca="1">IFERROR(__xludf.DUMMYFUNCTION("""COMPUTED_VALUE"""),"Кресло DXRacer Black and White Prince Chair (GC-P132-NW-F2-158)")</f>
        <v>Кресло DXRacer Black and White Prince Chair (GC-P132-NW-F2-158)</v>
      </c>
      <c r="B1619" s="16" t="str">
        <f ca="1">IFERROR(__xludf.DUMMYFUNCTION("""COMPUTED_VALUE"""),"GC-P132-N-F2-158")</f>
        <v>GC-P132-N-F2-158</v>
      </c>
      <c r="C1619" s="16" t="str">
        <f ca="1">IFERROR(__xludf.DUMMYFUNCTION("""COMPUTED_VALUE"""),"175,")</f>
        <v>175,</v>
      </c>
    </row>
    <row r="1620" spans="1:3" ht="15.75" customHeight="1">
      <c r="A1620" s="16" t="str">
        <f ca="1">IFERROR(__xludf.DUMMYFUNCTION("""COMPUTED_VALUE"""),"Кресло DXRacer Red and Black Prince Chair (GC-P132-RN-F2-158)")</f>
        <v>Кресло DXRacer Red and Black Prince Chair (GC-P132-RN-F2-158)</v>
      </c>
      <c r="B1620" s="16" t="str">
        <f ca="1">IFERROR(__xludf.DUMMYFUNCTION("""COMPUTED_VALUE"""),"GC-P132-NW-F2-158")</f>
        <v>GC-P132-NW-F2-158</v>
      </c>
      <c r="C1620" s="16" t="str">
        <f ca="1">IFERROR(__xludf.DUMMYFUNCTION("""COMPUTED_VALUE"""),"175,")</f>
        <v>175,</v>
      </c>
    </row>
    <row r="1621" spans="1:3" ht="15.75" customHeight="1">
      <c r="A1621" s="16" t="str">
        <f ca="1">IFERROR(__xludf.DUMMYFUNCTION("""COMPUTED_VALUE"""),"Кресло DXRacer Black and Red Gladiator Chair (GC-G001-NR-B2-423)")</f>
        <v>Кресло DXRacer Black and Red Gladiator Chair (GC-G001-NR-B2-423)</v>
      </c>
      <c r="B1621" s="16" t="str">
        <f ca="1">IFERROR(__xludf.DUMMYFUNCTION("""COMPUTED_VALUE"""),"GC-P132-RN-F2-158")</f>
        <v>GC-P132-RN-F2-158</v>
      </c>
      <c r="C1621" s="16" t="str">
        <f ca="1">IFERROR(__xludf.DUMMYFUNCTION("""COMPUTED_VALUE"""),"230,")</f>
        <v>230,</v>
      </c>
    </row>
    <row r="1622" spans="1:3" ht="15.75" customHeight="1">
      <c r="A1622" s="16" t="str">
        <f ca="1">IFERROR(__xludf.DUMMYFUNCTION("""COMPUTED_VALUE"""),"Кресло DXRacer Black and Blue Gladiator Chair (GC-G001-NB-B2-423)")</f>
        <v>Кресло DXRacer Black and Blue Gladiator Chair (GC-G001-NB-B2-423)</v>
      </c>
      <c r="B1622" s="16" t="str">
        <f ca="1">IFERROR(__xludf.DUMMYFUNCTION("""COMPUTED_VALUE"""),"GC-G001-NR-B2-423")</f>
        <v>GC-G001-NR-B2-423</v>
      </c>
      <c r="C1622" s="16" t="str">
        <f ca="1">IFERROR(__xludf.DUMMYFUNCTION("""COMPUTED_VALUE"""),"230,")</f>
        <v>230,</v>
      </c>
    </row>
    <row r="1623" spans="1:3" ht="15.75" customHeight="1">
      <c r="A1623" s="16" t="str">
        <f ca="1">IFERROR(__xludf.DUMMYFUNCTION("""COMPUTED_VALUE"""),"Кресло DXRacer Black and White Gladiator Chair (GC-G001-NW-B2-423)")</f>
        <v>Кресло DXRacer Black and White Gladiator Chair (GC-G001-NW-B2-423)</v>
      </c>
      <c r="B1623" s="16" t="str">
        <f ca="1">IFERROR(__xludf.DUMMYFUNCTION("""COMPUTED_VALUE"""),"GC-G001-NB-B2-423")</f>
        <v>GC-G001-NB-B2-423</v>
      </c>
      <c r="C1623" s="16" t="str">
        <f ca="1">IFERROR(__xludf.DUMMYFUNCTION("""COMPUTED_VALUE"""),"230,")</f>
        <v>230,</v>
      </c>
    </row>
    <row r="1624" spans="1:3" ht="15.75" customHeight="1">
      <c r="A1624" s="16" t="str">
        <f ca="1">IFERROR(__xludf.DUMMYFUNCTION("""COMPUTED_VALUE"""),"Кресло DXRacer Full Red Master Chair (DMC-I238S-R-A1)")</f>
        <v>Кресло DXRacer Full Red Master Chair (DMC-I238S-R-A1)</v>
      </c>
      <c r="B1624" s="16" t="str">
        <f ca="1">IFERROR(__xludf.DUMMYFUNCTION("""COMPUTED_VALUE"""),"DMC-I238S-N-N1-A1")</f>
        <v>DMC-I238S-N-N1-A1</v>
      </c>
      <c r="C1624" s="16" t="str">
        <f ca="1">IFERROR(__xludf.DUMMYFUNCTION("""COMPUTED_VALUE"""),"330,")</f>
        <v>330,</v>
      </c>
    </row>
    <row r="1625" spans="1:3" ht="15.75" customHeight="1">
      <c r="A1625" s="16" t="str">
        <f ca="1">IFERROR(__xludf.DUMMYFUNCTION("""COMPUTED_VALUE"""),"Кресло DXRacer White and Black Master Chair (DMC-I238S-WN-A1)")</f>
        <v>Кресло DXRacer White and Black Master Chair (DMC-I238S-WN-A1)</v>
      </c>
      <c r="B1625" s="16" t="str">
        <f ca="1">IFERROR(__xludf.DUMMYFUNCTION("""COMPUTED_VALUE"""),"DMC-I238S-R-A1")</f>
        <v>DMC-I238S-R-A1</v>
      </c>
      <c r="C1625" s="16" t="str">
        <f ca="1">IFERROR(__xludf.DUMMYFUNCTION("""COMPUTED_VALUE"""),"330,")</f>
        <v>330,</v>
      </c>
    </row>
    <row r="1626" spans="1:3" ht="15.75" customHeight="1">
      <c r="A1626" s="16" t="str">
        <f ca="1">IFERROR(__xludf.DUMMYFUNCTION("""COMPUTED_VALUE"""),"Кресло DXRacer Full Black Master Chair - Fabric (DMC-I239S-NF-A1)")</f>
        <v>Кресло DXRacer Full Black Master Chair - Fabric (DMC-I239S-NF-A1)</v>
      </c>
      <c r="B1626" s="16" t="str">
        <f ca="1">IFERROR(__xludf.DUMMYFUNCTION("""COMPUTED_VALUE"""),"DMC-I238S-WN-A1")</f>
        <v>DMC-I238S-WN-A1</v>
      </c>
      <c r="C1626" s="16" t="str">
        <f ca="1">IFERROR(__xludf.DUMMYFUNCTION("""COMPUTED_VALUE"""),"330,")</f>
        <v>330,</v>
      </c>
    </row>
    <row r="1627" spans="1:3" ht="15.75" customHeight="1">
      <c r="A1627" s="16" t="str">
        <f ca="1">IFERROR(__xludf.DUMMYFUNCTION("""COMPUTED_VALUE"""),"Кресло DXRacer Full Purple Master Chair (DMC-I239S-V-A1)")</f>
        <v>Кресло DXRacer Full Purple Master Chair (DMC-I239S-V-A1)</v>
      </c>
      <c r="B1627" s="16" t="str">
        <f ca="1">IFERROR(__xludf.DUMMYFUNCTION("""COMPUTED_VALUE"""),"DMC-I239S-NF-A1")</f>
        <v>DMC-I239S-NF-A1</v>
      </c>
      <c r="C1627" s="16" t="str">
        <f ca="1">IFERROR(__xludf.DUMMYFUNCTION("""COMPUTED_VALUE"""),"330,")</f>
        <v>330,</v>
      </c>
    </row>
    <row r="1628" spans="1:3" ht="15.75" customHeight="1">
      <c r="A1628" s="16" t="str">
        <f ca="1">IFERROR(__xludf.DUMMYFUNCTION("""COMPUTED_VALUE"""),"Кресло DXRacer Full Black Craft Pro Chair (GC-CRA-PRO-N)")</f>
        <v>Кресло DXRacer Full Black Craft Pro Chair (GC-CRA-PRO-N)</v>
      </c>
      <c r="B1628" s="16" t="str">
        <f ca="1">IFERROR(__xludf.DUMMYFUNCTION("""COMPUTED_VALUE"""),"DMC-I239S-V-A1")</f>
        <v>DMC-I239S-V-A1</v>
      </c>
      <c r="C1628" s="16" t="str">
        <f ca="1">IFERROR(__xludf.DUMMYFUNCTION("""COMPUTED_VALUE"""),"300,")</f>
        <v>300,</v>
      </c>
    </row>
    <row r="1629" spans="1:3" ht="15.75" customHeight="1">
      <c r="A1629" s="16" t="str">
        <f ca="1">IFERROR(__xludf.DUMMYFUNCTION("""COMPUTED_VALUE"""),"Кресло DXRacer Full Yellow Craft Pro Chair (GC-CRA-PRO-Y)")</f>
        <v>Кресло DXRacer Full Yellow Craft Pro Chair (GC-CRA-PRO-Y)</v>
      </c>
      <c r="B1629" s="16" t="str">
        <f ca="1">IFERROR(__xludf.DUMMYFUNCTION("""COMPUTED_VALUE"""),"")</f>
        <v/>
      </c>
      <c r="C1629" s="16" t="str">
        <f ca="1">IFERROR(__xludf.DUMMYFUNCTION("""COMPUTED_VALUE"""),"300,")</f>
        <v>300,</v>
      </c>
    </row>
    <row r="1630" spans="1:3" ht="15.75" customHeight="1">
      <c r="A1630" s="16" t="str">
        <f ca="1">IFERROR(__xludf.DUMMYFUNCTION("""COMPUTED_VALUE"""),"Кресло DXRacer Full Orange Craft Pro Chair (GC-CRA-PRO-O)")</f>
        <v>Кресло DXRacer Full Orange Craft Pro Chair (GC-CRA-PRO-O)</v>
      </c>
      <c r="B1630" s="16" t="str">
        <f ca="1">IFERROR(__xludf.DUMMYFUNCTION("""COMPUTED_VALUE"""),"")</f>
        <v/>
      </c>
      <c r="C1630" s="16" t="str">
        <f ca="1">IFERROR(__xludf.DUMMYFUNCTION("""COMPUTED_VALUE"""),"300,")</f>
        <v>300,</v>
      </c>
    </row>
    <row r="1631" spans="1:3" ht="15.75" customHeight="1">
      <c r="A1631" s="16" t="str">
        <f ca="1">IFERROR(__xludf.DUMMYFUNCTION("""COMPUTED_VALUE"""),"Кресло DXRacer Full Pink Craft Pro Chair (GC-CRA-PRO-P)")</f>
        <v>Кресло DXRacer Full Pink Craft Pro Chair (GC-CRA-PRO-P)</v>
      </c>
      <c r="B1631" s="16" t="str">
        <f ca="1">IFERROR(__xludf.DUMMYFUNCTION("""COMPUTED_VALUE"""),"")</f>
        <v/>
      </c>
      <c r="C1631" s="16" t="str">
        <f ca="1">IFERROR(__xludf.DUMMYFUNCTION("""COMPUTED_VALUE"""),"300,")</f>
        <v>300,</v>
      </c>
    </row>
    <row r="1632" spans="1:3" ht="15.75" customHeight="1">
      <c r="A1632" s="16" t="str">
        <f ca="1">IFERROR(__xludf.DUMMYFUNCTION("""COMPUTED_VALUE"""),"Кресло DXRacer Fabric Gray Craft Pro Chair (GC-CRA-PRO-NG)")</f>
        <v>Кресло DXRacer Fabric Gray Craft Pro Chair (GC-CRA-PRO-NG)</v>
      </c>
      <c r="B1632" s="16" t="str">
        <f ca="1">IFERROR(__xludf.DUMMYFUNCTION("""COMPUTED_VALUE"""),"")</f>
        <v/>
      </c>
      <c r="C1632" s="16" t="str">
        <f ca="1">IFERROR(__xludf.DUMMYFUNCTION("""COMPUTED_VALUE"""),"300,")</f>
        <v>300,</v>
      </c>
    </row>
    <row r="1633" spans="1:3" ht="15.75" customHeight="1">
      <c r="A1633" s="16" t="str">
        <f ca="1">IFERROR(__xludf.DUMMYFUNCTION("""COMPUTED_VALUE"""),"Elite V3 500W")</f>
        <v>Elite V3 500W</v>
      </c>
      <c r="B1633" s="16" t="str">
        <f ca="1">IFERROR(__xludf.DUMMYFUNCTION("""COMPUTED_VALUE"""),"")</f>
        <v/>
      </c>
      <c r="C1633" s="16" t="str">
        <f ca="1">IFERROR(__xludf.DUMMYFUNCTION("""COMPUTED_VALUE"""),"33,")</f>
        <v>33,</v>
      </c>
    </row>
    <row r="1634" spans="1:3" ht="15.75" customHeight="1">
      <c r="A1634" s="16" t="str">
        <f ca="1">IFERROR(__xludf.DUMMYFUNCTION("""COMPUTED_VALUE"""),"Elite V3 600W")</f>
        <v>Elite V3 600W</v>
      </c>
      <c r="B1634" s="16" t="str">
        <f ca="1">IFERROR(__xludf.DUMMYFUNCTION("""COMPUTED_VALUE"""),"")</f>
        <v/>
      </c>
      <c r="C1634" s="16" t="str">
        <f ca="1">IFERROR(__xludf.DUMMYFUNCTION("""COMPUTED_VALUE"""),"40,")</f>
        <v>40,</v>
      </c>
    </row>
    <row r="1635" spans="1:3" ht="15.75" customHeight="1">
      <c r="A1635" s="16" t="str">
        <f ca="1">IFERROR(__xludf.DUMMYFUNCTION("""COMPUTED_VALUE"""),"Gold 1250W 80 Plus Gold")</f>
        <v>Gold 1250W 80 Plus Gold</v>
      </c>
      <c r="B1635" s="16" t="str">
        <f ca="1">IFERROR(__xludf.DUMMYFUNCTION("""COMPUTED_VALUE"""),"")</f>
        <v/>
      </c>
      <c r="C1635" s="16" t="str">
        <f ca="1">IFERROR(__xludf.DUMMYFUNCTION("""COMPUTED_VALUE"""),"185,")</f>
        <v>185,</v>
      </c>
    </row>
    <row r="1636" spans="1:3" ht="15.75" customHeight="1">
      <c r="A1636" s="16" t="str">
        <f ca="1">IFERROR(__xludf.DUMMYFUNCTION("""COMPUTED_VALUE"""),"CMP510 с БП 650W CP510-KGNN65-S00")</f>
        <v>CMP510 с БП 650W CP510-KGNN65-S00</v>
      </c>
      <c r="B1636" s="16" t="str">
        <f ca="1">IFERROR(__xludf.DUMMYFUNCTION("""COMPUTED_VALUE"""),"CP510-KGNN65-S00")</f>
        <v>CP510-KGNN65-S00</v>
      </c>
      <c r="C1636" s="16" t="str">
        <f ca="1">IFERROR(__xludf.DUMMYFUNCTION("""COMPUTED_VALUE"""),"93,")</f>
        <v>93,</v>
      </c>
    </row>
    <row r="1637" spans="1:3" ht="15.75" customHeight="1">
      <c r="A1637" s="16" t="str">
        <f ca="1">IFERROR(__xludf.DUMMYFUNCTION("""COMPUTED_VALUE"""),"COSMOS INFINITY 30th anniversary CPT                        MCC-C700M-KHNN-SL1")</f>
        <v>COSMOS INFINITY 30th anniversary CPT                        MCC-C700M-KHNN-SL1</v>
      </c>
      <c r="B1637" s="16" t="str">
        <f ca="1">IFERROR(__xludf.DUMMYFUNCTION("""COMPUTED_VALUE"""),"MCC-C700M-KHNN-SL1")</f>
        <v>MCC-C700M-KHNN-SL1</v>
      </c>
      <c r="C1637" s="16" t="str">
        <f ca="1">IFERROR(__xludf.DUMMYFUNCTION("""COMPUTED_VALUE"""),"1140,")</f>
        <v>1140,</v>
      </c>
    </row>
    <row r="1638" spans="1:3" ht="15.75" customHeight="1">
      <c r="A1638" s="16" t="str">
        <f ca="1">IFERROR(__xludf.DUMMYFUNCTION("""COMPUTED_VALUE"""),"Cosmos C700M  MCC-C700M-MG5N-S00")</f>
        <v>Cosmos C700M  MCC-C700M-MG5N-S00</v>
      </c>
      <c r="B1638" s="16" t="str">
        <f ca="1">IFERROR(__xludf.DUMMYFUNCTION("""COMPUTED_VALUE"""),"MCC-C700M-MG5N-S00")</f>
        <v>MCC-C700M-MG5N-S00</v>
      </c>
      <c r="C1638" s="16" t="str">
        <f ca="1">IFERROR(__xludf.DUMMYFUNCTION("""COMPUTED_VALUE"""),"420,")</f>
        <v>420,</v>
      </c>
    </row>
    <row r="1639" spans="1:3" ht="15.75" customHeight="1">
      <c r="A1639" s="16" t="str">
        <f ca="1">IFERROR(__xludf.DUMMYFUNCTION("""COMPUTED_VALUE"""),"Cosmos C700P Black Ed. MCC-C700P-KG5N-S00")</f>
        <v>Cosmos C700P Black Ed. MCC-C700P-KG5N-S00</v>
      </c>
      <c r="B1639" s="16" t="str">
        <f ca="1">IFERROR(__xludf.DUMMYFUNCTION("""COMPUTED_VALUE"""),"MCC-C700P-KG5N-S00")</f>
        <v>MCC-C700P-KG5N-S00</v>
      </c>
      <c r="C1639" s="16" t="str">
        <f ca="1">IFERROR(__xludf.DUMMYFUNCTION("""COMPUTED_VALUE"""),"300,")</f>
        <v>300,</v>
      </c>
    </row>
    <row r="1640" spans="1:3" ht="15.75" customHeight="1">
      <c r="A1640" s="16" t="str">
        <f ca="1">IFERROR(__xludf.DUMMYFUNCTION("""COMPUTED_VALUE"""),"MasterFrame 700 MCF-MF700-KGNN-S00 ")</f>
        <v xml:space="preserve">MasterFrame 700 MCF-MF700-KGNN-S00 </v>
      </c>
      <c r="B1640" s="16" t="str">
        <f ca="1">IFERROR(__xludf.DUMMYFUNCTION("""COMPUTED_VALUE"""),"MCF-MF700-KGNN-S00 ")</f>
        <v xml:space="preserve">MCF-MF700-KGNN-S00 </v>
      </c>
      <c r="C1640" s="16" t="str">
        <f ca="1">IFERROR(__xludf.DUMMYFUNCTION("""COMPUTED_VALUE"""),"160,")</f>
        <v>160,</v>
      </c>
    </row>
    <row r="1641" spans="1:3" ht="15.75" customHeight="1">
      <c r="A1641" s="16" t="str">
        <f ca="1">IFERROR(__xludf.DUMMYFUNCTION("""COMPUTED_VALUE""")," H500 Black H500-KGNN-S00")</f>
        <v xml:space="preserve"> H500 Black H500-KGNN-S00</v>
      </c>
      <c r="B1641" s="16" t="str">
        <f ca="1">IFERROR(__xludf.DUMMYFUNCTION("""COMPUTED_VALUE"""),"H500-KGNN-S00")</f>
        <v>H500-KGNN-S00</v>
      </c>
      <c r="C1641" s="16" t="str">
        <f ca="1">IFERROR(__xludf.DUMMYFUNCTION("""COMPUTED_VALUE"""),"96,")</f>
        <v>96,</v>
      </c>
    </row>
    <row r="1642" spans="1:3" ht="15.75" customHeight="1">
      <c r="A1642" s="16" t="str">
        <f ca="1">IFERROR(__xludf.DUMMYFUNCTION("""COMPUTED_VALUE""")," H500 white H500-WGNN-S00")</f>
        <v xml:space="preserve"> H500 white H500-WGNN-S00</v>
      </c>
      <c r="B1642" s="16" t="str">
        <f ca="1">IFERROR(__xludf.DUMMYFUNCTION("""COMPUTED_VALUE"""),"H500-WGNN-S00")</f>
        <v>H500-WGNN-S00</v>
      </c>
      <c r="C1642" s="16" t="str">
        <f ca="1">IFERROR(__xludf.DUMMYFUNCTION("""COMPUTED_VALUE"""),"96,")</f>
        <v>96,</v>
      </c>
    </row>
    <row r="1643" spans="1:3" ht="15.75" customHeight="1">
      <c r="A1643" s="16" t="str">
        <f ca="1">IFERROR(__xludf.DUMMYFUNCTION("""COMPUTED_VALUE"""),"TD500 V2 black TD500V2-KGNN-S00")</f>
        <v>TD500 V2 black TD500V2-KGNN-S00</v>
      </c>
      <c r="B1643" s="16" t="str">
        <f ca="1">IFERROR(__xludf.DUMMYFUNCTION("""COMPUTED_VALUE"""),"TD500V2-KGNN-S00")</f>
        <v>TD500V2-KGNN-S00</v>
      </c>
      <c r="C1643" s="16" t="str">
        <f ca="1">IFERROR(__xludf.DUMMYFUNCTION("""COMPUTED_VALUE"""),"73,")</f>
        <v>73,</v>
      </c>
    </row>
    <row r="1644" spans="1:3" ht="15.75" customHeight="1">
      <c r="A1644" s="16" t="str">
        <f ca="1">IFERROR(__xludf.DUMMYFUNCTION("""COMPUTED_VALUE"""),"TD500 V2 white TD500V2-WGNN-S00")</f>
        <v>TD500 V2 white TD500V2-WGNN-S00</v>
      </c>
      <c r="B1644" s="16" t="str">
        <f ca="1">IFERROR(__xludf.DUMMYFUNCTION("""COMPUTED_VALUE"""),"TD500V2-WGNN-S00")</f>
        <v>TD500V2-WGNN-S00</v>
      </c>
      <c r="C1644" s="16" t="str">
        <f ca="1">IFERROR(__xludf.DUMMYFUNCTION("""COMPUTED_VALUE"""),"73,")</f>
        <v>73,</v>
      </c>
    </row>
    <row r="1645" spans="1:3" ht="15.75" customHeight="1">
      <c r="A1645" s="16" t="str">
        <f ca="1">IFERROR(__xludf.DUMMYFUNCTION("""COMPUTED_VALUE"""),"Q500 black Q500-KGNN-S00 ")</f>
        <v xml:space="preserve">Q500 black Q500-KGNN-S00 </v>
      </c>
      <c r="B1645" s="16" t="str">
        <f ca="1">IFERROR(__xludf.DUMMYFUNCTION("""COMPUTED_VALUE"""),"Q500-KGNN-S00 ")</f>
        <v xml:space="preserve">Q500-KGNN-S00 </v>
      </c>
      <c r="C1645" s="16" t="str">
        <f ca="1">IFERROR(__xludf.DUMMYFUNCTION("""COMPUTED_VALUE"""),"69,")</f>
        <v>69,</v>
      </c>
    </row>
    <row r="1646" spans="1:3" ht="15.75" customHeight="1">
      <c r="A1646" s="16" t="str">
        <f ca="1">IFERROR(__xludf.DUMMYFUNCTION("""COMPUTED_VALUE"""),"Q500 Macaron Edition Q500-DGNN-S00")</f>
        <v>Q500 Macaron Edition Q500-DGNN-S00</v>
      </c>
      <c r="B1646" s="16" t="str">
        <f ca="1">IFERROR(__xludf.DUMMYFUNCTION("""COMPUTED_VALUE"""),"Q500-DGNN-S00")</f>
        <v>Q500-DGNN-S00</v>
      </c>
      <c r="C1646" s="16" t="str">
        <f ca="1">IFERROR(__xludf.DUMMYFUNCTION("""COMPUTED_VALUE"""),"79,")</f>
        <v>79,</v>
      </c>
    </row>
    <row r="1647" spans="1:3" ht="15.75" customHeight="1">
      <c r="A1647" s="16" t="str">
        <f ca="1">IFERROR(__xludf.DUMMYFUNCTION("""COMPUTED_VALUE"""),"CP520 CP520-KGNN-S00 ")</f>
        <v xml:space="preserve">CP520 CP520-KGNN-S00 </v>
      </c>
      <c r="B1647" s="16" t="str">
        <f ca="1">IFERROR(__xludf.DUMMYFUNCTION("""COMPUTED_VALUE"""),"CP520-KGNN-S00 ")</f>
        <v xml:space="preserve">CP520-KGNN-S00 </v>
      </c>
      <c r="C1647" s="16" t="str">
        <f ca="1">IFERROR(__xludf.DUMMYFUNCTION("""COMPUTED_VALUE"""),"53,")</f>
        <v>53,</v>
      </c>
    </row>
    <row r="1648" spans="1:3" ht="15.75" customHeight="1">
      <c r="A1648" s="16" t="str">
        <f ca="1">IFERROR(__xludf.DUMMYFUNCTION("""COMPUTED_VALUE"""),"Devastator 3 Plus SGB-3001-KKMF1-RU")</f>
        <v>Devastator 3 Plus SGB-3001-KKMF1-RU</v>
      </c>
      <c r="B1648" s="16" t="str">
        <f ca="1">IFERROR(__xludf.DUMMYFUNCTION("""COMPUTED_VALUE"""),"SGB-3001-KKMF1-RU")</f>
        <v>SGB-3001-KKMF1-RU</v>
      </c>
      <c r="C1648" s="16" t="str">
        <f ca="1">IFERROR(__xludf.DUMMYFUNCTION("""COMPUTED_VALUE"""),"36,")</f>
        <v>36,</v>
      </c>
    </row>
    <row r="1649" spans="1:3" ht="15.75" customHeight="1">
      <c r="A1649" s="16" t="str">
        <f ca="1">IFERROR(__xludf.DUMMYFUNCTION("""COMPUTED_VALUE"""),"MLW-D24M-A18PC-RW ML240L V2 RGB White Ed")</f>
        <v>MLW-D24M-A18PC-RW ML240L V2 RGB White Ed</v>
      </c>
      <c r="B1649" s="16" t="str">
        <f ca="1">IFERROR(__xludf.DUMMYFUNCTION("""COMPUTED_VALUE"""),"MLW-D24M-A18PC-RW")</f>
        <v>MLW-D24M-A18PC-RW</v>
      </c>
      <c r="C1649" s="16" t="str">
        <f ca="1">IFERROR(__xludf.DUMMYFUNCTION("""COMPUTED_VALUE"""),"45,")</f>
        <v>45,</v>
      </c>
    </row>
    <row r="1650" spans="1:3" ht="15.75" customHeight="1">
      <c r="A1650" s="16" t="str">
        <f ca="1">IFERROR(__xludf.DUMMYFUNCTION("""COMPUTED_VALUE"""),"Клавиатура проводная Redragon CENTAUR K506-1")</f>
        <v>Клавиатура проводная Redragon CENTAUR K506-1</v>
      </c>
      <c r="B1650" s="16" t="str">
        <f ca="1">IFERROR(__xludf.DUMMYFUNCTION("""COMPUTED_VALUE"""),"")</f>
        <v/>
      </c>
      <c r="C1650" s="16" t="str">
        <f ca="1">IFERROR(__xludf.DUMMYFUNCTION("""COMPUTED_VALUE"""),"17,")</f>
        <v>17,</v>
      </c>
    </row>
    <row r="1651" spans="1:3" ht="15.75" customHeight="1">
      <c r="A1651" s="16" t="str">
        <f ca="1">IFERROR(__xludf.DUMMYFUNCTION("""COMPUTED_VALUE"""),"Клавиатура проводная Redragon KARURA-2 K502RGB")</f>
        <v>Клавиатура проводная Redragon KARURA-2 K502RGB</v>
      </c>
      <c r="B1651" s="16" t="str">
        <f ca="1">IFERROR(__xludf.DUMMYFUNCTION("""COMPUTED_VALUE"""),"")</f>
        <v/>
      </c>
      <c r="C1651" s="16" t="str">
        <f ca="1">IFERROR(__xludf.DUMMYFUNCTION("""COMPUTED_VALUE"""),"18,")</f>
        <v>18,</v>
      </c>
    </row>
    <row r="1652" spans="1:3" ht="15.75" customHeight="1">
      <c r="A1652" s="16" t="str">
        <f ca="1">IFERROR(__xludf.DUMMYFUNCTION("""COMPUTED_VALUE"""),"Клавиатура проводная Redragon ADITYA K513")</f>
        <v>Клавиатура проводная Redragon ADITYA K513</v>
      </c>
      <c r="B1652" s="16" t="str">
        <f ca="1">IFERROR(__xludf.DUMMYFUNCTION("""COMPUTED_VALUE"""),"")</f>
        <v/>
      </c>
      <c r="C1652" s="16" t="str">
        <f ca="1">IFERROR(__xludf.DUMMYFUNCTION("""COMPUTED_VALUE"""),"18,")</f>
        <v>18,</v>
      </c>
    </row>
    <row r="1653" spans="1:3" ht="15.75" customHeight="1">
      <c r="A1653" s="16" t="str">
        <f ca="1">IFERROR(__xludf.DUMMYFUNCTION("""COMPUTED_VALUE"""),"Клавиатура проводная Redragon SHIVA 98 K515-RGB (98%)")</f>
        <v>Клавиатура проводная Redragon SHIVA 98 K515-RGB (98%)</v>
      </c>
      <c r="B1653" s="16" t="str">
        <f ca="1">IFERROR(__xludf.DUMMYFUNCTION("""COMPUTED_VALUE"""),"")</f>
        <v/>
      </c>
      <c r="C1653" s="16" t="str">
        <f ca="1">IFERROR(__xludf.DUMMYFUNCTION("""COMPUTED_VALUE"""),"18,")</f>
        <v>18,</v>
      </c>
    </row>
    <row r="1654" spans="1:3" ht="15.75" customHeight="1">
      <c r="A1654" s="16" t="str">
        <f ca="1">IFERROR(__xludf.DUMMYFUNCTION("""COMPUTED_VALUE"""),"Клавиатура проводная Redragon SHIVA K512RGB (белого цвета)")</f>
        <v>Клавиатура проводная Redragon SHIVA K512RGB (белого цвета)</v>
      </c>
      <c r="B1654" s="16" t="str">
        <f ca="1">IFERROR(__xludf.DUMMYFUNCTION("""COMPUTED_VALUE"""),"")</f>
        <v/>
      </c>
      <c r="C1654" s="16" t="str">
        <f ca="1">IFERROR(__xludf.DUMMYFUNCTION("""COMPUTED_VALUE"""),"19,")</f>
        <v>19,</v>
      </c>
    </row>
    <row r="1655" spans="1:3" ht="15.75" customHeight="1">
      <c r="A1655" s="16" t="str">
        <f ca="1">IFERROR(__xludf.DUMMYFUNCTION("""COMPUTED_VALUE"""),"Комбо клавиатура+мышь+коврик Redragon S107-2")</f>
        <v>Комбо клавиатура+мышь+коврик Redragon S107-2</v>
      </c>
      <c r="B1655" s="16" t="str">
        <f ca="1">IFERROR(__xludf.DUMMYFUNCTION("""COMPUTED_VALUE"""),"")</f>
        <v/>
      </c>
      <c r="C1655" s="16" t="str">
        <f ca="1">IFERROR(__xludf.DUMMYFUNCTION("""COMPUTED_VALUE"""),"21,")</f>
        <v>21,</v>
      </c>
    </row>
    <row r="1656" spans="1:3" ht="15.75" customHeight="1">
      <c r="A1656" s="16" t="str">
        <f ca="1">IFERROR(__xludf.DUMMYFUNCTION("""COMPUTED_VALUE"""),"Беспроводное комбо клавиатура+мышь+коврик S107-KS")</f>
        <v>Беспроводное комбо клавиатура+мышь+коврик S107-KS</v>
      </c>
      <c r="B1656" s="16" t="str">
        <f ca="1">IFERROR(__xludf.DUMMYFUNCTION("""COMPUTED_VALUE"""),"")</f>
        <v/>
      </c>
      <c r="C1656" s="16" t="str">
        <f ca="1">IFERROR(__xludf.DUMMYFUNCTION("""COMPUTED_VALUE"""),"26,")</f>
        <v>26,</v>
      </c>
    </row>
    <row r="1657" spans="1:3" ht="15.75" customHeight="1">
      <c r="A1657" s="16" t="str">
        <f ca="1">IFERROR(__xludf.DUMMYFUNCTION("""COMPUTED_VALUE"""),"Механическая клавиатура Redragon FIZZ RGB K617 (60%)")</f>
        <v>Механическая клавиатура Redragon FIZZ RGB K617 (60%)</v>
      </c>
      <c r="B1657" s="16" t="str">
        <f ca="1">IFERROR(__xludf.DUMMYFUNCTION("""COMPUTED_VALUE"""),"")</f>
        <v/>
      </c>
      <c r="C1657" s="16" t="str">
        <f ca="1">IFERROR(__xludf.DUMMYFUNCTION("""COMPUTED_VALUE"""),"19,")</f>
        <v>19,</v>
      </c>
    </row>
    <row r="1658" spans="1:3" ht="15.75" customHeight="1">
      <c r="A1658" s="16" t="str">
        <f ca="1">IFERROR(__xludf.DUMMYFUNCTION("""COMPUTED_VALUE"""),"Механическая клавиатура KUMARA K552LGY-RGB")</f>
        <v>Механическая клавиатура KUMARA K552LGY-RGB</v>
      </c>
      <c r="B1658" s="16" t="str">
        <f ca="1">IFERROR(__xludf.DUMMYFUNCTION("""COMPUTED_VALUE"""),"")</f>
        <v/>
      </c>
      <c r="C1658" s="16" t="str">
        <f ca="1">IFERROR(__xludf.DUMMYFUNCTION("""COMPUTED_VALUE"""),"25,")</f>
        <v>25,</v>
      </c>
    </row>
    <row r="1659" spans="1:3" ht="15.75" customHeight="1">
      <c r="A1659" s="16" t="str">
        <f ca="1">IFERROR(__xludf.DUMMYFUNCTION("""COMPUTED_VALUE"""),"Механическая клавиатура Redragon MITRA K551RGB (blue switch)")</f>
        <v>Механическая клавиатура Redragon MITRA K551RGB (blue switch)</v>
      </c>
      <c r="B1659" s="16" t="str">
        <f ca="1">IFERROR(__xludf.DUMMYFUNCTION("""COMPUTED_VALUE"""),"")</f>
        <v/>
      </c>
      <c r="C1659" s="16" t="str">
        <f ca="1">IFERROR(__xludf.DUMMYFUNCTION("""COMPUTED_VALUE"""),"31,")</f>
        <v>31,</v>
      </c>
    </row>
    <row r="1660" spans="1:3" ht="15.75" customHeight="1">
      <c r="A1660" s="16" t="str">
        <f ca="1">IFERROR(__xludf.DUMMYFUNCTION("""COMPUTED_VALUE"""),"Механическая клавиатура KITAVA K636CLO-RGB (red switch)")</f>
        <v>Механическая клавиатура KITAVA K636CLO-RGB (red switch)</v>
      </c>
      <c r="B1660" s="16" t="str">
        <f ca="1">IFERROR(__xludf.DUMMYFUNCTION("""COMPUTED_VALUE"""),"")</f>
        <v/>
      </c>
      <c r="C1660" s="16" t="str">
        <f ca="1">IFERROR(__xludf.DUMMYFUNCTION("""COMPUTED_VALUE"""),"33,")</f>
        <v>33,</v>
      </c>
    </row>
    <row r="1661" spans="1:3" ht="15.75" customHeight="1">
      <c r="A1661" s="16" t="str">
        <f ca="1">IFERROR(__xludf.DUMMYFUNCTION("""COMPUTED_VALUE"""),"Механическая клавиатура Redragon SURARA K582 RGB (red switch)")</f>
        <v>Механическая клавиатура Redragon SURARA K582 RGB (red switch)</v>
      </c>
      <c r="B1661" s="16" t="str">
        <f ca="1">IFERROR(__xludf.DUMMYFUNCTION("""COMPUTED_VALUE"""),"")</f>
        <v/>
      </c>
      <c r="C1661" s="16" t="str">
        <f ca="1">IFERROR(__xludf.DUMMYFUNCTION("""COMPUTED_VALUE"""),"33,")</f>
        <v>33,</v>
      </c>
    </row>
    <row r="1662" spans="1:3" ht="15.75" customHeight="1">
      <c r="A1662" s="16" t="str">
        <f ca="1">IFERROR(__xludf.DUMMYFUNCTION("""COMPUTED_VALUE"""),"Мембранная беспроводная клавиатура SHIVA 87 Pro K516RGB-PRO")</f>
        <v>Мембранная беспроводная клавиатура SHIVA 87 Pro K516RGB-PRO</v>
      </c>
      <c r="B1662" s="16" t="str">
        <f ca="1">IFERROR(__xludf.DUMMYFUNCTION("""COMPUTED_VALUE"""),"")</f>
        <v/>
      </c>
      <c r="C1662" s="16" t="str">
        <f ca="1">IFERROR(__xludf.DUMMYFUNCTION("""COMPUTED_VALUE"""),"21,")</f>
        <v>21,</v>
      </c>
    </row>
    <row r="1663" spans="1:3" ht="15.75" customHeight="1">
      <c r="A1663" s="16" t="str">
        <f ca="1">IFERROR(__xludf.DUMMYFUNCTION("""COMPUTED_VALUE"""),"Механическая беспроводная клавиатура Redragon Anubis K539-RGB (slim/brown switch)")</f>
        <v>Механическая беспроводная клавиатура Redragon Anubis K539-RGB (slim/brown switch)</v>
      </c>
      <c r="B1663" s="16" t="str">
        <f ca="1">IFERROR(__xludf.DUMMYFUNCTION("""COMPUTED_VALUE"""),"")</f>
        <v/>
      </c>
      <c r="C1663" s="16" t="str">
        <f ca="1">IFERROR(__xludf.DUMMYFUNCTION("""COMPUTED_VALUE"""),"33,")</f>
        <v>33,</v>
      </c>
    </row>
    <row r="1664" spans="1:3" ht="15.75" customHeight="1">
      <c r="A1664" s="16" t="str">
        <f ca="1">IFERROR(__xludf.DUMMYFUNCTION("""COMPUTED_VALUE"""),"Механическая беспроводная клавиатура Redragon CYCLONE PRO K716BLY-RGB-PRO")</f>
        <v>Механическая беспроводная клавиатура Redragon CYCLONE PRO K716BLY-RGB-PRO</v>
      </c>
      <c r="B1664" s="16" t="str">
        <f ca="1">IFERROR(__xludf.DUMMYFUNCTION("""COMPUTED_VALUE"""),"")</f>
        <v/>
      </c>
      <c r="C1664" s="16" t="str">
        <f ca="1">IFERROR(__xludf.DUMMYFUNCTION("""COMPUTED_VALUE"""),"35,")</f>
        <v>35,</v>
      </c>
    </row>
    <row r="1665" spans="1:3" ht="15.75" customHeight="1">
      <c r="A1665" s="16" t="str">
        <f ca="1">IFERROR(__xludf.DUMMYFUNCTION("""COMPUTED_VALUE"""),"Механическая беспроводная клавиатура Redragon UCAL PRO K673SP-RGB-PRO  (75% / Gasket) grey switch")</f>
        <v>Механическая беспроводная клавиатура Redragon UCAL PRO K673SP-RGB-PRO  (75% / Gasket) grey switch</v>
      </c>
      <c r="B1665" s="16" t="str">
        <f ca="1">IFERROR(__xludf.DUMMYFUNCTION("""COMPUTED_VALUE"""),"")</f>
        <v/>
      </c>
      <c r="C1665" s="16" t="str">
        <f ca="1">IFERROR(__xludf.DUMMYFUNCTION("""COMPUTED_VALUE"""),"36,")</f>
        <v>36,</v>
      </c>
    </row>
    <row r="1666" spans="1:3" ht="15.75" customHeight="1">
      <c r="A1666" s="16" t="str">
        <f ca="1">IFERROR(__xludf.DUMMYFUNCTION("""COMPUTED_VALUE"""),"Механическая беспроводная клавиатура Redragon UCAL PRO K673WB-RGB-PRO (75% / Gasket) red switch")</f>
        <v>Механическая беспроводная клавиатура Redragon UCAL PRO K673WB-RGB-PRO (75% / Gasket) red switch</v>
      </c>
      <c r="B1666" s="16" t="str">
        <f ca="1">IFERROR(__xludf.DUMMYFUNCTION("""COMPUTED_VALUE"""),"")</f>
        <v/>
      </c>
      <c r="C1666" s="16" t="str">
        <f ca="1">IFERROR(__xludf.DUMMYFUNCTION("""COMPUTED_VALUE"""),"36,")</f>
        <v>36,</v>
      </c>
    </row>
    <row r="1667" spans="1:3" ht="15.75" customHeight="1">
      <c r="A1667" s="16" t="str">
        <f ca="1">IFERROR(__xludf.DUMMYFUNCTION("""COMPUTED_VALUE"""),"Магнитная беспроводная клавиатура Redragon EISA MAGNETIC K686BG-RGB-M")</f>
        <v>Магнитная беспроводная клавиатура Redragon EISA MAGNETIC K686BG-RGB-M</v>
      </c>
      <c r="B1667" s="16" t="str">
        <f ca="1">IFERROR(__xludf.DUMMYFUNCTION("""COMPUTED_VALUE"""),"")</f>
        <v/>
      </c>
      <c r="C1667" s="16" t="str">
        <f ca="1">IFERROR(__xludf.DUMMYFUNCTION("""COMPUTED_VALUE"""),"38,")</f>
        <v>38,</v>
      </c>
    </row>
    <row r="1668" spans="1:3" ht="15.75" customHeight="1">
      <c r="A1668" s="16" t="str">
        <f ca="1">IFERROR(__xludf.DUMMYFUNCTION("""COMPUTED_VALUE"""),"Механическая беспроводная клавиатура Redragon BEHEMOTH K724GBG-RGB-PRO (75% / Gasket / eng)")</f>
        <v>Механическая беспроводная клавиатура Redragon BEHEMOTH K724GBG-RGB-PRO (75% / Gasket / eng)</v>
      </c>
      <c r="B1668" s="16" t="str">
        <f ca="1">IFERROR(__xludf.DUMMYFUNCTION("""COMPUTED_VALUE"""),"")</f>
        <v/>
      </c>
      <c r="C1668" s="16" t="str">
        <f ca="1">IFERROR(__xludf.DUMMYFUNCTION("""COMPUTED_VALUE"""),"41,")</f>
        <v>41,</v>
      </c>
    </row>
    <row r="1669" spans="1:3" ht="15.75" customHeight="1">
      <c r="A1669" s="16" t="str">
        <f ca="1">IFERROR(__xludf.DUMMYFUNCTION("""COMPUTED_VALUE"""),"Механическая беспроводная клавиатура Redragon Cyrus PRO K681AGC-RGB-PRO ")</f>
        <v xml:space="preserve">Механическая беспроводная клавиатура Redragon Cyrus PRO K681AGC-RGB-PRO </v>
      </c>
      <c r="B1669" s="16" t="str">
        <f ca="1">IFERROR(__xludf.DUMMYFUNCTION("""COMPUTED_VALUE"""),"")</f>
        <v/>
      </c>
      <c r="C1669" s="16" t="str">
        <f ca="1">IFERROR(__xludf.DUMMYFUNCTION("""COMPUTED_VALUE"""),"41,")</f>
        <v>41,</v>
      </c>
    </row>
    <row r="1670" spans="1:3" ht="15.75" customHeight="1">
      <c r="A1670" s="16" t="str">
        <f ca="1">IFERROR(__xludf.DUMMYFUNCTION("""COMPUTED_VALUE"""),"Механическая беспроводная клавиатура Redragon EISA K686SP-RGB-PRO")</f>
        <v>Механическая беспроводная клавиатура Redragon EISA K686SP-RGB-PRO</v>
      </c>
      <c r="B1670" s="16" t="str">
        <f ca="1">IFERROR(__xludf.DUMMYFUNCTION("""COMPUTED_VALUE"""),"")</f>
        <v/>
      </c>
      <c r="C1670" s="16" t="str">
        <f ca="1">IFERROR(__xludf.DUMMYFUNCTION("""COMPUTED_VALUE"""),"41,")</f>
        <v>41,</v>
      </c>
    </row>
    <row r="1671" spans="1:3" ht="15.75" customHeight="1">
      <c r="A1671" s="16" t="str">
        <f ca="1">IFERROR(__xludf.DUMMYFUNCTION("""COMPUTED_VALUE"""),"Механическая беспроводная клавиатура Redragon EISA ANIME K686AK-RGB-PRO")</f>
        <v>Механическая беспроводная клавиатура Redragon EISA ANIME K686AK-RGB-PRO</v>
      </c>
      <c r="B1671" s="16" t="str">
        <f ca="1">IFERROR(__xludf.DUMMYFUNCTION("""COMPUTED_VALUE"""),"")</f>
        <v/>
      </c>
      <c r="C1671" s="16" t="str">
        <f ca="1">IFERROR(__xludf.DUMMYFUNCTION("""COMPUTED_VALUE"""),"46,")</f>
        <v>46,</v>
      </c>
    </row>
    <row r="1672" spans="1:3" ht="15.75" customHeight="1">
      <c r="A1672" s="16" t="str">
        <f ca="1">IFERROR(__xludf.DUMMYFUNCTION("""COMPUTED_VALUE"""),"Механическая беспроводная клавиатура Redragon FLEKACT PRO ART K708GF-RGB-PRO ")</f>
        <v xml:space="preserve">Механическая беспроводная клавиатура Redragon FLEKACT PRO ART K708GF-RGB-PRO </v>
      </c>
      <c r="B1672" s="16" t="str">
        <f ca="1">IFERROR(__xludf.DUMMYFUNCTION("""COMPUTED_VALUE"""),"")</f>
        <v/>
      </c>
      <c r="C1672" s="16" t="str">
        <f ca="1">IFERROR(__xludf.DUMMYFUNCTION("""COMPUTED_VALUE"""),"46,")</f>
        <v>46,</v>
      </c>
    </row>
    <row r="1673" spans="1:3" ht="15.75" customHeight="1">
      <c r="A1673" s="16" t="str">
        <f ca="1">IFERROR(__xludf.DUMMYFUNCTION("""COMPUTED_VALUE"""),"Механическая беспроводная клавиатура Redragon WYVERN LCD PRO K761WB-RGB-PRO")</f>
        <v>Механическая беспроводная клавиатура Redragon WYVERN LCD PRO K761WB-RGB-PRO</v>
      </c>
      <c r="B1673" s="16" t="str">
        <f ca="1">IFERROR(__xludf.DUMMYFUNCTION("""COMPUTED_VALUE"""),"")</f>
        <v/>
      </c>
      <c r="C1673" s="16" t="str">
        <f ca="1">IFERROR(__xludf.DUMMYFUNCTION("""COMPUTED_VALUE"""),"48,")</f>
        <v>48,</v>
      </c>
    </row>
    <row r="1674" spans="1:3" ht="15.75" customHeight="1">
      <c r="A1674" s="16" t="str">
        <f ca="1">IFERROR(__xludf.DUMMYFUNCTION("""COMPUTED_VALUE"""),"Механическая беспроводная клавиатура Redragon ARTEMIS PRO K719AK-RGB-PRO ")</f>
        <v xml:space="preserve">Механическая беспроводная клавиатура Redragon ARTEMIS PRO K719AK-RGB-PRO </v>
      </c>
      <c r="B1674" s="16" t="str">
        <f ca="1">IFERROR(__xludf.DUMMYFUNCTION("""COMPUTED_VALUE"""),"")</f>
        <v/>
      </c>
      <c r="C1674" s="16" t="str">
        <f ca="1">IFERROR(__xludf.DUMMYFUNCTION("""COMPUTED_VALUE"""),"50,")</f>
        <v>50,</v>
      </c>
    </row>
    <row r="1675" spans="1:3" ht="15.75" customHeight="1">
      <c r="A1675" s="16" t="str">
        <f ca="1">IFERROR(__xludf.DUMMYFUNCTION("""COMPUTED_VALUE"""),"Мышь проводная Redragon BLUDHOUND M617-LITE")</f>
        <v>Мышь проводная Redragon BLUDHOUND M617-LITE</v>
      </c>
      <c r="B1675" s="16" t="str">
        <f ca="1">IFERROR(__xludf.DUMMYFUNCTION("""COMPUTED_VALUE"""),"")</f>
        <v/>
      </c>
      <c r="C1675" s="16" t="str">
        <f ca="1">IFERROR(__xludf.DUMMYFUNCTION("""COMPUTED_VALUE"""),"10,")</f>
        <v>10,</v>
      </c>
    </row>
    <row r="1676" spans="1:3" ht="15.75" customHeight="1">
      <c r="A1676" s="16" t="str">
        <f ca="1">IFERROR(__xludf.DUMMYFUNCTION("""COMPUTED_VALUE"""),"Мышь проводная Redragon DEICIDE M816-RGB")</f>
        <v>Мышь проводная Redragon DEICIDE M816-RGB</v>
      </c>
      <c r="B1676" s="16" t="str">
        <f ca="1">IFERROR(__xludf.DUMMYFUNCTION("""COMPUTED_VALUE"""),"")</f>
        <v/>
      </c>
      <c r="C1676" s="16" t="str">
        <f ca="1">IFERROR(__xludf.DUMMYFUNCTION("""COMPUTED_VALUE"""),"11,")</f>
        <v>11,</v>
      </c>
    </row>
    <row r="1677" spans="1:3" ht="15.75" customHeight="1">
      <c r="A1677" s="16" t="str">
        <f ca="1">IFERROR(__xludf.DUMMYFUNCTION("""COMPUTED_VALUE"""),"Мышь проводная Redragon Ranger BASIC M910-K")</f>
        <v>Мышь проводная Redragon Ranger BASIC M910-K</v>
      </c>
      <c r="B1677" s="16" t="str">
        <f ca="1">IFERROR(__xludf.DUMMYFUNCTION("""COMPUTED_VALUE"""),"")</f>
        <v/>
      </c>
      <c r="C1677" s="16" t="str">
        <f ca="1">IFERROR(__xludf.DUMMYFUNCTION("""COMPUTED_VALUE"""),"13,")</f>
        <v>13,</v>
      </c>
    </row>
    <row r="1678" spans="1:3" ht="15.75" customHeight="1">
      <c r="A1678" s="16" t="str">
        <f ca="1">IFERROR(__xludf.DUMMYFUNCTION("""COMPUTED_VALUE"""),"Мышь проводная Redragon GRIFFIN M607")</f>
        <v>Мышь проводная Redragon GRIFFIN M607</v>
      </c>
      <c r="B1678" s="16" t="str">
        <f ca="1">IFERROR(__xludf.DUMMYFUNCTION("""COMPUTED_VALUE"""),"")</f>
        <v/>
      </c>
      <c r="C1678" s="16" t="str">
        <f ca="1">IFERROR(__xludf.DUMMYFUNCTION("""COMPUTED_VALUE"""),"13,")</f>
        <v>13,</v>
      </c>
    </row>
    <row r="1679" spans="1:3" ht="15.75" customHeight="1">
      <c r="A1679" s="16" t="str">
        <f ca="1">IFERROR(__xludf.DUMMYFUNCTION("""COMPUTED_VALUE"""),"Мышь проводная Redragon BOMBER M722")</f>
        <v>Мышь проводная Redragon BOMBER M722</v>
      </c>
      <c r="B1679" s="16" t="str">
        <f ca="1">IFERROR(__xludf.DUMMYFUNCTION("""COMPUTED_VALUE"""),"")</f>
        <v/>
      </c>
      <c r="C1679" s="16" t="str">
        <f ca="1">IFERROR(__xludf.DUMMYFUNCTION("""COMPUTED_VALUE"""),"13,")</f>
        <v>13,</v>
      </c>
    </row>
    <row r="1680" spans="1:3" ht="15.75" customHeight="1">
      <c r="A1680" s="16" t="str">
        <f ca="1">IFERROR(__xludf.DUMMYFUNCTION("""COMPUTED_VALUE"""),"Мышь проводная Redragon PREDATOR M612-RGB ")</f>
        <v xml:space="preserve">Мышь проводная Redragon PREDATOR M612-RGB </v>
      </c>
      <c r="B1680" s="16" t="str">
        <f ca="1">IFERROR(__xludf.DUMMYFUNCTION("""COMPUTED_VALUE"""),"")</f>
        <v/>
      </c>
      <c r="C1680" s="16" t="str">
        <f ca="1">IFERROR(__xludf.DUMMYFUNCTION("""COMPUTED_VALUE"""),"13,")</f>
        <v>13,</v>
      </c>
    </row>
    <row r="1681" spans="1:3" ht="15.75" customHeight="1">
      <c r="A1681" s="16" t="str">
        <f ca="1">IFERROR(__xludf.DUMMYFUNCTION("""COMPUTED_VALUE"""),"Мышь проводная Redragon INVADER M719")</f>
        <v>Мышь проводная Redragon INVADER M719</v>
      </c>
      <c r="B1681" s="16" t="str">
        <f ca="1">IFERROR(__xludf.DUMMYFUNCTION("""COMPUTED_VALUE"""),"")</f>
        <v/>
      </c>
      <c r="C1681" s="16" t="str">
        <f ca="1">IFERROR(__xludf.DUMMYFUNCTION("""COMPUTED_VALUE"""),"14,")</f>
        <v>14,</v>
      </c>
    </row>
    <row r="1682" spans="1:3" ht="15.75" customHeight="1">
      <c r="A1682" s="16" t="str">
        <f ca="1">IFERROR(__xludf.DUMMYFUNCTION("""COMPUTED_VALUE"""),"Мышь проводная Redragon Plank M812-RGB")</f>
        <v>Мышь проводная Redragon Plank M812-RGB</v>
      </c>
      <c r="B1682" s="16" t="str">
        <f ca="1">IFERROR(__xludf.DUMMYFUNCTION("""COMPUTED_VALUE"""),"")</f>
        <v/>
      </c>
      <c r="C1682" s="16" t="str">
        <f ca="1">IFERROR(__xludf.DUMMYFUNCTION("""COMPUTED_VALUE"""),"15,")</f>
        <v>15,</v>
      </c>
    </row>
    <row r="1683" spans="1:3" ht="15.75" customHeight="1">
      <c r="A1683" s="16" t="str">
        <f ca="1">IFERROR(__xludf.DUMMYFUNCTION("""COMPUTED_VALUE"""),"Мышь проводная Redragon COBRA Christmas (белого цвета)")</f>
        <v>Мышь проводная Redragon COBRA Christmas (белого цвета)</v>
      </c>
      <c r="B1683" s="16" t="str">
        <f ca="1">IFERROR(__xludf.DUMMYFUNCTION("""COMPUTED_VALUE"""),"")</f>
        <v/>
      </c>
      <c r="C1683" s="16" t="str">
        <f ca="1">IFERROR(__xludf.DUMMYFUNCTION("""COMPUTED_VALUE"""),"16,")</f>
        <v>16,</v>
      </c>
    </row>
    <row r="1684" spans="1:3" ht="15.75" customHeight="1">
      <c r="A1684" s="16" t="str">
        <f ca="1">IFERROR(__xludf.DUMMYFUNCTION("""COMPUTED_VALUE"""),"Мышь беспроводная Redragon FYZU M995-LIT")</f>
        <v>Мышь беспроводная Redragon FYZU M995-LIT</v>
      </c>
      <c r="B1684" s="16" t="str">
        <f ca="1">IFERROR(__xludf.DUMMYFUNCTION("""COMPUTED_VALUE"""),"")</f>
        <v/>
      </c>
      <c r="C1684" s="16" t="str">
        <f ca="1">IFERROR(__xludf.DUMMYFUNCTION("""COMPUTED_VALUE"""),"11,")</f>
        <v>11,</v>
      </c>
    </row>
    <row r="1685" spans="1:3" ht="15.75" customHeight="1">
      <c r="A1685" s="16" t="str">
        <f ca="1">IFERROR(__xludf.DUMMYFUNCTION("""COMPUTED_VALUE"""),"Мышь беспроводная Redragon ASTROLABE M725-LITE")</f>
        <v>Мышь беспроводная Redragon ASTROLABE M725-LITE</v>
      </c>
      <c r="B1685" s="16" t="str">
        <f ca="1">IFERROR(__xludf.DUMMYFUNCTION("""COMPUTED_VALUE"""),"")</f>
        <v/>
      </c>
      <c r="C1685" s="16" t="str">
        <f ca="1">IFERROR(__xludf.DUMMYFUNCTION("""COMPUTED_VALUE"""),"12,")</f>
        <v>12,</v>
      </c>
    </row>
    <row r="1686" spans="1:3" ht="15.75" customHeight="1">
      <c r="A1686" s="16" t="str">
        <f ca="1">IFERROR(__xludf.DUMMYFUNCTION("""COMPUTED_VALUE"""),"Мышь беспроводная Redragon KLYAMOOR M817AK-PRO-STD")</f>
        <v>Мышь беспроводная Redragon KLYAMOOR M817AK-PRO-STD</v>
      </c>
      <c r="B1686" s="16" t="str">
        <f ca="1">IFERROR(__xludf.DUMMYFUNCTION("""COMPUTED_VALUE"""),"")</f>
        <v/>
      </c>
      <c r="C1686" s="16" t="str">
        <f ca="1">IFERROR(__xludf.DUMMYFUNCTION("""COMPUTED_VALUE"""),"16,")</f>
        <v>16,</v>
      </c>
    </row>
    <row r="1687" spans="1:3" ht="15.75" customHeight="1">
      <c r="A1687" s="16" t="str">
        <f ca="1">IFERROR(__xludf.DUMMYFUNCTION("""COMPUTED_VALUE"""),"Мышь беспроводная Redragon HANA M694-RGB")</f>
        <v>Мышь беспроводная Redragon HANA M694-RGB</v>
      </c>
      <c r="B1687" s="16" t="str">
        <f ca="1">IFERROR(__xludf.DUMMYFUNCTION("""COMPUTED_VALUE"""),"")</f>
        <v/>
      </c>
      <c r="C1687" s="16" t="str">
        <f ca="1">IFERROR(__xludf.DUMMYFUNCTION("""COMPUTED_VALUE"""),"16,")</f>
        <v>16,</v>
      </c>
    </row>
    <row r="1688" spans="1:3" ht="15.75" customHeight="1">
      <c r="A1688" s="16" t="str">
        <f ca="1">IFERROR(__xludf.DUMMYFUNCTION("""COMPUTED_VALUE"""),"Мышь беспроводная Redragon EBONY (STANDARD)M998-STD")</f>
        <v>Мышь беспроводная Redragon EBONY (STANDARD)M998-STD</v>
      </c>
      <c r="B1688" s="16" t="str">
        <f ca="1">IFERROR(__xludf.DUMMYFUNCTION("""COMPUTED_VALUE"""),"")</f>
        <v/>
      </c>
      <c r="C1688" s="16" t="str">
        <f ca="1">IFERROR(__xludf.DUMMYFUNCTION("""COMPUTED_VALUE"""),"18,")</f>
        <v>18,</v>
      </c>
    </row>
    <row r="1689" spans="1:3" ht="15.75" customHeight="1">
      <c r="A1689" s="16" t="str">
        <f ca="1">IFERROR(__xludf.DUMMYFUNCTION("""COMPUTED_VALUE"""),"Мышь беспроводная Redragon DEICIDE PRO M816RGB-LIT PRO")</f>
        <v>Мышь беспроводная Redragon DEICIDE PRO M816RGB-LIT PRO</v>
      </c>
      <c r="B1689" s="16" t="str">
        <f ca="1">IFERROR(__xludf.DUMMYFUNCTION("""COMPUTED_VALUE"""),"")</f>
        <v/>
      </c>
      <c r="C1689" s="16" t="str">
        <f ca="1">IFERROR(__xludf.DUMMYFUNCTION("""COMPUTED_VALUE"""),"18,")</f>
        <v>18,</v>
      </c>
    </row>
    <row r="1690" spans="1:3" ht="15.75" customHeight="1">
      <c r="A1690" s="16" t="str">
        <f ca="1">IFERROR(__xludf.DUMMYFUNCTION("""COMPUTED_VALUE"""),"Мышь беспроводная Redragon Ranger light M910-KS")</f>
        <v>Мышь беспроводная Redragon Ranger light M910-KS</v>
      </c>
      <c r="B1690" s="16" t="str">
        <f ca="1">IFERROR(__xludf.DUMMYFUNCTION("""COMPUTED_VALUE"""),"")</f>
        <v/>
      </c>
      <c r="C1690" s="16" t="str">
        <f ca="1">IFERROR(__xludf.DUMMYFUNCTION("""COMPUTED_VALUE"""),"18,")</f>
        <v>18,</v>
      </c>
    </row>
    <row r="1691" spans="1:3" ht="15.75" customHeight="1">
      <c r="A1691" s="16" t="str">
        <f ca="1">IFERROR(__xludf.DUMMYFUNCTION("""COMPUTED_VALUE"""),"Мышь беспроводная Redragon Trident Pro M693")</f>
        <v>Мышь беспроводная Redragon Trident Pro M693</v>
      </c>
      <c r="B1691" s="16" t="str">
        <f ca="1">IFERROR(__xludf.DUMMYFUNCTION("""COMPUTED_VALUE"""),"")</f>
        <v/>
      </c>
      <c r="C1691" s="16" t="str">
        <f ca="1">IFERROR(__xludf.DUMMYFUNCTION("""COMPUTED_VALUE"""),"19,")</f>
        <v>19,</v>
      </c>
    </row>
    <row r="1692" spans="1:3" ht="15.75" customHeight="1">
      <c r="A1692" s="16" t="str">
        <f ca="1">IFERROR(__xludf.DUMMYFUNCTION("""COMPUTED_VALUE"""),"Мышь беспроводная Redragon K1NG M916-LIT-1K Black")</f>
        <v>Мышь беспроводная Redragon K1NG M916-LIT-1K Black</v>
      </c>
      <c r="B1692" s="16" t="str">
        <f ca="1">IFERROR(__xludf.DUMMYFUNCTION("""COMPUTED_VALUE"""),"")</f>
        <v/>
      </c>
      <c r="C1692" s="16" t="str">
        <f ca="1">IFERROR(__xludf.DUMMYFUNCTION("""COMPUTED_VALUE"""),"21,")</f>
        <v>21,</v>
      </c>
    </row>
    <row r="1693" spans="1:3" ht="15.75" customHeight="1">
      <c r="A1693" s="16" t="str">
        <f ca="1">IFERROR(__xludf.DUMMYFUNCTION("""COMPUTED_VALUE"""),"Мышь беспроводная Redragon K1NG M916-LIT-1K White")</f>
        <v>Мышь беспроводная Redragon K1NG M916-LIT-1K White</v>
      </c>
      <c r="B1693" s="16" t="str">
        <f ca="1">IFERROR(__xludf.DUMMYFUNCTION("""COMPUTED_VALUE"""),"")</f>
        <v/>
      </c>
      <c r="C1693" s="16" t="str">
        <f ca="1">IFERROR(__xludf.DUMMYFUNCTION("""COMPUTED_VALUE"""),"21,")</f>
        <v>21,</v>
      </c>
    </row>
    <row r="1694" spans="1:3" ht="15.75" customHeight="1">
      <c r="A1694" s="16" t="str">
        <f ca="1">IFERROR(__xludf.DUMMYFUNCTION("""COMPUTED_VALUE"""),"Мышь беспроводная Redragon ST4R PPRO M917GB-PRO")</f>
        <v>Мышь беспроводная Redragon ST4R PPRO M917GB-PRO</v>
      </c>
      <c r="B1694" s="16" t="str">
        <f ca="1">IFERROR(__xludf.DUMMYFUNCTION("""COMPUTED_VALUE"""),"")</f>
        <v/>
      </c>
      <c r="C1694" s="16" t="str">
        <f ca="1">IFERROR(__xludf.DUMMYFUNCTION("""COMPUTED_VALUE"""),"23,")</f>
        <v>23,</v>
      </c>
    </row>
    <row r="1695" spans="1:3" ht="15.75" customHeight="1">
      <c r="A1695" s="16" t="str">
        <f ca="1">IFERROR(__xludf.DUMMYFUNCTION("""COMPUTED_VALUE"""),"Мышь беспроводная Redragon Impact Elite M913")</f>
        <v>Мышь беспроводная Redragon Impact Elite M913</v>
      </c>
      <c r="B1695" s="16" t="str">
        <f ca="1">IFERROR(__xludf.DUMMYFUNCTION("""COMPUTED_VALUE"""),"")</f>
        <v/>
      </c>
      <c r="C1695" s="16" t="str">
        <f ca="1">IFERROR(__xludf.DUMMYFUNCTION("""COMPUTED_VALUE"""),"25,")</f>
        <v>25,</v>
      </c>
    </row>
    <row r="1696" spans="1:3" ht="15.75" customHeight="1">
      <c r="A1696" s="16" t="str">
        <f ca="1">IFERROR(__xludf.DUMMYFUNCTION("""COMPUTED_VALUE"""),"Мышь беспроводная Redragon K1NG PRO M916AK-PRO")</f>
        <v>Мышь беспроводная Redragon K1NG PRO M916AK-PRO</v>
      </c>
      <c r="B1696" s="16" t="str">
        <f ca="1">IFERROR(__xludf.DUMMYFUNCTION("""COMPUTED_VALUE"""),"")</f>
        <v/>
      </c>
      <c r="C1696" s="16" t="str">
        <f ca="1">IFERROR(__xludf.DUMMYFUNCTION("""COMPUTED_VALUE"""),"26,")</f>
        <v>26,</v>
      </c>
    </row>
    <row r="1697" spans="1:3" ht="15.75" customHeight="1">
      <c r="A1697" s="16" t="str">
        <f ca="1">IFERROR(__xludf.DUMMYFUNCTION("""COMPUTED_VALUE"""),"Мышь беспроводная Redragon K1NG MAX M918AKB-PRO ")</f>
        <v xml:space="preserve">Мышь беспроводная Redragon K1NG MAX M918AKB-PRO </v>
      </c>
      <c r="B1697" s="16" t="str">
        <f ca="1">IFERROR(__xludf.DUMMYFUNCTION("""COMPUTED_VALUE"""),"")</f>
        <v/>
      </c>
      <c r="C1697" s="16" t="str">
        <f ca="1">IFERROR(__xludf.DUMMYFUNCTION("""COMPUTED_VALUE"""),"28,")</f>
        <v>28,</v>
      </c>
    </row>
    <row r="1698" spans="1:3" ht="15.75" customHeight="1">
      <c r="A1698" s="16" t="str">
        <f ca="1">IFERROR(__xludf.DUMMYFUNCTION("""COMPUTED_VALUE"""),"Мышь беспроводная Redragon KING ULTRA M916OB-ULT")</f>
        <v>Мышь беспроводная Redragon KING ULTRA M916OB-ULT</v>
      </c>
      <c r="B1698" s="16" t="str">
        <f ca="1">IFERROR(__xludf.DUMMYFUNCTION("""COMPUTED_VALUE"""),"")</f>
        <v/>
      </c>
      <c r="C1698" s="16" t="str">
        <f ca="1">IFERROR(__xludf.DUMMYFUNCTION("""COMPUTED_VALUE"""),"38,")</f>
        <v>38,</v>
      </c>
    </row>
    <row r="1699" spans="1:3" ht="15.75" customHeight="1">
      <c r="A1699" s="16" t="str">
        <f ca="1">IFERROR(__xludf.DUMMYFUNCTION("""COMPUTED_VALUE"""),"Мышь беспроводная Redragon EBONY (ULTRA) M998-ULT")</f>
        <v>Мышь беспроводная Redragon EBONY (ULTRA) M998-ULT</v>
      </c>
      <c r="B1699" s="16" t="str">
        <f ca="1">IFERROR(__xludf.DUMMYFUNCTION("""COMPUTED_VALUE"""),"")</f>
        <v/>
      </c>
      <c r="C1699" s="16" t="str">
        <f ca="1">IFERROR(__xludf.DUMMYFUNCTION("""COMPUTED_VALUE"""),"38,")</f>
        <v>38,</v>
      </c>
    </row>
    <row r="1700" spans="1:3" ht="15.75" customHeight="1">
      <c r="A1700" s="16" t="str">
        <f ca="1">IFERROR(__xludf.DUMMYFUNCTION("""COMPUTED_VALUE"""),"Наушники Redragon LAGOPASMUTUS-2 H201-1 ")</f>
        <v xml:space="preserve">Наушники Redragon LAGOPASMUTUS-2 H201-1 </v>
      </c>
      <c r="B1700" s="16" t="str">
        <f ca="1">IFERROR(__xludf.DUMMYFUNCTION("""COMPUTED_VALUE"""),"")</f>
        <v/>
      </c>
      <c r="C1700" s="16" t="str">
        <f ca="1">IFERROR(__xludf.DUMMYFUNCTION("""COMPUTED_VALUE"""),"6,")</f>
        <v>6,</v>
      </c>
    </row>
    <row r="1701" spans="1:3" ht="15.75" customHeight="1">
      <c r="A1701" s="16" t="str">
        <f ca="1">IFERROR(__xludf.DUMMYFUNCTION("""COMPUTED_VALUE"""),"Наушники Redragon HYLAS H260RGB ")</f>
        <v xml:space="preserve">Наушники Redragon HYLAS H260RGB </v>
      </c>
      <c r="B1701" s="16" t="str">
        <f ca="1">IFERROR(__xludf.DUMMYFUNCTION("""COMPUTED_VALUE"""),"")</f>
        <v/>
      </c>
      <c r="C1701" s="16" t="str">
        <f ca="1">IFERROR(__xludf.DUMMYFUNCTION("""COMPUTED_VALUE"""),"15,")</f>
        <v>15,</v>
      </c>
    </row>
    <row r="1702" spans="1:3" ht="15.75" customHeight="1">
      <c r="A1702" s="16" t="str">
        <f ca="1">IFERROR(__xludf.DUMMYFUNCTION("""COMPUTED_VALUE"""),"Наушники проводные Redragon Medea H280")</f>
        <v>Наушники проводные Redragon Medea H280</v>
      </c>
      <c r="B1702" s="16" t="str">
        <f ca="1">IFERROR(__xludf.DUMMYFUNCTION("""COMPUTED_VALUE"""),"")</f>
        <v/>
      </c>
      <c r="C1702" s="16" t="str">
        <f ca="1">IFERROR(__xludf.DUMMYFUNCTION("""COMPUTED_VALUE"""),"16,")</f>
        <v>16,</v>
      </c>
    </row>
    <row r="1703" spans="1:3" ht="15.75" customHeight="1">
      <c r="A1703" s="16" t="str">
        <f ca="1">IFERROR(__xludf.DUMMYFUNCTION("""COMPUTED_VALUE"""),"Наушники проводные Redragon ZEUS H510-RGB")</f>
        <v>Наушники проводные Redragon ZEUS H510-RGB</v>
      </c>
      <c r="B1703" s="16" t="str">
        <f ca="1">IFERROR(__xludf.DUMMYFUNCTION("""COMPUTED_VALUE"""),"")</f>
        <v/>
      </c>
      <c r="C1703" s="16" t="str">
        <f ca="1">IFERROR(__xludf.DUMMYFUNCTION("""COMPUTED_VALUE"""),"33,")</f>
        <v>33,</v>
      </c>
    </row>
    <row r="1704" spans="1:3" ht="15.75" customHeight="1">
      <c r="A1704" s="16" t="str">
        <f ca="1">IFERROR(__xludf.DUMMYFUNCTION("""COMPUTED_VALUE"""),"Наушники проводные Redragon Thoridal H730")</f>
        <v>Наушники проводные Redragon Thoridal H730</v>
      </c>
      <c r="B1704" s="16" t="str">
        <f ca="1">IFERROR(__xludf.DUMMYFUNCTION("""COMPUTED_VALUE"""),"")</f>
        <v/>
      </c>
      <c r="C1704" s="16" t="str">
        <f ca="1">IFERROR(__xludf.DUMMYFUNCTION("""COMPUTED_VALUE"""),"43,")</f>
        <v>43,</v>
      </c>
    </row>
    <row r="1705" spans="1:3" ht="15.75" customHeight="1">
      <c r="A1705" s="16" t="str">
        <f ca="1">IFERROR(__xludf.DUMMYFUNCTION("""COMPUTED_VALUE"""),"Наушники беспроводные Redragon LUCE H888 (Black)")</f>
        <v>Наушники беспроводные Redragon LUCE H888 (Black)</v>
      </c>
      <c r="B1705" s="16" t="str">
        <f ca="1">IFERROR(__xludf.DUMMYFUNCTION("""COMPUTED_VALUE"""),"")</f>
        <v/>
      </c>
      <c r="C1705" s="16" t="str">
        <f ca="1">IFERROR(__xludf.DUMMYFUNCTION("""COMPUTED_VALUE"""),"23,")</f>
        <v>23,</v>
      </c>
    </row>
    <row r="1706" spans="1:3" ht="15.75" customHeight="1">
      <c r="A1706" s="16" t="str">
        <f ca="1">IFERROR(__xludf.DUMMYFUNCTION("""COMPUTED_VALUE"""),"Наушники беспроводные Redragon LUCE H888W (White)")</f>
        <v>Наушники беспроводные Redragon LUCE H888W (White)</v>
      </c>
      <c r="B1706" s="16" t="str">
        <f ca="1">IFERROR(__xludf.DUMMYFUNCTION("""COMPUTED_VALUE"""),"")</f>
        <v/>
      </c>
      <c r="C1706" s="16" t="str">
        <f ca="1">IFERROR(__xludf.DUMMYFUNCTION("""COMPUTED_VALUE"""),"23,")</f>
        <v>23,</v>
      </c>
    </row>
    <row r="1707" spans="1:3" ht="15.75" customHeight="1">
      <c r="A1707" s="16" t="str">
        <f ca="1">IFERROR(__xludf.DUMMYFUNCTION("""COMPUTED_VALUE"""),"Наушники беспроводные Redragon Ire H848 (Black)")</f>
        <v>Наушники беспроводные Redragon Ire H848 (Black)</v>
      </c>
      <c r="B1707" s="16" t="str">
        <f ca="1">IFERROR(__xludf.DUMMYFUNCTION("""COMPUTED_VALUE"""),"")</f>
        <v/>
      </c>
      <c r="C1707" s="16" t="str">
        <f ca="1">IFERROR(__xludf.DUMMYFUNCTION("""COMPUTED_VALUE"""),"26,")</f>
        <v>26,</v>
      </c>
    </row>
    <row r="1708" spans="1:3" ht="15.75" customHeight="1">
      <c r="A1708" s="16" t="str">
        <f ca="1">IFERROR(__xludf.DUMMYFUNCTION("""COMPUTED_VALUE"""),"Наушники беспроводные Redragon Ire H848GW (White)")</f>
        <v>Наушники беспроводные Redragon Ire H848GW (White)</v>
      </c>
      <c r="B1708" s="16" t="str">
        <f ca="1">IFERROR(__xludf.DUMMYFUNCTION("""COMPUTED_VALUE"""),"")</f>
        <v/>
      </c>
      <c r="C1708" s="16" t="str">
        <f ca="1">IFERROR(__xludf.DUMMYFUNCTION("""COMPUTED_VALUE"""),"26,")</f>
        <v>26,</v>
      </c>
    </row>
    <row r="1709" spans="1:3" ht="15.75" customHeight="1">
      <c r="A1709" s="16" t="str">
        <f ca="1">IFERROR(__xludf.DUMMYFUNCTION("""COMPUTED_VALUE"""),"Наушники беспроводные Redragon VibeCore H610")</f>
        <v>Наушники беспроводные Redragon VibeCore H610</v>
      </c>
      <c r="B1709" s="16" t="str">
        <f ca="1">IFERROR(__xludf.DUMMYFUNCTION("""COMPUTED_VALUE"""),"")</f>
        <v/>
      </c>
      <c r="C1709" s="16" t="str">
        <f ca="1">IFERROR(__xludf.DUMMYFUNCTION("""COMPUTED_VALUE"""),"33,")</f>
        <v>33,</v>
      </c>
    </row>
    <row r="1710" spans="1:3" ht="15.75" customHeight="1">
      <c r="A1710" s="16" t="str">
        <f ca="1">IFERROR(__xludf.DUMMYFUNCTION("""COMPUTED_VALUE"""),"Наушники беспроводные Redragon ZEUS PRO H510-PRO")</f>
        <v>Наушники беспроводные Redragon ZEUS PRO H510-PRO</v>
      </c>
      <c r="B1710" s="16" t="str">
        <f ca="1">IFERROR(__xludf.DUMMYFUNCTION("""COMPUTED_VALUE"""),"")</f>
        <v/>
      </c>
      <c r="C1710" s="16" t="str">
        <f ca="1">IFERROR(__xludf.DUMMYFUNCTION("""COMPUTED_VALUE"""),"38,")</f>
        <v>38,</v>
      </c>
    </row>
    <row r="1711" spans="1:3" ht="15.75" customHeight="1">
      <c r="A1711" s="16" t="str">
        <f ca="1">IFERROR(__xludf.DUMMYFUNCTION("""COMPUTED_VALUE"""),"Наушники беспроводные Redragon VibeCore H620")</f>
        <v>Наушники беспроводные Redragon VibeCore H620</v>
      </c>
      <c r="B1711" s="16" t="str">
        <f ca="1">IFERROR(__xludf.DUMMYFUNCTION("""COMPUTED_VALUE"""),"")</f>
        <v/>
      </c>
      <c r="C1711" s="16" t="str">
        <f ca="1">IFERROR(__xludf.DUMMYFUNCTION("""COMPUTED_VALUE"""),"38,")</f>
        <v>38,</v>
      </c>
    </row>
    <row r="1712" spans="1:3" ht="15.75" customHeight="1">
      <c r="A1712" s="16" t="str">
        <f ca="1">IFERROR(__xludf.DUMMYFUNCTION("""COMPUTED_VALUE"""),"Подставка для наушников+USB хаб Redragon SCEPTER PRO HA300")</f>
        <v>Подставка для наушников+USB хаб Redragon SCEPTER PRO HA300</v>
      </c>
      <c r="B1712" s="16" t="str">
        <f ca="1">IFERROR(__xludf.DUMMYFUNCTION("""COMPUTED_VALUE"""),"")</f>
        <v/>
      </c>
      <c r="C1712" s="16" t="str">
        <f ca="1">IFERROR(__xludf.DUMMYFUNCTION("""COMPUTED_VALUE"""),"14,")</f>
        <v>14,</v>
      </c>
    </row>
    <row r="1713" spans="1:3" ht="15.75" customHeight="1">
      <c r="A1713" s="16" t="str">
        <f ca="1">IFERROR(__xludf.DUMMYFUNCTION("""COMPUTED_VALUE"""),"Коврик для мыши Redragon PLUTO P026RGB (330Х260Х3)")</f>
        <v>Коврик для мыши Redragon PLUTO P026RGB (330Х260Х3)</v>
      </c>
      <c r="B1713" s="16" t="str">
        <f ca="1">IFERROR(__xludf.DUMMYFUNCTION("""COMPUTED_VALUE"""),"")</f>
        <v/>
      </c>
      <c r="C1713" s="16" t="str">
        <f ca="1">IFERROR(__xludf.DUMMYFUNCTION("""COMPUTED_VALUE"""),"11,")</f>
        <v>11,</v>
      </c>
    </row>
    <row r="1714" spans="1:3" ht="15.75" customHeight="1">
      <c r="A1714" s="16" t="str">
        <f ca="1">IFERROR(__xludf.DUMMYFUNCTION("""COMPUTED_VALUE"""),"Коврик для мыши Redragon AKI S P046 S (330Х260Х3)")</f>
        <v>Коврик для мыши Redragon AKI S P046 S (330Х260Х3)</v>
      </c>
      <c r="B1714" s="16" t="str">
        <f ca="1">IFERROR(__xludf.DUMMYFUNCTION("""COMPUTED_VALUE"""),"")</f>
        <v/>
      </c>
      <c r="C1714" s="16" t="str">
        <f ca="1">IFERROR(__xludf.DUMMYFUNCTION("""COMPUTED_VALUE"""),"4,")</f>
        <v>4,</v>
      </c>
    </row>
    <row r="1715" spans="1:3" ht="15.75" customHeight="1">
      <c r="A1715" s="16" t="str">
        <f ca="1">IFERROR(__xludf.DUMMYFUNCTION("""COMPUTED_VALUE"""),"Коврик для мыши Redragon AK2 S P047 S (330Х260Х3)")</f>
        <v>Коврик для мыши Redragon AK2 S P047 S (330Х260Х3)</v>
      </c>
      <c r="B1715" s="16" t="str">
        <f ca="1">IFERROR(__xludf.DUMMYFUNCTION("""COMPUTED_VALUE"""),"")</f>
        <v/>
      </c>
      <c r="C1715" s="16" t="str">
        <f ca="1">IFERROR(__xludf.DUMMYFUNCTION("""COMPUTED_VALUE"""),"4,")</f>
        <v>4,</v>
      </c>
    </row>
    <row r="1716" spans="1:3" ht="15.75" customHeight="1">
      <c r="A1716" s="16" t="str">
        <f ca="1">IFERROR(__xludf.DUMMYFUNCTION("""COMPUTED_VALUE"""),"Коврик для мыши Redragon SUZAKU P003 (800Х300Х3)")</f>
        <v>Коврик для мыши Redragon SUZAKU P003 (800Х300Х3)</v>
      </c>
      <c r="B1716" s="16" t="str">
        <f ca="1">IFERROR(__xludf.DUMMYFUNCTION("""COMPUTED_VALUE"""),"")</f>
        <v/>
      </c>
      <c r="C1716" s="16" t="str">
        <f ca="1">IFERROR(__xludf.DUMMYFUNCTION("""COMPUTED_VALUE"""),"5,")</f>
        <v>5,</v>
      </c>
    </row>
    <row r="1717" spans="1:3" ht="15.75" customHeight="1">
      <c r="A1717" s="16" t="str">
        <f ca="1">IFERROR(__xludf.DUMMYFUNCTION("""COMPUTED_VALUE"""),"Коврик для мыши Redragon Flick L P031 (450Х400Х4)")</f>
        <v>Коврик для мыши Redragon Flick L P031 (450Х400Х4)</v>
      </c>
      <c r="B1717" s="16" t="str">
        <f ca="1">IFERROR(__xludf.DUMMYFUNCTION("""COMPUTED_VALUE"""),"")</f>
        <v/>
      </c>
      <c r="C1717" s="16" t="str">
        <f ca="1">IFERROR(__xludf.DUMMYFUNCTION("""COMPUTED_VALUE"""),"7,")</f>
        <v>7,</v>
      </c>
    </row>
    <row r="1718" spans="1:3" ht="15.75" customHeight="1">
      <c r="A1718" s="16" t="str">
        <f ca="1">IFERROR(__xludf.DUMMYFUNCTION("""COMPUTED_VALUE"""),"Коврик для мыши Redragon Flick XL P032 (900Х400Х4)")</f>
        <v>Коврик для мыши Redragon Flick XL P032 (900Х400Х4)</v>
      </c>
      <c r="B1718" s="16" t="str">
        <f ca="1">IFERROR(__xludf.DUMMYFUNCTION("""COMPUTED_VALUE"""),"")</f>
        <v/>
      </c>
      <c r="C1718" s="16" t="str">
        <f ca="1">IFERROR(__xludf.DUMMYFUNCTION("""COMPUTED_VALUE"""),"12,")</f>
        <v>12,</v>
      </c>
    </row>
    <row r="1719" spans="1:3" ht="15.75" customHeight="1">
      <c r="A1719" s="16" t="str">
        <f ca="1">IFERROR(__xludf.DUMMYFUNCTION("""COMPUTED_VALUE"""),"Коврик для мыши Redragon AKI L P046 L (900Х400Х3)")</f>
        <v>Коврик для мыши Redragon AKI L P046 L (900Х400Х3)</v>
      </c>
      <c r="B1719" s="16" t="str">
        <f ca="1">IFERROR(__xludf.DUMMYFUNCTION("""COMPUTED_VALUE"""),"")</f>
        <v/>
      </c>
      <c r="C1719" s="16" t="str">
        <f ca="1">IFERROR(__xludf.DUMMYFUNCTION("""COMPUTED_VALUE"""),"12,")</f>
        <v>12,</v>
      </c>
    </row>
    <row r="1720" spans="1:3" ht="15.75" customHeight="1">
      <c r="A1720" s="16" t="str">
        <f ca="1">IFERROR(__xludf.DUMMYFUNCTION("""COMPUTED_VALUE"""),"Коврик для мыши Redragon AK2 L P047 L (900Х400Х3)")</f>
        <v>Коврик для мыши Redragon AK2 L P047 L (900Х400Х3)</v>
      </c>
      <c r="B1720" s="16" t="str">
        <f ca="1">IFERROR(__xludf.DUMMYFUNCTION("""COMPUTED_VALUE"""),"")</f>
        <v/>
      </c>
      <c r="C1720" s="16" t="str">
        <f ca="1">IFERROR(__xludf.DUMMYFUNCTION("""COMPUTED_VALUE"""),"12,")</f>
        <v>12,</v>
      </c>
    </row>
    <row r="1721" spans="1:3" ht="15.75" customHeight="1">
      <c r="A1721" s="16" t="str">
        <f ca="1">IFERROR(__xludf.DUMMYFUNCTION("""COMPUTED_VALUE"""),"Коврик для мыши Redragon FLICK 3XL P040")</f>
        <v>Коврик для мыши Redragon FLICK 3XL P040</v>
      </c>
      <c r="B1721" s="16" t="str">
        <f ca="1">IFERROR(__xludf.DUMMYFUNCTION("""COMPUTED_VALUE"""),"")</f>
        <v/>
      </c>
      <c r="C1721" s="16" t="str">
        <f ca="1">IFERROR(__xludf.DUMMYFUNCTION("""COMPUTED_VALUE"""),"17,")</f>
        <v>17,</v>
      </c>
    </row>
    <row r="1722" spans="1:3" ht="15.75" customHeight="1">
      <c r="A1722" s="16" t="str">
        <f ca="1">IFERROR(__xludf.DUMMYFUNCTION("""COMPUTED_VALUE"""),"Акустическая система Redragon KAGE GS514")</f>
        <v>Акустическая система Redragon KAGE GS514</v>
      </c>
      <c r="B1722" s="16" t="str">
        <f ca="1">IFERROR(__xludf.DUMMYFUNCTION("""COMPUTED_VALUE"""),"")</f>
        <v/>
      </c>
      <c r="C1722" s="16" t="str">
        <f ca="1">IFERROR(__xludf.DUMMYFUNCTION("""COMPUTED_VALUE"""),"9,")</f>
        <v>9,</v>
      </c>
    </row>
    <row r="1723" spans="1:3" ht="15.75" customHeight="1">
      <c r="A1723" s="16" t="str">
        <f ca="1">IFERROR(__xludf.DUMMYFUNCTION("""COMPUTED_VALUE"""),"Акустическая система Redragon GLYPH GS517")</f>
        <v>Акустическая система Redragon GLYPH GS517</v>
      </c>
      <c r="B1723" s="16" t="str">
        <f ca="1">IFERROR(__xludf.DUMMYFUNCTION("""COMPUTED_VALUE"""),"")</f>
        <v/>
      </c>
      <c r="C1723" s="16" t="str">
        <f ca="1">IFERROR(__xludf.DUMMYFUNCTION("""COMPUTED_VALUE"""),"18,")</f>
        <v>18,</v>
      </c>
    </row>
    <row r="1724" spans="1:3" ht="15.75" customHeight="1">
      <c r="A1724" s="16" t="str">
        <f ca="1">IFERROR(__xludf.DUMMYFUNCTION("""COMPUTED_VALUE"""),"Акустическая система Redragon YORICK GS511 (BT)")</f>
        <v>Акустическая система Redragon YORICK GS511 (BT)</v>
      </c>
      <c r="B1724" s="16" t="str">
        <f ca="1">IFERROR(__xludf.DUMMYFUNCTION("""COMPUTED_VALUE"""),"")</f>
        <v/>
      </c>
      <c r="C1724" s="16" t="str">
        <f ca="1">IFERROR(__xludf.DUMMYFUNCTION("""COMPUTED_VALUE"""),"18,")</f>
        <v>18,</v>
      </c>
    </row>
    <row r="1725" spans="1:3" ht="15.75" customHeight="1">
      <c r="A1725" s="16" t="str">
        <f ca="1">IFERROR(__xludf.DUMMYFUNCTION("""COMPUTED_VALUE"""),"Акустическая система Redragon DORA GS512 (BT)")</f>
        <v>Акустическая система Redragon DORA GS512 (BT)</v>
      </c>
      <c r="B1725" s="16" t="str">
        <f ca="1">IFERROR(__xludf.DUMMYFUNCTION("""COMPUTED_VALUE"""),"")</f>
        <v/>
      </c>
      <c r="C1725" s="16" t="str">
        <f ca="1">IFERROR(__xludf.DUMMYFUNCTION("""COMPUTED_VALUE"""),"23,")</f>
        <v>23,</v>
      </c>
    </row>
    <row r="1726" spans="1:3" ht="15.75" customHeight="1">
      <c r="A1726" s="16" t="str">
        <f ca="1">IFERROR(__xludf.DUMMYFUNCTION("""COMPUTED_VALUE"""),"Акустическая система Redragon AHRI GS598 (6W/BT)")</f>
        <v>Акустическая система Redragon AHRI GS598 (6W/BT)</v>
      </c>
      <c r="B1726" s="16" t="str">
        <f ca="1">IFERROR(__xludf.DUMMYFUNCTION("""COMPUTED_VALUE"""),"")</f>
        <v/>
      </c>
      <c r="C1726" s="16" t="str">
        <f ca="1">IFERROR(__xludf.DUMMYFUNCTION("""COMPUTED_VALUE"""),"28,")</f>
        <v>28,</v>
      </c>
    </row>
    <row r="1727" spans="1:3" ht="15.75" customHeight="1">
      <c r="A1727" s="16" t="str">
        <f ca="1">IFERROR(__xludf.DUMMYFUNCTION("""COMPUTED_VALUE"""),"Акустическая система Redragon Surge GS817 (30W/BT)")</f>
        <v>Акустическая система Redragon Surge GS817 (30W/BT)</v>
      </c>
      <c r="B1727" s="16" t="str">
        <f ca="1">IFERROR(__xludf.DUMMYFUNCTION("""COMPUTED_VALUE"""),"")</f>
        <v/>
      </c>
      <c r="C1727" s="16" t="str">
        <f ca="1">IFERROR(__xludf.DUMMYFUNCTION("""COMPUTED_VALUE"""),"41,")</f>
        <v>41,</v>
      </c>
    </row>
    <row r="1728" spans="1:3" ht="15.75" customHeight="1">
      <c r="A1728" s="16" t="str">
        <f ca="1">IFERROR(__xludf.DUMMYFUNCTION("""COMPUTED_VALUE"""),"БП Redragon GC-PS001 500W")</f>
        <v>БП Redragon GC-PS001 500W</v>
      </c>
      <c r="B1728" s="16" t="str">
        <f ca="1">IFERROR(__xludf.DUMMYFUNCTION("""COMPUTED_VALUE"""),"")</f>
        <v/>
      </c>
      <c r="C1728" s="16" t="str">
        <f ca="1">IFERROR(__xludf.DUMMYFUNCTION("""COMPUTED_VALUE"""),"37,")</f>
        <v>37,</v>
      </c>
    </row>
    <row r="1729" spans="1:3" ht="15.75" customHeight="1">
      <c r="A1729" s="16" t="str">
        <f ca="1">IFERROR(__xludf.DUMMYFUNCTION("""COMPUTED_VALUE"""),"БП Redragon GC-PS002 600W")</f>
        <v>БП Redragon GC-PS002 600W</v>
      </c>
      <c r="B1729" s="16" t="str">
        <f ca="1">IFERROR(__xludf.DUMMYFUNCTION("""COMPUTED_VALUE"""),"")</f>
        <v/>
      </c>
      <c r="C1729" s="16" t="str">
        <f ca="1">IFERROR(__xludf.DUMMYFUNCTION("""COMPUTED_VALUE"""),"40,")</f>
        <v>40,</v>
      </c>
    </row>
    <row r="1730" spans="1:3" ht="15.75" customHeight="1">
      <c r="A1730" s="16" t="str">
        <f ca="1">IFERROR(__xludf.DUMMYFUNCTION("""COMPUTED_VALUE"""),"БП Redragon GC-PS005 700W полностью модульный")</f>
        <v>БП Redragon GC-PS005 700W полностью модульный</v>
      </c>
      <c r="B1730" s="16" t="str">
        <f ca="1">IFERROR(__xludf.DUMMYFUNCTION("""COMPUTED_VALUE"""),"")</f>
        <v/>
      </c>
      <c r="C1730" s="16" t="str">
        <f ca="1">IFERROR(__xludf.DUMMYFUNCTION("""COMPUTED_VALUE"""),"58,")</f>
        <v>58,</v>
      </c>
    </row>
    <row r="1731" spans="1:3" ht="15.75" customHeight="1">
      <c r="A1731" s="16" t="str">
        <f ca="1">IFERROR(__xludf.DUMMYFUNCTION("""COMPUTED_VALUE"""),"БП Redragon GC-PS011 800W полностью модульный")</f>
        <v>БП Redragon GC-PS011 800W полностью модульный</v>
      </c>
      <c r="B1731" s="16" t="str">
        <f ca="1">IFERROR(__xludf.DUMMYFUNCTION("""COMPUTED_VALUE"""),"")</f>
        <v/>
      </c>
      <c r="C1731" s="16" t="str">
        <f ca="1">IFERROR(__xludf.DUMMYFUNCTION("""COMPUTED_VALUE"""),"67,")</f>
        <v>67,</v>
      </c>
    </row>
    <row r="1732" spans="1:3" ht="15.75" customHeight="1">
      <c r="A1732" s="16" t="str">
        <f ca="1">IFERROR(__xludf.DUMMYFUNCTION("""COMPUTED_VALUE"""),"Подставка под ноутбук Redragon Ingrid GCP511")</f>
        <v>Подставка под ноутбук Redragon Ingrid GCP511</v>
      </c>
      <c r="B1732" s="16" t="str">
        <f ca="1">IFERROR(__xludf.DUMMYFUNCTION("""COMPUTED_VALUE"""),"")</f>
        <v/>
      </c>
      <c r="C1732" s="16" t="str">
        <f ca="1">IFERROR(__xludf.DUMMYFUNCTION("""COMPUTED_VALUE"""),"23,")</f>
        <v>23,</v>
      </c>
    </row>
    <row r="1733" spans="1:3" ht="15.75" customHeight="1">
      <c r="A1733" s="16" t="str">
        <f ca="1">IFERROR(__xludf.DUMMYFUNCTION("""COMPUTED_VALUE"""),"СЕТ 3 ARGB-кулера+хаб+пульт Redragon GC-F009")</f>
        <v>СЕТ 3 ARGB-кулера+хаб+пульт Redragon GC-F009</v>
      </c>
      <c r="B1733" s="16" t="str">
        <f ca="1">IFERROR(__xludf.DUMMYFUNCTION("""COMPUTED_VALUE"""),"")</f>
        <v/>
      </c>
      <c r="C1733" s="16" t="str">
        <f ca="1">IFERROR(__xludf.DUMMYFUNCTION("""COMPUTED_VALUE"""),"25,")</f>
        <v>25,</v>
      </c>
    </row>
    <row r="1734" spans="1:3" ht="15.75" customHeight="1">
      <c r="A1734" s="16" t="str">
        <f ca="1">IFERROR(__xludf.DUMMYFUNCTION("""COMPUTED_VALUE"""),"Кулер для процессора Redragon CC-1013 (With Temperature Display 12cm RGB Fan)")</f>
        <v>Кулер для процессора Redragon CC-1013 (With Temperature Display 12cm RGB Fan)</v>
      </c>
      <c r="B1734" s="16" t="str">
        <f ca="1">IFERROR(__xludf.DUMMYFUNCTION("""COMPUTED_VALUE"""),"")</f>
        <v/>
      </c>
      <c r="C1734" s="16" t="str">
        <f ca="1">IFERROR(__xludf.DUMMYFUNCTION("""COMPUTED_VALUE"""),"24,")</f>
        <v>24,</v>
      </c>
    </row>
    <row r="1735" spans="1:3" ht="15.75" customHeight="1">
      <c r="A1735" s="16" t="str">
        <f ca="1">IFERROR(__xludf.DUMMYFUNCTION("""COMPUTED_VALUE"""),"Микрофон Redragon PULSAR GM303")</f>
        <v>Микрофон Redragon PULSAR GM303</v>
      </c>
      <c r="B1735" s="16" t="str">
        <f ca="1">IFERROR(__xludf.DUMMYFUNCTION("""COMPUTED_VALUE"""),"")</f>
        <v/>
      </c>
      <c r="C1735" s="16" t="str">
        <f ca="1">IFERROR(__xludf.DUMMYFUNCTION("""COMPUTED_VALUE"""),"24,")</f>
        <v>24,</v>
      </c>
    </row>
    <row r="1736" spans="1:3" ht="15.75" customHeight="1">
      <c r="A1736" s="16" t="str">
        <f ca="1">IFERROR(__xludf.DUMMYFUNCTION("""COMPUTED_VALUE"""),"Микрофон Redragon BLAZAR GM300 ")</f>
        <v xml:space="preserve">Микрофон Redragon BLAZAR GM300 </v>
      </c>
      <c r="B1736" s="16" t="str">
        <f ca="1">IFERROR(__xludf.DUMMYFUNCTION("""COMPUTED_VALUE"""),"")</f>
        <v/>
      </c>
      <c r="C1736" s="16" t="str">
        <f ca="1">IFERROR(__xludf.DUMMYFUNCTION("""COMPUTED_VALUE"""),"48,")</f>
        <v>48,</v>
      </c>
    </row>
    <row r="1737" spans="1:3" ht="15.75" customHeight="1">
      <c r="A1737" s="16" t="str">
        <f ca="1">IFERROR(__xludf.DUMMYFUNCTION("""COMPUTED_VALUE"""),"Микрофон Redragon Stellaris GM306")</f>
        <v>Микрофон Redragon Stellaris GM306</v>
      </c>
      <c r="B1737" s="16" t="str">
        <f ca="1">IFERROR(__xludf.DUMMYFUNCTION("""COMPUTED_VALUE"""),"")</f>
        <v/>
      </c>
      <c r="C1737" s="16" t="str">
        <f ca="1">IFERROR(__xludf.DUMMYFUNCTION("""COMPUTED_VALUE"""),"51,")</f>
        <v>51,</v>
      </c>
    </row>
    <row r="1738" spans="1:3" ht="15.75" customHeight="1">
      <c r="A1738" s="16" t="str">
        <f ca="1">IFERROR(__xludf.DUMMYFUNCTION("""COMPUTED_VALUE"""),"Микрофон SOLARA GM307")</f>
        <v>Микрофон SOLARA GM307</v>
      </c>
      <c r="B1738" s="16" t="str">
        <f ca="1">IFERROR(__xludf.DUMMYFUNCTION("""COMPUTED_VALUE"""),"")</f>
        <v/>
      </c>
      <c r="C1738" s="16" t="str">
        <f ca="1">IFERROR(__xludf.DUMMYFUNCTION("""COMPUTED_VALUE"""),"53,")</f>
        <v>53,</v>
      </c>
    </row>
    <row r="1739" spans="1:3" ht="15.75" customHeight="1">
      <c r="A1739" s="16" t="str">
        <f ca="1">IFERROR(__xludf.DUMMYFUNCTION("""COMPUTED_VALUE"""),"ПК Кейс Redragon Ventra GC-627 with 1 ARGB fan")</f>
        <v>ПК Кейс Redragon Ventra GC-627 with 1 ARGB fan</v>
      </c>
      <c r="B1739" s="16" t="str">
        <f ca="1">IFERROR(__xludf.DUMMYFUNCTION("""COMPUTED_VALUE"""),"")</f>
        <v/>
      </c>
      <c r="C1739" s="16" t="str">
        <f ca="1">IFERROR(__xludf.DUMMYFUNCTION("""COMPUTED_VALUE"""),"34,")</f>
        <v>34,</v>
      </c>
    </row>
    <row r="1740" spans="1:3" ht="15.75" customHeight="1">
      <c r="A1740" s="16" t="str">
        <f ca="1">IFERROR(__xludf.DUMMYFUNCTION("""COMPUTED_VALUE"""),"ПК Кейс Redragon Ventra GC-627-3F with 3 ARGB fan")</f>
        <v>ПК Кейс Redragon Ventra GC-627-3F with 3 ARGB fan</v>
      </c>
      <c r="B1740" s="16" t="str">
        <f ca="1">IFERROR(__xludf.DUMMYFUNCTION("""COMPUTED_VALUE"""),"")</f>
        <v/>
      </c>
      <c r="C1740" s="16" t="str">
        <f ca="1">IFERROR(__xludf.DUMMYFUNCTION("""COMPUTED_VALUE"""),"39,")</f>
        <v>39,</v>
      </c>
    </row>
    <row r="1741" spans="1:3" ht="15.75" customHeight="1">
      <c r="A1741" s="16" t="str">
        <f ca="1">IFERROR(__xludf.DUMMYFUNCTION("""COMPUTED_VALUE"""),"ПК Кейс Redragon Strafe ITX EB211W ")</f>
        <v xml:space="preserve">ПК Кейс Redragon Strafe ITX EB211W </v>
      </c>
      <c r="B1741" s="16" t="str">
        <f ca="1">IFERROR(__xludf.DUMMYFUNCTION("""COMPUTED_VALUE"""),"")</f>
        <v/>
      </c>
      <c r="C1741" s="16" t="str">
        <f ca="1">IFERROR(__xludf.DUMMYFUNCTION("""COMPUTED_VALUE"""),"32,")</f>
        <v>32,</v>
      </c>
    </row>
    <row r="1742" spans="1:3" ht="15.75" customHeight="1">
      <c r="A1742" s="16" t="str">
        <f ca="1">IFERROR(__xludf.DUMMYFUNCTION("""COMPUTED_VALUE"""),"Mouse Sharkoon Light 200 black ")</f>
        <v xml:space="preserve">Mouse Sharkoon Light 200 black </v>
      </c>
      <c r="B1742" s="16" t="str">
        <f ca="1">IFERROR(__xludf.DUMMYFUNCTION("""COMPUTED_VALUE"""),"")</f>
        <v/>
      </c>
      <c r="C1742" s="16" t="str">
        <f ca="1">IFERROR(__xludf.DUMMYFUNCTION("""COMPUTED_VALUE"""),"46,")</f>
        <v>46,</v>
      </c>
    </row>
    <row r="1743" spans="1:3" ht="15.75" customHeight="1">
      <c r="A1743" s="16" t="str">
        <f ca="1">IFERROR(__xludf.DUMMYFUNCTION("""COMPUTED_VALUE"""),"Keyboard Sharkoon-Skiller SGK4 (RU-Layout)")</f>
        <v>Keyboard Sharkoon-Skiller SGK4 (RU-Layout)</v>
      </c>
      <c r="B1743" s="16" t="str">
        <f ca="1">IFERROR(__xludf.DUMMYFUNCTION("""COMPUTED_VALUE"""),"")</f>
        <v/>
      </c>
      <c r="C1743" s="16" t="str">
        <f ca="1">IFERROR(__xludf.DUMMYFUNCTION("""COMPUTED_VALUE"""),"25,")</f>
        <v>25,</v>
      </c>
    </row>
    <row r="1744" spans="1:3" ht="15.75" customHeight="1">
      <c r="A1744" s="16" t="str">
        <f ca="1">IFERROR(__xludf.DUMMYFUNCTION("""COMPUTED_VALUE"""),"Headset Sharkoon Rush ER3 ")</f>
        <v xml:space="preserve">Headset Sharkoon Rush ER3 </v>
      </c>
      <c r="B1744" s="16" t="str">
        <f ca="1">IFERROR(__xludf.DUMMYFUNCTION("""COMPUTED_VALUE"""),"")</f>
        <v/>
      </c>
      <c r="C1744" s="16" t="str">
        <f ca="1">IFERROR(__xludf.DUMMYFUNCTION("""COMPUTED_VALUE"""),"15,")</f>
        <v>15,</v>
      </c>
    </row>
    <row r="1745" spans="1:3" ht="15.75" customHeight="1">
      <c r="A1745" s="16" t="str">
        <f ca="1">IFERROR(__xludf.DUMMYFUNCTION("""COMPUTED_VALUE"""),"Case Sharkoon TG4M RGB ATX")</f>
        <v>Case Sharkoon TG4M RGB ATX</v>
      </c>
      <c r="B1745" s="16" t="str">
        <f ca="1">IFERROR(__xludf.DUMMYFUNCTION("""COMPUTED_VALUE"""),"")</f>
        <v/>
      </c>
      <c r="C1745" s="16" t="str">
        <f ca="1">IFERROR(__xludf.DUMMYFUNCTION("""COMPUTED_VALUE"""),"70,")</f>
        <v>70,</v>
      </c>
    </row>
    <row r="1746" spans="1:3" ht="15.75" customHeight="1">
      <c r="A1746" s="16" t="str">
        <f ca="1">IFERROR(__xludf.DUMMYFUNCTION("""COMPUTED_VALUE"""),"Case Sharkoon REV200")</f>
        <v>Case Sharkoon REV200</v>
      </c>
      <c r="B1746" s="16" t="str">
        <f ca="1">IFERROR(__xludf.DUMMYFUNCTION("""COMPUTED_VALUE"""),"")</f>
        <v/>
      </c>
      <c r="C1746" s="16" t="str">
        <f ca="1">IFERROR(__xludf.DUMMYFUNCTION("""COMPUTED_VALUE"""),"99,")</f>
        <v>99,</v>
      </c>
    </row>
    <row r="1747" spans="1:3" ht="15.75" customHeight="1">
      <c r="A1747" s="16" t="str">
        <f ca="1">IFERROR(__xludf.DUMMYFUNCTION("""COMPUTED_VALUE"""),"Case Sharkoon REV220")</f>
        <v>Case Sharkoon REV220</v>
      </c>
      <c r="B1747" s="16" t="str">
        <f ca="1">IFERROR(__xludf.DUMMYFUNCTION("""COMPUTED_VALUE"""),"")</f>
        <v/>
      </c>
      <c r="C1747" s="16" t="str">
        <f ca="1">IFERROR(__xludf.DUMMYFUNCTION("""COMPUTED_VALUE"""),"99,")</f>
        <v>99,</v>
      </c>
    </row>
    <row r="1748" spans="1:3" ht="15.75" customHeight="1">
      <c r="A1748" s="16" t="str">
        <f ca="1">IFERROR(__xludf.DUMMYFUNCTION("""COMPUTED_VALUE"""),"Sharkoon SGS20 (Black/Grey)")</f>
        <v>Sharkoon SGS20 (Black/Grey)</v>
      </c>
      <c r="B1748" s="16" t="str">
        <f ca="1">IFERROR(__xludf.DUMMYFUNCTION("""COMPUTED_VALUE"""),"")</f>
        <v/>
      </c>
      <c r="C1748" s="16" t="str">
        <f ca="1">IFERROR(__xludf.DUMMYFUNCTION("""COMPUTED_VALUE"""),"220,")</f>
        <v>220,</v>
      </c>
    </row>
    <row r="1749" spans="1:3" ht="15.75" customHeight="1">
      <c r="A1749" s="16" t="str">
        <f ca="1">IFERROR(__xludf.DUMMYFUNCTION("""COMPUTED_VALUE"""),"Sharkoon SGS20 (Black/Blue)")</f>
        <v>Sharkoon SGS20 (Black/Blue)</v>
      </c>
      <c r="B1749" s="16" t="str">
        <f ca="1">IFERROR(__xludf.DUMMYFUNCTION("""COMPUTED_VALUE"""),"")</f>
        <v/>
      </c>
      <c r="C1749" s="16" t="str">
        <f ca="1">IFERROR(__xludf.DUMMYFUNCTION("""COMPUTED_VALUE"""),"220,")</f>
        <v>220,</v>
      </c>
    </row>
    <row r="1750" spans="1:3" ht="15.75" customHeight="1">
      <c r="A1750" s="16" t="str">
        <f ca="1">IFERROR(__xludf.DUMMYFUNCTION("""COMPUTED_VALUE"""),"Sharkoon SGS20 (Black/Red)")</f>
        <v>Sharkoon SGS20 (Black/Red)</v>
      </c>
      <c r="B1750" s="16" t="str">
        <f ca="1">IFERROR(__xludf.DUMMYFUNCTION("""COMPUTED_VALUE"""),"")</f>
        <v/>
      </c>
      <c r="C1750" s="16" t="str">
        <f ca="1">IFERROR(__xludf.DUMMYFUNCTION("""COMPUTED_VALUE"""),"220,")</f>
        <v>220,</v>
      </c>
    </row>
    <row r="1751" spans="1:3" ht="15.75" customHeight="1">
      <c r="A1751" s="16" t="str">
        <f ca="1">IFERROR(__xludf.DUMMYFUNCTION("""COMPUTED_VALUE"""),"Sharkoon Elbrus 1 Gaming Seat ")</f>
        <v xml:space="preserve">Sharkoon Elbrus 1 Gaming Seat </v>
      </c>
      <c r="B1751" s="16" t="str">
        <f ca="1">IFERROR(__xludf.DUMMYFUNCTION("""COMPUTED_VALUE"""),"")</f>
        <v/>
      </c>
      <c r="C1751" s="16" t="str">
        <f ca="1">IFERROR(__xludf.DUMMYFUNCTION("""COMPUTED_VALUE"""),"180,")</f>
        <v>180,</v>
      </c>
    </row>
    <row r="1752" spans="1:3" ht="15.75" customHeight="1">
      <c r="A1752" s="16" t="str">
        <f ca="1">IFERROR(__xludf.DUMMYFUNCTION("""COMPUTED_VALUE"""),"Sharkoon Elbrus 2 Gaming Seat ")</f>
        <v xml:space="preserve">Sharkoon Elbrus 2 Gaming Seat </v>
      </c>
      <c r="B1752" s="16" t="str">
        <f ca="1">IFERROR(__xludf.DUMMYFUNCTION("""COMPUTED_VALUE"""),"")</f>
        <v/>
      </c>
      <c r="C1752" s="16" t="str">
        <f ca="1">IFERROR(__xludf.DUMMYFUNCTION("""COMPUTED_VALUE"""),"240,")</f>
        <v>240,</v>
      </c>
    </row>
    <row r="1753" spans="1:3" ht="15.75" customHeight="1">
      <c r="A1753" s="16" t="str">
        <f ca="1">IFERROR(__xludf.DUMMYFUNCTION("""COMPUTED_VALUE"""),"R40BT (USB)")</f>
        <v>R40BT (USB)</v>
      </c>
      <c r="B1753" s="16" t="str">
        <f ca="1">IFERROR(__xludf.DUMMYFUNCTION("""COMPUTED_VALUE"""),"")</f>
        <v/>
      </c>
      <c r="C1753" s="16" t="str">
        <f ca="1">IFERROR(__xludf.DUMMYFUNCTION("""COMPUTED_VALUE"""),"87,")</f>
        <v>87,</v>
      </c>
    </row>
    <row r="1754" spans="1:3" ht="15.75" customHeight="1">
      <c r="A1754" s="16" t="str">
        <f ca="1">IFERROR(__xludf.DUMMYFUNCTION("""COMPUTED_VALUE"""),"R40BT (USB)")</f>
        <v>R40BT (USB)</v>
      </c>
      <c r="B1754" s="16" t="str">
        <f ca="1">IFERROR(__xludf.DUMMYFUNCTION("""COMPUTED_VALUE"""),"")</f>
        <v/>
      </c>
      <c r="C1754" s="16" t="str">
        <f ca="1">IFERROR(__xludf.DUMMYFUNCTION("""COMPUTED_VALUE"""),"87,")</f>
        <v>87,</v>
      </c>
    </row>
    <row r="1755" spans="1:3" ht="15.75" customHeight="1">
      <c r="A1755" s="16" t="str">
        <f ca="1">IFERROR(__xludf.DUMMYFUNCTION("""COMPUTED_VALUE"""),"R330BT (USB)")</f>
        <v>R330BT (USB)</v>
      </c>
      <c r="B1755" s="16" t="str">
        <f ca="1">IFERROR(__xludf.DUMMYFUNCTION("""COMPUTED_VALUE"""),"")</f>
        <v/>
      </c>
      <c r="C1755" s="16" t="str">
        <f ca="1">IFERROR(__xludf.DUMMYFUNCTION("""COMPUTED_VALUE"""),"64,")</f>
        <v>64,</v>
      </c>
    </row>
    <row r="1756" spans="1:3" ht="15.75" customHeight="1">
      <c r="A1756" s="16" t="str">
        <f ca="1">IFERROR(__xludf.DUMMYFUNCTION("""COMPUTED_VALUE"""),"T-35X (FM)")</f>
        <v>T-35X (FM)</v>
      </c>
      <c r="B1756" s="16" t="str">
        <f ca="1">IFERROR(__xludf.DUMMYFUNCTION("""COMPUTED_VALUE"""),"")</f>
        <v/>
      </c>
      <c r="C1756" s="16" t="str">
        <f ca="1">IFERROR(__xludf.DUMMYFUNCTION("""COMPUTED_VALUE"""),"134,")</f>
        <v>134,</v>
      </c>
    </row>
    <row r="1757" spans="1:3" ht="15.75" customHeight="1">
      <c r="A1757" s="16" t="str">
        <f ca="1">IFERROR(__xludf.DUMMYFUNCTION("""COMPUTED_VALUE"""),"T-60X Pro (USB)")</f>
        <v>T-60X Pro (USB)</v>
      </c>
      <c r="B1757" s="16" t="str">
        <f ca="1">IFERROR(__xludf.DUMMYFUNCTION("""COMPUTED_VALUE"""),"")</f>
        <v/>
      </c>
      <c r="C1757" s="16" t="str">
        <f ca="1">IFERROR(__xludf.DUMMYFUNCTION("""COMPUTED_VALUE"""),"196,")</f>
        <v>196,</v>
      </c>
    </row>
    <row r="1758" spans="1:3" ht="15.75" customHeight="1">
      <c r="A1758" s="16" t="str">
        <f ca="1">IFERROR(__xludf.DUMMYFUNCTION("""COMPUTED_VALUE"""),"T-68X (USB)")</f>
        <v>T-68X (USB)</v>
      </c>
      <c r="B1758" s="16" t="str">
        <f ca="1">IFERROR(__xludf.DUMMYFUNCTION("""COMPUTED_VALUE"""),"")</f>
        <v/>
      </c>
      <c r="C1758" s="16" t="str">
        <f ca="1">IFERROR(__xludf.DUMMYFUNCTION("""COMPUTED_VALUE"""),"215,")</f>
        <v>215,</v>
      </c>
    </row>
    <row r="1759" spans="1:3" ht="15.75" customHeight="1">
      <c r="A1759" s="16" t="str">
        <f ca="1">IFERROR(__xludf.DUMMYFUNCTION("""COMPUTED_VALUE"""),"A111X")</f>
        <v>A111X</v>
      </c>
      <c r="B1759" s="16" t="str">
        <f ca="1">IFERROR(__xludf.DUMMYFUNCTION("""COMPUTED_VALUE"""),"")</f>
        <v/>
      </c>
      <c r="C1759" s="16" t="str">
        <f ca="1">IFERROR(__xludf.DUMMYFUNCTION("""COMPUTED_VALUE"""),"49,")</f>
        <v>49,</v>
      </c>
    </row>
    <row r="1760" spans="1:3" ht="15.75" customHeight="1">
      <c r="A1760" s="16" t="str">
        <f ca="1">IFERROR(__xludf.DUMMYFUNCTION("""COMPUTED_VALUE"""),"A140X (USB)")</f>
        <v>A140X (USB)</v>
      </c>
      <c r="B1760" s="16" t="str">
        <f ca="1">IFERROR(__xludf.DUMMYFUNCTION("""COMPUTED_VALUE"""),"")</f>
        <v/>
      </c>
      <c r="C1760" s="16" t="str">
        <f ca="1">IFERROR(__xludf.DUMMYFUNCTION("""COMPUTED_VALUE"""),"56,")</f>
        <v>56,</v>
      </c>
    </row>
    <row r="1761" spans="1:3" ht="15.75" customHeight="1">
      <c r="A1761" s="16" t="str">
        <f ca="1">IFERROR(__xludf.DUMMYFUNCTION("""COMPUTED_VALUE"""),"A180X (USB)")</f>
        <v>A180X (USB)</v>
      </c>
      <c r="B1761" s="16" t="str">
        <f ca="1">IFERROR(__xludf.DUMMYFUNCTION("""COMPUTED_VALUE"""),"")</f>
        <v/>
      </c>
      <c r="C1761" s="16" t="str">
        <f ca="1">IFERROR(__xludf.DUMMYFUNCTION("""COMPUTED_VALUE"""),"54,")</f>
        <v>54,</v>
      </c>
    </row>
    <row r="1762" spans="1:3" ht="15.75" customHeight="1">
      <c r="A1762" s="16" t="str">
        <f ca="1">IFERROR(__xludf.DUMMYFUNCTION("""COMPUTED_VALUE"""),"F190X (USB)")</f>
        <v>F190X (USB)</v>
      </c>
      <c r="B1762" s="16" t="str">
        <f ca="1">IFERROR(__xludf.DUMMYFUNCTION("""COMPUTED_VALUE"""),"")</f>
        <v/>
      </c>
      <c r="C1762" s="16" t="str">
        <f ca="1">IFERROR(__xludf.DUMMYFUNCTION("""COMPUTED_VALUE"""),"63,")</f>
        <v>63,</v>
      </c>
    </row>
    <row r="1763" spans="1:3" ht="15.75" customHeight="1">
      <c r="A1763" s="16" t="str">
        <f ca="1">IFERROR(__xludf.DUMMYFUNCTION("""COMPUTED_VALUE"""),"F380X (USB)")</f>
        <v>F380X (USB)</v>
      </c>
      <c r="B1763" s="16" t="str">
        <f ca="1">IFERROR(__xludf.DUMMYFUNCTION("""COMPUTED_VALUE"""),"")</f>
        <v/>
      </c>
      <c r="C1763" s="16" t="str">
        <f ca="1">IFERROR(__xludf.DUMMYFUNCTION("""COMPUTED_VALUE"""),"67,")</f>
        <v>67,</v>
      </c>
    </row>
    <row r="1764" spans="1:3" ht="15.75" customHeight="1">
      <c r="A1764" s="16" t="str">
        <f ca="1">IFERROR(__xludf.DUMMYFUNCTION("""COMPUTED_VALUE"""),"F590X (FM)")</f>
        <v>F590X (FM)</v>
      </c>
      <c r="B1764" s="16" t="str">
        <f ca="1">IFERROR(__xludf.DUMMYFUNCTION("""COMPUTED_VALUE"""),"")</f>
        <v/>
      </c>
      <c r="C1764" s="16" t="str">
        <f ca="1">IFERROR(__xludf.DUMMYFUNCTION("""COMPUTED_VALUE"""),"75,")</f>
        <v>75,</v>
      </c>
    </row>
    <row r="1765" spans="1:3" ht="15.75" customHeight="1">
      <c r="A1765" s="16" t="str">
        <f ca="1">IFERROR(__xludf.DUMMYFUNCTION("""COMPUTED_VALUE"""),"F3800X (FM)")</f>
        <v>F3800X (FM)</v>
      </c>
      <c r="B1765" s="16" t="str">
        <f ca="1">IFERROR(__xludf.DUMMYFUNCTION("""COMPUTED_VALUE"""),"")</f>
        <v/>
      </c>
      <c r="C1765" s="16" t="str">
        <f ca="1">IFERROR(__xludf.DUMMYFUNCTION("""COMPUTED_VALUE"""),"98,")</f>
        <v>98,</v>
      </c>
    </row>
    <row r="1766" spans="1:3" ht="15.75" customHeight="1">
      <c r="A1766" s="16" t="str">
        <f ca="1">IFERROR(__xludf.DUMMYFUNCTION("""COMPUTED_VALUE"""),"HT-200 (USB)")</f>
        <v>HT-200 (USB)</v>
      </c>
      <c r="B1766" s="16" t="str">
        <f ca="1">IFERROR(__xludf.DUMMYFUNCTION("""COMPUTED_VALUE"""),"")</f>
        <v/>
      </c>
      <c r="C1766" s="16" t="str">
        <f ca="1">IFERROR(__xludf.DUMMYFUNCTION("""COMPUTED_VALUE"""),"52,")</f>
        <v>52,</v>
      </c>
    </row>
    <row r="1767" spans="1:3" ht="15.75" customHeight="1">
      <c r="A1767" s="16" t="str">
        <f ca="1">IFERROR(__xludf.DUMMYFUNCTION("""COMPUTED_VALUE"""),"HT-350 (USB)")</f>
        <v>HT-350 (USB)</v>
      </c>
      <c r="B1767" s="16" t="str">
        <f ca="1">IFERROR(__xludf.DUMMYFUNCTION("""COMPUTED_VALUE"""),"")</f>
        <v/>
      </c>
      <c r="C1767" s="16" t="str">
        <f ca="1">IFERROR(__xludf.DUMMYFUNCTION("""COMPUTED_VALUE"""),"149,")</f>
        <v>149,</v>
      </c>
    </row>
    <row r="1768" spans="1:3" ht="15.75" customHeight="1">
      <c r="A1768" s="16" t="str">
        <f ca="1">IFERROR(__xludf.DUMMYFUNCTION("""COMPUTED_VALUE"""),"HT-500DA (USB)")</f>
        <v>HT-500DA (USB)</v>
      </c>
      <c r="B1768" s="16" t="str">
        <f ca="1">IFERROR(__xludf.DUMMYFUNCTION("""COMPUTED_VALUE"""),"")</f>
        <v/>
      </c>
      <c r="C1768" s="16" t="str">
        <f ca="1">IFERROR(__xludf.DUMMYFUNCTION("""COMPUTED_VALUE"""),"323,")</f>
        <v>323,</v>
      </c>
    </row>
    <row r="1769" spans="1:3" ht="15.75" customHeight="1">
      <c r="A1769" s="16" t="str">
        <f ca="1">IFERROR(__xludf.DUMMYFUNCTION("""COMPUTED_VALUE"""),"PA200 (USB)")</f>
        <v>PA200 (USB)</v>
      </c>
      <c r="B1769" s="16" t="str">
        <f ca="1">IFERROR(__xludf.DUMMYFUNCTION("""COMPUTED_VALUE"""),"")</f>
        <v/>
      </c>
      <c r="C1769" s="16" t="str">
        <f ca="1">IFERROR(__xludf.DUMMYFUNCTION("""COMPUTED_VALUE"""),"201,")</f>
        <v>201,</v>
      </c>
    </row>
    <row r="1770" spans="1:3" ht="15.75" customHeight="1">
      <c r="A1770" s="16" t="str">
        <f ca="1">IFERROR(__xludf.DUMMYFUNCTION("""COMPUTED_VALUE"""),"PA300 (FM)")</f>
        <v>PA300 (FM)</v>
      </c>
      <c r="B1770" s="16" t="str">
        <f ca="1">IFERROR(__xludf.DUMMYFUNCTION("""COMPUTED_VALUE"""),"")</f>
        <v/>
      </c>
      <c r="C1770" s="16" t="str">
        <f ca="1">IFERROR(__xludf.DUMMYFUNCTION("""COMPUTED_VALUE"""),"223,")</f>
        <v>223,</v>
      </c>
    </row>
    <row r="1771" spans="1:3" ht="15.75" customHeight="1">
      <c r="A1771" s="16" t="str">
        <f ca="1">IFERROR(__xludf.DUMMYFUNCTION("""COMPUTED_VALUE"""),"D12 brown")</f>
        <v>D12 brown</v>
      </c>
      <c r="B1771" s="16" t="str">
        <f ca="1">IFERROR(__xludf.DUMMYFUNCTION("""COMPUTED_VALUE"""),"")</f>
        <v/>
      </c>
      <c r="C1771" s="16" t="str">
        <f ca="1">IFERROR(__xludf.DUMMYFUNCTION("""COMPUTED_VALUE"""),"99,")</f>
        <v>99,</v>
      </c>
    </row>
    <row r="1772" spans="1:3" ht="15.75" customHeight="1">
      <c r="A1772" s="16" t="str">
        <f ca="1">IFERROR(__xludf.DUMMYFUNCTION("""COMPUTED_VALUE"""),"D32 black walnut")</f>
        <v>D32 black walnut</v>
      </c>
      <c r="B1772" s="16" t="str">
        <f ca="1">IFERROR(__xludf.DUMMYFUNCTION("""COMPUTED_VALUE"""),"")</f>
        <v/>
      </c>
      <c r="C1772" s="16" t="str">
        <f ca="1">IFERROR(__xludf.DUMMYFUNCTION("""COMPUTED_VALUE"""),"148,")</f>
        <v>148,</v>
      </c>
    </row>
    <row r="1773" spans="1:3" ht="15.75" customHeight="1">
      <c r="A1773" s="16" t="str">
        <f ca="1">IFERROR(__xludf.DUMMYFUNCTION("""COMPUTED_VALUE"""),"QD35")</f>
        <v>QD35</v>
      </c>
      <c r="B1773" s="16" t="str">
        <f ca="1">IFERROR(__xludf.DUMMYFUNCTION("""COMPUTED_VALUE"""),"")</f>
        <v/>
      </c>
      <c r="C1773" s="16" t="str">
        <f ca="1">IFERROR(__xludf.DUMMYFUNCTION("""COMPUTED_VALUE"""),"134,")</f>
        <v>134,</v>
      </c>
    </row>
    <row r="1774" spans="1:3" ht="15.75" customHeight="1">
      <c r="A1774" s="16" t="str">
        <f ca="1">IFERROR(__xludf.DUMMYFUNCTION("""COMPUTED_VALUE"""),"QR65 black")</f>
        <v>QR65 black</v>
      </c>
      <c r="B1774" s="16" t="str">
        <f ca="1">IFERROR(__xludf.DUMMYFUNCTION("""COMPUTED_VALUE"""),"")</f>
        <v/>
      </c>
      <c r="C1774" s="16" t="str">
        <f ca="1">IFERROR(__xludf.DUMMYFUNCTION("""COMPUTED_VALUE"""),"269,")</f>
        <v>269,</v>
      </c>
    </row>
    <row r="1775" spans="1:3" ht="15.75" customHeight="1">
      <c r="A1775" s="16" t="str">
        <f ca="1">IFERROR(__xludf.DUMMYFUNCTION("""COMPUTED_VALUE"""),"M1250")</f>
        <v>M1250</v>
      </c>
      <c r="B1775" s="16" t="str">
        <f ca="1">IFERROR(__xludf.DUMMYFUNCTION("""COMPUTED_VALUE"""),"")</f>
        <v/>
      </c>
      <c r="C1775" s="16" t="str">
        <f ca="1">IFERROR(__xludf.DUMMYFUNCTION("""COMPUTED_VALUE"""),"14,")</f>
        <v>14,</v>
      </c>
    </row>
    <row r="1776" spans="1:3" ht="15.75" customHeight="1">
      <c r="A1776" s="16" t="str">
        <f ca="1">IFERROR(__xludf.DUMMYFUNCTION("""COMPUTED_VALUE"""),"R12U")</f>
        <v>R12U</v>
      </c>
      <c r="B1776" s="16" t="str">
        <f ca="1">IFERROR(__xludf.DUMMYFUNCTION("""COMPUTED_VALUE"""),"")</f>
        <v/>
      </c>
      <c r="C1776" s="16" t="str">
        <f ca="1">IFERROR(__xludf.DUMMYFUNCTION("""COMPUTED_VALUE"""),"17,")</f>
        <v>17,</v>
      </c>
    </row>
    <row r="1777" spans="1:3" ht="15.75" customHeight="1">
      <c r="A1777" s="16" t="str">
        <f ca="1">IFERROR(__xludf.DUMMYFUNCTION("""COMPUTED_VALUE"""),"R19BT")</f>
        <v>R19BT</v>
      </c>
      <c r="B1777" s="16" t="str">
        <f ca="1">IFERROR(__xludf.DUMMYFUNCTION("""COMPUTED_VALUE"""),"")</f>
        <v/>
      </c>
      <c r="C1777" s="16" t="str">
        <f ca="1">IFERROR(__xludf.DUMMYFUNCTION("""COMPUTED_VALUE"""),"33,")</f>
        <v>33,</v>
      </c>
    </row>
    <row r="1778" spans="1:3" ht="15.75" customHeight="1">
      <c r="A1778" s="16" t="str">
        <f ca="1">IFERROR(__xludf.DUMMYFUNCTION("""COMPUTED_VALUE"""),"QR30 white")</f>
        <v>QR30 white</v>
      </c>
      <c r="B1778" s="16" t="str">
        <f ca="1">IFERROR(__xludf.DUMMYFUNCTION("""COMPUTED_VALUE"""),"")</f>
        <v/>
      </c>
      <c r="C1778" s="16" t="str">
        <f ca="1">IFERROR(__xludf.DUMMYFUNCTION("""COMPUTED_VALUE"""),"100,")</f>
        <v>100,</v>
      </c>
    </row>
    <row r="1779" spans="1:3" ht="15.75" customHeight="1">
      <c r="A1779" s="16" t="str">
        <f ca="1">IFERROR(__xludf.DUMMYFUNCTION("""COMPUTED_VALUE"""),"M60 black")</f>
        <v>M60 black</v>
      </c>
      <c r="B1779" s="16" t="str">
        <f ca="1">IFERROR(__xludf.DUMMYFUNCTION("""COMPUTED_VALUE"""),"")</f>
        <v/>
      </c>
      <c r="C1779" s="16" t="str">
        <f ca="1">IFERROR(__xludf.DUMMYFUNCTION("""COMPUTED_VALUE"""),"123,")</f>
        <v>123,</v>
      </c>
    </row>
    <row r="1780" spans="1:3" ht="15.75" customHeight="1">
      <c r="A1780" s="16" t="str">
        <f ca="1">IFERROR(__xludf.DUMMYFUNCTION("""COMPUTED_VALUE"""),"M60 classic oak")</f>
        <v>M60 classic oak</v>
      </c>
      <c r="B1780" s="16" t="str">
        <f ca="1">IFERROR(__xludf.DUMMYFUNCTION("""COMPUTED_VALUE"""),"")</f>
        <v/>
      </c>
      <c r="C1780" s="16" t="str">
        <f ca="1">IFERROR(__xludf.DUMMYFUNCTION("""COMPUTED_VALUE"""),"123,")</f>
        <v>123,</v>
      </c>
    </row>
    <row r="1781" spans="1:3" ht="15.75" customHeight="1">
      <c r="A1781" s="16" t="str">
        <f ca="1">IFERROR(__xludf.DUMMYFUNCTION("""COMPUTED_VALUE"""),"M60 white")</f>
        <v>M60 white</v>
      </c>
      <c r="B1781" s="16" t="str">
        <f ca="1">IFERROR(__xludf.DUMMYFUNCTION("""COMPUTED_VALUE"""),"")</f>
        <v/>
      </c>
      <c r="C1781" s="16" t="str">
        <f ca="1">IFERROR(__xludf.DUMMYFUNCTION("""COMPUTED_VALUE"""),"123,")</f>
        <v>123,</v>
      </c>
    </row>
    <row r="1782" spans="1:3" ht="15.75" customHeight="1">
      <c r="A1782" s="16" t="str">
        <f ca="1">IFERROR(__xludf.DUMMYFUNCTION("""COMPUTED_VALUE"""),"MR3 black")</f>
        <v>MR3 black</v>
      </c>
      <c r="B1782" s="16" t="str">
        <f ca="1">IFERROR(__xludf.DUMMYFUNCTION("""COMPUTED_VALUE"""),"")</f>
        <v/>
      </c>
      <c r="C1782" s="16" t="str">
        <f ca="1">IFERROR(__xludf.DUMMYFUNCTION("""COMPUTED_VALUE"""),"77,")</f>
        <v>77,</v>
      </c>
    </row>
    <row r="1783" spans="1:3" ht="15.75" customHeight="1">
      <c r="A1783" s="16" t="str">
        <f ca="1">IFERROR(__xludf.DUMMYFUNCTION("""COMPUTED_VALUE"""),"MR3 white")</f>
        <v>MR3 white</v>
      </c>
      <c r="B1783" s="16" t="str">
        <f ca="1">IFERROR(__xludf.DUMMYFUNCTION("""COMPUTED_VALUE"""),"")</f>
        <v/>
      </c>
      <c r="C1783" s="16" t="str">
        <f ca="1">IFERROR(__xludf.DUMMYFUNCTION("""COMPUTED_VALUE"""),"77,")</f>
        <v>77,</v>
      </c>
    </row>
    <row r="1784" spans="1:3" ht="15.75" customHeight="1">
      <c r="A1784" s="16" t="str">
        <f ca="1">IFERROR(__xludf.DUMMYFUNCTION("""COMPUTED_VALUE"""),"MR5 black")</f>
        <v>MR5 black</v>
      </c>
      <c r="B1784" s="16" t="str">
        <f ca="1">IFERROR(__xludf.DUMMYFUNCTION("""COMPUTED_VALUE"""),"")</f>
        <v/>
      </c>
      <c r="C1784" s="16" t="str">
        <f ca="1">IFERROR(__xludf.DUMMYFUNCTION("""COMPUTED_VALUE"""),"177,")</f>
        <v>177,</v>
      </c>
    </row>
    <row r="1785" spans="1:3" ht="15.75" customHeight="1">
      <c r="A1785" s="16" t="str">
        <f ca="1">IFERROR(__xludf.DUMMYFUNCTION("""COMPUTED_VALUE"""),"R990BT")</f>
        <v>R990BT</v>
      </c>
      <c r="B1785" s="16" t="str">
        <f ca="1">IFERROR(__xludf.DUMMYFUNCTION("""COMPUTED_VALUE"""),"")</f>
        <v/>
      </c>
      <c r="C1785" s="16" t="str">
        <f ca="1">IFERROR(__xludf.DUMMYFUNCTION("""COMPUTED_VALUE"""),"61,")</f>
        <v>61,</v>
      </c>
    </row>
    <row r="1786" spans="1:3" ht="15.75" customHeight="1">
      <c r="A1786" s="16" t="str">
        <f ca="1">IFERROR(__xludf.DUMMYFUNCTION("""COMPUTED_VALUE"""),"R1010BT")</f>
        <v>R1010BT</v>
      </c>
      <c r="B1786" s="16" t="str">
        <f ca="1">IFERROR(__xludf.DUMMYFUNCTION("""COMPUTED_VALUE"""),"")</f>
        <v/>
      </c>
      <c r="C1786" s="16" t="str">
        <f ca="1">IFERROR(__xludf.DUMMYFUNCTION("""COMPUTED_VALUE"""),"88,")</f>
        <v>88,</v>
      </c>
    </row>
    <row r="1787" spans="1:3" ht="15.75" customHeight="1">
      <c r="A1787" s="16" t="str">
        <f ca="1">IFERROR(__xludf.DUMMYFUNCTION("""COMPUTED_VALUE"""),"R1080BT")</f>
        <v>R1080BT</v>
      </c>
      <c r="B1787" s="16" t="str">
        <f ca="1">IFERROR(__xludf.DUMMYFUNCTION("""COMPUTED_VALUE"""),"")</f>
        <v/>
      </c>
      <c r="C1787" s="16" t="str">
        <f ca="1">IFERROR(__xludf.DUMMYFUNCTION("""COMPUTED_VALUE"""),"91,")</f>
        <v>91,</v>
      </c>
    </row>
    <row r="1788" spans="1:3" ht="15.75" customHeight="1">
      <c r="A1788" s="16" t="str">
        <f ca="1">IFERROR(__xludf.DUMMYFUNCTION("""COMPUTED_VALUE"""),"R1700BTs brown")</f>
        <v>R1700BTs brown</v>
      </c>
      <c r="B1788" s="16" t="str">
        <f ca="1">IFERROR(__xludf.DUMMYFUNCTION("""COMPUTED_VALUE"""),"")</f>
        <v/>
      </c>
      <c r="C1788" s="16" t="str">
        <f ca="1">IFERROR(__xludf.DUMMYFUNCTION("""COMPUTED_VALUE"""),"142,")</f>
        <v>142,</v>
      </c>
    </row>
    <row r="1789" spans="1:3" ht="15.75" customHeight="1">
      <c r="A1789" s="16" t="str">
        <f ca="1">IFERROR(__xludf.DUMMYFUNCTION("""COMPUTED_VALUE"""),"R1280DB brown")</f>
        <v>R1280DB brown</v>
      </c>
      <c r="B1789" s="16" t="str">
        <f ca="1">IFERROR(__xludf.DUMMYFUNCTION("""COMPUTED_VALUE"""),"")</f>
        <v/>
      </c>
      <c r="C1789" s="16" t="str">
        <f ca="1">IFERROR(__xludf.DUMMYFUNCTION("""COMPUTED_VALUE"""),"107,")</f>
        <v>107,</v>
      </c>
    </row>
    <row r="1790" spans="1:3" ht="15.75" customHeight="1">
      <c r="A1790" s="16" t="str">
        <f ca="1">IFERROR(__xludf.DUMMYFUNCTION("""COMPUTED_VALUE"""),"R1280DBs black")</f>
        <v>R1280DBs black</v>
      </c>
      <c r="B1790" s="16" t="str">
        <f ca="1">IFERROR(__xludf.DUMMYFUNCTION("""COMPUTED_VALUE"""),"")</f>
        <v/>
      </c>
      <c r="C1790" s="16" t="str">
        <f ca="1">IFERROR(__xludf.DUMMYFUNCTION("""COMPUTED_VALUE"""),"119,")</f>
        <v>119,</v>
      </c>
    </row>
    <row r="1791" spans="1:3" ht="15.75" customHeight="1">
      <c r="A1791" s="16" t="str">
        <f ca="1">IFERROR(__xludf.DUMMYFUNCTION("""COMPUTED_VALUE"""),"R1380DB black")</f>
        <v>R1380DB black</v>
      </c>
      <c r="B1791" s="16" t="str">
        <f ca="1">IFERROR(__xludf.DUMMYFUNCTION("""COMPUTED_VALUE"""),"")</f>
        <v/>
      </c>
      <c r="C1791" s="16" t="str">
        <f ca="1">IFERROR(__xludf.DUMMYFUNCTION("""COMPUTED_VALUE"""),"125,")</f>
        <v>125,</v>
      </c>
    </row>
    <row r="1792" spans="1:3" ht="15.75" customHeight="1">
      <c r="A1792" s="16" t="str">
        <f ca="1">IFERROR(__xludf.DUMMYFUNCTION("""COMPUTED_VALUE"""),"R1580MB")</f>
        <v>R1580MB</v>
      </c>
      <c r="B1792" s="16" t="str">
        <f ca="1">IFERROR(__xludf.DUMMYFUNCTION("""COMPUTED_VALUE"""),"")</f>
        <v/>
      </c>
      <c r="C1792" s="16" t="str">
        <f ca="1">IFERROR(__xludf.DUMMYFUNCTION("""COMPUTED_VALUE"""),"94,")</f>
        <v>94,</v>
      </c>
    </row>
    <row r="1793" spans="1:3" ht="15.75" customHeight="1">
      <c r="A1793" s="16" t="str">
        <f ca="1">IFERROR(__xludf.DUMMYFUNCTION("""COMPUTED_VALUE"""),"R1855DB")</f>
        <v>R1855DB</v>
      </c>
      <c r="B1793" s="16" t="str">
        <f ca="1">IFERROR(__xludf.DUMMYFUNCTION("""COMPUTED_VALUE"""),"")</f>
        <v/>
      </c>
      <c r="C1793" s="16" t="str">
        <f ca="1">IFERROR(__xludf.DUMMYFUNCTION("""COMPUTED_VALUE"""),"148,")</f>
        <v>148,</v>
      </c>
    </row>
    <row r="1794" spans="1:3" ht="15.75" customHeight="1">
      <c r="A1794" s="16" t="str">
        <f ca="1">IFERROR(__xludf.DUMMYFUNCTION("""COMPUTED_VALUE"""),"E25HD + SS01C")</f>
        <v>E25HD + SS01C</v>
      </c>
      <c r="B1794" s="16" t="str">
        <f ca="1">IFERROR(__xludf.DUMMYFUNCTION("""COMPUTED_VALUE"""),"")</f>
        <v/>
      </c>
      <c r="C1794" s="16" t="str">
        <f ca="1">IFERROR(__xludf.DUMMYFUNCTION("""COMPUTED_VALUE"""),"292,")</f>
        <v>292,</v>
      </c>
    </row>
    <row r="1795" spans="1:3" ht="15.75" customHeight="1">
      <c r="A1795" s="16" t="str">
        <f ca="1">IFERROR(__xludf.DUMMYFUNCTION("""COMPUTED_VALUE"""),"R2750DB")</f>
        <v>R2750DB</v>
      </c>
      <c r="B1795" s="16" t="str">
        <f ca="1">IFERROR(__xludf.DUMMYFUNCTION("""COMPUTED_VALUE"""),"")</f>
        <v/>
      </c>
      <c r="C1795" s="16" t="str">
        <f ca="1">IFERROR(__xludf.DUMMYFUNCTION("""COMPUTED_VALUE"""),"230,")</f>
        <v>230,</v>
      </c>
    </row>
    <row r="1796" spans="1:3" ht="15.75" customHeight="1">
      <c r="A1796" s="16" t="str">
        <f ca="1">IFERROR(__xludf.DUMMYFUNCTION("""COMPUTED_VALUE"""),"R2850DB")</f>
        <v>R2850DB</v>
      </c>
      <c r="B1796" s="16" t="str">
        <f ca="1">IFERROR(__xludf.DUMMYFUNCTION("""COMPUTED_VALUE"""),"")</f>
        <v/>
      </c>
      <c r="C1796" s="16" t="str">
        <f ca="1">IFERROR(__xludf.DUMMYFUNCTION("""COMPUTED_VALUE"""),"304,")</f>
        <v>304,</v>
      </c>
    </row>
    <row r="1797" spans="1:3" ht="15.75" customHeight="1">
      <c r="A1797" s="16" t="str">
        <f ca="1">IFERROR(__xludf.DUMMYFUNCTION("""COMPUTED_VALUE"""),"S880DB")</f>
        <v>S880DB</v>
      </c>
      <c r="B1797" s="16" t="str">
        <f ca="1">IFERROR(__xludf.DUMMYFUNCTION("""COMPUTED_VALUE"""),"")</f>
        <v/>
      </c>
      <c r="C1797" s="16" t="str">
        <f ca="1">IFERROR(__xludf.DUMMYFUNCTION("""COMPUTED_VALUE"""),"200,")</f>
        <v>200,</v>
      </c>
    </row>
    <row r="1798" spans="1:3" ht="15.75" customHeight="1">
      <c r="A1798" s="16" t="str">
        <f ca="1">IFERROR(__xludf.DUMMYFUNCTION("""COMPUTED_VALUE"""),"S1000W brown")</f>
        <v>S1000W brown</v>
      </c>
      <c r="B1798" s="16" t="str">
        <f ca="1">IFERROR(__xludf.DUMMYFUNCTION("""COMPUTED_VALUE"""),"")</f>
        <v/>
      </c>
      <c r="C1798" s="16" t="str">
        <f ca="1">IFERROR(__xludf.DUMMYFUNCTION("""COMPUTED_VALUE"""),"300,")</f>
        <v>300,</v>
      </c>
    </row>
    <row r="1799" spans="1:3" ht="15.75" customHeight="1">
      <c r="A1799" s="16" t="str">
        <f ca="1">IFERROR(__xludf.DUMMYFUNCTION("""COMPUTED_VALUE"""),"S2000MKIII brown")</f>
        <v>S2000MKIII brown</v>
      </c>
      <c r="B1799" s="16" t="str">
        <f ca="1">IFERROR(__xludf.DUMMYFUNCTION("""COMPUTED_VALUE"""),"")</f>
        <v/>
      </c>
      <c r="C1799" s="16" t="str">
        <f ca="1">IFERROR(__xludf.DUMMYFUNCTION("""COMPUTED_VALUE"""),"378,")</f>
        <v>378,</v>
      </c>
    </row>
    <row r="1800" spans="1:3" ht="15.75" customHeight="1">
      <c r="A1800" s="16" t="str">
        <f ca="1">IFERROR(__xludf.DUMMYFUNCTION("""COMPUTED_VALUE"""),"S3000MKII brown")</f>
        <v>S3000MKII brown</v>
      </c>
      <c r="B1800" s="16" t="str">
        <f ca="1">IFERROR(__xludf.DUMMYFUNCTION("""COMPUTED_VALUE"""),"")</f>
        <v/>
      </c>
      <c r="C1800" s="16" t="str">
        <f ca="1">IFERROR(__xludf.DUMMYFUNCTION("""COMPUTED_VALUE"""),"567,")</f>
        <v>567,</v>
      </c>
    </row>
    <row r="1801" spans="1:3" ht="15.75" customHeight="1">
      <c r="A1801" s="16" t="str">
        <f ca="1">IFERROR(__xludf.DUMMYFUNCTION("""COMPUTED_VALUE"""),"M206BT")</f>
        <v>M206BT</v>
      </c>
      <c r="B1801" s="16" t="str">
        <f ca="1">IFERROR(__xludf.DUMMYFUNCTION("""COMPUTED_VALUE"""),"")</f>
        <v/>
      </c>
      <c r="C1801" s="16" t="str">
        <f ca="1">IFERROR(__xludf.DUMMYFUNCTION("""COMPUTED_VALUE"""),"61,")</f>
        <v>61,</v>
      </c>
    </row>
    <row r="1802" spans="1:3" ht="15.75" customHeight="1">
      <c r="A1802" s="16" t="str">
        <f ca="1">IFERROR(__xludf.DUMMYFUNCTION("""COMPUTED_VALUE"""),"S351DB")</f>
        <v>S351DB</v>
      </c>
      <c r="B1802" s="16" t="str">
        <f ca="1">IFERROR(__xludf.DUMMYFUNCTION("""COMPUTED_VALUE"""),"")</f>
        <v/>
      </c>
      <c r="C1802" s="16" t="str">
        <f ca="1">IFERROR(__xludf.DUMMYFUNCTION("""COMPUTED_VALUE"""),"304,")</f>
        <v>304,</v>
      </c>
    </row>
    <row r="1803" spans="1:3" ht="15.75" customHeight="1">
      <c r="A1803" s="16" t="str">
        <f ca="1">IFERROR(__xludf.DUMMYFUNCTION("""COMPUTED_VALUE"""),"CX7")</f>
        <v>CX7</v>
      </c>
      <c r="B1803" s="16" t="str">
        <f ca="1">IFERROR(__xludf.DUMMYFUNCTION("""COMPUTED_VALUE"""),"")</f>
        <v/>
      </c>
      <c r="C1803" s="16" t="str">
        <f ca="1">IFERROR(__xludf.DUMMYFUNCTION("""COMPUTED_VALUE"""),"169,")</f>
        <v>169,</v>
      </c>
    </row>
    <row r="1804" spans="1:3" ht="15.75" customHeight="1">
      <c r="A1804" s="16" t="str">
        <f ca="1">IFERROR(__xludf.DUMMYFUNCTION("""COMPUTED_VALUE"""),"G1500")</f>
        <v>G1500</v>
      </c>
      <c r="B1804" s="16" t="str">
        <f ca="1">IFERROR(__xludf.DUMMYFUNCTION("""COMPUTED_VALUE"""),"")</f>
        <v/>
      </c>
      <c r="C1804" s="16" t="str">
        <f ca="1">IFERROR(__xludf.DUMMYFUNCTION("""COMPUTED_VALUE"""),"34,")</f>
        <v>34,</v>
      </c>
    </row>
    <row r="1805" spans="1:3" ht="15.75" customHeight="1">
      <c r="A1805" s="16" t="str">
        <f ca="1">IFERROR(__xludf.DUMMYFUNCTION("""COMPUTED_VALUE"""),"MG300")</f>
        <v>MG300</v>
      </c>
      <c r="B1805" s="16" t="str">
        <f ca="1">IFERROR(__xludf.DUMMYFUNCTION("""COMPUTED_VALUE"""),"")</f>
        <v/>
      </c>
      <c r="C1805" s="16" t="str">
        <f ca="1">IFERROR(__xludf.DUMMYFUNCTION("""COMPUTED_VALUE"""),"40,")</f>
        <v>40,</v>
      </c>
    </row>
    <row r="1806" spans="1:3" ht="15.75" customHeight="1">
      <c r="A1806" s="16" t="str">
        <f ca="1">IFERROR(__xludf.DUMMYFUNCTION("""COMPUTED_VALUE"""),"G1500 BAR white")</f>
        <v>G1500 BAR white</v>
      </c>
      <c r="B1806" s="16" t="str">
        <f ca="1">IFERROR(__xludf.DUMMYFUNCTION("""COMPUTED_VALUE"""),"")</f>
        <v/>
      </c>
      <c r="C1806" s="16" t="str">
        <f ca="1">IFERROR(__xludf.DUMMYFUNCTION("""COMPUTED_VALUE"""),"44,")</f>
        <v>44,</v>
      </c>
    </row>
    <row r="1807" spans="1:3" ht="15.75" customHeight="1">
      <c r="A1807" s="16" t="str">
        <f ca="1">IFERROR(__xludf.DUMMYFUNCTION("""COMPUTED_VALUE"""),"QS30")</f>
        <v>QS30</v>
      </c>
      <c r="B1807" s="16" t="str">
        <f ca="1">IFERROR(__xludf.DUMMYFUNCTION("""COMPUTED_VALUE"""),"")</f>
        <v/>
      </c>
      <c r="C1807" s="16" t="str">
        <f ca="1">IFERROR(__xludf.DUMMYFUNCTION("""COMPUTED_VALUE"""),"48,")</f>
        <v>48,</v>
      </c>
    </row>
    <row r="1808" spans="1:3" ht="15.75" customHeight="1">
      <c r="A1808" s="16" t="str">
        <f ca="1">IFERROR(__xludf.DUMMYFUNCTION("""COMPUTED_VALUE"""),"G1500 MAX")</f>
        <v>G1500 MAX</v>
      </c>
      <c r="B1808" s="16" t="str">
        <f ca="1">IFERROR(__xludf.DUMMYFUNCTION("""COMPUTED_VALUE"""),"")</f>
        <v/>
      </c>
      <c r="C1808" s="16" t="str">
        <f ca="1">IFERROR(__xludf.DUMMYFUNCTION("""COMPUTED_VALUE"""),"64,")</f>
        <v>64,</v>
      </c>
    </row>
    <row r="1809" spans="1:3" ht="15.75" customHeight="1">
      <c r="A1809" s="16" t="str">
        <f ca="1">IFERROR(__xludf.DUMMYFUNCTION("""COMPUTED_VALUE"""),"G2000 PRO")</f>
        <v>G2000 PRO</v>
      </c>
      <c r="B1809" s="16" t="str">
        <f ca="1">IFERROR(__xludf.DUMMYFUNCTION("""COMPUTED_VALUE"""),"")</f>
        <v/>
      </c>
      <c r="C1809" s="16" t="str">
        <f ca="1">IFERROR(__xludf.DUMMYFUNCTION("""COMPUTED_VALUE"""),"107,")</f>
        <v>107,</v>
      </c>
    </row>
    <row r="1810" spans="1:3" ht="15.75" customHeight="1">
      <c r="A1810" s="16" t="str">
        <f ca="1">IFERROR(__xludf.DUMMYFUNCTION("""COMPUTED_VALUE"""),"T5")</f>
        <v>T5</v>
      </c>
      <c r="B1810" s="16" t="str">
        <f ca="1">IFERROR(__xludf.DUMMYFUNCTION("""COMPUTED_VALUE"""),"")</f>
        <v/>
      </c>
      <c r="C1810" s="16" t="str">
        <f ca="1">IFERROR(__xludf.DUMMYFUNCTION("""COMPUTED_VALUE"""),"115,")</f>
        <v>115,</v>
      </c>
    </row>
    <row r="1811" spans="1:3" ht="15.75" customHeight="1">
      <c r="A1811" s="16" t="str">
        <f ca="1">IFERROR(__xludf.DUMMYFUNCTION("""COMPUTED_VALUE"""),"T5s")</f>
        <v>T5s</v>
      </c>
      <c r="B1811" s="16" t="str">
        <f ca="1">IFERROR(__xludf.DUMMYFUNCTION("""COMPUTED_VALUE"""),"")</f>
        <v/>
      </c>
      <c r="C1811" s="16" t="str">
        <f ca="1">IFERROR(__xludf.DUMMYFUNCTION("""COMPUTED_VALUE"""),"119,")</f>
        <v>119,</v>
      </c>
    </row>
    <row r="1812" spans="1:3" ht="15.75" customHeight="1">
      <c r="A1812" s="16" t="str">
        <f ca="1">IFERROR(__xludf.DUMMYFUNCTION("""COMPUTED_VALUE"""),"MP85 grey")</f>
        <v>MP85 grey</v>
      </c>
      <c r="B1812" s="16" t="str">
        <f ca="1">IFERROR(__xludf.DUMMYFUNCTION("""COMPUTED_VALUE"""),"")</f>
        <v/>
      </c>
      <c r="C1812" s="16" t="str">
        <f ca="1">IFERROR(__xludf.DUMMYFUNCTION("""COMPUTED_VALUE"""),"15,")</f>
        <v>15,</v>
      </c>
    </row>
    <row r="1813" spans="1:3" ht="15.75" customHeight="1">
      <c r="A1813" s="16" t="str">
        <f ca="1">IFERROR(__xludf.DUMMYFUNCTION("""COMPUTED_VALUE"""),"A3-8S")</f>
        <v>A3-8S</v>
      </c>
      <c r="B1813" s="16" t="str">
        <f ca="1">IFERROR(__xludf.DUMMYFUNCTION("""COMPUTED_VALUE"""),"")</f>
        <v/>
      </c>
      <c r="C1813" s="16" t="str">
        <f ca="1">IFERROR(__xludf.DUMMYFUNCTION("""COMPUTED_VALUE"""),"134,")</f>
        <v>134,</v>
      </c>
    </row>
    <row r="1814" spans="1:3" ht="15.75" customHeight="1">
      <c r="A1814" s="16" t="str">
        <f ca="1">IFERROR(__xludf.DUMMYFUNCTION("""COMPUTED_VALUE"""),"K550 Single Plug")</f>
        <v>K550 Single Plug</v>
      </c>
      <c r="B1814" s="16" t="str">
        <f ca="1">IFERROR(__xludf.DUMMYFUNCTION("""COMPUTED_VALUE"""),"")</f>
        <v/>
      </c>
      <c r="C1814" s="16" t="str">
        <f ca="1">IFERROR(__xludf.DUMMYFUNCTION("""COMPUTED_VALUE"""),"11,")</f>
        <v>11,</v>
      </c>
    </row>
    <row r="1815" spans="1:3" ht="15.75" customHeight="1">
      <c r="A1815" s="16" t="str">
        <f ca="1">IFERROR(__xludf.DUMMYFUNCTION("""COMPUTED_VALUE"""),"K800 USB")</f>
        <v>K800 USB</v>
      </c>
      <c r="B1815" s="16" t="str">
        <f ca="1">IFERROR(__xludf.DUMMYFUNCTION("""COMPUTED_VALUE"""),"")</f>
        <v/>
      </c>
      <c r="C1815" s="16" t="str">
        <f ca="1">IFERROR(__xludf.DUMMYFUNCTION("""COMPUTED_VALUE"""),"15,")</f>
        <v>15,</v>
      </c>
    </row>
    <row r="1816" spans="1:3" ht="15.75" customHeight="1">
      <c r="A1816" s="16" t="str">
        <f ca="1">IFERROR(__xludf.DUMMYFUNCTION("""COMPUTED_VALUE"""),"CC100")</f>
        <v>CC100</v>
      </c>
      <c r="B1816" s="16" t="str">
        <f ca="1">IFERROR(__xludf.DUMMYFUNCTION("""COMPUTED_VALUE"""),"")</f>
        <v/>
      </c>
      <c r="C1816" s="16" t="str">
        <f ca="1">IFERROR(__xludf.DUMMYFUNCTION("""COMPUTED_VALUE"""),"19,")</f>
        <v>19,</v>
      </c>
    </row>
    <row r="1817" spans="1:3" ht="15.75" customHeight="1">
      <c r="A1817" s="16" t="str">
        <f ca="1">IFERROR(__xludf.DUMMYFUNCTION("""COMPUTED_VALUE"""),"G2 II black")</f>
        <v>G2 II black</v>
      </c>
      <c r="B1817" s="16" t="str">
        <f ca="1">IFERROR(__xludf.DUMMYFUNCTION("""COMPUTED_VALUE"""),"")</f>
        <v/>
      </c>
      <c r="C1817" s="16" t="str">
        <f ca="1">IFERROR(__xludf.DUMMYFUNCTION("""COMPUTED_VALUE"""),"37,")</f>
        <v>37,</v>
      </c>
    </row>
    <row r="1818" spans="1:3" ht="15.75" customHeight="1">
      <c r="A1818" s="16" t="str">
        <f ca="1">IFERROR(__xludf.DUMMYFUNCTION("""COMPUTED_VALUE"""),"G2 II white")</f>
        <v>G2 II white</v>
      </c>
      <c r="B1818" s="16" t="str">
        <f ca="1">IFERROR(__xludf.DUMMYFUNCTION("""COMPUTED_VALUE"""),"")</f>
        <v/>
      </c>
      <c r="C1818" s="16" t="str">
        <f ca="1">IFERROR(__xludf.DUMMYFUNCTION("""COMPUTED_VALUE"""),"37,")</f>
        <v>37,</v>
      </c>
    </row>
    <row r="1819" spans="1:3" ht="15.75" customHeight="1">
      <c r="A1819" s="16" t="str">
        <f ca="1">IFERROR(__xludf.DUMMYFUNCTION("""COMPUTED_VALUE"""),"G50")</f>
        <v>G50</v>
      </c>
      <c r="B1819" s="16" t="str">
        <f ca="1">IFERROR(__xludf.DUMMYFUNCTION("""COMPUTED_VALUE"""),"")</f>
        <v/>
      </c>
      <c r="C1819" s="16" t="str">
        <f ca="1">IFERROR(__xludf.DUMMYFUNCTION("""COMPUTED_VALUE"""),"49,")</f>
        <v>49,</v>
      </c>
    </row>
    <row r="1820" spans="1:3" ht="15.75" customHeight="1">
      <c r="A1820" s="16" t="str">
        <f ca="1">IFERROR(__xludf.DUMMYFUNCTION("""COMPUTED_VALUE"""),"G2BT Black")</f>
        <v>G2BT Black</v>
      </c>
      <c r="B1820" s="16" t="str">
        <f ca="1">IFERROR(__xludf.DUMMYFUNCTION("""COMPUTED_VALUE"""),"")</f>
        <v/>
      </c>
      <c r="C1820" s="16" t="str">
        <f ca="1">IFERROR(__xludf.DUMMYFUNCTION("""COMPUTED_VALUE"""),"26,")</f>
        <v>26,</v>
      </c>
    </row>
    <row r="1821" spans="1:3" ht="15.75" customHeight="1">
      <c r="A1821" s="16" t="str">
        <f ca="1">IFERROR(__xludf.DUMMYFUNCTION("""COMPUTED_VALUE"""),"G2BT  Gray")</f>
        <v>G2BT  Gray</v>
      </c>
      <c r="B1821" s="16" t="str">
        <f ca="1">IFERROR(__xludf.DUMMYFUNCTION("""COMPUTED_VALUE"""),"")</f>
        <v/>
      </c>
      <c r="C1821" s="16" t="str">
        <f ca="1">IFERROR(__xludf.DUMMYFUNCTION("""COMPUTED_VALUE"""),"26,")</f>
        <v>26,</v>
      </c>
    </row>
    <row r="1822" spans="1:3" ht="15.75" customHeight="1">
      <c r="A1822" s="16" t="str">
        <f ca="1">IFERROR(__xludf.DUMMYFUNCTION("""COMPUTED_VALUE"""),"G2BT White")</f>
        <v>G2BT White</v>
      </c>
      <c r="B1822" s="16" t="str">
        <f ca="1">IFERROR(__xludf.DUMMYFUNCTION("""COMPUTED_VALUE"""),"")</f>
        <v/>
      </c>
      <c r="C1822" s="16" t="str">
        <f ca="1">IFERROR(__xludf.DUMMYFUNCTION("""COMPUTED_VALUE"""),"26,")</f>
        <v>26,</v>
      </c>
    </row>
    <row r="1823" spans="1:3" ht="15.75" customHeight="1">
      <c r="A1823" s="16" t="str">
        <f ca="1">IFERROR(__xludf.DUMMYFUNCTION("""COMPUTED_VALUE"""),"G2 S")</f>
        <v>G2 S</v>
      </c>
      <c r="B1823" s="16" t="str">
        <f ca="1">IFERROR(__xludf.DUMMYFUNCTION("""COMPUTED_VALUE"""),"")</f>
        <v/>
      </c>
      <c r="C1823" s="16" t="str">
        <f ca="1">IFERROR(__xludf.DUMMYFUNCTION("""COMPUTED_VALUE"""),"59,")</f>
        <v>59,</v>
      </c>
    </row>
    <row r="1824" spans="1:3" ht="15.75" customHeight="1">
      <c r="A1824" s="16" t="str">
        <f ca="1">IFERROR(__xludf.DUMMYFUNCTION("""COMPUTED_VALUE"""),"X3 Lite gray")</f>
        <v>X3 Lite gray</v>
      </c>
      <c r="B1824" s="16" t="str">
        <f ca="1">IFERROR(__xludf.DUMMYFUNCTION("""COMPUTED_VALUE"""),"")</f>
        <v/>
      </c>
      <c r="C1824" s="16" t="str">
        <f ca="1">IFERROR(__xludf.DUMMYFUNCTION("""COMPUTED_VALUE"""),"22,")</f>
        <v>22,</v>
      </c>
    </row>
    <row r="1825" spans="1:3" ht="15.75" customHeight="1">
      <c r="A1825" s="16" t="str">
        <f ca="1">IFERROR(__xludf.DUMMYFUNCTION("""COMPUTED_VALUE"""),"NeoDots")</f>
        <v>NeoDots</v>
      </c>
      <c r="B1825" s="16" t="str">
        <f ca="1">IFERROR(__xludf.DUMMYFUNCTION("""COMPUTED_VALUE"""),"")</f>
        <v/>
      </c>
      <c r="C1825" s="16" t="str">
        <f ca="1">IFERROR(__xludf.DUMMYFUNCTION("""COMPUTED_VALUE"""),"80,")</f>
        <v>80,</v>
      </c>
    </row>
    <row r="1826" spans="1:3" ht="15.75" customHeight="1">
      <c r="A1826" s="16" t="str">
        <f ca="1">IFERROR(__xludf.DUMMYFUNCTION("""COMPUTED_VALUE"""),"X5 Pro black")</f>
        <v>X5 Pro black</v>
      </c>
      <c r="B1826" s="16" t="str">
        <f ca="1">IFERROR(__xludf.DUMMYFUNCTION("""COMPUTED_VALUE"""),"")</f>
        <v/>
      </c>
      <c r="C1826" s="16" t="str">
        <f ca="1">IFERROR(__xludf.DUMMYFUNCTION("""COMPUTED_VALUE"""),"32,")</f>
        <v>32,</v>
      </c>
    </row>
    <row r="1827" spans="1:3" ht="15.75" customHeight="1">
      <c r="A1827" s="16" t="str">
        <f ca="1">IFERROR(__xludf.DUMMYFUNCTION("""COMPUTED_VALUE"""),"X5 Pro ivory")</f>
        <v>X5 Pro ivory</v>
      </c>
      <c r="B1827" s="16" t="str">
        <f ca="1">IFERROR(__xludf.DUMMYFUNCTION("""COMPUTED_VALUE"""),"")</f>
        <v/>
      </c>
      <c r="C1827" s="16" t="str">
        <f ca="1">IFERROR(__xludf.DUMMYFUNCTION("""COMPUTED_VALUE"""),"32,")</f>
        <v>32,</v>
      </c>
    </row>
    <row r="1828" spans="1:3" ht="15.75" customHeight="1">
      <c r="A1828" s="16" t="str">
        <f ca="1">IFERROR(__xludf.DUMMYFUNCTION("""COMPUTED_VALUE"""),"NeoBuds Plus starlight")</f>
        <v>NeoBuds Plus starlight</v>
      </c>
      <c r="B1828" s="16" t="str">
        <f ca="1">IFERROR(__xludf.DUMMYFUNCTION("""COMPUTED_VALUE"""),"")</f>
        <v/>
      </c>
      <c r="C1828" s="16" t="str">
        <f ca="1">IFERROR(__xludf.DUMMYFUNCTION("""COMPUTED_VALUE"""),"88,")</f>
        <v>88,</v>
      </c>
    </row>
    <row r="1829" spans="1:3" ht="15.75" customHeight="1">
      <c r="A1829" s="16" t="str">
        <f ca="1">IFERROR(__xludf.DUMMYFUNCTION("""COMPUTED_VALUE"""),"NeoBuds Pro 3")</f>
        <v>NeoBuds Pro 3</v>
      </c>
      <c r="B1829" s="16" t="str">
        <f ca="1">IFERROR(__xludf.DUMMYFUNCTION("""COMPUTED_VALUE"""),"")</f>
        <v/>
      </c>
      <c r="C1829" s="16" t="str">
        <f ca="1">IFERROR(__xludf.DUMMYFUNCTION("""COMPUTED_VALUE"""),"107,")</f>
        <v>107,</v>
      </c>
    </row>
    <row r="1830" spans="1:3" ht="15.75" customHeight="1">
      <c r="A1830" s="16" t="str">
        <f ca="1">IFERROR(__xludf.DUMMYFUNCTION("""COMPUTED_VALUE"""),"W800BT Plus Red")</f>
        <v>W800BT Plus Red</v>
      </c>
      <c r="B1830" s="16" t="str">
        <f ca="1">IFERROR(__xludf.DUMMYFUNCTION("""COMPUTED_VALUE"""),"")</f>
        <v/>
      </c>
      <c r="C1830" s="16" t="str">
        <f ca="1">IFERROR(__xludf.DUMMYFUNCTION("""COMPUTED_VALUE"""),"30,")</f>
        <v>30,</v>
      </c>
    </row>
    <row r="1831" spans="1:3" ht="15.75" customHeight="1">
      <c r="A1831" s="16" t="str">
        <f ca="1">IFERROR(__xludf.DUMMYFUNCTION("""COMPUTED_VALUE"""),"WH700NB Pro gray")</f>
        <v>WH700NB Pro gray</v>
      </c>
      <c r="B1831" s="16" t="str">
        <f ca="1">IFERROR(__xludf.DUMMYFUNCTION("""COMPUTED_VALUE"""),"")</f>
        <v/>
      </c>
      <c r="C1831" s="16" t="str">
        <f ca="1">IFERROR(__xludf.DUMMYFUNCTION("""COMPUTED_VALUE"""),"41,")</f>
        <v>41,</v>
      </c>
    </row>
    <row r="1832" spans="1:3" ht="15.75" customHeight="1">
      <c r="A1832" s="16" t="str">
        <f ca="1">IFERROR(__xludf.DUMMYFUNCTION("""COMPUTED_VALUE"""),"WH700NB Pro ivory")</f>
        <v>WH700NB Pro ivory</v>
      </c>
      <c r="B1832" s="16" t="str">
        <f ca="1">IFERROR(__xludf.DUMMYFUNCTION("""COMPUTED_VALUE"""),"")</f>
        <v/>
      </c>
      <c r="C1832" s="16" t="str">
        <f ca="1">IFERROR(__xludf.DUMMYFUNCTION("""COMPUTED_VALUE"""),"41,")</f>
        <v>41,</v>
      </c>
    </row>
    <row r="1833" spans="1:3" ht="15.75" customHeight="1">
      <c r="A1833" s="16" t="str">
        <f ca="1">IFERROR(__xludf.DUMMYFUNCTION("""COMPUTED_VALUE"""),"W800BT SE black")</f>
        <v>W800BT SE black</v>
      </c>
      <c r="B1833" s="16" t="str">
        <f ca="1">IFERROR(__xludf.DUMMYFUNCTION("""COMPUTED_VALUE"""),"")</f>
        <v/>
      </c>
      <c r="C1833" s="16" t="str">
        <f ca="1">IFERROR(__xludf.DUMMYFUNCTION("""COMPUTED_VALUE"""),"27,")</f>
        <v>27,</v>
      </c>
    </row>
    <row r="1834" spans="1:3" ht="15.75" customHeight="1">
      <c r="A1834" s="16" t="str">
        <f ca="1">IFERROR(__xludf.DUMMYFUNCTION("""COMPUTED_VALUE"""),"W800BT SE white")</f>
        <v>W800BT SE white</v>
      </c>
      <c r="B1834" s="16" t="str">
        <f ca="1">IFERROR(__xludf.DUMMYFUNCTION("""COMPUTED_VALUE"""),"")</f>
        <v/>
      </c>
      <c r="C1834" s="16" t="str">
        <f ca="1">IFERROR(__xludf.DUMMYFUNCTION("""COMPUTED_VALUE"""),"27,")</f>
        <v>27,</v>
      </c>
    </row>
    <row r="1835" spans="1:3" ht="15.75" customHeight="1">
      <c r="A1835" s="16" t="str">
        <f ca="1">IFERROR(__xludf.DUMMYFUNCTION("""COMPUTED_VALUE"""),"W800BT Pro black")</f>
        <v>W800BT Pro black</v>
      </c>
      <c r="B1835" s="16" t="str">
        <f ca="1">IFERROR(__xludf.DUMMYFUNCTION("""COMPUTED_VALUE"""),"")</f>
        <v/>
      </c>
      <c r="C1835" s="16" t="str">
        <f ca="1">IFERROR(__xludf.DUMMYFUNCTION("""COMPUTED_VALUE"""),"37,")</f>
        <v>37,</v>
      </c>
    </row>
    <row r="1836" spans="1:3" ht="15.75" customHeight="1">
      <c r="A1836" s="16" t="str">
        <f ca="1">IFERROR(__xludf.DUMMYFUNCTION("""COMPUTED_VALUE"""),"W830NB black")</f>
        <v>W830NB black</v>
      </c>
      <c r="B1836" s="16" t="str">
        <f ca="1">IFERROR(__xludf.DUMMYFUNCTION("""COMPUTED_VALUE"""),"")</f>
        <v/>
      </c>
      <c r="C1836" s="16" t="str">
        <f ca="1">IFERROR(__xludf.DUMMYFUNCTION("""COMPUTED_VALUE"""),"57,")</f>
        <v>57,</v>
      </c>
    </row>
    <row r="1837" spans="1:3" ht="15.75" customHeight="1">
      <c r="A1837" s="16" t="str">
        <f ca="1">IFERROR(__xludf.DUMMYFUNCTION("""COMPUTED_VALUE"""),"W830NB sand white")</f>
        <v>W830NB sand white</v>
      </c>
      <c r="B1837" s="16" t="str">
        <f ca="1">IFERROR(__xludf.DUMMYFUNCTION("""COMPUTED_VALUE"""),"")</f>
        <v/>
      </c>
      <c r="C1837" s="16" t="str">
        <f ca="1">IFERROR(__xludf.DUMMYFUNCTION("""COMPUTED_VALUE"""),"57,")</f>
        <v>57,</v>
      </c>
    </row>
    <row r="1838" spans="1:3" ht="15.75" customHeight="1">
      <c r="A1838" s="16" t="str">
        <f ca="1">IFERROR(__xludf.DUMMYFUNCTION("""COMPUTED_VALUE"""),"Atom Max")</f>
        <v>Atom Max</v>
      </c>
      <c r="B1838" s="16" t="str">
        <f ca="1">IFERROR(__xludf.DUMMYFUNCTION("""COMPUTED_VALUE"""),"")</f>
        <v/>
      </c>
      <c r="C1838" s="16" t="str">
        <f ca="1">IFERROR(__xludf.DUMMYFUNCTION("""COMPUTED_VALUE"""),"42,")</f>
        <v>42,</v>
      </c>
    </row>
    <row r="1839" spans="1:3" ht="15.75" customHeight="1">
      <c r="A1839" s="16" t="str">
        <f ca="1">IFERROR(__xludf.DUMMYFUNCTION("""COMPUTED_VALUE"""),"ES850NB")</f>
        <v>ES850NB</v>
      </c>
      <c r="B1839" s="16" t="str">
        <f ca="1">IFERROR(__xludf.DUMMYFUNCTION("""COMPUTED_VALUE"""),"")</f>
        <v/>
      </c>
      <c r="C1839" s="16" t="str">
        <f ca="1">IFERROR(__xludf.DUMMYFUNCTION("""COMPUTED_VALUE"""),"88,")</f>
        <v>88,</v>
      </c>
    </row>
    <row r="1840" spans="1:3" ht="15.75" customHeight="1">
      <c r="A1840" s="16" t="str">
        <f ca="1">IFERROR(__xludf.DUMMYFUNCTION("""COMPUTED_VALUE"""),"WH950NB Black")</f>
        <v>WH950NB Black</v>
      </c>
      <c r="B1840" s="16" t="str">
        <f ca="1">IFERROR(__xludf.DUMMYFUNCTION("""COMPUTED_VALUE"""),"")</f>
        <v/>
      </c>
      <c r="C1840" s="16" t="str">
        <f ca="1">IFERROR(__xludf.DUMMYFUNCTION("""COMPUTED_VALUE"""),"106,")</f>
        <v>106,</v>
      </c>
    </row>
    <row r="1841" spans="1:3" ht="15.75" customHeight="1">
      <c r="A1841" s="16" t="str">
        <f ca="1">IFERROR(__xludf.DUMMYFUNCTION("""COMPUTED_VALUE"""),"WH950NB Ivory")</f>
        <v>WH950NB Ivory</v>
      </c>
      <c r="B1841" s="16" t="str">
        <f ca="1">IFERROR(__xludf.DUMMYFUNCTION("""COMPUTED_VALUE"""),"")</f>
        <v/>
      </c>
      <c r="C1841" s="16" t="str">
        <f ca="1">IFERROR(__xludf.DUMMYFUNCTION("""COMPUTED_VALUE"""),"106,")</f>
        <v>106,</v>
      </c>
    </row>
    <row r="1842" spans="1:3" ht="15.75" customHeight="1">
      <c r="A1842" s="16" t="str">
        <f ca="1">IFERROR(__xludf.DUMMYFUNCTION("""COMPUTED_VALUE"""),"Stax Spirit S3 ")</f>
        <v xml:space="preserve">Stax Spirit S3 </v>
      </c>
      <c r="B1842" s="16" t="str">
        <f ca="1">IFERROR(__xludf.DUMMYFUNCTION("""COMPUTED_VALUE"""),"")</f>
        <v/>
      </c>
      <c r="C1842" s="16" t="str">
        <f ca="1">IFERROR(__xludf.DUMMYFUNCTION("""COMPUTED_VALUE"""),"207,")</f>
        <v>207,</v>
      </c>
    </row>
    <row r="1843" spans="1:3" ht="15.75" customHeight="1">
      <c r="A1843" s="16" t="str">
        <f ca="1">IFERROR(__xludf.DUMMYFUNCTION("""COMPUTED_VALUE"""),"Edifier SS03")</f>
        <v>Edifier SS03</v>
      </c>
      <c r="B1843" s="16" t="str">
        <f ca="1">IFERROR(__xludf.DUMMYFUNCTION("""COMPUTED_VALUE"""),"")</f>
        <v/>
      </c>
      <c r="C1843" s="16" t="str">
        <f ca="1">IFERROR(__xludf.DUMMYFUNCTION("""COMPUTED_VALUE"""),"162,")</f>
        <v>162,</v>
      </c>
    </row>
    <row r="1844" spans="1:3" ht="15.75" customHeight="1">
      <c r="A1844" s="16" t="str">
        <f ca="1">IFERROR(__xludf.DUMMYFUNCTION("""COMPUTED_VALUE"""),"CS100i")</f>
        <v>CS100i</v>
      </c>
      <c r="B1844" s="16" t="str">
        <f ca="1">IFERROR(__xludf.DUMMYFUNCTION("""COMPUTED_VALUE"""),"")</f>
        <v/>
      </c>
      <c r="C1844" s="16" t="str">
        <f ca="1">IFERROR(__xludf.DUMMYFUNCTION("""COMPUTED_VALUE"""),"8,1")</f>
        <v>8,1</v>
      </c>
    </row>
    <row r="1845" spans="1:3" ht="15.75" customHeight="1">
      <c r="A1845" s="16" t="str">
        <f ca="1">IFERROR(__xludf.DUMMYFUNCTION("""COMPUTED_VALUE"""),"CS195 USB")</f>
        <v>CS195 USB</v>
      </c>
      <c r="B1845" s="16" t="str">
        <f ca="1">IFERROR(__xludf.DUMMYFUNCTION("""COMPUTED_VALUE"""),"")</f>
        <v/>
      </c>
      <c r="C1845" s="16" t="str">
        <f ca="1">IFERROR(__xludf.DUMMYFUNCTION("""COMPUTED_VALUE"""),"8,1")</f>
        <v>8,1</v>
      </c>
    </row>
    <row r="1846" spans="1:3" ht="15.75" customHeight="1">
      <c r="A1846" s="16" t="str">
        <f ca="1">IFERROR(__xludf.DUMMYFUNCTION("""COMPUTED_VALUE"""),"CS200 USB")</f>
        <v>CS200 USB</v>
      </c>
      <c r="B1846" s="16" t="str">
        <f ca="1">IFERROR(__xludf.DUMMYFUNCTION("""COMPUTED_VALUE"""),"")</f>
        <v/>
      </c>
      <c r="C1846" s="16" t="str">
        <f ca="1">IFERROR(__xludf.DUMMYFUNCTION("""COMPUTED_VALUE"""),"13,5")</f>
        <v>13,5</v>
      </c>
    </row>
    <row r="1847" spans="1:3" ht="15.75" customHeight="1">
      <c r="A1847" s="16" t="str">
        <f ca="1">IFERROR(__xludf.DUMMYFUNCTION("""COMPUTED_VALUE"""),"CS295 USB")</f>
        <v>CS295 USB</v>
      </c>
      <c r="B1847" s="16" t="str">
        <f ca="1">IFERROR(__xludf.DUMMYFUNCTION("""COMPUTED_VALUE"""),"")</f>
        <v/>
      </c>
      <c r="C1847" s="16" t="str">
        <f ca="1">IFERROR(__xludf.DUMMYFUNCTION("""COMPUTED_VALUE"""),"13,5")</f>
        <v>13,5</v>
      </c>
    </row>
    <row r="1848" spans="1:3" ht="15.75" customHeight="1">
      <c r="A1848" s="16" t="str">
        <f ca="1">IFERROR(__xludf.DUMMYFUNCTION("""COMPUTED_VALUE"""),"PORTA PRO headset")</f>
        <v>PORTA PRO headset</v>
      </c>
      <c r="B1848" s="16" t="str">
        <f ca="1">IFERROR(__xludf.DUMMYFUNCTION("""COMPUTED_VALUE"""),"")</f>
        <v/>
      </c>
      <c r="C1848" s="16" t="str">
        <f ca="1">IFERROR(__xludf.DUMMYFUNCTION("""COMPUTED_VALUE"""),"20,25")</f>
        <v>20,25</v>
      </c>
    </row>
    <row r="1849" spans="1:3" ht="15.75" customHeight="1">
      <c r="A1849" s="16" t="str">
        <f ca="1">IFERROR(__xludf.DUMMYFUNCTION("""COMPUTED_VALUE"""),"PORTA PRO MIC/REMOTE")</f>
        <v>PORTA PRO MIC/REMOTE</v>
      </c>
      <c r="B1849" s="16" t="str">
        <f ca="1">IFERROR(__xludf.DUMMYFUNCTION("""COMPUTED_VALUE"""),"")</f>
        <v/>
      </c>
      <c r="C1849" s="16" t="str">
        <f ca="1">IFERROR(__xludf.DUMMYFUNCTION("""COMPUTED_VALUE"""),"20,25")</f>
        <v>20,25</v>
      </c>
    </row>
    <row r="1850" spans="1:3" ht="15.75" customHeight="1">
      <c r="A1850" s="16" t="str">
        <f ca="1">IFERROR(__xludf.DUMMYFUNCTION("""COMPUTED_VALUE"""),"GMR540A ISO")</f>
        <v>GMR540A ISO</v>
      </c>
      <c r="B1850" s="16" t="str">
        <f ca="1">IFERROR(__xludf.DUMMYFUNCTION("""COMPUTED_VALUE"""),"")</f>
        <v/>
      </c>
      <c r="C1850" s="16" t="str">
        <f ca="1">IFERROR(__xludf.DUMMYFUNCTION("""COMPUTED_VALUE"""),"20,25")</f>
        <v>20,25</v>
      </c>
    </row>
    <row r="1851" spans="1:3" ht="15.75" customHeight="1">
      <c r="A1851" s="16" t="str">
        <f ca="1">IFERROR(__xludf.DUMMYFUNCTION("""COMPUTED_VALUE"""),"GMR540 ISO USB")</f>
        <v>GMR540 ISO USB</v>
      </c>
      <c r="B1851" s="16" t="str">
        <f ca="1">IFERROR(__xludf.DUMMYFUNCTION("""COMPUTED_VALUE"""),"")</f>
        <v/>
      </c>
      <c r="C1851" s="16" t="str">
        <f ca="1">IFERROR(__xludf.DUMMYFUNCTION("""COMPUTED_VALUE"""),"13,5")</f>
        <v>13,5</v>
      </c>
    </row>
    <row r="1852" spans="1:3" ht="15.75" customHeight="1">
      <c r="A1852" s="16" t="str">
        <f ca="1">IFERROR(__xludf.DUMMYFUNCTION("""COMPUTED_VALUE"""),"GMR545 AIR ISO USB")</f>
        <v>GMR545 AIR ISO USB</v>
      </c>
      <c r="B1852" s="16" t="str">
        <f ca="1">IFERROR(__xludf.DUMMYFUNCTION("""COMPUTED_VALUE"""),"")</f>
        <v/>
      </c>
      <c r="C1852" s="16" t="str">
        <f ca="1">IFERROR(__xludf.DUMMYFUNCTION("""COMPUTED_VALUE"""),"20,25")</f>
        <v>20,25</v>
      </c>
    </row>
    <row r="1853" spans="1:3" ht="15.75" customHeight="1">
      <c r="A1853" s="16" t="str">
        <f ca="1">IFERROR(__xludf.DUMMYFUNCTION("""COMPUTED_VALUE"""),"KPH8K")</f>
        <v>KPH8K</v>
      </c>
      <c r="B1853" s="16" t="str">
        <f ca="1">IFERROR(__xludf.DUMMYFUNCTION("""COMPUTED_VALUE"""),"")</f>
        <v/>
      </c>
      <c r="C1853" s="16" t="str">
        <f ca="1">IFERROR(__xludf.DUMMYFUNCTION("""COMPUTED_VALUE"""),"8,1")</f>
        <v>8,1</v>
      </c>
    </row>
    <row r="1854" spans="1:3" ht="15.75" customHeight="1">
      <c r="A1854" s="16" t="str">
        <f ca="1">IFERROR(__xludf.DUMMYFUNCTION("""COMPUTED_VALUE"""),"KPH8V")</f>
        <v>KPH8V</v>
      </c>
      <c r="B1854" s="16" t="str">
        <f ca="1">IFERROR(__xludf.DUMMYFUNCTION("""COMPUTED_VALUE"""),"")</f>
        <v/>
      </c>
      <c r="C1854" s="16" t="str">
        <f ca="1">IFERROR(__xludf.DUMMYFUNCTION("""COMPUTED_VALUE"""),"8,1")</f>
        <v>8,1</v>
      </c>
    </row>
    <row r="1855" spans="1:3" ht="15.75" customHeight="1">
      <c r="A1855" s="16" t="str">
        <f ca="1">IFERROR(__xludf.DUMMYFUNCTION("""COMPUTED_VALUE"""),"KPH8W")</f>
        <v>KPH8W</v>
      </c>
      <c r="B1855" s="16" t="str">
        <f ca="1">IFERROR(__xludf.DUMMYFUNCTION("""COMPUTED_VALUE"""),"")</f>
        <v/>
      </c>
      <c r="C1855" s="16" t="str">
        <f ca="1">IFERROR(__xludf.DUMMYFUNCTION("""COMPUTED_VALUE"""),"8,1")</f>
        <v>8,1</v>
      </c>
    </row>
    <row r="1856" spans="1:3" ht="15.75" customHeight="1">
      <c r="A1856" s="16" t="str">
        <f ca="1">IFERROR(__xludf.DUMMYFUNCTION("""COMPUTED_VALUE"""),"KPH30iCL")</f>
        <v>KPH30iCL</v>
      </c>
      <c r="B1856" s="16" t="str">
        <f ca="1">IFERROR(__xludf.DUMMYFUNCTION("""COMPUTED_VALUE"""),"")</f>
        <v/>
      </c>
      <c r="C1856" s="16" t="str">
        <f ca="1">IFERROR(__xludf.DUMMYFUNCTION("""COMPUTED_VALUE"""),"13,5")</f>
        <v>13,5</v>
      </c>
    </row>
    <row r="1857" spans="1:3" ht="15.75" customHeight="1">
      <c r="A1857" s="16" t="str">
        <f ca="1">IFERROR(__xludf.DUMMYFUNCTION("""COMPUTED_VALUE"""),"KPH30iRB")</f>
        <v>KPH30iRB</v>
      </c>
      <c r="B1857" s="16" t="str">
        <f ca="1">IFERROR(__xludf.DUMMYFUNCTION("""COMPUTED_VALUE"""),"")</f>
        <v/>
      </c>
      <c r="C1857" s="16" t="str">
        <f ca="1">IFERROR(__xludf.DUMMYFUNCTION("""COMPUTED_VALUE"""),"13,5")</f>
        <v>13,5</v>
      </c>
    </row>
    <row r="1858" spans="1:3" ht="15.75" customHeight="1">
      <c r="A1858" s="16" t="str">
        <f ca="1">IFERROR(__xludf.DUMMYFUNCTION("""COMPUTED_VALUE"""),"KPH30iK")</f>
        <v>KPH30iK</v>
      </c>
      <c r="B1858" s="16" t="str">
        <f ca="1">IFERROR(__xludf.DUMMYFUNCTION("""COMPUTED_VALUE"""),"")</f>
        <v/>
      </c>
      <c r="C1858" s="16" t="str">
        <f ca="1">IFERROR(__xludf.DUMMYFUNCTION("""COMPUTED_VALUE"""),"13,5")</f>
        <v>13,5</v>
      </c>
    </row>
    <row r="1859" spans="1:3" ht="15.75" customHeight="1">
      <c r="A1859" s="16" t="str">
        <f ca="1">IFERROR(__xludf.DUMMYFUNCTION("""COMPUTED_VALUE"""),"KPH30iW")</f>
        <v>KPH30iW</v>
      </c>
      <c r="B1859" s="16" t="str">
        <f ca="1">IFERROR(__xludf.DUMMYFUNCTION("""COMPUTED_VALUE"""),"")</f>
        <v/>
      </c>
      <c r="C1859" s="16" t="str">
        <f ca="1">IFERROR(__xludf.DUMMYFUNCTION("""COMPUTED_VALUE"""),"13,5")</f>
        <v>13,5</v>
      </c>
    </row>
    <row r="1860" spans="1:3" ht="15.75" customHeight="1">
      <c r="A1860" s="16" t="str">
        <f ca="1">IFERROR(__xludf.DUMMYFUNCTION("""COMPUTED_VALUE"""),"KSC21K")</f>
        <v>KSC21K</v>
      </c>
      <c r="B1860" s="16" t="str">
        <f ca="1">IFERROR(__xludf.DUMMYFUNCTION("""COMPUTED_VALUE"""),"")</f>
        <v/>
      </c>
      <c r="C1860" s="16" t="str">
        <f ca="1">IFERROR(__xludf.DUMMYFUNCTION("""COMPUTED_VALUE"""),"8,1")</f>
        <v>8,1</v>
      </c>
    </row>
    <row r="1861" spans="1:3" ht="15.75" customHeight="1">
      <c r="A1861" s="16" t="str">
        <f ca="1">IFERROR(__xludf.DUMMYFUNCTION("""COMPUTED_VALUE"""),"KSC22K ")</f>
        <v xml:space="preserve">KSC22K </v>
      </c>
      <c r="B1861" s="16" t="str">
        <f ca="1">IFERROR(__xludf.DUMMYFUNCTION("""COMPUTED_VALUE"""),"")</f>
        <v/>
      </c>
      <c r="C1861" s="16" t="str">
        <f ca="1">IFERROR(__xludf.DUMMYFUNCTION("""COMPUTED_VALUE"""),"8,1")</f>
        <v>8,1</v>
      </c>
    </row>
    <row r="1862" spans="1:3" ht="15.75" customHeight="1">
      <c r="A1862" s="16" t="str">
        <f ca="1">IFERROR(__xludf.DUMMYFUNCTION("""COMPUTED_VALUE"""),"KSC75 SB RW")</f>
        <v>KSC75 SB RW</v>
      </c>
      <c r="B1862" s="16" t="str">
        <f ca="1">IFERROR(__xludf.DUMMYFUNCTION("""COMPUTED_VALUE"""),"")</f>
        <v/>
      </c>
      <c r="C1862" s="16" t="str">
        <f ca="1">IFERROR(__xludf.DUMMYFUNCTION("""COMPUTED_VALUE"""),"8,1")</f>
        <v>8,1</v>
      </c>
    </row>
    <row r="1863" spans="1:3" ht="15.75" customHeight="1">
      <c r="A1863" s="16" t="str">
        <f ca="1">IFERROR(__xludf.DUMMYFUNCTION("""COMPUTED_VALUE"""),"KTXPRO1")</f>
        <v>KTXPRO1</v>
      </c>
      <c r="B1863" s="16" t="str">
        <f ca="1">IFERROR(__xludf.DUMMYFUNCTION("""COMPUTED_VALUE"""),"")</f>
        <v/>
      </c>
      <c r="C1863" s="16" t="str">
        <f ca="1">IFERROR(__xludf.DUMMYFUNCTION("""COMPUTED_VALUE"""),"8,1")</f>
        <v>8,1</v>
      </c>
    </row>
    <row r="1864" spans="1:3" ht="15.75" customHeight="1">
      <c r="A1864" s="16" t="str">
        <f ca="1">IFERROR(__xludf.DUMMYFUNCTION("""COMPUTED_VALUE"""),"PORTA PRO CLASSIC")</f>
        <v>PORTA PRO CLASSIC</v>
      </c>
      <c r="B1864" s="16" t="str">
        <f ca="1">IFERROR(__xludf.DUMMYFUNCTION("""COMPUTED_VALUE"""),"")</f>
        <v/>
      </c>
      <c r="C1864" s="16" t="str">
        <f ca="1">IFERROR(__xludf.DUMMYFUNCTION("""COMPUTED_VALUE"""),"13,5")</f>
        <v>13,5</v>
      </c>
    </row>
    <row r="1865" spans="1:3" ht="15.75" customHeight="1">
      <c r="A1865" s="16" t="str">
        <f ca="1">IFERROR(__xludf.DUMMYFUNCTION("""COMPUTED_VALUE"""),"SB40")</f>
        <v>SB40</v>
      </c>
      <c r="B1865" s="16" t="str">
        <f ca="1">IFERROR(__xludf.DUMMYFUNCTION("""COMPUTED_VALUE"""),"")</f>
        <v/>
      </c>
      <c r="C1865" s="16" t="str">
        <f ca="1">IFERROR(__xludf.DUMMYFUNCTION("""COMPUTED_VALUE"""),"20,25")</f>
        <v>20,25</v>
      </c>
    </row>
    <row r="1866" spans="1:3" ht="15.75" customHeight="1">
      <c r="A1866" s="16" t="str">
        <f ca="1">IFERROR(__xludf.DUMMYFUNCTION("""COMPUTED_VALUE"""),"SPORTA PRO")</f>
        <v>SPORTA PRO</v>
      </c>
      <c r="B1866" s="16" t="str">
        <f ca="1">IFERROR(__xludf.DUMMYFUNCTION("""COMPUTED_VALUE"""),"")</f>
        <v/>
      </c>
      <c r="C1866" s="16" t="str">
        <f ca="1">IFERROR(__xludf.DUMMYFUNCTION("""COMPUTED_VALUE"""),"13,5")</f>
        <v>13,5</v>
      </c>
    </row>
    <row r="1867" spans="1:3" ht="15.75" customHeight="1">
      <c r="A1867" s="16" t="str">
        <f ca="1">IFERROR(__xludf.DUMMYFUNCTION("""COMPUTED_VALUE"""),"TD85")</f>
        <v>TD85</v>
      </c>
      <c r="B1867" s="16" t="str">
        <f ca="1">IFERROR(__xludf.DUMMYFUNCTION("""COMPUTED_VALUE"""),"")</f>
        <v/>
      </c>
      <c r="C1867" s="16" t="str">
        <f ca="1">IFERROR(__xludf.DUMMYFUNCTION("""COMPUTED_VALUE"""),"20,25")</f>
        <v>20,25</v>
      </c>
    </row>
    <row r="1868" spans="1:3" ht="15.75" customHeight="1">
      <c r="A1868" s="16" t="str">
        <f ca="1">IFERROR(__xludf.DUMMYFUNCTION("""COMPUTED_VALUE"""),"UR10")</f>
        <v>UR10</v>
      </c>
      <c r="B1868" s="16" t="str">
        <f ca="1">IFERROR(__xludf.DUMMYFUNCTION("""COMPUTED_VALUE"""),"")</f>
        <v/>
      </c>
      <c r="C1868" s="16" t="str">
        <f ca="1">IFERROR(__xludf.DUMMYFUNCTION("""COMPUTED_VALUE"""),"8,1")</f>
        <v>8,1</v>
      </c>
    </row>
    <row r="1869" spans="1:3" ht="15.75" customHeight="1">
      <c r="A1869" s="16" t="str">
        <f ca="1">IFERROR(__xludf.DUMMYFUNCTION("""COMPUTED_VALUE"""),"UR10iK")</f>
        <v>UR10iK</v>
      </c>
      <c r="B1869" s="16" t="str">
        <f ca="1">IFERROR(__xludf.DUMMYFUNCTION("""COMPUTED_VALUE"""),"")</f>
        <v/>
      </c>
      <c r="C1869" s="16" t="str">
        <f ca="1">IFERROR(__xludf.DUMMYFUNCTION("""COMPUTED_VALUE"""),"8,1")</f>
        <v>8,1</v>
      </c>
    </row>
    <row r="1870" spans="1:3" ht="15.75" customHeight="1">
      <c r="A1870" s="16" t="str">
        <f ca="1">IFERROR(__xludf.DUMMYFUNCTION("""COMPUTED_VALUE"""),"UR23iB")</f>
        <v>UR23iB</v>
      </c>
      <c r="B1870" s="16" t="str">
        <f ca="1">IFERROR(__xludf.DUMMYFUNCTION("""COMPUTED_VALUE"""),"")</f>
        <v/>
      </c>
      <c r="C1870" s="16" t="str">
        <f ca="1">IFERROR(__xludf.DUMMYFUNCTION("""COMPUTED_VALUE"""),"8,1")</f>
        <v>8,1</v>
      </c>
    </row>
    <row r="1871" spans="1:3" ht="15.75" customHeight="1">
      <c r="A1871" s="16" t="str">
        <f ca="1">IFERROR(__xludf.DUMMYFUNCTION("""COMPUTED_VALUE"""),"UR23iK")</f>
        <v>UR23iK</v>
      </c>
      <c r="B1871" s="16" t="str">
        <f ca="1">IFERROR(__xludf.DUMMYFUNCTION("""COMPUTED_VALUE"""),"")</f>
        <v/>
      </c>
      <c r="C1871" s="16" t="str">
        <f ca="1">IFERROR(__xludf.DUMMYFUNCTION("""COMPUTED_VALUE"""),"8,1")</f>
        <v>8,1</v>
      </c>
    </row>
    <row r="1872" spans="1:3" ht="15.75" customHeight="1">
      <c r="A1872" s="16" t="str">
        <f ca="1">IFERROR(__xludf.DUMMYFUNCTION("""COMPUTED_VALUE"""),"UR40")</f>
        <v>UR40</v>
      </c>
      <c r="B1872" s="16" t="str">
        <f ca="1">IFERROR(__xludf.DUMMYFUNCTION("""COMPUTED_VALUE"""),"")</f>
        <v/>
      </c>
      <c r="C1872" s="16" t="str">
        <f ca="1">IFERROR(__xludf.DUMMYFUNCTION("""COMPUTED_VALUE"""),"20,25")</f>
        <v>20,25</v>
      </c>
    </row>
    <row r="1873" spans="1:3" ht="15.75" customHeight="1">
      <c r="A1873" s="16" t="str">
        <f ca="1">IFERROR(__xludf.DUMMYFUNCTION("""COMPUTED_VALUE"""),"Pro4S")</f>
        <v>Pro4S</v>
      </c>
      <c r="B1873" s="16" t="str">
        <f ca="1">IFERROR(__xludf.DUMMYFUNCTION("""COMPUTED_VALUE"""),"")</f>
        <v/>
      </c>
      <c r="C1873" s="16" t="str">
        <f ca="1">IFERROR(__xludf.DUMMYFUNCTION("""COMPUTED_VALUE"""),"40,5")</f>
        <v>40,5</v>
      </c>
    </row>
    <row r="1874" spans="1:3" ht="15.75" customHeight="1">
      <c r="A1874" s="16" t="str">
        <f ca="1">IFERROR(__xludf.DUMMYFUNCTION("""COMPUTED_VALUE"""),"BT115i")</f>
        <v>BT115i</v>
      </c>
      <c r="B1874" s="16" t="str">
        <f ca="1">IFERROR(__xludf.DUMMYFUNCTION("""COMPUTED_VALUE"""),"")</f>
        <v/>
      </c>
      <c r="C1874" s="16" t="str">
        <f ca="1">IFERROR(__xludf.DUMMYFUNCTION("""COMPUTED_VALUE"""),"13,5")</f>
        <v>13,5</v>
      </c>
    </row>
    <row r="1875" spans="1:3" ht="15.75" customHeight="1">
      <c r="A1875" s="16" t="str">
        <f ca="1">IFERROR(__xludf.DUMMYFUNCTION("""COMPUTED_VALUE"""),"BT221i")</f>
        <v>BT221i</v>
      </c>
      <c r="B1875" s="16" t="str">
        <f ca="1">IFERROR(__xludf.DUMMYFUNCTION("""COMPUTED_VALUE"""),"")</f>
        <v/>
      </c>
      <c r="C1875" s="16" t="str">
        <f ca="1">IFERROR(__xludf.DUMMYFUNCTION("""COMPUTED_VALUE"""),"13,5")</f>
        <v>13,5</v>
      </c>
    </row>
    <row r="1876" spans="1:3" ht="15.75" customHeight="1">
      <c r="A1876" s="16" t="str">
        <f ca="1">IFERROR(__xludf.DUMMYFUNCTION("""COMPUTED_VALUE"""),"BT232i FITBUD")</f>
        <v>BT232i FITBUD</v>
      </c>
      <c r="B1876" s="16" t="str">
        <f ca="1">IFERROR(__xludf.DUMMYFUNCTION("""COMPUTED_VALUE"""),"")</f>
        <v/>
      </c>
      <c r="C1876" s="16" t="str">
        <f ca="1">IFERROR(__xludf.DUMMYFUNCTION("""COMPUTED_VALUE"""),"13,5")</f>
        <v>13,5</v>
      </c>
    </row>
    <row r="1877" spans="1:3" ht="15.75" customHeight="1">
      <c r="A1877" s="16" t="str">
        <f ca="1">IFERROR(__xludf.DUMMYFUNCTION("""COMPUTED_VALUE"""),"Plug Wireless")</f>
        <v>Plug Wireless</v>
      </c>
      <c r="B1877" s="16" t="str">
        <f ca="1">IFERROR(__xludf.DUMMYFUNCTION("""COMPUTED_VALUE"""),"")</f>
        <v/>
      </c>
      <c r="C1877" s="16" t="str">
        <f ca="1">IFERROR(__xludf.DUMMYFUNCTION("""COMPUTED_VALUE"""),"13,5")</f>
        <v>13,5</v>
      </c>
    </row>
    <row r="1878" spans="1:3" ht="15.75" customHeight="1">
      <c r="A1878" s="16" t="str">
        <f ca="1">IFERROR(__xludf.DUMMYFUNCTION("""COMPUTED_VALUE"""),"KPH7 Wireless")</f>
        <v>KPH7 Wireless</v>
      </c>
      <c r="B1878" s="16" t="str">
        <f ca="1">IFERROR(__xludf.DUMMYFUNCTION("""COMPUTED_VALUE"""),"")</f>
        <v/>
      </c>
      <c r="C1878" s="16" t="str">
        <f ca="1">IFERROR(__xludf.DUMMYFUNCTION("""COMPUTED_VALUE"""),"13,5")</f>
        <v>13,5</v>
      </c>
    </row>
    <row r="1879" spans="1:3" ht="15.75" customHeight="1">
      <c r="A1879" s="16" t="str">
        <f ca="1">IFERROR(__xludf.DUMMYFUNCTION("""COMPUTED_VALUE"""),"KPH40 UTILITY")</f>
        <v>KPH40 UTILITY</v>
      </c>
      <c r="B1879" s="16" t="str">
        <f ca="1">IFERROR(__xludf.DUMMYFUNCTION("""COMPUTED_VALUE"""),"")</f>
        <v/>
      </c>
      <c r="C1879" s="16" t="str">
        <f ca="1">IFERROR(__xludf.DUMMYFUNCTION("""COMPUTED_VALUE"""),"20,25")</f>
        <v>20,25</v>
      </c>
    </row>
    <row r="1880" spans="1:3" ht="15.75" customHeight="1">
      <c r="A1880" s="16" t="str">
        <f ca="1">IFERROR(__xludf.DUMMYFUNCTION("""COMPUTED_VALUE"""),"PORTA PRO                                                          Utility")</f>
        <v>PORTA PRO                                                          Utility</v>
      </c>
      <c r="B1880" s="16" t="str">
        <f ca="1">IFERROR(__xludf.DUMMYFUNCTION("""COMPUTED_VALUE"""),"")</f>
        <v/>
      </c>
      <c r="C1880" s="16" t="str">
        <f ca="1">IFERROR(__xludf.DUMMYFUNCTION("""COMPUTED_VALUE"""),"20,25")</f>
        <v>20,25</v>
      </c>
    </row>
    <row r="1881" spans="1:3" ht="15.75" customHeight="1">
      <c r="A1881" s="16" t="str">
        <f ca="1">IFERROR(__xludf.DUMMYFUNCTION("""COMPUTED_VALUE"""),"Porta PRO hard case")</f>
        <v>Porta PRO hard case</v>
      </c>
      <c r="B1881" s="16" t="str">
        <f ca="1">IFERROR(__xludf.DUMMYFUNCTION("""COMPUTED_VALUE"""),"")</f>
        <v/>
      </c>
      <c r="C1881" s="16" t="str">
        <f ca="1">IFERROR(__xludf.DUMMYFUNCTION("""COMPUTED_VALUE"""),"8,1")</f>
        <v>8,1</v>
      </c>
    </row>
    <row r="1882" spans="1:3" ht="15.75" customHeight="1">
      <c r="A1882" s="16" t="str">
        <f ca="1">IFERROR(__xludf.DUMMYFUNCTION("""COMPUTED_VALUE"""),"UTILITY CORD LTG")</f>
        <v>UTILITY CORD LTG</v>
      </c>
      <c r="B1882" s="16" t="str">
        <f ca="1">IFERROR(__xludf.DUMMYFUNCTION("""COMPUTED_VALUE"""),"")</f>
        <v/>
      </c>
      <c r="C1882" s="16" t="str">
        <f ca="1">IFERROR(__xludf.DUMMYFUNCTION("""COMPUTED_VALUE"""),"13,5")</f>
        <v>13,5</v>
      </c>
    </row>
    <row r="1883" spans="1:3" ht="15.75" customHeight="1">
      <c r="A1883" s="16" t="str">
        <f ca="1">IFERROR(__xludf.DUMMYFUNCTION("""COMPUTED_VALUE"""),"UTILITY CORD USB-C")</f>
        <v>UTILITY CORD USB-C</v>
      </c>
      <c r="B1883" s="16" t="str">
        <f ca="1">IFERROR(__xludf.DUMMYFUNCTION("""COMPUTED_VALUE"""),"")</f>
        <v/>
      </c>
      <c r="C1883" s="16" t="str">
        <f ca="1">IFERROR(__xludf.DUMMYFUNCTION("""COMPUTED_VALUE"""),"13,5")</f>
        <v>13,5</v>
      </c>
    </row>
    <row r="1884" spans="1:3" ht="15.75" customHeight="1">
      <c r="A1884" s="16" t="str">
        <f ca="1">IFERROR(__xludf.DUMMYFUNCTION("""COMPUTED_VALUE"""),"ATH-AVC200")</f>
        <v>ATH-AVC200</v>
      </c>
      <c r="B1884" s="16" t="str">
        <f ca="1">IFERROR(__xludf.DUMMYFUNCTION("""COMPUTED_VALUE"""),"")</f>
        <v/>
      </c>
      <c r="C1884" s="16" t="str">
        <f ca="1">IFERROR(__xludf.DUMMYFUNCTION("""COMPUTED_VALUE"""),"49,")</f>
        <v>49,</v>
      </c>
    </row>
    <row r="1885" spans="1:3" ht="15.75" customHeight="1">
      <c r="A1885" s="16" t="str">
        <f ca="1">IFERROR(__xludf.DUMMYFUNCTION("""COMPUTED_VALUE"""),"ATH-AVC500")</f>
        <v>ATH-AVC500</v>
      </c>
      <c r="B1885" s="16" t="str">
        <f ca="1">IFERROR(__xludf.DUMMYFUNCTION("""COMPUTED_VALUE"""),"")</f>
        <v/>
      </c>
      <c r="C1885" s="16" t="str">
        <f ca="1">IFERROR(__xludf.DUMMYFUNCTION("""COMPUTED_VALUE"""),"96,")</f>
        <v>96,</v>
      </c>
    </row>
    <row r="1886" spans="1:3" ht="15.75" customHeight="1">
      <c r="A1886" s="16" t="str">
        <f ca="1">IFERROR(__xludf.DUMMYFUNCTION("""COMPUTED_VALUE"""),"ATH-M50XDS")</f>
        <v>ATH-M50XDS</v>
      </c>
      <c r="B1886" s="16" t="str">
        <f ca="1">IFERROR(__xludf.DUMMYFUNCTION("""COMPUTED_VALUE"""),"")</f>
        <v/>
      </c>
      <c r="C1886" s="16" t="str">
        <f ca="1">IFERROR(__xludf.DUMMYFUNCTION("""COMPUTED_VALUE"""),"169,")</f>
        <v>169,</v>
      </c>
    </row>
    <row r="1887" spans="1:3" ht="15.75" customHeight="1">
      <c r="A1887" s="16" t="str">
        <f ca="1">IFERROR(__xludf.DUMMYFUNCTION("""COMPUTED_VALUE"""),"ATH-M50xWH")</f>
        <v>ATH-M50xWH</v>
      </c>
      <c r="B1887" s="16" t="str">
        <f ca="1">IFERROR(__xludf.DUMMYFUNCTION("""COMPUTED_VALUE"""),"")</f>
        <v/>
      </c>
      <c r="C1887" s="16" t="str">
        <f ca="1">IFERROR(__xludf.DUMMYFUNCTION("""COMPUTED_VALUE"""),"169,")</f>
        <v>169,</v>
      </c>
    </row>
    <row r="1888" spans="1:3" ht="15.75" customHeight="1">
      <c r="A1888" s="16" t="str">
        <f ca="1">IFERROR(__xludf.DUMMYFUNCTION("""COMPUTED_VALUE"""),"ATH-M60x")</f>
        <v>ATH-M60x</v>
      </c>
      <c r="B1888" s="16" t="str">
        <f ca="1">IFERROR(__xludf.DUMMYFUNCTION("""COMPUTED_VALUE"""),"")</f>
        <v/>
      </c>
      <c r="C1888" s="16" t="str">
        <f ca="1">IFERROR(__xludf.DUMMYFUNCTION("""COMPUTED_VALUE"""),"194,")</f>
        <v>194,</v>
      </c>
    </row>
    <row r="1889" spans="1:3" ht="15.75" customHeight="1">
      <c r="A1889" s="16" t="str">
        <f ca="1">IFERROR(__xludf.DUMMYFUNCTION("""COMPUTED_VALUE"""),"ATH-M70x")</f>
        <v>ATH-M70x</v>
      </c>
      <c r="B1889" s="16" t="str">
        <f ca="1">IFERROR(__xludf.DUMMYFUNCTION("""COMPUTED_VALUE"""),"")</f>
        <v/>
      </c>
      <c r="C1889" s="16" t="str">
        <f ca="1">IFERROR(__xludf.DUMMYFUNCTION("""COMPUTED_VALUE"""),"300,")</f>
        <v>300,</v>
      </c>
    </row>
    <row r="1890" spans="1:3" ht="15.75" customHeight="1">
      <c r="A1890" s="16" t="str">
        <f ca="1">IFERROR(__xludf.DUMMYFUNCTION("""COMPUTED_VALUE"""),"ATH-MSR7bBK")</f>
        <v>ATH-MSR7bBK</v>
      </c>
      <c r="B1890" s="16" t="str">
        <f ca="1">IFERROR(__xludf.DUMMYFUNCTION("""COMPUTED_VALUE"""),"")</f>
        <v/>
      </c>
      <c r="C1890" s="16" t="str">
        <f ca="1">IFERROR(__xludf.DUMMYFUNCTION("""COMPUTED_VALUE"""),"211,")</f>
        <v>211,</v>
      </c>
    </row>
    <row r="1891" spans="1:3" ht="15.75" customHeight="1">
      <c r="A1891" s="16" t="str">
        <f ca="1">IFERROR(__xludf.DUMMYFUNCTION("""COMPUTED_VALUE"""),"ATH-M50XSTS-XLR")</f>
        <v>ATH-M50XSTS-XLR</v>
      </c>
      <c r="B1891" s="16" t="str">
        <f ca="1">IFERROR(__xludf.DUMMYFUNCTION("""COMPUTED_VALUE"""),"")</f>
        <v/>
      </c>
      <c r="C1891" s="16" t="str">
        <f ca="1">IFERROR(__xludf.DUMMYFUNCTION("""COMPUTED_VALUE"""),"202,")</f>
        <v>202,</v>
      </c>
    </row>
    <row r="1892" spans="1:3" ht="15.75" customHeight="1">
      <c r="A1892" s="16" t="str">
        <f ca="1">IFERROR(__xludf.DUMMYFUNCTION("""COMPUTED_VALUE"""),"ATH-A550Z")</f>
        <v>ATH-A550Z</v>
      </c>
      <c r="B1892" s="16" t="str">
        <f ca="1">IFERROR(__xludf.DUMMYFUNCTION("""COMPUTED_VALUE"""),"")</f>
        <v/>
      </c>
      <c r="C1892" s="16" t="str">
        <f ca="1">IFERROR(__xludf.DUMMYFUNCTION("""COMPUTED_VALUE"""),"148,")</f>
        <v>148,</v>
      </c>
    </row>
    <row r="1893" spans="1:3" ht="15.75" customHeight="1">
      <c r="A1893" s="16" t="str">
        <f ca="1">IFERROR(__xludf.DUMMYFUNCTION("""COMPUTED_VALUE"""),"ATH-A2000Z")</f>
        <v>ATH-A2000Z</v>
      </c>
      <c r="B1893" s="16" t="str">
        <f ca="1">IFERROR(__xludf.DUMMYFUNCTION("""COMPUTED_VALUE"""),"")</f>
        <v/>
      </c>
      <c r="C1893" s="16" t="str">
        <f ca="1">IFERROR(__xludf.DUMMYFUNCTION("""COMPUTED_VALUE"""),"674,")</f>
        <v>674,</v>
      </c>
    </row>
    <row r="1894" spans="1:3" ht="15.75" customHeight="1">
      <c r="A1894" s="16" t="str">
        <f ca="1">IFERROR(__xludf.DUMMYFUNCTION("""COMPUTED_VALUE"""),"ATH-AVA400")</f>
        <v>ATH-AVA400</v>
      </c>
      <c r="B1894" s="16" t="str">
        <f ca="1">IFERROR(__xludf.DUMMYFUNCTION("""COMPUTED_VALUE"""),"")</f>
        <v/>
      </c>
      <c r="C1894" s="16" t="str">
        <f ca="1">IFERROR(__xludf.DUMMYFUNCTION("""COMPUTED_VALUE"""),"96,")</f>
        <v>96,</v>
      </c>
    </row>
    <row r="1895" spans="1:3" ht="15.75" customHeight="1">
      <c r="A1895" s="16" t="str">
        <f ca="1">IFERROR(__xludf.DUMMYFUNCTION("""COMPUTED_VALUE"""),"ATH-AD500X")</f>
        <v>ATH-AD500X</v>
      </c>
      <c r="B1895" s="16" t="str">
        <f ca="1">IFERROR(__xludf.DUMMYFUNCTION("""COMPUTED_VALUE"""),"")</f>
        <v/>
      </c>
      <c r="C1895" s="16" t="str">
        <f ca="1">IFERROR(__xludf.DUMMYFUNCTION("""COMPUTED_VALUE"""),"156,")</f>
        <v>156,</v>
      </c>
    </row>
    <row r="1896" spans="1:3" ht="15.75" customHeight="1">
      <c r="A1896" s="16" t="str">
        <f ca="1">IFERROR(__xludf.DUMMYFUNCTION("""COMPUTED_VALUE"""),"ATH-AD900X")</f>
        <v>ATH-AD900X</v>
      </c>
      <c r="B1896" s="16" t="str">
        <f ca="1">IFERROR(__xludf.DUMMYFUNCTION("""COMPUTED_VALUE"""),"")</f>
        <v/>
      </c>
      <c r="C1896" s="16" t="str">
        <f ca="1">IFERROR(__xludf.DUMMYFUNCTION("""COMPUTED_VALUE"""),"291,")</f>
        <v>291,</v>
      </c>
    </row>
    <row r="1897" spans="1:3" ht="15.75" customHeight="1">
      <c r="A1897" s="16" t="str">
        <f ca="1">IFERROR(__xludf.DUMMYFUNCTION("""COMPUTED_VALUE"""),"ATH-R70X")</f>
        <v>ATH-R70X</v>
      </c>
      <c r="B1897" s="16" t="str">
        <f ca="1">IFERROR(__xludf.DUMMYFUNCTION("""COMPUTED_VALUE"""),"")</f>
        <v/>
      </c>
      <c r="C1897" s="16" t="str">
        <f ca="1">IFERROR(__xludf.DUMMYFUNCTION("""COMPUTED_VALUE"""),"337,")</f>
        <v>337,</v>
      </c>
    </row>
    <row r="1898" spans="1:3" ht="15.75" customHeight="1">
      <c r="A1898" s="16" t="str">
        <f ca="1">IFERROR(__xludf.DUMMYFUNCTION("""COMPUTED_VALUE"""),"ATH-AD2000X")</f>
        <v>ATH-AD2000X</v>
      </c>
      <c r="B1898" s="16" t="str">
        <f ca="1">IFERROR(__xludf.DUMMYFUNCTION("""COMPUTED_VALUE"""),"")</f>
        <v/>
      </c>
      <c r="C1898" s="16" t="str">
        <f ca="1">IFERROR(__xludf.DUMMYFUNCTION("""COMPUTED_VALUE"""),"959,")</f>
        <v>959,</v>
      </c>
    </row>
    <row r="1899" spans="1:3" ht="15.75" customHeight="1">
      <c r="A1899" s="16" t="str">
        <f ca="1">IFERROR(__xludf.DUMMYFUNCTION("""COMPUTED_VALUE"""),"ATH-G1")</f>
        <v>ATH-G1</v>
      </c>
      <c r="B1899" s="16" t="str">
        <f ca="1">IFERROR(__xludf.DUMMYFUNCTION("""COMPUTED_VALUE"""),"")</f>
        <v/>
      </c>
      <c r="C1899" s="16" t="str">
        <f ca="1">IFERROR(__xludf.DUMMYFUNCTION("""COMPUTED_VALUE"""),"175,")</f>
        <v>175,</v>
      </c>
    </row>
    <row r="1900" spans="1:3" ht="15.75" customHeight="1">
      <c r="A1900" s="16" t="str">
        <f ca="1">IFERROR(__xludf.DUMMYFUNCTION("""COMPUTED_VALUE"""),"ATH-GDL3BK")</f>
        <v>ATH-GDL3BK</v>
      </c>
      <c r="B1900" s="16" t="str">
        <f ca="1">IFERROR(__xludf.DUMMYFUNCTION("""COMPUTED_VALUE"""),"")</f>
        <v/>
      </c>
      <c r="C1900" s="16" t="str">
        <f ca="1">IFERROR(__xludf.DUMMYFUNCTION("""COMPUTED_VALUE"""),"134,")</f>
        <v>134,</v>
      </c>
    </row>
    <row r="1901" spans="1:3" ht="15.75" customHeight="1">
      <c r="A1901" s="16" t="str">
        <f ca="1">IFERROR(__xludf.DUMMYFUNCTION("""COMPUTED_VALUE"""),"ATH-GL3BK")</f>
        <v>ATH-GL3BK</v>
      </c>
      <c r="B1901" s="16" t="str">
        <f ca="1">IFERROR(__xludf.DUMMYFUNCTION("""COMPUTED_VALUE"""),"")</f>
        <v/>
      </c>
      <c r="C1901" s="16" t="str">
        <f ca="1">IFERROR(__xludf.DUMMYFUNCTION("""COMPUTED_VALUE"""),"115,")</f>
        <v>115,</v>
      </c>
    </row>
    <row r="1902" spans="1:3" ht="15.75" customHeight="1">
      <c r="A1902" s="16" t="str">
        <f ca="1">IFERROR(__xludf.DUMMYFUNCTION("""COMPUTED_VALUE"""),"ATH-PDG1a")</f>
        <v>ATH-PDG1a</v>
      </c>
      <c r="B1902" s="16" t="str">
        <f ca="1">IFERROR(__xludf.DUMMYFUNCTION("""COMPUTED_VALUE"""),"")</f>
        <v/>
      </c>
      <c r="C1902" s="16" t="str">
        <f ca="1">IFERROR(__xludf.DUMMYFUNCTION("""COMPUTED_VALUE"""),"164,")</f>
        <v>164,</v>
      </c>
    </row>
    <row r="1903" spans="1:3" ht="15.75" customHeight="1">
      <c r="A1903" s="16" t="str">
        <f ca="1">IFERROR(__xludf.DUMMYFUNCTION("""COMPUTED_VALUE"""),"ATH-ANC100BT")</f>
        <v>ATH-ANC100BT</v>
      </c>
      <c r="B1903" s="16" t="str">
        <f ca="1">IFERROR(__xludf.DUMMYFUNCTION("""COMPUTED_VALUE"""),"")</f>
        <v/>
      </c>
      <c r="C1903" s="16" t="str">
        <f ca="1">IFERROR(__xludf.DUMMYFUNCTION("""COMPUTED_VALUE"""),"98,")</f>
        <v>98,</v>
      </c>
    </row>
    <row r="1904" spans="1:3" ht="15.75" customHeight="1">
      <c r="A1904" s="16" t="str">
        <f ca="1">IFERROR(__xludf.DUMMYFUNCTION("""COMPUTED_VALUE"""),"ATH-C200BTBK")</f>
        <v>ATH-C200BTBK</v>
      </c>
      <c r="B1904" s="16" t="str">
        <f ca="1">IFERROR(__xludf.DUMMYFUNCTION("""COMPUTED_VALUE"""),"")</f>
        <v/>
      </c>
      <c r="C1904" s="16" t="str">
        <f ca="1">IFERROR(__xludf.DUMMYFUNCTION("""COMPUTED_VALUE"""),"42,")</f>
        <v>42,</v>
      </c>
    </row>
    <row r="1905" spans="1:3" ht="15.75" customHeight="1">
      <c r="A1905" s="16" t="str">
        <f ca="1">IFERROR(__xludf.DUMMYFUNCTION("""COMPUTED_VALUE"""),"ATH-CKS330XBTBK")</f>
        <v>ATH-CKS330XBTBK</v>
      </c>
      <c r="B1905" s="16" t="str">
        <f ca="1">IFERROR(__xludf.DUMMYFUNCTION("""COMPUTED_VALUE"""),"")</f>
        <v/>
      </c>
      <c r="C1905" s="16" t="str">
        <f ca="1">IFERROR(__xludf.DUMMYFUNCTION("""COMPUTED_VALUE"""),"42,")</f>
        <v>42,</v>
      </c>
    </row>
    <row r="1906" spans="1:3" ht="15.75" customHeight="1">
      <c r="A1906" s="16" t="str">
        <f ca="1">IFERROR(__xludf.DUMMYFUNCTION("""COMPUTED_VALUE"""),"ATH-SQ1TWBK")</f>
        <v>ATH-SQ1TWBK</v>
      </c>
      <c r="B1906" s="16" t="str">
        <f ca="1">IFERROR(__xludf.DUMMYFUNCTION("""COMPUTED_VALUE"""),"")</f>
        <v/>
      </c>
      <c r="C1906" s="16" t="str">
        <f ca="1">IFERROR(__xludf.DUMMYFUNCTION("""COMPUTED_VALUE"""),"75,")</f>
        <v>75,</v>
      </c>
    </row>
    <row r="1907" spans="1:3" ht="15.75" customHeight="1">
      <c r="A1907" s="16" t="str">
        <f ca="1">IFERROR(__xludf.DUMMYFUNCTION("""COMPUTED_VALUE"""),"ATH-CKS50TWBK")</f>
        <v>ATH-CKS50TWBK</v>
      </c>
      <c r="B1907" s="16" t="str">
        <f ca="1">IFERROR(__xludf.DUMMYFUNCTION("""COMPUTED_VALUE"""),"")</f>
        <v/>
      </c>
      <c r="C1907" s="16" t="str">
        <f ca="1">IFERROR(__xludf.DUMMYFUNCTION("""COMPUTED_VALUE"""),"164,")</f>
        <v>164,</v>
      </c>
    </row>
    <row r="1908" spans="1:3" ht="15.75" customHeight="1">
      <c r="A1908" s="16" t="str">
        <f ca="1">IFERROR(__xludf.DUMMYFUNCTION("""COMPUTED_VALUE"""),"ATH-TWX7WH")</f>
        <v>ATH-TWX7WH</v>
      </c>
      <c r="B1908" s="16" t="str">
        <f ca="1">IFERROR(__xludf.DUMMYFUNCTION("""COMPUTED_VALUE"""),"")</f>
        <v/>
      </c>
      <c r="C1908" s="16" t="str">
        <f ca="1">IFERROR(__xludf.DUMMYFUNCTION("""COMPUTED_VALUE"""),"215,")</f>
        <v>215,</v>
      </c>
    </row>
    <row r="1909" spans="1:3" ht="15.75" customHeight="1">
      <c r="A1909" s="16" t="str">
        <f ca="1">IFERROR(__xludf.DUMMYFUNCTION("""COMPUTED_VALUE"""),"ATH-S220BTBK")</f>
        <v>ATH-S220BTBK</v>
      </c>
      <c r="B1909" s="16" t="str">
        <f ca="1">IFERROR(__xludf.DUMMYFUNCTION("""COMPUTED_VALUE"""),"")</f>
        <v/>
      </c>
      <c r="C1909" s="16" t="str">
        <f ca="1">IFERROR(__xludf.DUMMYFUNCTION("""COMPUTED_VALUE"""),"68,")</f>
        <v>68,</v>
      </c>
    </row>
    <row r="1910" spans="1:3" ht="15.75" customHeight="1">
      <c r="A1910" s="16" t="str">
        <f ca="1">IFERROR(__xludf.DUMMYFUNCTION("""COMPUTED_VALUE"""),"ATH-M20XBT")</f>
        <v>ATH-M20XBT</v>
      </c>
      <c r="B1910" s="16" t="str">
        <f ca="1">IFERROR(__xludf.DUMMYFUNCTION("""COMPUTED_VALUE"""),"")</f>
        <v/>
      </c>
      <c r="C1910" s="16" t="str">
        <f ca="1">IFERROR(__xludf.DUMMYFUNCTION("""COMPUTED_VALUE"""),"88,")</f>
        <v>88,</v>
      </c>
    </row>
    <row r="1911" spans="1:3" ht="15.75" customHeight="1">
      <c r="A1911" s="16" t="str">
        <f ca="1">IFERROR(__xludf.DUMMYFUNCTION("""COMPUTED_VALUE"""),"AT2020USBX")</f>
        <v>AT2020USBX</v>
      </c>
      <c r="B1911" s="16" t="str">
        <f ca="1">IFERROR(__xludf.DUMMYFUNCTION("""COMPUTED_VALUE"""),"")</f>
        <v/>
      </c>
      <c r="C1911" s="16" t="str">
        <f ca="1">IFERROR(__xludf.DUMMYFUNCTION("""COMPUTED_VALUE"""),"191,")</f>
        <v>191,</v>
      </c>
    </row>
    <row r="1912" spans="1:3" ht="15.75" customHeight="1">
      <c r="A1912" s="16" t="str">
        <f ca="1">IFERROR(__xludf.DUMMYFUNCTION("""COMPUTED_VALUE"""),"ATGM1-USB")</f>
        <v>ATGM1-USB</v>
      </c>
      <c r="B1912" s="16" t="str">
        <f ca="1">IFERROR(__xludf.DUMMYFUNCTION("""COMPUTED_VALUE"""),"")</f>
        <v/>
      </c>
      <c r="C1912" s="16" t="str">
        <f ca="1">IFERROR(__xludf.DUMMYFUNCTION("""COMPUTED_VALUE"""),"50,")</f>
        <v>50,</v>
      </c>
    </row>
    <row r="1913" spans="1:3" ht="15.75" customHeight="1">
      <c r="A1913" s="16" t="str">
        <f ca="1">IFERROR(__xludf.DUMMYFUNCTION("""COMPUTED_VALUE"""),"AT-LP140XPBK")</f>
        <v>AT-LP140XPBK</v>
      </c>
      <c r="B1913" s="16" t="str">
        <f ca="1">IFERROR(__xludf.DUMMYFUNCTION("""COMPUTED_VALUE"""),"")</f>
        <v/>
      </c>
      <c r="C1913" s="16" t="str">
        <f ca="1">IFERROR(__xludf.DUMMYFUNCTION("""COMPUTED_VALUE"""),"553,")</f>
        <v>553,</v>
      </c>
    </row>
    <row r="1914" spans="1:3" ht="15.75" customHeight="1">
      <c r="A1914" s="16"/>
      <c r="B1914" s="16"/>
      <c r="C1914" s="16"/>
    </row>
    <row r="1915" spans="1:3" ht="15.75" customHeight="1">
      <c r="A1915" s="16"/>
      <c r="B1915" s="16"/>
      <c r="C1915" s="16"/>
    </row>
    <row r="1916" spans="1:3" ht="15.75" customHeight="1">
      <c r="A1916" s="16"/>
      <c r="B1916" s="16"/>
      <c r="C1916" s="16"/>
    </row>
    <row r="1917" spans="1:3" ht="15.75" customHeight="1">
      <c r="A1917" s="16"/>
      <c r="B1917" s="16"/>
      <c r="C1917" s="16"/>
    </row>
    <row r="1918" spans="1:3" ht="15.75" customHeight="1">
      <c r="A1918" s="16"/>
      <c r="B1918" s="16"/>
      <c r="C1918" s="16"/>
    </row>
    <row r="1919" spans="1:3" ht="15.75" customHeight="1">
      <c r="A1919" s="16"/>
      <c r="B1919" s="16"/>
      <c r="C1919" s="16"/>
    </row>
    <row r="1920" spans="1:3" ht="15.75" customHeight="1">
      <c r="A1920" s="16"/>
      <c r="B1920" s="16"/>
      <c r="C1920" s="16"/>
    </row>
    <row r="1921" spans="1:3" ht="15.75" customHeight="1">
      <c r="A1921" s="16"/>
      <c r="B1921" s="16"/>
      <c r="C1921" s="16"/>
    </row>
    <row r="1922" spans="1:3" ht="15.75" customHeight="1">
      <c r="A1922" s="16"/>
      <c r="B1922" s="16"/>
      <c r="C1922" s="16"/>
    </row>
    <row r="1923" spans="1:3" ht="15.75" customHeight="1">
      <c r="A1923" s="16"/>
      <c r="B1923" s="16"/>
      <c r="C1923" s="16"/>
    </row>
    <row r="1924" spans="1:3" ht="15.75" customHeight="1">
      <c r="A1924" s="16"/>
      <c r="B1924" s="16"/>
      <c r="C1924" s="16"/>
    </row>
    <row r="1925" spans="1:3" ht="15.75" customHeight="1">
      <c r="A1925" s="16"/>
      <c r="B1925" s="16"/>
      <c r="C1925" s="16"/>
    </row>
    <row r="1926" spans="1:3" ht="15.75" customHeight="1">
      <c r="A1926" s="16"/>
      <c r="B1926" s="16"/>
      <c r="C1926" s="16"/>
    </row>
    <row r="1927" spans="1:3" ht="15.75" customHeight="1">
      <c r="A1927" s="16"/>
      <c r="B1927" s="16"/>
      <c r="C1927" s="16"/>
    </row>
    <row r="1928" spans="1:3" ht="15.75" customHeight="1">
      <c r="A1928" s="16"/>
      <c r="B1928" s="16"/>
      <c r="C1928" s="16"/>
    </row>
    <row r="1929" spans="1:3" ht="15.75" customHeight="1">
      <c r="A1929" s="16"/>
      <c r="B1929" s="16"/>
      <c r="C1929" s="16"/>
    </row>
    <row r="1930" spans="1:3" ht="15.75" customHeight="1">
      <c r="A1930" s="16"/>
      <c r="B1930" s="16"/>
      <c r="C1930" s="16"/>
    </row>
    <row r="1931" spans="1:3" ht="15.75" customHeight="1">
      <c r="A1931" s="16"/>
      <c r="B1931" s="16"/>
      <c r="C1931" s="16"/>
    </row>
    <row r="1932" spans="1:3" ht="15.75" customHeight="1">
      <c r="A1932" s="16"/>
      <c r="B1932" s="16"/>
      <c r="C1932" s="16"/>
    </row>
    <row r="1933" spans="1:3" ht="15.75" customHeight="1">
      <c r="A1933" s="16"/>
      <c r="B1933" s="16"/>
      <c r="C1933" s="16"/>
    </row>
    <row r="1934" spans="1:3" ht="15.75" customHeight="1">
      <c r="A1934" s="16"/>
      <c r="B1934" s="16"/>
      <c r="C1934" s="16"/>
    </row>
    <row r="1935" spans="1:3" ht="15.75" customHeight="1">
      <c r="A1935" s="16"/>
      <c r="B1935" s="16"/>
      <c r="C1935" s="16"/>
    </row>
    <row r="1936" spans="1:3" ht="15.75" customHeight="1">
      <c r="A1936" s="16"/>
      <c r="B1936" s="16"/>
      <c r="C1936" s="16"/>
    </row>
    <row r="1937" spans="1:3" ht="15.75" customHeight="1">
      <c r="A1937" s="16"/>
      <c r="B1937" s="16"/>
      <c r="C1937" s="16"/>
    </row>
    <row r="1938" spans="1:3" ht="15.75" customHeight="1">
      <c r="A1938" s="16"/>
      <c r="B1938" s="16"/>
      <c r="C1938" s="16"/>
    </row>
    <row r="1939" spans="1:3" ht="15.75" customHeight="1">
      <c r="A1939" s="16"/>
      <c r="B1939" s="16"/>
      <c r="C1939" s="16"/>
    </row>
    <row r="1940" spans="1:3" ht="15.75" customHeight="1">
      <c r="A1940" s="16"/>
      <c r="B1940" s="16"/>
      <c r="C1940" s="16"/>
    </row>
    <row r="1941" spans="1:3" ht="15.75" customHeight="1">
      <c r="A1941" s="16"/>
      <c r="B1941" s="16"/>
      <c r="C1941" s="16"/>
    </row>
    <row r="1942" spans="1:3" ht="15.75" customHeight="1">
      <c r="A1942" s="16"/>
      <c r="B1942" s="16"/>
      <c r="C1942" s="16"/>
    </row>
    <row r="1943" spans="1:3" ht="15.75" customHeight="1">
      <c r="A1943" s="16"/>
      <c r="B1943" s="16"/>
      <c r="C1943" s="16"/>
    </row>
    <row r="1944" spans="1:3" ht="15.75" customHeight="1">
      <c r="A1944" s="16"/>
      <c r="B1944" s="16"/>
      <c r="C1944" s="16"/>
    </row>
    <row r="1945" spans="1:3" ht="15.75" customHeight="1">
      <c r="A1945" s="16"/>
      <c r="B1945" s="16"/>
      <c r="C1945" s="16"/>
    </row>
    <row r="1946" spans="1:3" ht="15.75" customHeight="1">
      <c r="A1946" s="16"/>
      <c r="B1946" s="16"/>
      <c r="C1946" s="16"/>
    </row>
    <row r="1947" spans="1:3" ht="15.75" customHeight="1">
      <c r="A1947" s="16"/>
      <c r="B1947" s="16"/>
      <c r="C1947" s="16"/>
    </row>
    <row r="1948" spans="1:3" ht="15.75" customHeight="1">
      <c r="A1948" s="16"/>
      <c r="B1948" s="16"/>
      <c r="C1948" s="16"/>
    </row>
    <row r="1949" spans="1:3" ht="15.75" customHeight="1">
      <c r="A1949" s="16"/>
      <c r="B1949" s="16"/>
      <c r="C1949" s="16"/>
    </row>
    <row r="1950" spans="1:3" ht="15.75" customHeight="1">
      <c r="A1950" s="16"/>
      <c r="B1950" s="16"/>
      <c r="C1950" s="16"/>
    </row>
    <row r="1951" spans="1:3" ht="15.75" customHeight="1">
      <c r="A1951" s="16"/>
      <c r="B1951" s="16"/>
      <c r="C1951" s="16"/>
    </row>
    <row r="1952" spans="1:3" ht="15.75" customHeight="1">
      <c r="A1952" s="16"/>
      <c r="B1952" s="16"/>
      <c r="C1952" s="16"/>
    </row>
    <row r="1953" spans="1:3" ht="15.75" customHeight="1">
      <c r="A1953" s="16"/>
      <c r="B1953" s="16"/>
      <c r="C1953" s="16"/>
    </row>
    <row r="1954" spans="1:3" ht="15.75" customHeight="1">
      <c r="A1954" s="16"/>
      <c r="B1954" s="16"/>
      <c r="C1954" s="16"/>
    </row>
    <row r="1955" spans="1:3" ht="15.75" customHeight="1">
      <c r="A1955" s="16"/>
      <c r="B1955" s="16"/>
      <c r="C1955" s="16"/>
    </row>
    <row r="1956" spans="1:3" ht="15.75" customHeight="1">
      <c r="A1956" s="16"/>
      <c r="B1956" s="16"/>
      <c r="C1956" s="16"/>
    </row>
    <row r="1957" spans="1:3" ht="15.75" customHeight="1">
      <c r="A1957" s="16"/>
      <c r="B1957" s="16"/>
      <c r="C1957" s="16"/>
    </row>
    <row r="1958" spans="1:3" ht="15.75" customHeight="1">
      <c r="A1958" s="16"/>
      <c r="B1958" s="16"/>
      <c r="C1958" s="16"/>
    </row>
    <row r="1959" spans="1:3" ht="15.75" customHeight="1">
      <c r="A1959" s="16"/>
      <c r="B1959" s="16"/>
      <c r="C1959" s="16"/>
    </row>
    <row r="1960" spans="1:3" ht="15.75" customHeight="1">
      <c r="A1960" s="16"/>
      <c r="B1960" s="16"/>
      <c r="C1960" s="16"/>
    </row>
    <row r="1961" spans="1:3" ht="15.75" customHeight="1">
      <c r="A1961" s="16"/>
      <c r="B1961" s="16"/>
      <c r="C1961" s="16"/>
    </row>
    <row r="1962" spans="1:3" ht="15.75" customHeight="1">
      <c r="A1962" s="16"/>
      <c r="B1962" s="16"/>
      <c r="C1962" s="16"/>
    </row>
    <row r="1963" spans="1:3" ht="15.75" customHeight="1">
      <c r="A1963" s="16"/>
      <c r="B1963" s="16"/>
      <c r="C1963" s="16"/>
    </row>
    <row r="1964" spans="1:3" ht="15.75" customHeight="1">
      <c r="A1964" s="16"/>
      <c r="B1964" s="16"/>
      <c r="C1964" s="16"/>
    </row>
    <row r="1965" spans="1:3" ht="15.75" customHeight="1">
      <c r="A1965" s="16"/>
      <c r="B1965" s="16"/>
      <c r="C1965" s="16"/>
    </row>
    <row r="1966" spans="1:3" ht="15.75" customHeight="1">
      <c r="A1966" s="16"/>
      <c r="B1966" s="16"/>
      <c r="C1966" s="16"/>
    </row>
    <row r="1967" spans="1:3" ht="15.75" customHeight="1">
      <c r="A1967" s="16"/>
      <c r="B1967" s="16"/>
      <c r="C1967" s="16"/>
    </row>
    <row r="1968" spans="1:3" ht="15.75" customHeight="1">
      <c r="A1968" s="16"/>
      <c r="B1968" s="16"/>
      <c r="C1968" s="16"/>
    </row>
    <row r="1969" spans="1:3" ht="15.75" customHeight="1">
      <c r="A1969" s="16"/>
      <c r="B1969" s="16"/>
      <c r="C1969" s="16"/>
    </row>
    <row r="1970" spans="1:3" ht="15.75" customHeight="1">
      <c r="A1970" s="16"/>
      <c r="B1970" s="16"/>
      <c r="C1970" s="16"/>
    </row>
    <row r="1971" spans="1:3" ht="15.75" customHeight="1">
      <c r="A1971" s="16"/>
      <c r="B1971" s="16"/>
      <c r="C1971" s="16"/>
    </row>
    <row r="1972" spans="1:3" ht="15.75" customHeight="1">
      <c r="A1972" s="16"/>
      <c r="B1972" s="16"/>
      <c r="C1972" s="16"/>
    </row>
    <row r="1973" spans="1:3" ht="15.75" customHeight="1">
      <c r="A1973" s="16"/>
      <c r="B1973" s="16"/>
      <c r="C1973" s="16"/>
    </row>
    <row r="1974" spans="1:3" ht="15.75" customHeight="1">
      <c r="A1974" s="16"/>
      <c r="B1974" s="16"/>
      <c r="C1974" s="16"/>
    </row>
    <row r="1975" spans="1:3" ht="15.75" customHeight="1">
      <c r="A1975" s="16"/>
      <c r="B1975" s="16"/>
      <c r="C1975" s="16"/>
    </row>
    <row r="1976" spans="1:3" ht="15.75" customHeight="1">
      <c r="A1976" s="16"/>
      <c r="B1976" s="16"/>
      <c r="C1976" s="16"/>
    </row>
    <row r="1977" spans="1:3" ht="15.75" customHeight="1">
      <c r="A1977" s="16"/>
      <c r="B1977" s="16"/>
      <c r="C1977" s="16"/>
    </row>
    <row r="1978" spans="1:3" ht="15.75" customHeight="1">
      <c r="A1978" s="16"/>
      <c r="B1978" s="16"/>
      <c r="C1978" s="16"/>
    </row>
    <row r="1979" spans="1:3" ht="15.75" customHeight="1">
      <c r="A1979" s="16"/>
      <c r="B1979" s="16"/>
      <c r="C1979" s="16"/>
    </row>
    <row r="1980" spans="1:3" ht="15.75" customHeight="1">
      <c r="A1980" s="16"/>
      <c r="B1980" s="16"/>
      <c r="C1980" s="16"/>
    </row>
    <row r="1981" spans="1:3" ht="15.75" customHeight="1">
      <c r="A1981" s="16"/>
      <c r="B1981" s="16"/>
      <c r="C1981" s="16"/>
    </row>
    <row r="1982" spans="1:3" ht="15.75" customHeight="1">
      <c r="A1982" s="16"/>
      <c r="B1982" s="16"/>
      <c r="C1982" s="16"/>
    </row>
    <row r="1983" spans="1:3" ht="15.75" customHeight="1">
      <c r="A1983" s="16"/>
      <c r="B1983" s="16"/>
      <c r="C1983" s="16"/>
    </row>
    <row r="1984" spans="1:3" ht="15.75" customHeight="1">
      <c r="A1984" s="16"/>
      <c r="B1984" s="16"/>
      <c r="C1984" s="16"/>
    </row>
    <row r="1985" spans="1:3" ht="15.75" customHeight="1">
      <c r="A1985" s="16"/>
      <c r="B1985" s="16"/>
      <c r="C1985" s="16"/>
    </row>
    <row r="1986" spans="1:3" ht="15.75" customHeight="1">
      <c r="A1986" s="16"/>
      <c r="B1986" s="16"/>
      <c r="C1986" s="16"/>
    </row>
    <row r="1987" spans="1:3" ht="15.75" customHeight="1">
      <c r="A1987" s="16"/>
      <c r="B1987" s="16"/>
      <c r="C1987" s="16"/>
    </row>
    <row r="1988" spans="1:3" ht="15.75" customHeight="1"/>
    <row r="1989" spans="1:3" ht="15.75" customHeight="1"/>
    <row r="1990" spans="1:3" ht="15.75" customHeight="1"/>
    <row r="1991" spans="1:3" ht="15.75" customHeight="1"/>
    <row r="1992" spans="1:3" ht="15.75" customHeight="1"/>
    <row r="1993" spans="1:3" ht="15.75" customHeight="1"/>
    <row r="1994" spans="1:3" ht="15.75" customHeight="1"/>
    <row r="1995" spans="1:3" ht="15.75" customHeight="1"/>
    <row r="1996" spans="1:3" ht="15.75" customHeight="1"/>
    <row r="1997" spans="1:3" ht="15.75" customHeight="1"/>
    <row r="1998" spans="1:3" ht="15.75" customHeight="1"/>
    <row r="1999" spans="1:3" ht="15.75" customHeight="1"/>
    <row r="2000" spans="1:3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38</vt:i4>
      </vt:variant>
    </vt:vector>
  </HeadingPairs>
  <TitlesOfParts>
    <vt:vector size="38" baseType="lpstr">
      <vt:lpstr>CPU, DDR, HDD</vt:lpstr>
      <vt:lpstr>MB, GPU</vt:lpstr>
      <vt:lpstr>Monitors</vt:lpstr>
      <vt:lpstr>Printers, scanners</vt:lpstr>
      <vt:lpstr>Notebook, AIO</vt:lpstr>
      <vt:lpstr>Cooler, PowerSupply, UPS</vt:lpstr>
      <vt:lpstr>Интерактивная панель</vt:lpstr>
      <vt:lpstr>ВКС</vt:lpstr>
      <vt:lpstr>Экраны, проекторы, камеры</vt:lpstr>
      <vt:lpstr>Lenovo Аксессуары</vt:lpstr>
      <vt:lpstr>HP Аксессуары</vt:lpstr>
      <vt:lpstr>Deepcool GamerStorm</vt:lpstr>
      <vt:lpstr>TRYX</vt:lpstr>
      <vt:lpstr>Gembird</vt:lpstr>
      <vt:lpstr>ID Cooling</vt:lpstr>
      <vt:lpstr>Genius</vt:lpstr>
      <vt:lpstr>Gigabyte</vt:lpstr>
      <vt:lpstr>DXRacer</vt:lpstr>
      <vt:lpstr>Gamdias</vt:lpstr>
      <vt:lpstr>MSI</vt:lpstr>
      <vt:lpstr>Montech</vt:lpstr>
      <vt:lpstr>Defender</vt:lpstr>
      <vt:lpstr>Aula</vt:lpstr>
      <vt:lpstr>Lian Li</vt:lpstr>
      <vt:lpstr>FSP</vt:lpstr>
      <vt:lpstr>Thermaltake</vt:lpstr>
      <vt:lpstr>Jonsbo</vt:lpstr>
      <vt:lpstr>Meetion</vt:lpstr>
      <vt:lpstr>PowerCase</vt:lpstr>
      <vt:lpstr>Игравые Кресла</vt:lpstr>
      <vt:lpstr>CoolerMaster</vt:lpstr>
      <vt:lpstr>Redragon</vt:lpstr>
      <vt:lpstr>Sharkoon</vt:lpstr>
      <vt:lpstr>Fenda</vt:lpstr>
      <vt:lpstr>Edifier</vt:lpstr>
      <vt:lpstr>Koss</vt:lpstr>
      <vt:lpstr>Audio-technica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Jovdat Ilkhomov</dc:creator>
  <cp:lastModifiedBy>Jovdat Ilkhomov</cp:lastModifiedBy>
  <dcterms:created xsi:type="dcterms:W3CDTF">2026-03-03T04:37:34Z</dcterms:created>
  <dcterms:modified xsi:type="dcterms:W3CDTF">2026-05-02T05:14:03Z</dcterms:modified>
</cp:coreProperties>
</file>