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drawings/vmlDrawing7.vml" ContentType="application/vnd.openxmlformats-officedocument.vmlDrawing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drawings/vmlDrawing8.vml" ContentType="application/vnd.openxmlformats-officedocument.vmlDrawing"/>
  <Override PartName="/xl/comments8.xml" ContentType="application/vnd.openxmlformats-officedocument.spreadsheetml.comments+xml"/>
  <Override PartName="/xl/worksheets/sheet9.xml" ContentType="application/vnd.openxmlformats-officedocument.spreadsheetml.worksheet+xml"/>
  <Override PartName="/xl/drawings/vmlDrawing9.vml" ContentType="application/vnd.openxmlformats-officedocument.vmlDrawing"/>
  <Override PartName="/xl/comments9.xml" ContentType="application/vnd.openxmlformats-officedocument.spreadsheetml.comments+xml"/>
  <Override PartName="/xl/worksheets/sheet10.xml" ContentType="application/vnd.openxmlformats-officedocument.spreadsheetml.worksheet+xml"/>
  <Override PartName="/xl/drawings/vmlDrawing10.vml" ContentType="application/vnd.openxmlformats-officedocument.vmlDrawing"/>
  <Override PartName="/xl/comments10.xml" ContentType="application/vnd.openxmlformats-officedocument.spreadsheetml.comments+xml"/>
  <Override PartName="/xl/worksheets/sheet11.xml" ContentType="application/vnd.openxmlformats-officedocument.spreadsheetml.worksheet+xml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worksheets/sheet12.xml" ContentType="application/vnd.openxmlformats-officedocument.spreadsheetml.worksheet+xml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worksheets/sheet13.xml" ContentType="application/vnd.openxmlformats-officedocument.spreadsheetml.worksheet+xml"/>
  <Override PartName="/xl/drawings/vmlDrawing13.vml" ContentType="application/vnd.openxmlformats-officedocument.vmlDrawing"/>
  <Override PartName="/xl/comments13.xml" ContentType="application/vnd.openxmlformats-officedocument.spreadsheetml.comments+xml"/>
  <Override PartName="/xl/worksheets/sheet14.xml" ContentType="application/vnd.openxmlformats-officedocument.spreadsheetml.worksheet+xml"/>
  <Override PartName="/xl/drawings/vmlDrawing14.vml" ContentType="application/vnd.openxmlformats-officedocument.vmlDrawing"/>
  <Override PartName="/xl/comments14.xml" ContentType="application/vnd.openxmlformats-officedocument.spreadsheetml.comments+xml"/>
  <Override PartName="/xl/worksheets/sheet15.xml" ContentType="application/vnd.openxmlformats-officedocument.spreadsheetml.worksheet+xml"/>
  <Override PartName="/xl/drawings/vmlDrawing15.vml" ContentType="application/vnd.openxmlformats-officedocument.vmlDrawing"/>
  <Override PartName="/xl/comments15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FALAK 169" sheetId="1" r:id="rId1"/>
    <sheet name="DATA 1" sheetId="2" r:id="rId2" state="hidden"/>
    <sheet name="DATA 2" sheetId="3" r:id="rId3" state="hidden"/>
    <sheet name="Lembar1" sheetId="4" r:id="rId4" state="hidden"/>
    <sheet name="Lembar2" sheetId="5" r:id="rId5" state="hidden"/>
    <sheet name="Lembar3" sheetId="6" r:id="rId6" state="hidden"/>
    <sheet name="Lembar4" sheetId="7" r:id="rId7" state="hidden"/>
    <sheet name="Lembar5" sheetId="8" r:id="rId8" state="hidden"/>
    <sheet name="Lembar6" sheetId="9" r:id="rId9" state="hidden"/>
    <sheet name="Lembar7" sheetId="10" r:id="rId10" state="hidden"/>
    <sheet name="Lembar8" sheetId="11" r:id="rId11" state="hidden"/>
    <sheet name="Lembar9" sheetId="12" r:id="rId12" state="hidden"/>
    <sheet name="Lembar10" sheetId="13" r:id="rId13" state="hidden"/>
    <sheet name="Lembar11" sheetId="14" r:id="rId14" state="hidden"/>
    <sheet name="Lembar12" sheetId="15" r:id="rId15" state="hidden"/>
    <sheet name="Lembar13" sheetId="16" r:id="rId16" state="hidden"/>
    <sheet name="LEMBAR CORET 1" sheetId="17" r:id="rId17"/>
    <sheet name="LEMBAR CORET 2" sheetId="18" r:id="rId18"/>
  </sheets>
  <definedNames>
    <definedName name="DF" localSheetId="0">'FALAK 169'!$A$1:$A$55</definedName>
  </definedNames>
  <calcPr calcId="114210"/>
</workbook>
</file>

<file path=xl/comments1.xml><?xml version="1.0" encoding="utf-8"?>
<comments xmlns="http://schemas.openxmlformats.org/spreadsheetml/2006/main">
  <authors>
    <author>colay
</author>
    <author>Ghofur
</author>
  </authors>
  <commentList>
    <comment ref="M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M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M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O4" authorId="0">
      <text>
        <r>
          <rPr>
            <sz val="11"/>
            <color indexed="81"/>
            <rFont val="Arial"/>
          </rPr>
          <t xml:space="preserve">Daerah Masing-Masng</t>
        </r>
      </text>
    </comment>
    <comment ref="AD4" authorId="0">
      <text>
        <r>
          <rPr>
            <sz val="11"/>
            <color indexed="81"/>
            <rFont val="Arial"/>
          </rPr>
          <t xml:space="preserve">Tahun Yang Dimaksud </t>
        </r>
      </text>
    </comment>
    <comment ref="AZ4" authorId="0">
      <text>
        <r>
          <rPr>
            <sz val="11"/>
            <color indexed="81"/>
            <rFont val="Arial"/>
          </rPr>
          <t xml:space="preserve">Tahun Yang Dimaksud</t>
        </r>
      </text>
    </comment>
    <comment ref="BV48" authorId="0">
      <text>
        <r>
          <rPr>
            <sz val="11"/>
            <color indexed="81"/>
            <rFont val="Arial"/>
          </rPr>
          <t xml:space="preserve">Tahum Majmu'ah Yang dimaksud</t>
        </r>
      </text>
    </comment>
    <comment ref="BV49" authorId="0">
      <text>
        <r>
          <rPr>
            <sz val="11"/>
            <color indexed="81"/>
            <rFont val="Arial"/>
          </rPr>
          <t xml:space="preserve">Tahun Mabsut Yang Dimaksud</t>
        </r>
      </text>
    </comment>
    <comment ref="CE5" authorId="0">
      <text>
        <r>
          <rPr>
            <sz val="11"/>
            <color indexed="81"/>
            <rFont val="Arial"/>
          </rPr>
          <t xml:space="preserve">Isi Daerah Disisi </t>
        </r>
      </text>
    </comment>
    <comment ref="CN5" authorId="0">
      <text>
        <r>
          <rPr>
            <sz val="11"/>
            <color indexed="81"/>
            <rFont val="Arial"/>
          </rPr>
          <t xml:space="preserve">IIsi Tanggal</t>
        </r>
      </text>
    </comment>
    <comment ref="CQ5" authorId="0">
      <text>
        <r>
          <rPr>
            <sz val="11"/>
            <color indexed="81"/>
            <rFont val="Arial"/>
          </rPr>
          <t xml:space="preserve">Isi Bulan</t>
        </r>
      </text>
    </comment>
    <comment ref="CI51" authorId="1">
      <text>
        <r>
          <rPr>
            <sz val="11"/>
            <color indexed="81"/>
            <rFont val="Arial"/>
          </rPr>
          <t xml:space="preserve">Di ukur dari garis katulistiwa </t>
        </r>
      </text>
    </comment>
    <comment ref="CK5" authorId="1">
      <text>
        <r>
          <rPr>
            <sz val="11"/>
            <color indexed="81"/>
            <rFont val="Arial"/>
          </rPr>
          <t xml:space="preserve">Isilah Lintang Tempat Masing-Masing </t>
        </r>
      </text>
    </comment>
  </commentList>
</comments>
</file>

<file path=xl/comments10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1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2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3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1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4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5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6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7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8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comments9.xml><?xml version="1.0" encoding="utf-8"?>
<comments xmlns="http://schemas.openxmlformats.org/spreadsheetml/2006/main">
  <authors>
    <author>colay
</author>
  </authors>
  <commentList>
    <comment ref="C6" authorId="0">
      <text>
        <r>
          <rPr>
            <sz val="11"/>
            <color indexed="81"/>
            <rFont val="Arial"/>
          </rPr>
          <t xml:space="preserve">Tahun Kumpulan Yang Dimaksud</t>
        </r>
      </text>
    </comment>
    <comment ref="C7" authorId="0">
      <text>
        <r>
          <rPr>
            <sz val="11"/>
            <color indexed="81"/>
            <rFont val="Arial"/>
          </rPr>
          <t xml:space="preserve">Tahun Satuan Yang Dimaksud</t>
        </r>
      </text>
    </comment>
    <comment ref="C8" authorId="0">
      <text>
        <r>
          <rPr>
            <sz val="11"/>
            <color indexed="81"/>
            <rFont val="Arial"/>
          </rPr>
          <t xml:space="preserve">Bulan Yang Dimaksud</t>
        </r>
      </text>
    </comment>
    <comment ref="E4" authorId="0">
      <text>
        <r>
          <rPr>
            <sz val="11"/>
            <color indexed="81"/>
            <rFont val="Arial"/>
          </rPr>
          <t xml:space="preserve">Daerah Masing-Masng</t>
        </r>
      </text>
    </comment>
  </commentList>
</comments>
</file>

<file path=xl/sharedStrings.xml><?xml version="1.0" encoding="utf-8"?>
<sst xmlns="http://schemas.openxmlformats.org/spreadsheetml/2006/main" uniqueCount="6096" count="6096">
  <si>
    <t>DATA DATA BULAN DAN MATAHARI</t>
  </si>
  <si>
    <t>Kota</t>
  </si>
  <si>
    <t>Provinsi</t>
  </si>
  <si>
    <t>Kabupaten</t>
  </si>
  <si>
    <t>KOTA</t>
  </si>
  <si>
    <t>KABUPATEN</t>
  </si>
  <si>
    <t>PROVINSI</t>
  </si>
  <si>
    <t>TANGERANG</t>
  </si>
  <si>
    <t>TAHUN</t>
  </si>
  <si>
    <t>BULAN</t>
  </si>
  <si>
    <t>NO</t>
  </si>
  <si>
    <t>BURUJ</t>
  </si>
  <si>
    <t>ZODIAK</t>
  </si>
  <si>
    <t>JADWAL TAHUN MAJMUAH</t>
  </si>
  <si>
    <t>HAML</t>
  </si>
  <si>
    <t>ALAMAH</t>
  </si>
  <si>
    <t>الحصة</t>
  </si>
  <si>
    <t>WASAT</t>
  </si>
  <si>
    <t>HOSOH</t>
  </si>
  <si>
    <t>MARKAZ</t>
  </si>
  <si>
    <t>Alamah</t>
  </si>
  <si>
    <t>Majmuah</t>
  </si>
  <si>
    <t>TSUR</t>
  </si>
  <si>
    <t>TAURUS</t>
  </si>
  <si>
    <t>(+40,083)</t>
  </si>
  <si>
    <t>JAUZA</t>
  </si>
  <si>
    <t>GEMINI</t>
  </si>
  <si>
    <t>SYARTON</t>
  </si>
  <si>
    <t>CANCER</t>
  </si>
  <si>
    <t>ASAD</t>
  </si>
  <si>
    <t>LEO</t>
  </si>
  <si>
    <t>Alamah Mabsutoh</t>
  </si>
  <si>
    <t>SUMBULAH</t>
  </si>
  <si>
    <t>(+96.817)</t>
  </si>
  <si>
    <t>MIZAN</t>
  </si>
  <si>
    <t>AQROB</t>
  </si>
  <si>
    <t>SCORPION</t>
  </si>
  <si>
    <t>QAOS</t>
  </si>
  <si>
    <t>JADYU</t>
  </si>
  <si>
    <t>CAPRICORN</t>
  </si>
  <si>
    <t>DALWU</t>
  </si>
  <si>
    <t>AQUARIUS</t>
  </si>
  <si>
    <t>KHUT</t>
  </si>
  <si>
    <t>PISCES</t>
  </si>
  <si>
    <t>JADWAL TAHUN MABSUTOH</t>
  </si>
  <si>
    <t>BULAN HIJRIAH</t>
  </si>
  <si>
    <t>العلامة</t>
  </si>
  <si>
    <t>الوسط</t>
  </si>
  <si>
    <t>الخاصة</t>
  </si>
  <si>
    <t>المركز</t>
  </si>
  <si>
    <t>MUHARAM</t>
  </si>
  <si>
    <t>Haml</t>
  </si>
  <si>
    <t>April</t>
  </si>
  <si>
    <t>Miring ke Utara</t>
  </si>
  <si>
    <t>SAFAR</t>
  </si>
  <si>
    <t>Tsur</t>
  </si>
  <si>
    <t>Mei</t>
  </si>
  <si>
    <t>ROBI AWAL</t>
  </si>
  <si>
    <t>Jauza</t>
  </si>
  <si>
    <t>Juni</t>
  </si>
  <si>
    <t>ROBI TSANI</t>
  </si>
  <si>
    <t xml:space="preserve">Sarton  </t>
  </si>
  <si>
    <t>Juli</t>
  </si>
  <si>
    <t>JUMAD AWAL</t>
  </si>
  <si>
    <t>Asad</t>
  </si>
  <si>
    <t>Agustus</t>
  </si>
  <si>
    <t>JUMAD TSANI</t>
  </si>
  <si>
    <t>Sunbulah</t>
  </si>
  <si>
    <t>September</t>
  </si>
  <si>
    <t>ROJAB</t>
  </si>
  <si>
    <t>Mizan</t>
  </si>
  <si>
    <t>Oktober</t>
  </si>
  <si>
    <t>Miring ke Selatan</t>
  </si>
  <si>
    <t>SYABAN</t>
  </si>
  <si>
    <t>Aqrob</t>
  </si>
  <si>
    <t>Nopember</t>
  </si>
  <si>
    <t>ROMADHON</t>
  </si>
  <si>
    <t>Qous</t>
  </si>
  <si>
    <t>Desember</t>
  </si>
  <si>
    <t>SYAWAL</t>
  </si>
  <si>
    <t>Jadyu</t>
  </si>
  <si>
    <t>Januari</t>
  </si>
  <si>
    <t>DZULQODAH</t>
  </si>
  <si>
    <t>Dalwu</t>
  </si>
  <si>
    <t>Februari</t>
  </si>
  <si>
    <t>DZULHIJAH</t>
  </si>
  <si>
    <t>Hut</t>
  </si>
  <si>
    <t>Maret</t>
  </si>
  <si>
    <t>JADWAL BULAN HIJRIAH</t>
  </si>
  <si>
    <t>ALAMAT</t>
  </si>
  <si>
    <t>HISSOH</t>
  </si>
  <si>
    <t>KHOSOH</t>
  </si>
  <si>
    <t>SABTU</t>
  </si>
  <si>
    <t>AHAD</t>
  </si>
  <si>
    <t>SENEN</t>
  </si>
  <si>
    <t>ذوالحجة</t>
  </si>
  <si>
    <t>SELASA</t>
  </si>
  <si>
    <t>محرّم</t>
  </si>
  <si>
    <t>SENIN</t>
  </si>
  <si>
    <t>RABU</t>
  </si>
  <si>
    <t>صفر</t>
  </si>
  <si>
    <t>KAMIS</t>
  </si>
  <si>
    <t>ربيع الاول</t>
  </si>
  <si>
    <t>JUM'AT</t>
  </si>
  <si>
    <t>ربيع الثانى</t>
  </si>
  <si>
    <t>جماد الاول</t>
  </si>
  <si>
    <t>جماد الثانى</t>
  </si>
  <si>
    <t>رجب</t>
  </si>
  <si>
    <t>شعبان</t>
  </si>
  <si>
    <t>رمضان</t>
  </si>
  <si>
    <t>شوال</t>
  </si>
  <si>
    <t>ذوالقغدة</t>
  </si>
  <si>
    <t>JADWAL HISSOH SAA'H</t>
  </si>
  <si>
    <t>JADWAL TA'DIL AYYAM</t>
  </si>
  <si>
    <t>JADWAL TA'DIL KHOSOH</t>
  </si>
  <si>
    <t>JADWAL TA'DIL MARKAZ</t>
  </si>
  <si>
    <t>0</t>
  </si>
  <si>
    <t>TAHUN KUMPULAN</t>
  </si>
  <si>
    <t>TAHUN SATUAN</t>
  </si>
  <si>
    <t>Jumlah</t>
  </si>
  <si>
    <t>=</t>
  </si>
  <si>
    <t>Tahun</t>
  </si>
  <si>
    <t>Bulan</t>
  </si>
  <si>
    <t>Hissoh</t>
  </si>
  <si>
    <t>Khosoh</t>
  </si>
  <si>
    <t>Wasat</t>
  </si>
  <si>
    <t>Markaz</t>
  </si>
  <si>
    <t>Ta'dil Khosos</t>
  </si>
  <si>
    <t>Ta'dil Khosos (TK)</t>
  </si>
  <si>
    <t>Ta'dil Markaz (TM)</t>
  </si>
  <si>
    <t>Bu'du Goer Muadal</t>
  </si>
  <si>
    <t>Hasil Dorob</t>
  </si>
  <si>
    <t>Ta'dil Syamsi</t>
  </si>
  <si>
    <t>Al Wasat Min Harokat</t>
  </si>
  <si>
    <t>Al Wasat Min Jumlah Harokat</t>
  </si>
  <si>
    <t>Muqowam Syams</t>
  </si>
  <si>
    <t>Yaqoul Ijtima Piburj</t>
  </si>
  <si>
    <t>Hai'hatul Hilal</t>
  </si>
  <si>
    <t>Ta'dil Ayyam</t>
  </si>
  <si>
    <t>Bu'dul Muaddal</t>
  </si>
  <si>
    <t>Thulus Syams</t>
  </si>
  <si>
    <t>Thul Syams</t>
  </si>
  <si>
    <t>Ta'dil Alamah</t>
  </si>
  <si>
    <t>Alamah Muadalah Jakarta</t>
  </si>
  <si>
    <t>Bu'du Goer Muadal (BGM)</t>
  </si>
  <si>
    <t>(HD)</t>
  </si>
  <si>
    <t>Hasil Dorob (HD)</t>
  </si>
  <si>
    <t>Ta'dil Syamsi (TS)</t>
  </si>
  <si>
    <t>Al Wasat</t>
  </si>
  <si>
    <t>Muqowam Syams (MS)</t>
  </si>
  <si>
    <t>Ta'dil Ayyam (TA)</t>
  </si>
  <si>
    <t>Ta'dil Alamah (TA2)</t>
  </si>
  <si>
    <t>Alamah Muadalah Jakarta (AMJ)</t>
  </si>
  <si>
    <t>Alamah Muadalah Bibaladik</t>
  </si>
  <si>
    <t>Yaqoul Ijtima Lailah ?</t>
  </si>
  <si>
    <t>Yaqoul Ijtima Piburj ?</t>
  </si>
  <si>
    <t>Saatul Ijtima Bilgurubiyah</t>
  </si>
  <si>
    <t>Saatul Ijtima Bizzawaliyah</t>
  </si>
  <si>
    <t>Minal Ijtima Ilal Gurub</t>
  </si>
  <si>
    <t>Irtipa Hilal Ba'dal Ijtima</t>
  </si>
  <si>
    <t>Muksul Hilal Pauqol ufuk</t>
  </si>
  <si>
    <t>Muksul Hilal Pauqol ufuq</t>
  </si>
  <si>
    <t>Kamyah Ardl Qomar</t>
  </si>
  <si>
    <t>Qous Nuril Hilal</t>
  </si>
  <si>
    <t>Manzilah Qomar</t>
  </si>
  <si>
    <t>Saah Ijtimah Gurubiyah</t>
  </si>
  <si>
    <t>Lihat Jadwal</t>
  </si>
  <si>
    <t>TK + TM</t>
  </si>
  <si>
    <t>TK + Bu'du goer muadal</t>
  </si>
  <si>
    <t>Bu'du Goer Muaddal × 0.0833</t>
  </si>
  <si>
    <t>(TM + Hasil Dorob)</t>
  </si>
  <si>
    <t>(TK + TM)</t>
  </si>
  <si>
    <t>L</t>
  </si>
  <si>
    <t>Lihat Harokat</t>
  </si>
  <si>
    <t>HAROKAT</t>
  </si>
  <si>
    <t>Ta'dil Wasat (TW)</t>
  </si>
  <si>
    <t>Al Haml</t>
  </si>
  <si>
    <t>Syimal</t>
  </si>
  <si>
    <t>Janub</t>
  </si>
  <si>
    <t>Hai'hatul Hilal Maa Ilatun Ilaa ?</t>
  </si>
  <si>
    <t>Al-Haml</t>
  </si>
  <si>
    <t>As-Tsur</t>
  </si>
  <si>
    <t>Al-Jauza</t>
  </si>
  <si>
    <t xml:space="preserve">As-Sarton  </t>
  </si>
  <si>
    <t>Al-Asad</t>
  </si>
  <si>
    <t>As-Sunbulah</t>
  </si>
  <si>
    <t>Al-Mizan</t>
  </si>
  <si>
    <t>Al-Aqrob</t>
  </si>
  <si>
    <t>Al-Qous</t>
  </si>
  <si>
    <t>Al-Jadyu</t>
  </si>
  <si>
    <t>Ad-Dalwu</t>
  </si>
  <si>
    <t>Al-Hut</t>
  </si>
  <si>
    <t>As-Syimal</t>
  </si>
  <si>
    <t>Al-Janub</t>
  </si>
  <si>
    <t>Wasat - Ta'dil Wasat</t>
  </si>
  <si>
    <t>Wasat - TW</t>
  </si>
  <si>
    <t>BGM -Ta'dil Ayyam</t>
  </si>
  <si>
    <t>MS - Bu'dul Muaddal</t>
  </si>
  <si>
    <t>Hissoh Sa'ah</t>
  </si>
  <si>
    <t>Hissoh Sa'ah (HS)</t>
  </si>
  <si>
    <t>HS * Bu'dul Muaddal</t>
  </si>
  <si>
    <t>Al Alamah</t>
  </si>
  <si>
    <t>Al-Alamah - Ta'dil Alamah</t>
  </si>
  <si>
    <t>Busur Tempat Masing-Masing</t>
  </si>
  <si>
    <t>Selisih Tempat Dengan Jakarta</t>
  </si>
  <si>
    <t>Selisih Waktu Tempat Dengan Jakarta</t>
  </si>
  <si>
    <t>Selisih Waktu Tempat Dengan JKT</t>
  </si>
  <si>
    <t>SW Tempat Dengan JKT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</si>
  <si>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</si>
  <si>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</si>
  <si>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</si>
  <si>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</si>
  <si>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</si>
  <si>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</si>
  <si>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</si>
  <si>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</si>
  <si>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</si>
  <si>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</si>
  <si>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</si>
  <si>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</si>
  <si>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</si>
  <si>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</si>
  <si>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</si>
  <si>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</si>
  <si>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</si>
  <si>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</si>
  <si>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</si>
  <si>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</si>
  <si>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</si>
  <si>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</si>
  <si>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</si>
  <si>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</si>
  <si>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</si>
  <si>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</si>
  <si>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</si>
  <si>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</si>
  <si>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</si>
  <si>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</si>
  <si>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</si>
  <si>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</si>
  <si>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</si>
  <si>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</si>
  <si>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</si>
  <si>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</si>
  <si>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</si>
  <si>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</si>
  <si>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</si>
  <si>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</si>
  <si>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</si>
  <si>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</si>
  <si>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</si>
  <si>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</si>
  <si>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</si>
  <si>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</si>
  <si>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</si>
  <si>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</si>
  <si>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</si>
  <si>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</si>
  <si>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</si>
  <si>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</si>
  <si>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</si>
  <si>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</si>
  <si>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</si>
  <si>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</si>
  <si>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</si>
  <si>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</si>
  <si>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</si>
  <si>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</si>
  <si>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</si>
  <si>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</si>
  <si>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</si>
  <si>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</si>
  <si>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</si>
  <si>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</si>
  <si>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</si>
  <si>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</si>
  <si>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</si>
  <si>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</si>
  <si>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</si>
  <si>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</si>
  <si>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</si>
  <si>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</si>
  <si>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</si>
  <si>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</si>
  <si>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</si>
  <si>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</si>
  <si>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</si>
  <si>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</si>
  <si>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</si>
  <si>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</si>
  <si>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</si>
  <si>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</si>
  <si>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</si>
  <si>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</si>
  <si>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</si>
  <si>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</si>
  <si>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</si>
  <si>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</si>
  <si>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</si>
  <si>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</si>
  <si>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</si>
  <si>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</si>
  <si>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</si>
  <si>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</si>
  <si>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</si>
  <si>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</si>
  <si>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</si>
  <si>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</si>
  <si>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</si>
  <si>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</si>
  <si>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</si>
  <si>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</si>
  <si>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</si>
  <si>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</si>
  <si>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</si>
  <si>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</si>
  <si>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</si>
  <si>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</si>
  <si>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</si>
  <si>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</si>
  <si>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</si>
  <si>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</si>
  <si>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</si>
  <si>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</si>
  <si>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</si>
  <si>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</si>
  <si>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</si>
  <si>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</si>
  <si>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</si>
  <si>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</si>
  <si>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</si>
  <si>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</si>
  <si>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</si>
  <si>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</si>
  <si>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</si>
  <si>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</si>
  <si>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</si>
  <si>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</si>
  <si>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</si>
  <si>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</si>
  <si>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</si>
  <si>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</si>
  <si>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</si>
  <si>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</si>
  <si>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</si>
  <si>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</si>
  <si>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</si>
  <si>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</si>
  <si>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</si>
  <si>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</si>
  <si>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</si>
  <si>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</si>
  <si>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</si>
  <si>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</si>
  <si>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</si>
  <si>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</si>
  <si>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</si>
  <si>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</si>
  <si>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</si>
  <si>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</si>
  <si>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</si>
  <si>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</si>
  <si>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</si>
  <si>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</si>
  <si>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</si>
  <si>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</si>
  <si>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</si>
  <si>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</si>
  <si>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</si>
  <si>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</si>
  <si>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</si>
  <si>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</si>
  <si>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</si>
  <si>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</si>
  <si>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</si>
  <si>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</si>
  <si>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</si>
  <si>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</si>
  <si>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</si>
  <si>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</si>
  <si>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</si>
  <si>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</si>
  <si>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</si>
  <si>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</si>
  <si>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</si>
  <si>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</si>
  <si>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</si>
  <si>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</si>
  <si>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</si>
  <si>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</si>
  <si>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</si>
  <si>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</si>
  <si>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</si>
  <si>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</si>
  <si>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</si>
  <si>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</si>
  <si>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</si>
  <si>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</si>
  <si>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</si>
  <si>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</si>
  <si>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</si>
  <si>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</si>
  <si>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</si>
  <si>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</si>
  <si>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</si>
  <si>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</si>
  <si>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</si>
  <si>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</si>
  <si>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</si>
  <si>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</si>
  <si>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</si>
  <si>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</si>
  <si>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</si>
  <si>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</si>
  <si>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</si>
  <si>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</si>
  <si>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</si>
  <si>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</si>
  <si>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</si>
  <si>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</si>
  <si>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</si>
  <si>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</si>
  <si>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</si>
  <si>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</si>
  <si>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</si>
  <si>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</si>
  <si>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</si>
  <si>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</si>
  <si>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</si>
  <si>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</si>
  <si>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</si>
  <si>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</si>
  <si>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</si>
  <si>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</si>
  <si>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</si>
  <si>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</si>
  <si>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</si>
  <si>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</si>
  <si>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</si>
  <si>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</si>
  <si>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</si>
  <si>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</si>
  <si>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</si>
  <si>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</si>
  <si>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</si>
  <si>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</si>
  <si>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</si>
  <si>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</si>
  <si>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</si>
  <si>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</si>
  <si>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</si>
  <si>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</si>
  <si>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</si>
  <si>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</si>
  <si>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</si>
  <si>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</si>
  <si>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</si>
  <si>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</si>
  <si>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</si>
  <si>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</si>
  <si>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</si>
  <si>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</si>
  <si>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</si>
  <si>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</si>
  <si>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</si>
  <si>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</si>
  <si>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</si>
  <si>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</si>
  <si>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</si>
  <si>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</si>
  <si>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</si>
  <si>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</si>
  <si>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</si>
  <si>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</si>
  <si>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</si>
  <si>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</si>
  <si>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</si>
  <si>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</si>
  <si>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</si>
  <si>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</si>
  <si>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</si>
  <si>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</si>
  <si>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</si>
  <si>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</si>
  <si>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</si>
  <si>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</si>
  <si>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</si>
  <si>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</si>
  <si>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</si>
  <si>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</si>
  <si>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</si>
  <si>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</si>
  <si>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</si>
  <si>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</si>
  <si>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</si>
  <si>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</si>
  <si>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</si>
  <si>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</si>
  <si>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</si>
  <si>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</si>
  <si>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</si>
  <si>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</si>
  <si>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</si>
  <si>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</si>
  <si>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</si>
  <si>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</si>
  <si>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</si>
  <si>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</si>
  <si>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</si>
  <si>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</si>
  <si>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</si>
  <si>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</si>
  <si>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</si>
  <si>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</si>
  <si>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</si>
  <si>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</si>
  <si>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</si>
  <si>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</si>
  <si>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</si>
  <si>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</si>
  <si>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</si>
  <si>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</si>
  <si>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</si>
  <si>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</si>
  <si>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</si>
  <si>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</si>
  <si>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</si>
  <si>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</si>
  <si>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</si>
  <si>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</si>
  <si>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</si>
  <si>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</si>
  <si>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</si>
  <si>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</si>
  <si>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</si>
  <si>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</si>
  <si>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</si>
  <si>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</si>
  <si>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</si>
  <si>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</si>
  <si>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</si>
  <si>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</si>
  <si>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</si>
  <si>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</si>
  <si>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</si>
  <si>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</si>
  <si>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</si>
  <si>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</si>
  <si>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</si>
  <si>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</si>
  <si>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</si>
  <si>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</si>
  <si>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</si>
  <si>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</si>
  <si>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</si>
  <si>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</si>
  <si>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</si>
  <si>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</si>
  <si>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</si>
  <si>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</si>
  <si>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</si>
  <si>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</si>
  <si>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</si>
  <si>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</si>
  <si>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</si>
  <si>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</si>
  <si>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</si>
  <si>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</si>
  <si>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</si>
  <si>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</si>
  <si>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</si>
  <si>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</si>
  <si>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</si>
  <si>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</si>
  <si>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</si>
  <si>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</si>
  <si>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</si>
  <si>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</si>
  <si>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</si>
  <si>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</si>
  <si>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</si>
  <si>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</si>
  <si>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</si>
  <si>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</si>
  <si>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</si>
  <si>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</si>
  <si>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</si>
  <si>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</si>
  <si>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</si>
  <si>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</si>
  <si>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</si>
  <si>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</si>
  <si>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</si>
  <si>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</si>
  <si>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</si>
  <si>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</si>
  <si>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</si>
  <si>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</si>
  <si>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</si>
  <si>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</si>
  <si>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</si>
  <si>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</si>
  <si>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</si>
  <si>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</si>
  <si>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</si>
  <si>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</si>
  <si>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</si>
  <si>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</si>
  <si>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</si>
  <si>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</si>
  <si>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</si>
  <si>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</si>
  <si>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</si>
  <si>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</si>
  <si>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</si>
  <si>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</si>
  <si>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</si>
  <si>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</si>
  <si>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</si>
  <si>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</si>
  <si>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</si>
  <si>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</si>
  <si>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</si>
  <si>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</si>
  <si>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</si>
  <si>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</si>
  <si>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</si>
  <si>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</si>
  <si>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</si>
  <si>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</si>
  <si>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</si>
  <si>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</si>
  <si>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</si>
  <si>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</si>
  <si>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</si>
  <si>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</si>
  <si>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</si>
  <si>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</si>
  <si>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</si>
  <si>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</si>
  <si>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</si>
  <si>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</si>
  <si>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</si>
  <si>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</si>
  <si>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</si>
  <si>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</si>
  <si>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</si>
  <si>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</si>
  <si>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</si>
  <si>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</si>
  <si>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</si>
  <si>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</si>
  <si>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</si>
  <si>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</si>
  <si>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</si>
  <si>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</si>
  <si>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</si>
  <si>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</si>
  <si>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</si>
  <si>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</si>
  <si>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</si>
  <si>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</si>
  <si>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</si>
  <si>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</si>
  <si>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</si>
  <si>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</si>
  <si>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</si>
  <si>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</si>
  <si>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</si>
  <si>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</si>
  <si>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</si>
  <si>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</si>
  <si>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</si>
  <si>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</si>
  <si>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</si>
  <si>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</si>
  <si>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</si>
  <si>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</si>
  <si>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</si>
  <si>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</si>
  <si>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</si>
  <si>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</si>
  <si>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</si>
  <si>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</si>
  <si>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</si>
  <si>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</si>
  <si>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</si>
  <si>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</si>
  <si>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</si>
  <si>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</si>
  <si>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</si>
  <si>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</si>
  <si>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</si>
  <si>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</si>
  <si>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</si>
  <si>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</si>
  <si>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</si>
  <si>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</si>
  <si>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</si>
  <si>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</si>
  <si>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</si>
  <si>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</si>
  <si>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</si>
  <si>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</si>
  <si>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</si>
  <si>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</si>
  <si>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</si>
  <si>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</si>
  <si>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</si>
  <si>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</si>
  <si>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</si>
  <si>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</si>
  <si>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</si>
  <si>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</si>
  <si>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</si>
  <si>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</si>
  <si>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</si>
  <si>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</si>
  <si>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</si>
  <si>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</si>
  <si>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</si>
  <si>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</si>
  <si>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</si>
  <si>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</si>
  <si>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</si>
  <si>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</si>
  <si>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</si>
  <si>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</si>
  <si>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</si>
  <si>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</si>
  <si>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</si>
  <si>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</si>
  <si>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</si>
  <si>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</si>
  <si>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</si>
  <si>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</si>
  <si>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</si>
  <si>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</si>
  <si>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</si>
  <si>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</si>
  <si>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</si>
  <si>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</si>
  <si>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</si>
  <si>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</si>
  <si>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</si>
  <si>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</si>
  <si>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</si>
  <si>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</si>
  <si>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</si>
  <si>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</si>
  <si>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</si>
  <si>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</si>
  <si>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</si>
  <si>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</si>
  <si>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</si>
  <si>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</si>
  <si>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</si>
  <si>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</si>
  <si>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</si>
  <si>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</si>
  <si>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</si>
  <si>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</si>
  <si>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</si>
  <si>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</si>
  <si>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</si>
  <si>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</si>
  <si>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</si>
  <si>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</si>
  <si>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</si>
  <si>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</si>
  <si>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</si>
  <si>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</si>
  <si>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</si>
  <si>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</si>
  <si>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</si>
  <si>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</si>
  <si>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</si>
  <si>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</si>
  <si>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</si>
  <si>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</si>
  <si>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</si>
  <si>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</si>
  <si>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</si>
  <si>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</si>
  <si>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</si>
  <si>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</si>
  <si>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</si>
  <si>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</si>
  <si>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</si>
  <si>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</si>
  <si>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</si>
  <si>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</si>
  <si>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</si>
  <si>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</si>
  <si>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</si>
  <si>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</si>
  <si>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</si>
  <si>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</si>
  <si>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</si>
  <si>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</si>
  <si>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</si>
  <si>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</si>
  <si>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</si>
  <si>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</si>
  <si>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</si>
  <si>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</si>
  <si>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</si>
  <si>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</si>
  <si>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</si>
  <si>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</si>
  <si>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</si>
  <si>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</si>
  <si>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</si>
  <si>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</si>
  <si>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</si>
  <si>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</si>
  <si>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</si>
  <si>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</si>
  <si>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</si>
  <si>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</si>
  <si>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</si>
  <si>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</si>
  <si>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</si>
  <si>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</si>
  <si>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</si>
  <si>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</si>
  <si>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</si>
  <si>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</si>
  <si>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</si>
  <si>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</si>
  <si>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</si>
  <si>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</si>
  <si>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</si>
  <si>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</si>
  <si>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</si>
  <si>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</si>
  <si>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</si>
  <si>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</si>
  <si>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</si>
  <si>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</si>
  <si>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</si>
  <si>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</si>
  <si>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</si>
  <si>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</si>
  <si>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</si>
  <si>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</si>
  <si>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</si>
  <si>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</si>
  <si>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</si>
  <si>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</si>
  <si>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</si>
  <si>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</si>
  <si>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</si>
  <si>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</si>
  <si>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</si>
  <si>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</si>
  <si>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</si>
  <si>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</si>
  <si>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</si>
  <si>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</si>
  <si>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</si>
  <si>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</si>
  <si>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</si>
  <si>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</si>
  <si>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</si>
  <si>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</si>
  <si>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</si>
  <si>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</si>
  <si>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</si>
  <si>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</si>
  <si>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</si>
  <si>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</si>
  <si>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</si>
  <si>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</si>
  <si>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</si>
  <si>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</si>
  <si>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</si>
  <si>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</si>
  <si>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</si>
  <si>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</si>
  <si>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</si>
  <si>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</si>
  <si>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</si>
  <si>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</si>
  <si>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</si>
  <si>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</si>
  <si>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</si>
  <si>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</si>
  <si>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</si>
  <si>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</si>
  <si>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</si>
  <si>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</si>
  <si>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</si>
  <si>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</si>
  <si>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</si>
  <si>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</si>
  <si>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</si>
  <si>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</si>
  <si>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</si>
  <si>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</si>
  <si>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</si>
  <si>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</si>
  <si>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</si>
  <si>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</si>
  <si>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</si>
  <si>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</si>
  <si>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</si>
  <si>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</si>
  <si>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</si>
  <si>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</si>
  <si>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</si>
  <si>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</si>
  <si>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</si>
  <si>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</si>
  <si>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</si>
  <si>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</si>
  <si>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</si>
  <si>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</si>
  <si>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</si>
  <si>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</si>
  <si>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</si>
  <si>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</si>
  <si>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</si>
  <si>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</si>
  <si>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</si>
  <si>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</si>
  <si>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</si>
  <si>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</si>
  <si>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</si>
  <si>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</si>
  <si>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</si>
  <si>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</si>
  <si>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</si>
  <si>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</si>
  <si>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</si>
  <si>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</si>
  <si>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</si>
  <si>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</si>
  <si>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</si>
  <si>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</si>
  <si>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</si>
  <si>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</si>
  <si>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</si>
  <si>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</si>
  <si>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</si>
  <si>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</si>
  <si>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</si>
  <si>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</si>
  <si>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</si>
  <si>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</si>
  <si>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</si>
  <si>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</si>
  <si>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</si>
  <si>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</si>
  <si>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</si>
  <si>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</si>
  <si>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</si>
  <si>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</si>
  <si>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</si>
  <si>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</si>
  <si>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</si>
  <si>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</si>
  <si>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</si>
  <si>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</si>
  <si>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</si>
  <si>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</si>
  <si>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</si>
  <si>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</si>
  <si>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</si>
  <si>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</si>
  <si>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</si>
  <si>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</si>
  <si>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</si>
  <si>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</si>
  <si>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</si>
  <si>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</si>
  <si>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</si>
  <si>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</si>
  <si>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</si>
  <si>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</si>
  <si>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</si>
  <si>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</si>
  <si>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</si>
  <si>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</si>
  <si>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</si>
  <si>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</si>
  <si>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</si>
  <si>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</si>
  <si>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</si>
  <si>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</si>
  <si>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</si>
  <si>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</si>
  <si>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</si>
  <si>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</si>
  <si>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</si>
  <si>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</si>
  <si>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</si>
  <si>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</si>
  <si>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</si>
  <si>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</si>
  <si>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</si>
  <si>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</si>
  <si>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</si>
  <si>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</si>
  <si>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</si>
  <si>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</si>
  <si>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</si>
  <si>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</si>
  <si>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</si>
  <si>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</si>
  <si>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</si>
  <si>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</si>
  <si>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</si>
  <si>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</si>
  <si>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</si>
  <si>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</si>
  <si>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</si>
  <si>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</si>
  <si>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</si>
  <si>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</si>
  <si>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</si>
  <si>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</si>
  <si>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</si>
  <si>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</si>
  <si>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</si>
  <si>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</si>
  <si>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</si>
  <si>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</si>
  <si>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</si>
  <si>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</si>
  <si>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</si>
  <si>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</si>
  <si>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</si>
  <si>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</si>
  <si>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</si>
  <si>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</si>
  <si>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</si>
  <si>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</si>
  <si>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</si>
  <si>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</si>
  <si>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</si>
  <si>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</si>
  <si>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</si>
  <si>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</si>
  <si>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</si>
  <si>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</si>
  <si>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</si>
  <si>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</si>
  <si>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</si>
  <si>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</si>
  <si>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</si>
  <si>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</si>
  <si>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</si>
  <si>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</si>
  <si>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</si>
  <si>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</si>
  <si>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</si>
  <si>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</si>
  <si>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</si>
  <si>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</si>
  <si>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</si>
  <si>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</si>
  <si>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</si>
  <si>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</si>
  <si>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</si>
  <si>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</si>
  <si>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</si>
  <si>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</si>
  <si>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</si>
  <si>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</si>
  <si>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</si>
  <si>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</si>
  <si>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</si>
  <si>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</si>
  <si>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</si>
  <si>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</si>
  <si>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</si>
  <si>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</si>
  <si>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</si>
  <si>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</si>
  <si>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</si>
  <si>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</si>
  <si>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</si>
  <si>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</si>
  <si>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</si>
  <si>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</si>
  <si>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</si>
  <si>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</si>
  <si>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</si>
  <si>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</si>
  <si>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</si>
  <si>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</si>
  <si>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</si>
  <si>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</si>
  <si>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</si>
  <si>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</si>
  <si>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</si>
  <si>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</si>
  <si>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</si>
  <si>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</si>
  <si>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</si>
  <si>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</si>
  <si>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</si>
  <si>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</si>
  <si>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</si>
  <si>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</si>
  <si>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</si>
  <si>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</si>
  <si>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</si>
  <si>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</si>
  <si>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</si>
  <si>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</si>
  <si>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</si>
  <si>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</si>
  <si>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</si>
  <si>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</si>
  <si>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</si>
  <si>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</si>
  <si>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</si>
  <si>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</si>
  <si>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</si>
  <si>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</si>
  <si>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</si>
  <si>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</si>
  <si>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</si>
  <si>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</si>
  <si>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</si>
  <si>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</si>
  <si>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</si>
  <si>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</si>
  <si>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</si>
  <si>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</si>
  <si>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</si>
  <si>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</si>
  <si>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</si>
  <si>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</si>
  <si>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</si>
  <si>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</si>
  <si>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</si>
  <si>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</si>
  <si>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</si>
  <si>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</si>
  <si>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</si>
  <si>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</si>
  <si>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</si>
  <si>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</si>
  <si>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</si>
  <si>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</si>
  <si>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</si>
  <si>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</si>
  <si>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</si>
  <si>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</si>
  <si>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</si>
  <si>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</si>
  <si>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</si>
  <si>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</si>
  <si>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</si>
  <si>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</si>
  <si>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</si>
  <si>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</si>
  <si>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</si>
  <si>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</si>
  <si>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</si>
  <si>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</si>
  <si>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</si>
  <si>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</si>
  <si>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</si>
  <si>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</si>
  <si>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</si>
  <si>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</si>
  <si>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</si>
  <si>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</si>
  <si>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</si>
  <si>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</si>
  <si>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</si>
  <si>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</si>
  <si>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</si>
  <si>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</si>
  <si>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</si>
  <si>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</si>
  <si>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</si>
  <si>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</si>
  <si>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</si>
  <si>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</si>
  <si>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</si>
  <si>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</si>
  <si>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</si>
  <si>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</si>
  <si>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</si>
  <si>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</si>
  <si>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</si>
  <si>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</si>
  <si>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</si>
  <si>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</si>
  <si>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</si>
  <si>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</si>
  <si>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</si>
  <si>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</si>
  <si>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</si>
  <si>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</si>
  <si>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</si>
  <si>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</si>
  <si>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</si>
  <si>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</si>
  <si>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</si>
  <si>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</si>
  <si>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</si>
  <si>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</si>
  <si>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</si>
  <si>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</si>
  <si>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</si>
  <si>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</si>
  <si>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</si>
  <si>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</si>
  <si>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</si>
  <si>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</si>
  <si>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</si>
  <si>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</si>
  <si>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</si>
  <si>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</si>
  <si>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</si>
  <si>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</si>
  <si>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</si>
  <si>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</si>
  <si>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</si>
  <si>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</si>
  <si>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</si>
  <si>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</si>
  <si>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</si>
  <si>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</si>
  <si>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</si>
  <si>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</si>
  <si>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</si>
  <si>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</si>
  <si>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</si>
  <si>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</si>
  <si>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</si>
  <si>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</si>
  <si>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</si>
  <si>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</si>
  <si>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</si>
  <si>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</si>
  <si>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</si>
  <si>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</si>
  <si>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</si>
  <si>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</si>
  <si>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</si>
  <si>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</si>
  <si>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</si>
  <si>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</si>
  <si>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</si>
  <si>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</si>
  <si>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</si>
  <si>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</si>
  <si>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</si>
  <si>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</si>
  <si>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</si>
  <si>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</si>
  <si>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</si>
  <si>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</si>
  <si>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</si>
  <si>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</si>
  <si>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</si>
  <si>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</si>
  <si>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</si>
  <si>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</si>
  <si>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</si>
  <si>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</si>
  <si>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</si>
  <si>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</si>
  <si>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</si>
  <si>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</si>
  <si>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</si>
  <si>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</si>
  <si>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</si>
  <si>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</si>
  <si>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</si>
  <si>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</si>
  <si>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</si>
  <si>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</si>
  <si>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</si>
  <si>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</si>
  <si>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</si>
  <si>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</si>
  <si>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</si>
  <si>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</si>
  <si>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</si>
  <si>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</si>
  <si>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</si>
  <si>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</si>
  <si>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</si>
  <si>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</si>
  <si>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</si>
  <si>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</si>
  <si>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</si>
  <si>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</si>
  <si>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</si>
  <si>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</si>
  <si>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</si>
  <si>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</si>
  <si>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</si>
  <si>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</si>
  <si>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</si>
  <si>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</si>
  <si>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</si>
  <si>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</si>
  <si>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</si>
  <si>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</si>
  <si>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</si>
  <si>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</si>
  <si>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</si>
  <si>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</si>
  <si>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</si>
  <si>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</si>
  <si>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</si>
  <si>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</si>
  <si>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</si>
  <si>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</si>
  <si>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</si>
  <si>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</si>
  <si>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</si>
  <si>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</si>
  <si>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</si>
  <si>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</si>
  <si>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</si>
  <si>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</si>
  <si>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</si>
  <si>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</si>
  <si>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</si>
  <si>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</si>
  <si>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</si>
  <si>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</si>
  <si>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</si>
  <si>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</si>
  <si>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</si>
  <si>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</si>
  <si>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</si>
  <si>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</si>
  <si>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</si>
  <si>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</si>
  <si>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</si>
  <si>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</si>
  <si>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</si>
  <si>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</si>
  <si>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</si>
  <si>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</si>
  <si>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</si>
  <si>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</si>
  <si>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</si>
  <si>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</si>
  <si>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</si>
  <si>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</si>
  <si>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</si>
  <si>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</si>
  <si>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</si>
  <si>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</si>
  <si>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</si>
  <si>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</si>
  <si>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</si>
  <si>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</si>
  <si>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</si>
  <si>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</si>
  <si>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</si>
  <si>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</si>
  <si>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</si>
  <si>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</si>
  <si>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</si>
  <si>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</si>
  <si>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</si>
  <si>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</si>
  <si>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</si>
  <si>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</si>
  <si>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</si>
  <si>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</si>
  <si>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</si>
  <si>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</si>
  <si>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</si>
  <si>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</si>
  <si>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</si>
  <si>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</si>
  <si>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</si>
  <si>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</si>
  <si>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</si>
  <si>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</si>
  <si>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</si>
  <si>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</si>
  <si>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</si>
  <si>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</si>
  <si>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</si>
  <si>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</si>
  <si>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</si>
  <si>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</si>
  <si>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</si>
  <si>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</si>
  <si>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</si>
  <si>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</si>
  <si>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</si>
  <si>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</si>
  <si>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</si>
  <si>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</si>
  <si>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</si>
  <si>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</si>
  <si>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</si>
  <si>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</si>
  <si>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</si>
  <si>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</si>
  <si>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</si>
  <si>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</si>
  <si>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</si>
  <si>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</si>
  <si>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</si>
  <si>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</si>
  <si>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</si>
  <si>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</si>
  <si>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</si>
  <si>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</si>
  <si>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</si>
  <si>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</si>
  <si>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</si>
  <si>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</si>
  <si>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</si>
  <si>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</si>
  <si>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</si>
  <si>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</si>
  <si>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</si>
  <si>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</si>
  <si>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</si>
  <si>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</si>
  <si>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</si>
  <si>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</si>
  <si>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</si>
  <si>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</si>
  <si>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</si>
  <si>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</si>
  <si>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</si>
  <si>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</si>
  <si>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</si>
  <si>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</si>
  <si>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</si>
  <si>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</si>
  <si>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</si>
  <si>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</si>
  <si>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</si>
  <si>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</si>
  <si>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</si>
  <si>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</si>
  <si>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</si>
  <si>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</si>
  <si>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</si>
  <si>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</si>
  <si>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</si>
  <si>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</si>
  <si>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</si>
  <si>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</si>
  <si>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</si>
  <si>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</si>
  <si>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</si>
  <si>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</si>
  <si>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</si>
  <si>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</si>
  <si>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</si>
  <si>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</si>
  <si>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</si>
  <si>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</si>
  <si>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</si>
  <si>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</si>
  <si>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</si>
  <si>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</si>
  <si>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</si>
  <si>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</si>
  <si>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</si>
  <si>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</si>
  <si>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</si>
  <si>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</si>
  <si>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</si>
  <si>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</si>
  <si>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</si>
  <si>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</si>
  <si>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</si>
  <si>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</si>
  <si>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</si>
  <si>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</si>
  <si>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</si>
  <si>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</si>
  <si>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</si>
  <si>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</si>
  <si>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</si>
  <si>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</si>
  <si>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</si>
  <si>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</si>
  <si>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</si>
  <si>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</si>
  <si>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</si>
  <si>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</si>
  <si>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</si>
  <si>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</si>
  <si>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</si>
  <si>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</si>
  <si>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</si>
  <si>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</si>
  <si>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</si>
  <si>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</si>
  <si>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</si>
  <si>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</si>
  <si>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</si>
  <si>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</si>
  <si>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</si>
  <si>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</si>
  <si>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</si>
  <si>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</si>
  <si>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</si>
  <si>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</si>
  <si>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</si>
  <si>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</si>
  <si>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</si>
  <si>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</si>
  <si>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</si>
  <si>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</si>
  <si>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</si>
  <si>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</si>
  <si>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</si>
  <si>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</si>
  <si>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</si>
  <si>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</si>
  <si>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</si>
  <si>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</si>
  <si>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</si>
  <si>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</si>
  <si>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</si>
  <si>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</si>
  <si>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</si>
  <si>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</si>
  <si>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</si>
  <si>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</si>
  <si>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</si>
  <si>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</si>
  <si>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</si>
  <si>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</si>
  <si>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</si>
  <si>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</si>
  <si>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</si>
  <si>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</si>
  <si>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</si>
  <si>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</si>
  <si>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</si>
  <si>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</si>
  <si>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</si>
  <si>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</si>
  <si>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</si>
  <si>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</si>
  <si>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</si>
  <si>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</si>
  <si>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</si>
  <si>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</si>
  <si>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</si>
  <si>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</si>
  <si>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</si>
  <si>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</si>
  <si>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</si>
  <si>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</si>
  <si>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</si>
  <si>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</si>
  <si>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</si>
  <si>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</si>
  <si>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</si>
  <si>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</si>
  <si>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</si>
  <si>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</si>
  <si>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</si>
  <si>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</si>
  <si>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</si>
  <si>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</si>
  <si>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</si>
  <si>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</si>
  <si>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</si>
  <si>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</si>
  <si>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</si>
  <si>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</si>
  <si>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</si>
  <si>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</si>
  <si>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</si>
  <si>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</si>
  <si>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</si>
  <si>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</si>
  <si>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</si>
  <si>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</si>
  <si>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</si>
  <si>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</si>
  <si>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</si>
  <si>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</si>
  <si>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</si>
  <si>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</si>
  <si>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</si>
  <si>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</si>
  <si>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</si>
  <si>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</si>
  <si>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</si>
  <si>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</si>
  <si>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</si>
  <si>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</si>
  <si>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</si>
  <si>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</si>
  <si>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</si>
  <si>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</si>
  <si>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</si>
  <si>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</si>
  <si>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</si>
  <si>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</si>
  <si>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</si>
  <si>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</si>
  <si>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</si>
  <si>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</si>
  <si>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</si>
  <si>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</si>
  <si>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</si>
  <si>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</si>
  <si>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</si>
  <si>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</si>
  <si>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</si>
  <si>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</si>
  <si>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</si>
  <si>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</si>
  <si>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</si>
  <si>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</si>
  <si>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</si>
  <si>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</si>
  <si>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</si>
  <si>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</si>
  <si>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</si>
  <si>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</si>
  <si>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</si>
  <si>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</si>
  <si>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</si>
  <si>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</si>
  <si>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</si>
  <si>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</si>
  <si>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</si>
  <si>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</si>
  <si>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</si>
  <si>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</si>
  <si>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</si>
  <si>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</si>
  <si>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</si>
  <si>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</si>
  <si>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</si>
  <si>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</si>
  <si>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</si>
  <si>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</si>
  <si>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</si>
  <si>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</si>
  <si>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</si>
  <si>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</si>
  <si>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</si>
  <si>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</si>
  <si>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</si>
  <si>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</si>
  <si>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</si>
  <si>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</si>
  <si>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</si>
  <si>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</si>
  <si>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</si>
  <si>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</si>
  <si>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</si>
  <si>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</si>
  <si>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</si>
  <si>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</si>
  <si>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</si>
  <si>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</si>
  <si>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</si>
  <si>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</si>
  <si>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</si>
  <si>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</si>
  <si>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</si>
  <si>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</si>
  <si>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</si>
  <si>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</si>
  <si>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</si>
  <si>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</si>
  <si>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</si>
  <si>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</si>
  <si>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</si>
  <si>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</si>
  <si>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</si>
  <si>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</si>
  <si>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</si>
  <si>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</si>
  <si>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</si>
  <si>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</si>
  <si>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</si>
  <si>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</si>
  <si>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</si>
  <si>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</si>
  <si>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</si>
  <si>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</si>
  <si>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</si>
  <si>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</si>
  <si>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</si>
  <si>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</si>
  <si>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</si>
  <si>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</si>
  <si>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</si>
  <si>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</si>
  <si>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</si>
  <si>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</si>
  <si>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</si>
  <si>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</si>
  <si>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</si>
  <si>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</si>
  <si>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</si>
  <si>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</si>
  <si>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</si>
  <si>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</si>
  <si>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</si>
  <si>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</si>
  <si>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</si>
  <si>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</si>
  <si>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</si>
  <si>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</si>
  <si>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</si>
  <si>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</si>
  <si>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</si>
  <si>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</si>
  <si>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</si>
  <si>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</si>
  <si>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</si>
  <si>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</si>
  <si>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</si>
  <si>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</si>
  <si>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</si>
  <si>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</si>
  <si>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</si>
  <si>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</si>
  <si>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</si>
  <si>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</si>
  <si>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</si>
  <si>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</si>
  <si>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</si>
  <si>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</si>
  <si>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</si>
  <si>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</si>
  <si>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</si>
  <si>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</si>
  <si>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</si>
  <si>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</si>
  <si>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</si>
  <si>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</si>
  <si>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</si>
  <si>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</si>
  <si>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</si>
  <si>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</si>
  <si>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</si>
  <si>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</si>
  <si>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</si>
  <si>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</si>
  <si>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</si>
  <si>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</si>
  <si>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</si>
  <si>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</si>
  <si>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</si>
  <si>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</si>
  <si>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</si>
  <si>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</si>
  <si>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</si>
  <si>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</si>
  <si>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</si>
  <si>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</si>
  <si>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</si>
  <si>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</si>
  <si>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</si>
  <si>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</si>
  <si>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</si>
  <si>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</si>
  <si>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</si>
  <si>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</si>
  <si>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</si>
  <si>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</si>
  <si>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</si>
  <si>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</si>
  <si>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</si>
  <si>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</si>
  <si>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</si>
  <si>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</si>
  <si>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</si>
  <si>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</si>
  <si>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</si>
  <si>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</si>
  <si>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</si>
  <si>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</si>
  <si>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</si>
  <si>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</si>
  <si>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</si>
  <si>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</si>
  <si>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</si>
  <si>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</si>
  <si>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</si>
  <si>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</si>
  <si>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</si>
  <si>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</si>
  <si>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</si>
  <si>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</si>
  <si>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</si>
  <si>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</si>
  <si>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</si>
  <si>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</si>
  <si>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</si>
  <si>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</si>
  <si>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</si>
  <si>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</si>
  <si>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</si>
  <si>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</si>
  <si>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</si>
  <si>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</si>
  <si>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</si>
  <si>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</si>
  <si>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</si>
  <si>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</si>
  <si>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</si>
  <si>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</si>
  <si>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</si>
  <si>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</si>
  <si>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</si>
  <si>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t>ABS(AMJ-BTM)/15</t>
  </si>
  <si>
    <t>Alamah Muadalah Jakarta AMJ</t>
  </si>
  <si>
    <t>SWT Dengan JKT</t>
  </si>
  <si>
    <t>AMJ(-/÷) SWT</t>
  </si>
  <si>
    <t>AMJ (-/+) SWT</t>
  </si>
  <si>
    <t>AMJ (-/+) SWT ÷15</t>
  </si>
  <si>
    <t>Cianjur</t>
  </si>
  <si>
    <t>tangerang</t>
  </si>
  <si>
    <t>jakarta</t>
  </si>
  <si>
    <t>jakarta timur</t>
  </si>
  <si>
    <t>jakarta selatan</t>
  </si>
  <si>
    <t>bogor</t>
  </si>
  <si>
    <t>aceh</t>
  </si>
  <si>
    <t>aceh selatan</t>
  </si>
  <si>
    <t>aceh timur</t>
  </si>
  <si>
    <t>sumtra utara</t>
  </si>
  <si>
    <t>nias</t>
  </si>
  <si>
    <t>samosir</t>
  </si>
  <si>
    <t>pacitan</t>
  </si>
  <si>
    <t>boyolali</t>
  </si>
  <si>
    <t>asmat</t>
  </si>
  <si>
    <t>AMJ + SWT (bil ihtiyath)</t>
  </si>
  <si>
    <t>AMJ + SWT + 1 (bit - tatbiq)</t>
  </si>
  <si>
    <t>cianjur</t>
  </si>
  <si>
    <t>As-Sabt</t>
  </si>
  <si>
    <t>Al-Ahad</t>
  </si>
  <si>
    <t>Al-Isnaien</t>
  </si>
  <si>
    <t>As-stalasa</t>
  </si>
  <si>
    <t>As-Stalasa</t>
  </si>
  <si>
    <t>Al-Arbaa</t>
  </si>
  <si>
    <t>Al-Khomis</t>
  </si>
  <si>
    <t>Al-Jumah</t>
  </si>
  <si>
    <t>Al-Sabt</t>
  </si>
  <si>
    <t>ABS (AMJ-BTM)/15</t>
  </si>
  <si>
    <t xml:space="preserve">(INT(INT, </t>
  </si>
  <si>
    <t>Alamah Muadalah Bibaladik (AMB)</t>
  </si>
  <si>
    <t>(INT(INT, AMB)/24</t>
  </si>
  <si>
    <t>(ABS (AMJ-BTM)/15)</t>
  </si>
  <si>
    <t>Harkat Khosoh</t>
  </si>
  <si>
    <t>VLOOKUP(jadwal,2) (INT(INT, AMB)/24</t>
  </si>
  <si>
    <t>VLOOKUP(J,2) (INT(INT, AMB)/24</t>
  </si>
  <si>
    <t>VLOOKUP(J,2) INT(INT(AMB)/24)</t>
  </si>
  <si>
    <t>VLOOKUP(J,2) | INT(INT(AMB)/24)</t>
  </si>
  <si>
    <t>Lihat Jadwal| INT(INT(AMB)/24)</t>
  </si>
  <si>
    <t>Saah Ijtima Zawaliyah</t>
  </si>
  <si>
    <t>Utara</t>
  </si>
  <si>
    <t>Selatan</t>
  </si>
  <si>
    <t>Sabtu</t>
  </si>
  <si>
    <t>Minggu</t>
  </si>
  <si>
    <t>Senin</t>
  </si>
  <si>
    <t>Selasa</t>
  </si>
  <si>
    <t>Rabu</t>
  </si>
  <si>
    <t>Kamis</t>
  </si>
  <si>
    <t>Jumat</t>
  </si>
  <si>
    <t>Muharom</t>
  </si>
  <si>
    <t>Sopar</t>
  </si>
  <si>
    <t>Robiul-Awal</t>
  </si>
  <si>
    <t>Robiust-Stani</t>
  </si>
  <si>
    <t>Jumadil Awal</t>
  </si>
  <si>
    <t>Jumadist-Stani</t>
  </si>
  <si>
    <t>Rojab</t>
  </si>
  <si>
    <t>Sya'ban</t>
  </si>
  <si>
    <t>Romadhon</t>
  </si>
  <si>
    <t>Syawal</t>
  </si>
  <si>
    <t>Dzul Hijjah</t>
  </si>
  <si>
    <t>Dzul Qo'dah</t>
  </si>
  <si>
    <t>Robiul Awal</t>
  </si>
  <si>
    <t>Robiust Stani</t>
  </si>
  <si>
    <t>MOD/24</t>
  </si>
  <si>
    <t>MOD(AMB/24)</t>
  </si>
  <si>
    <t>MOD (AMB/24)</t>
  </si>
  <si>
    <t>GURUB + JIG</t>
  </si>
  <si>
    <t>Saah Ijtimah Gurubiyah (SIG)</t>
  </si>
  <si>
    <t>Saah Ijtima Zawaliyah (SIZ)</t>
  </si>
  <si>
    <t>24 - SIG</t>
  </si>
  <si>
    <t>M</t>
  </si>
  <si>
    <t>MIIG /2</t>
  </si>
  <si>
    <t>MIG /2</t>
  </si>
  <si>
    <t>IH * 0.0667</t>
  </si>
  <si>
    <t>IH + Kamyah Ardl Qomar</t>
  </si>
  <si>
    <t>Tangerang</t>
  </si>
  <si>
    <t>Aceh Timur</t>
  </si>
  <si>
    <t>Aceh Selatan</t>
  </si>
  <si>
    <t>purwakarta</t>
  </si>
  <si>
    <t>KESIMPULAN</t>
  </si>
  <si>
    <t>Ijtima Terjadi Pada:</t>
  </si>
  <si>
    <t>Jam Munculnya Hilal:</t>
  </si>
  <si>
    <t>Ketinggian Hilal Setelah Magrib</t>
  </si>
  <si>
    <t>Irtipa Hilal Ba'dal Gurub</t>
  </si>
  <si>
    <t>Jam Munculnya Hilal Dari Magrib</t>
  </si>
  <si>
    <t>Jarak Waktu Dari Ijtima Sampai Magrib</t>
  </si>
  <si>
    <t>Lama Hilal Di Atas Ufuk</t>
  </si>
  <si>
    <t>Kebesaran Cahaya Hilal Setelah Magrib</t>
  </si>
  <si>
    <t>Awal Bulan</t>
  </si>
  <si>
    <t>Hijriyah</t>
  </si>
  <si>
    <t>Hijriah</t>
  </si>
  <si>
    <t>Jatuh Pada:</t>
  </si>
  <si>
    <t>Jam Munculnya Hilal Dari Magrib:</t>
  </si>
  <si>
    <t>Jarak Waktu Dari Ijtima Sampai Magrib:</t>
  </si>
  <si>
    <t>Ketinggian Hilal Setelah Magrib:</t>
  </si>
  <si>
    <t>Lama Hilal Di Atas Ufuk:</t>
  </si>
  <si>
    <t>Kebesaran Cahaya Hilal Setelah Magrib:</t>
  </si>
  <si>
    <t>Awal Bulan:</t>
  </si>
  <si>
    <t>Ahad</t>
  </si>
  <si>
    <t>Jum'at</t>
  </si>
  <si>
    <t>(E6-MOD(,24))/24</t>
  </si>
  <si>
    <t>Batas Ukur</t>
  </si>
  <si>
    <t>168 Jam</t>
  </si>
  <si>
    <t>360 Derajat</t>
  </si>
  <si>
    <t>360 Djt</t>
  </si>
  <si>
    <t>168 Jam/mng</t>
  </si>
  <si>
    <t>168 Jam/M</t>
  </si>
  <si>
    <t>Nama</t>
  </si>
  <si>
    <t>Keterangan</t>
  </si>
  <si>
    <t>Decimal</t>
  </si>
  <si>
    <t>Hh/Mm/Ss</t>
  </si>
  <si>
    <t>j/b</t>
  </si>
  <si>
    <t>jb</t>
  </si>
  <si>
    <t>h/b</t>
  </si>
  <si>
    <t>h/b   b/j:mm:ss</t>
  </si>
  <si>
    <t>Disusun Oleh Alfaqier, Abdul Ghofur Bin Syamsuddin</t>
  </si>
  <si>
    <t>PERHITUNGAN TAHUN MASEHI</t>
  </si>
  <si>
    <t>Ket 1</t>
  </si>
  <si>
    <t>H1</t>
  </si>
  <si>
    <t>Ket 2</t>
  </si>
  <si>
    <t>H2</t>
  </si>
  <si>
    <t>Ket 3</t>
  </si>
  <si>
    <t>H3</t>
  </si>
  <si>
    <t>Ket 4</t>
  </si>
  <si>
    <t>H4</t>
  </si>
  <si>
    <t>Tahun Tam</t>
  </si>
  <si>
    <t>INT(data H1/400)*7</t>
  </si>
  <si>
    <t>INT(data/400)*2</t>
  </si>
  <si>
    <t>MOD(T.M /400)</t>
  </si>
  <si>
    <t>Tidak Bisa Dibagi</t>
  </si>
  <si>
    <t>MOD(DATA/400)</t>
  </si>
  <si>
    <t>INT(data/100)*5</t>
  </si>
  <si>
    <t>INT(data/100)*4</t>
  </si>
  <si>
    <t>MOD(T.M/100)</t>
  </si>
  <si>
    <t>MOD(data/100)</t>
  </si>
  <si>
    <t>INT(data/4)*5</t>
  </si>
  <si>
    <t>INT(data/4)*1</t>
  </si>
  <si>
    <t>MOD(T.M/4)</t>
  </si>
  <si>
    <t>MOD(DATA/4)</t>
  </si>
  <si>
    <t>data H1+2</t>
  </si>
  <si>
    <t>data H1*5</t>
  </si>
  <si>
    <t>SUM(date-date H2)</t>
  </si>
  <si>
    <t>SUM(data-date H3)</t>
  </si>
  <si>
    <t>MOD(H2/7)</t>
  </si>
  <si>
    <t xml:space="preserve">   Awal Masuk Tahun Masehi :</t>
  </si>
  <si>
    <t xml:space="preserve">   Jatuh Pada Hari :</t>
  </si>
  <si>
    <t>Pon</t>
  </si>
  <si>
    <t>Tahun Kabisah/Basitoh?</t>
  </si>
  <si>
    <t>Tahun Basitoh</t>
  </si>
  <si>
    <t>JADWAL US HARI</t>
  </si>
  <si>
    <t>minggu</t>
  </si>
  <si>
    <t>JADWAL US BULAN</t>
  </si>
  <si>
    <t>Wage</t>
  </si>
  <si>
    <t>Kliwon</t>
  </si>
  <si>
    <t>Legi</t>
  </si>
  <si>
    <t>Pahing</t>
  </si>
  <si>
    <t>US</t>
  </si>
  <si>
    <t>HANAS</t>
  </si>
  <si>
    <t>HARI NASIONAL</t>
  </si>
  <si>
    <t>HAPAS</t>
  </si>
  <si>
    <t>HARI PASARAN</t>
  </si>
  <si>
    <t>JUMLAH HARI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</si>
  <si>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</si>
  <si>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</si>
  <si>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</si>
  <si>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</si>
  <si>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</si>
  <si>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</si>
  <si>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</si>
  <si>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</si>
  <si>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</si>
  <si>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</si>
  <si>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</si>
  <si>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</si>
  <si>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NB; Bumi memerlukan waktu sekitar 365 hari dan enam jam untuk mengorbit Matahari.</t>
  </si>
  <si>
    <t xml:space="preserve">     Bumi membutuhkan waktu sekitar 24 jam atau satu hari untuk berputar pada porosnya.</t>
  </si>
  <si>
    <t xml:space="preserve">     Di mana dalam proses pergerakan Bumi terhadap Matahari, tidak memiliki hari yang pasti.</t>
  </si>
  <si>
    <t xml:space="preserve">     Inilah penyebab mengapa sebagian besar tahun dalam kalender Masehi dibulatkan menjadi 365 hari.</t>
  </si>
  <si>
    <t xml:space="preserve">     Jika ini diremehkan, urutan hari setiap satu tahun menjadi tidak konsisten dan akan berkurang satu hari setiap 4 tahun sekali</t>
  </si>
  <si>
    <t xml:space="preserve">     Maka karna itulah di tentukannya tahun kabisah (tahun yang berjumalah 366 hari) dan tahun basitoh (tahun yang berjumalah 365 hari)</t>
  </si>
  <si>
    <t>Di Susun Oleh, Alfaqier Abdul Ghofur Bin Syamsuddin</t>
  </si>
  <si>
    <t>Tahun Kabisah</t>
  </si>
  <si>
    <t>Febuari</t>
  </si>
  <si>
    <t>November</t>
  </si>
  <si>
    <t>Perhitangan Tahun Masehi</t>
  </si>
  <si>
    <t xml:space="preserve">     Jika ini diremehkan, urutan hari setiap satu tahun menjadi tidak konsisten dan akan berkurang satu hari setiap 4 tahun sekali (KL)</t>
  </si>
  <si>
    <t>m.m...m.m.m...</t>
  </si>
  <si>
    <t>P. Waktu</t>
  </si>
  <si>
    <t>Thul Balad</t>
  </si>
  <si>
    <t>KALENDER MASEHI</t>
  </si>
  <si>
    <t>AH9&gt;1,")VLOOKUP(AN4,Sheet3!K4:Q10,3))</t>
  </si>
  <si>
    <t>AN4)</t>
  </si>
  <si>
    <t>jumat</t>
  </si>
  <si>
    <t>kamis</t>
  </si>
  <si>
    <t>GAMBARAN KALENDER</t>
  </si>
  <si>
    <t>l</t>
  </si>
  <si>
    <t>SUM(data-date H3)+2</t>
  </si>
  <si>
    <t>SUM(dt-dt H3)+2</t>
  </si>
  <si>
    <t>Condongnya Hilal:</t>
  </si>
  <si>
    <t>Miring Ke</t>
  </si>
  <si>
    <t>Terjadinya Hilal Dibulan:</t>
  </si>
  <si>
    <t>Condongnya Hilal Miring Ke:</t>
  </si>
  <si>
    <t>Terjadinya ijtima Diburuj:</t>
  </si>
  <si>
    <t>Jatuh Pada Hari:</t>
  </si>
  <si>
    <t>GAMBARAN KALENDER MASEHI</t>
  </si>
  <si>
    <t>PERHITUNGAN TAHUN HIJRIAH</t>
  </si>
  <si>
    <t>Inspirtion: KH. Enjang Miftah.               Penyusun Alfaqier</t>
  </si>
  <si>
    <t>Inspirtion: KH. Enjang Miftah</t>
  </si>
  <si>
    <t>Penyususun: Alfaqier</t>
  </si>
  <si>
    <t>Penjelasan Singkat Hisab Hijiryah</t>
  </si>
  <si>
    <t>Metode Hisab Yang Kami Pakai Adalah Metode Hisab Hakiki Taqribi (Hisab Yang Mendekati Kebenaran)</t>
  </si>
  <si>
    <t>Artinya Metode Hisab Ini Mempunyai 95% Ke Akuratan, Ada Sebgaian Ulama Yang Membolehkan Memakai Metode,</t>
  </si>
  <si>
    <t>Hisab Hakiki Taqribi</t>
  </si>
  <si>
    <t>K/B</t>
  </si>
  <si>
    <t>Basitoh</t>
  </si>
  <si>
    <t>Kabisah</t>
  </si>
  <si>
    <t>k</t>
  </si>
  <si>
    <t>Jumlah Hari</t>
  </si>
  <si>
    <t>168 J | 360 D</t>
  </si>
  <si>
    <t>Tolak Ukur</t>
  </si>
  <si>
    <t>HISAB ISTILAHI</t>
  </si>
  <si>
    <t>/8</t>
  </si>
  <si>
    <t>÷8</t>
  </si>
  <si>
    <t>Wawu</t>
  </si>
  <si>
    <t>Jim</t>
  </si>
  <si>
    <t>Alip</t>
  </si>
  <si>
    <t>Haa</t>
  </si>
  <si>
    <t>Zai</t>
  </si>
  <si>
    <t>Dal</t>
  </si>
  <si>
    <t>Baa</t>
  </si>
  <si>
    <t>US HARI HIJRIYAH</t>
  </si>
  <si>
    <t>Robius Stani</t>
  </si>
  <si>
    <t>Jumadis Stani</t>
  </si>
  <si>
    <t>Robiul Akhir</t>
  </si>
  <si>
    <t>Jumadis Akhir</t>
  </si>
  <si>
    <t>H. Pasaran</t>
  </si>
  <si>
    <t>Umur</t>
  </si>
  <si>
    <t>30/29</t>
  </si>
  <si>
    <t>×5</t>
  </si>
  <si>
    <t>×5 =</t>
  </si>
  <si>
    <t>K</t>
  </si>
  <si>
    <t>B</t>
  </si>
  <si>
    <t>Jatuh Pada Hari</t>
  </si>
  <si>
    <t>×1=</t>
  </si>
  <si>
    <t>×9</t>
  </si>
  <si>
    <t>×4</t>
  </si>
  <si>
    <t>Jatuh Pada Pasaran:</t>
  </si>
  <si>
    <t>Jadwal Us Hari</t>
  </si>
  <si>
    <t>HISAB ISTILAHI TAHUN HIJRIYAH</t>
  </si>
  <si>
    <t>Jadwal Us Bulan</t>
  </si>
  <si>
    <t>Hanas</t>
  </si>
  <si>
    <t>H. Nasional</t>
  </si>
  <si>
    <t>Hapas</t>
  </si>
  <si>
    <t>No</t>
  </si>
  <si>
    <t xml:space="preserve">Febuari </t>
  </si>
  <si>
    <t>Mai</t>
  </si>
  <si>
    <t>29/30</t>
  </si>
  <si>
    <t>Jumadis Stasni</t>
  </si>
  <si>
    <t>HITUNGAN BULAN HIJRIYAH</t>
  </si>
  <si>
    <t xml:space="preserve">NB; </t>
  </si>
  <si>
    <t>NB;</t>
  </si>
  <si>
    <t xml:space="preserve"> NB; metode hitungan hisab istilahi/hisab urfi tidak bisa dijadikan patokan ukur ibadah</t>
  </si>
  <si>
    <t>Seperti Puasa hari idul fitri idul adha dll, tapi boleh jadikan patok ukur zakat, karna pada dasarnya</t>
  </si>
  <si>
    <t>Hisab istilahi dan hisab taqribi hakiki sama sama berjumlah 355 (tahun kabisah) 354 (tahun basitoh)</t>
  </si>
  <si>
    <t>Seperti Puasa hari idul fitri idul adha dll, tapi boleh dijadikan patok ukur zakat, karna pada dasarnya</t>
  </si>
  <si>
    <t>hanya saja perbedaannya adalah, hisab istilahi urfi tidak berubah setiap bulannya seperti muharom 30 hari</t>
  </si>
  <si>
    <t>Sopar 29 hari dan begitu terus setiap bulannya kecuali dzul-hijjah bisa 30 jika jatuh pada tahun kabisah</t>
  </si>
  <si>
    <t xml:space="preserve">29 jika tahun basitoh, </t>
  </si>
  <si>
    <t xml:space="preserve">29 jika tahun basitoh, adapun hisab </t>
  </si>
  <si>
    <t>29 jika tahun basitoh, adapun hisab taqribi haqiqi</t>
  </si>
  <si>
    <t>29 jika jatuh pada tahun basitoh, adapun hisab taqribi haqiqi awal jatuhnya bulan di tentukan</t>
  </si>
  <si>
    <t xml:space="preserve">hanya saja perbedaannya adalah, hisab istilahi urfi tidak berubah setiap bulannya seperti muharom </t>
  </si>
  <si>
    <t>berjumlah 30 hari bulan sopar berjumlah 29 hari dan begitu terus setiap bulannya kecuali dzul-hijjah bisa 30 jika jatuh pada tahun kabisah</t>
  </si>
  <si>
    <t>berjumlah 30 hari bulan sopar berjumlah 29 hari dan begitu terus setiap bulannya kecuali dzul-hijjah</t>
  </si>
  <si>
    <t>Bisa berjumlah 30 hari jika jatuh pada tahun kabisah, bisa berjumalah 29 hari jika jatuh pada tahun basitoh, adapun hisab taqribi haqiqi awal jatuhnya bulan di tentukan</t>
  </si>
  <si>
    <t>Bisa berjumlah 30 hari jika jatuh pada tahun kabisah, bisa berjumalah 29 hari jika jatuh pada tahun basitoh</t>
  </si>
  <si>
    <t xml:space="preserve">hanya saja perbedaannya adalah, hisab istilahi urfi tidak berubah setiap bulannya seperti bulan muharom </t>
  </si>
  <si>
    <t>Bisa berjumlah 30 hari jika jatuh pada tahun kabisah, bisa berjumlah 29 hari jika jatuh pada tahun basitoh</t>
  </si>
  <si>
    <t>Adapun hisab taqribi haqiqi tidak beratutaran jumlah hari pada bulan setiap tahunnya sebab menurut hisab takribi</t>
  </si>
  <si>
    <t>Adapun hisab taqribi haqiqi tidak beratutaran jumlah hari pada bulan setiap tahunnya sebab menurut hisab</t>
  </si>
  <si>
    <t xml:space="preserve">Taqribi hakiki awal masuknya bulan di tentukan pada hari ijtima hingga hilal mencapai 2° (dua derajat) </t>
  </si>
  <si>
    <t xml:space="preserve"> NB; Metode hitungan hisab istilahi/hisab urfi tidak bisa dijadikan patokan ukur ibadah</t>
  </si>
  <si>
    <t xml:space="preserve">Hanya saja perbedaannya adalah, hisab istilahi urfi tidak berubah setiap bulannya seperti bulan muharom </t>
  </si>
  <si>
    <t>Berjumlah 30 hari bulan sopar berjumlah 29 hari dan begitu terus setiap bulannya kecuali dzul-hijjah</t>
  </si>
  <si>
    <t xml:space="preserve">         Seperti Puasa hari idul fitri idul adha dll, tapi boleh dijadikan patok ukur zakat, karna pada dasarnya</t>
  </si>
  <si>
    <t xml:space="preserve">        Hisab istilahi dan hisab taqribi hakiki sama sama berjumlah 355 (tahun kabisah) 354 (tahun basitoh)</t>
  </si>
  <si>
    <t xml:space="preserve">         Hisab istilahi dan hisab taqribi hakiki sama sama berjumlah 355 (tahun kabisah) 354 (tahun basitoh)</t>
  </si>
  <si>
    <t xml:space="preserve">         Hanya saja perbedaannya adalah, hisab istilahi urfi tidak berubah setiap bulannya seperti bulan muharom </t>
  </si>
  <si>
    <t xml:space="preserve">         Berjumlah 30 hari bulan sopar berjumlah 29 hari dan begitu terus setiap bulannya kecuali dzul-hijjah</t>
  </si>
  <si>
    <t xml:space="preserve">         Bisa berjumlah 30 hari jika jatuh pada tahun kabisah, bisa berjumlah 29 hari jika jatuh pada tahun basitoh</t>
  </si>
  <si>
    <t xml:space="preserve">         Adapun hisab taqribi haqiqi tidak beratutaran jumlah hari pada bulan setiap tahunnya sebab menurut hisab</t>
  </si>
  <si>
    <t xml:space="preserve">         Taqribi hakiki awal masuknya bulan di tentukan pada hari ijtima hingga hilal mencapai 2° (dua derajat) </t>
  </si>
  <si>
    <t xml:space="preserve">         Taqribi hakiki awal masuknya bulan di tentukan pada hari ijtima hingga hilal mencapai 2° (dua derajat)</t>
  </si>
  <si>
    <t>Sebab itu pula yang membuat yang membuat hisab taqribi lebih rumit dibanding hisab istilahi</t>
  </si>
  <si>
    <t xml:space="preserve">         Sebab itu pula yang membuat yang membuat hisab taqribi lebih rumit dibanding hisab istilahi</t>
  </si>
  <si>
    <t xml:space="preserve">         Sebab itu pula yang membuat yang membuat hisab taqribi lebih rumit dibanding hisab istilahi, hisab takribi dimulai</t>
  </si>
  <si>
    <t>Dari Menjumlah alamah markaz wasat khosoh dan hissoh, dan di setiap hitungannya membutuhkan pengoreksian yang disebut ta'dil</t>
  </si>
  <si>
    <t>Dari Menjumlah alamah markaz wasat khosoh dan hissoh, dan di setiap hitungannya membutuhkan pengoreksian</t>
  </si>
  <si>
    <t xml:space="preserve">         Dari Menjumlah alamah markaz wasat khosoh dan hissoh, dan di setiap hitungannya membutuhkan pengoreksian</t>
  </si>
  <si>
    <t xml:space="preserve">         Dari Menjumlah alamah markaz wasat khosoh dan hissoh, dan di setiap hitungannya membutuhkan pengoreksian yang suka</t>
  </si>
  <si>
    <t>Yang disebut ta'dil hingga hasil ijtima dari jumlah ijtima dijumlahkan lagi hingga hasil irtipa hilal</t>
  </si>
  <si>
    <t xml:space="preserve">         Yang disebut ta'dil hingga hasil ijtima dari jumlah ijtima dijumlahkan lagi hingga hasil irtipa hilal</t>
  </si>
  <si>
    <t xml:space="preserve">         Dari hasil irtipa hilal inilah ditentukannya jika irtipanya mencapai 2° (dua derjat) maka imkan ru'yat</t>
  </si>
  <si>
    <t xml:space="preserve">         Sebab itu pula yang membuat hisab taqribi lebih rumit dibanding hisab istilahi, hisab takribi dimulai</t>
  </si>
  <si>
    <t xml:space="preserve">         Dari hasil irtipa hilal inilah ditentukan jika irtipanya mencapai 2° (dua derjat) maka imkan ru'yat</t>
  </si>
  <si>
    <t>Jika kurang dari 2° maka tidak imkan ru'yat, jika imkan ru'yat maka satu hari dari hari ijtima itu sudah pergantian bulan</t>
  </si>
  <si>
    <t xml:space="preserve">         Jika kurang dari 2° maka tidak imkan ru'yat, jika imkan ru'yat maka satu hari dari hari ijtima itu sudah pergantian bulan</t>
  </si>
  <si>
    <t xml:space="preserve">         Jika kurang dari 2° maka tidak imkan ru'yat, jika imkan ru'yat maka satu hari dari hari ijtima</t>
  </si>
  <si>
    <t>Itu sudah masuk pergantian bulan, karna setiap satu hari adalah 2° untuk mencapai dua 2° maka ditambah satu hari</t>
  </si>
  <si>
    <t xml:space="preserve"> pergantian bulan, karna setiap satu hari adalah 2° untuk mencapai dua 2° maka ditambah satu hari</t>
  </si>
  <si>
    <t xml:space="preserve">          pergantian bulan, karna setiap satu hari adalah 2° untuk mencapai dua 2° maka ditambah satu hari</t>
  </si>
  <si>
    <t xml:space="preserve">         Jika kurang dari 2° maka tidak imkan ru'yat, jika imkan ru'yat maka satu hari dari hari ijtima Itu sudah masuk</t>
  </si>
  <si>
    <t xml:space="preserve">         pergantian bulan, karna setiap satu hari adalah 2° untuk mencapai dua 2° maka ditambah satu hari</t>
  </si>
  <si>
    <t xml:space="preserve">         pergantian bulan, karna setiap satu hari adalah 2° untuk mencapai dua 2° maka ditambah satu hari. 2° 1Hari = 60° 30Hari</t>
  </si>
  <si>
    <t xml:space="preserve">         pergantian bulan, karna setiap satu hari adalah 2° untuk mencapai dua 2° maka ditambah satu hari.</t>
  </si>
  <si>
    <t xml:space="preserve">         pergantian bulan, karna setiap satu hari adalah 2° untuk mencapai dua 2° maka ditambah satu hari. 2°=1H 60°=30H</t>
  </si>
  <si>
    <t xml:space="preserve">         Pergantian bulan, karna setiap satu hari adalah 2° untuk mencapai dua 2° maka ditambah satu hari. 2°=1H 60°=30H</t>
  </si>
  <si>
    <t>Hasil Perhitungan Hisab Ist</t>
  </si>
  <si>
    <t xml:space="preserve">         Hasil Perhitungan Hisab Istilahi pasti mendahului hasil hisab taqribi, jika hisab istilahi jatuh pada</t>
  </si>
  <si>
    <t xml:space="preserve">         Hari jumat, kemungkinan hasil hisab haki adalah hari sabtu atau hari minggu</t>
  </si>
  <si>
    <t xml:space="preserve">         Hasil Perhitungan Hisab Istilahi pasti mendahului hasil hisab taqribi dalam jangka 1 hari atau dua hari.</t>
  </si>
  <si>
    <t xml:space="preserve">         Jika hisab istilahi jatuh pada hari jumat, kemungkinan hasil hisab haki adalah hari sabtu atau hari minggu</t>
  </si>
  <si>
    <t xml:space="preserve">         Hasil Perhitungan Hisab Istilahi pasti mendahului hasil hisab taqribi dalam jangka 1 hari atau 2 hari.</t>
  </si>
  <si>
    <t xml:space="preserve">         Jika hasil hisab istilahi jatuh pada hari jumat, kemungkinan hasil hisab haki adalah hari sabtu atau hari minggu</t>
  </si>
  <si>
    <t xml:space="preserve">         Jika hasil hisab istilahi jatuh pada hari jumat, kemungkinan hasil hisab hakiki adalah hari sabtu atau hari minggu</t>
  </si>
  <si>
    <t xml:space="preserve">         Jika hasil hisab istilahi jatuh pada hari jumat, kemungkinan hasil hisab taqribi adalah hari sabtu atau hari minggu</t>
  </si>
  <si>
    <t xml:space="preserve">         Adapun hisab taqribi haqiqi tidak beraturan jumlah hari pada bulan setiap tahunnya sebab menurut hisab</t>
  </si>
  <si>
    <t xml:space="preserve">         Yang disebut ta'dil hingga hasil ijtima, dari jumlah ijtima dijumlahkan lagi hingga hasil irtipa hilal</t>
  </si>
  <si>
    <t xml:space="preserve">         Pergantian bulan, jika kurang dari 2° maka dua hari darikarna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</si>
  <si>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 2°=1H 60°=30H</t>
  </si>
  <si>
    <t xml:space="preserve">         Pergantian bulan, jika kurang dari 2° maka dua hari dari dari hari ijtima sudah masuk pergantian bulan.karna setiap satu hari adalah 2° untuk mencapai dua 2° maka ditambah satu hari.</t>
  </si>
  <si>
    <t xml:space="preserve">         Pergantian bulan, jika kurang dari 2° maka dua hari dari dari hari ijtima sudah masuk pergantian bulan.</t>
  </si>
  <si>
    <t xml:space="preserve">         jika kurang dari 2° maka dua hari dari dari hari ijtima sudah masuk pergantian bulan.karna setiap satu hari adalah 2° untuk mencapai dua 2° maka ditambah satu hari. 2°=1H 60°=30H hasil Perhitungan Hisab Istilahi pasti mendahului hasil hisab taqribi dalam jangka 1 hari atau 2 hari.</t>
  </si>
  <si>
    <t>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</si>
  <si>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</si>
  <si>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</si>
  <si>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 hasil Perhitungan Hisab Istilahi pasti mendahului hasil hisab taqribi dalam jangka 1 hari atau 2 hari.</t>
  </si>
  <si>
    <t xml:space="preserve">         Karna setiap satu hari adalah 2° untuk mencapai dua 2° maka ditambah satu hari. 2°=1H 60°=30H.</t>
  </si>
  <si>
    <t xml:space="preserve">        hasil Perhitungan Hisab Istilahi pasti mendahului hasil hisab taqribi dalam jangka 1 hari atau 2 hari. Jika hasil hisab istilahi jatuh pada hari jumat, kemungkinan hasil hisab taqribi adalah hari sabtu atau hari minggu</t>
  </si>
  <si>
    <t xml:space="preserve">        hasil Perhitungan Hisab Istilahi pasti mendahului hasil hisab taqribi dalam jangka 1 hari atau 2 hari.</t>
  </si>
  <si>
    <t xml:space="preserve">   hasil Perhitungan Hisab Istilahi pasti mendahului hasil hisab taqribi dalam jangka 1 hari atau 2 hari. Jika hasil hisab istilahi jatuh pada hari jumat, kemungkinan hasil hisab taqribi adalah hari sabtu atau hari minggu</t>
  </si>
  <si>
    <t xml:space="preserve">      Hasil Perhitungan Hisab Istilahi pasti mendahului hasil hisab taqribi dalam jangka 1 hari atau 2 hari. Jika hasil hisab istilahi jatuh pada hari jumat, kemungkinan hasil hisab taqribi adalah hari sabtu atau hari minggu</t>
  </si>
  <si>
    <t>Jika hasil hisab istilahi jatuh pada hari jumat, kemungkinan hasil hisab taqribi adalah hari sabtu atau hari minggu</t>
  </si>
  <si>
    <t>Inpiration: Abul Bahri Miftah Bin Ma'mau</t>
  </si>
  <si>
    <t>Penyusun: Alfaqier Abdul Ghofur Bin Syamsuddin</t>
  </si>
  <si>
    <t>Inpiration: Al Mukarom Abul Bahri Miftah Bin Ma'mau Rohimahullah</t>
  </si>
  <si>
    <t>Inpiration: Al Mukarom Abul Bahri Miftah Bin Ma'mun Rohimahullah</t>
  </si>
  <si>
    <t>HISAB ISTILAHI BULAN HIJRIYAH</t>
  </si>
  <si>
    <t>Jika terdapat kesalahan dalam penyusunan taqwim ini</t>
  </si>
  <si>
    <t>Kami senang untuk di koreksi dan di benarkan</t>
  </si>
  <si>
    <t>م</t>
  </si>
  <si>
    <t>DARFIK 169</t>
  </si>
  <si>
    <t xml:space="preserve">         Seperti Puasa, hari idul fitri idul adha dll, tapi boleh dijadikan patok ukur zakat, karna pada dasarnya</t>
  </si>
  <si>
    <t>SUM(data-data H2)</t>
  </si>
  <si>
    <t>168 J | 361 D</t>
  </si>
  <si>
    <t>Bu'du Goer Muaddal × 0.0834</t>
  </si>
  <si>
    <t>Ta'dil Alamah (TA3)</t>
  </si>
  <si>
    <t>ABS (AMJ-BTM)/16</t>
  </si>
  <si>
    <t>AMJ + SWT + 2 (bit - tatbiq)</t>
  </si>
  <si>
    <t>Lihat Jadwal| INT(INT(AMB)/25)</t>
  </si>
  <si>
    <t>MOD (AMB/25)</t>
  </si>
  <si>
    <t>25 - SIG</t>
  </si>
  <si>
    <t>MIG /3</t>
  </si>
  <si>
    <t>IH * 0.0668</t>
  </si>
  <si>
    <t>168 J | 362 D</t>
  </si>
  <si>
    <t>Bu'du Goer Muaddal × 0.0835</t>
  </si>
  <si>
    <t>Ta'dil Alamah (TA4)</t>
  </si>
  <si>
    <t>ABS (AMJ-BTM)/17</t>
  </si>
  <si>
    <t>AMJ + SWT + 3 (bit - tatbiq)</t>
  </si>
  <si>
    <t>Lihat Jadwal| INT(INT(AMB)/26)</t>
  </si>
  <si>
    <t>MOD (AMB/26)</t>
  </si>
  <si>
    <t>26 - SIG</t>
  </si>
  <si>
    <t>MIG /4</t>
  </si>
  <si>
    <t>IH * 0.0669</t>
  </si>
  <si>
    <t>168 J | 363 D</t>
  </si>
  <si>
    <t>Bu'du Goer Muaddal × 0.0836</t>
  </si>
  <si>
    <t>Ta'dil Alamah (TA5)</t>
  </si>
  <si>
    <t>ABS (AMJ-BTM)/18</t>
  </si>
  <si>
    <t>AMJ + SWT + 4 (bit - tatbiq)</t>
  </si>
  <si>
    <t>Lihat Jadwal| INT(INT(AMB)/27)</t>
  </si>
  <si>
    <t>MOD (AMB/27)</t>
  </si>
  <si>
    <t>27 - SIG</t>
  </si>
  <si>
    <t>MIG /5</t>
  </si>
  <si>
    <t>IH * 0.0670</t>
  </si>
  <si>
    <t>168 J | 364 D</t>
  </si>
  <si>
    <t>Bu'du Goer Muaddal × 0.0837</t>
  </si>
  <si>
    <t>Ta'dil Alamah (TA6)</t>
  </si>
  <si>
    <t>ABS (AMJ-BTM)/19</t>
  </si>
  <si>
    <t>AMJ + SWT + 5 (bit - tatbiq)</t>
  </si>
  <si>
    <t>Lihat Jadwal| INT(INT(AMB)/28)</t>
  </si>
  <si>
    <t>MOD (AMB/28)</t>
  </si>
  <si>
    <t>28 - SIG</t>
  </si>
  <si>
    <t>MIG /6</t>
  </si>
  <si>
    <t>IH * 0.0671</t>
  </si>
  <si>
    <t>JADWAL WAKTU ISTIWA</t>
  </si>
  <si>
    <t>Daerah/Kabupaten</t>
  </si>
  <si>
    <t>Tanggal</t>
  </si>
  <si>
    <t>Busur Tempat</t>
  </si>
  <si>
    <t>Busur Tempat (BT)</t>
  </si>
  <si>
    <t>Perata Waktu</t>
  </si>
  <si>
    <t>Selisih Wib</t>
  </si>
  <si>
    <t>Perata Waktu (PW)</t>
  </si>
  <si>
    <t>Selisih WIB &amp; Istiwa</t>
  </si>
  <si>
    <t>Waktu Istiwa</t>
  </si>
  <si>
    <t>PW-((BT-105)/15)+0.03</t>
  </si>
  <si>
    <t>12-(PW-((BT-105)/15)+0.03)</t>
  </si>
  <si>
    <t>Tgl</t>
  </si>
  <si>
    <t>Feb</t>
  </si>
  <si>
    <t>Jan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</si>
  <si>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</si>
  <si>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</si>
  <si>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</si>
  <si>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</si>
  <si>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</si>
  <si>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</si>
  <si>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</si>
  <si>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</si>
  <si>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</si>
  <si>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IF(BH7-((BH8-105)/15)+0.03),&lt;0,(BH7-((BH8-105)/15)+0.03,+105(BH7-((BH8-105)/15)+0.03)</t>
  </si>
  <si>
    <t>IF(E9-K29&lt;0,(E9-K29)+168,E9-K29)</t>
  </si>
  <si>
    <t>IF(BH7-((BH8-105)/15)+0.03,&lt;0,(BH7-((BH8-105)/15)+0.03,+105(BH7-((BH8-105)/15)+0.03)</t>
  </si>
  <si>
    <t>IF(BH7-((BH8-105)/15)+0.03&lt;0,(BH7-((BH8-105)/15)+0.03,+105(BH7-((BH8-105)/15)+0.03)</t>
  </si>
  <si>
    <t>IF(BH7-((BH8-105)/15)+0.03&lt;0,(BH7-((BH8-105)/15)+0.03+105(BH7-((BH8-105)/15)+0.03</t>
  </si>
  <si>
    <t>IF(BH7-((BH8-105)/15)+0.03&lt;0,(BH7-((BH8-105)/15)+0.03+105,(BH7-((BH8-105)/15)+0.03</t>
  </si>
  <si>
    <t>IF(BH7-((BH8-105)/15)+0.03&lt;0,(BH7-((BH8-105)/15)+0.03)+105,(BH7-((BH8-105)/15)+0.03</t>
  </si>
  <si>
    <t>12- Selisih Wib</t>
  </si>
  <si>
    <t>12 -/+ Selisih Wib</t>
  </si>
  <si>
    <t>SSD/SBL Dzuhur</t>
  </si>
  <si>
    <t>Selisih min=kurangi/plus=tambahi</t>
  </si>
  <si>
    <t>SW min=kurangi/plus=tambahi</t>
  </si>
  <si>
    <t>12 + / - (SSD)</t>
  </si>
  <si>
    <t>SSH/SBL Dzuhur</t>
  </si>
  <si>
    <t>SSH/SBL WIB</t>
  </si>
  <si>
    <t>Waktu Istiwa/Dzuhur</t>
  </si>
  <si>
    <t>Waktu Dzuhur</t>
  </si>
  <si>
    <t>KALENDER HIJRIYAH</t>
  </si>
  <si>
    <t xml:space="preserve">Dzul-Qo'dah </t>
  </si>
  <si>
    <t xml:space="preserve">Dzul-Hijjah </t>
  </si>
  <si>
    <t>Tahun Majmuah</t>
  </si>
  <si>
    <t>Tahun MJH</t>
  </si>
  <si>
    <t>Tahun Tam MBS</t>
  </si>
  <si>
    <t>TAHUN:</t>
  </si>
  <si>
    <t>Tahun Tam MBS:</t>
  </si>
  <si>
    <t>Tahun MJH ?</t>
  </si>
  <si>
    <t>Tahun Tam MBS ?</t>
  </si>
  <si>
    <t>Nb; Jika Bulan Yang Pertama Tanggal 30 nya hari Kamis Dan Tanggal 1 Bulan Sesudahnya Hari Yang Sama Yaitu Hari Kamis, Maka Bulan Yang Pertama Bejumlah 29 Hari.</t>
  </si>
  <si>
    <t>Nb; Jika Bulan Yang Pertama Tanggal 30 nya hari Kamis Dan Tanggal 1 Bulan Sesudahnya Hari Yang Sama Yaitu Hari Kamis,</t>
  </si>
  <si>
    <t>Nb; Jika Bulan Yang Pertama Tanggal 30 nya hari Kamis Dan Tanggal 1 Bulan Sesudahnya Hari Yang Sama</t>
  </si>
  <si>
    <t>Yaitu Hari Kamis, Maka Bulan Yang Pertama Bejumlah 29 Hari.</t>
  </si>
  <si>
    <t>Nb; Jika Bulan Yang Pertama Tanggal 30 nya hari Kamis Dan Tanggal 1 Bulan Sesudahnya Hari Yang Sama
Yaitu Hari Kamis, Maka Bulan Yang Pertama Bejumlah 29 Hari.</t>
  </si>
  <si>
    <t>Nb; Jika Bulan Yang Pertama Tanggal 30 nya hari Kamis Dan Tanggal 1 Bulan Sesudahnya Hari
Yang Sama, Yaitu Hari Kamis, Maka Bulan Yang Pertama Bejumlah 29 Hari.</t>
  </si>
  <si>
    <t>Tahun KB/BS ?</t>
  </si>
  <si>
    <t>Inspiration: Al Mukarom Abul Bahri Miftah Bin Ma'mun Rohimahullah</t>
  </si>
  <si>
    <t>Dalam Satu Tahun</t>
  </si>
  <si>
    <t>Dalam Setahun</t>
  </si>
  <si>
    <t>DLM Setahun</t>
  </si>
  <si>
    <t>Tahun Yang Dimaksud</t>
  </si>
  <si>
    <t>AMJ +/- SWT + 1 (bit - tatbiq)</t>
  </si>
  <si>
    <t>Jakarta</t>
  </si>
  <si>
    <t>DAFTAR ARUD BALAD / BUSUR TEMPAT KORDINAT SE-INDONESIA</t>
  </si>
  <si>
    <r>
      <rPr>
        <sz val="11"/>
        <rFont val="Calibri"/>
      </rPr>
      <t>KABUPATEN</t>
    </r>
  </si>
  <si>
    <r>
      <rPr>
        <sz val="11"/>
        <rFont val="Calibri"/>
      </rPr>
      <t>PROVINSI</t>
    </r>
  </si>
  <si>
    <r>
      <rPr>
        <sz val="11"/>
        <rFont val="Calibri"/>
      </rPr>
      <t>IBU KOTA</t>
    </r>
  </si>
  <si>
    <r>
      <rPr>
        <sz val="11"/>
        <rFont val="Calibri"/>
      </rPr>
      <t>TB</t>
    </r>
  </si>
  <si>
    <r>
      <rPr>
        <sz val="11"/>
        <rFont val="Calibri"/>
      </rPr>
      <t>KORDINAT</t>
    </r>
  </si>
  <si>
    <r>
      <rPr>
        <sz val="11"/>
        <rFont val="Calibri"/>
      </rPr>
      <t>Aceh Selatan</t>
    </r>
  </si>
  <si>
    <r>
      <rPr>
        <sz val="11"/>
        <rFont val="Calibri"/>
      </rPr>
      <t>Aceh</t>
    </r>
  </si>
  <si>
    <r>
      <rPr>
        <sz val="11"/>
        <rFont val="Calibri"/>
      </rPr>
      <t>Tapaktuan</t>
    </r>
  </si>
  <si>
    <r>
      <rPr>
        <sz val="11"/>
        <rFont val="Calibri"/>
      </rPr>
      <t>95°28' - 98°0'</t>
    </r>
  </si>
  <si>
    <r>
      <rPr>
        <sz val="11"/>
        <rFont val="Calibri"/>
      </rPr>
      <t>Aceh Tenggara</t>
    </r>
  </si>
  <si>
    <r>
      <rPr>
        <sz val="11"/>
        <rFont val="Calibri"/>
      </rPr>
      <t>Aceh</t>
    </r>
  </si>
  <si>
    <r>
      <rPr>
        <sz val="11"/>
        <rFont val="Calibri"/>
      </rPr>
      <t>Kutacane</t>
    </r>
  </si>
  <si>
    <r>
      <rPr>
        <sz val="11"/>
        <rFont val="Calibri"/>
      </rPr>
      <t>95°28' - 98°0'</t>
    </r>
  </si>
  <si>
    <r>
      <rPr>
        <sz val="11"/>
        <rFont val="Calibri"/>
      </rPr>
      <t>Aceh Timur</t>
    </r>
  </si>
  <si>
    <r>
      <rPr>
        <sz val="11"/>
        <rFont val="Calibri"/>
      </rPr>
      <t>Aceh</t>
    </r>
  </si>
  <si>
    <r>
      <rPr>
        <sz val="11"/>
        <rFont val="Calibri"/>
      </rPr>
      <t>Idi Rayeuk</t>
    </r>
  </si>
  <si>
    <r>
      <rPr>
        <sz val="11"/>
        <rFont val="Calibri"/>
      </rPr>
      <t>95°28' - 98°0'</t>
    </r>
  </si>
  <si>
    <r>
      <rPr>
        <sz val="11"/>
        <rFont val="Calibri"/>
      </rPr>
      <t>Aceh Tengah</t>
    </r>
  </si>
  <si>
    <r>
      <rPr>
        <sz val="11"/>
        <rFont val="Calibri"/>
      </rPr>
      <t>Aceh</t>
    </r>
  </si>
  <si>
    <r>
      <rPr>
        <sz val="11"/>
        <rFont val="Calibri"/>
      </rPr>
      <t>Takengon</t>
    </r>
  </si>
  <si>
    <r>
      <rPr>
        <sz val="11"/>
        <rFont val="Calibri"/>
      </rPr>
      <t>95°28' - 98°0'</t>
    </r>
  </si>
  <si>
    <r>
      <rPr>
        <sz val="11"/>
        <rFont val="Calibri"/>
      </rPr>
      <t>Aceh Barat</t>
    </r>
  </si>
  <si>
    <r>
      <rPr>
        <sz val="11"/>
        <rFont val="Calibri"/>
      </rPr>
      <t>Aceh</t>
    </r>
  </si>
  <si>
    <r>
      <rPr>
        <sz val="11"/>
        <rFont val="Calibri"/>
      </rPr>
      <t>Meulaboh</t>
    </r>
  </si>
  <si>
    <r>
      <rPr>
        <sz val="11"/>
        <rFont val="Calibri"/>
      </rPr>
      <t>95°28' - 98°0'</t>
    </r>
  </si>
  <si>
    <r>
      <rPr>
        <sz val="11"/>
        <rFont val="Calibri"/>
      </rPr>
      <t>Aceh Besar</t>
    </r>
  </si>
  <si>
    <r>
      <rPr>
        <sz val="11"/>
        <rFont val="Calibri"/>
      </rPr>
      <t>Aceh</t>
    </r>
  </si>
  <si>
    <r>
      <rPr>
        <sz val="11"/>
        <rFont val="Calibri"/>
      </rPr>
      <t>Kota Jantho</t>
    </r>
  </si>
  <si>
    <r>
      <rPr>
        <sz val="11"/>
        <rFont val="Calibri"/>
      </rPr>
      <t>95°28' - 98°0'</t>
    </r>
  </si>
  <si>
    <r>
      <rPr>
        <sz val="11"/>
        <rFont val="Calibri"/>
      </rPr>
      <t>Pidie</t>
    </r>
  </si>
  <si>
    <r>
      <rPr>
        <sz val="11"/>
        <rFont val="Calibri"/>
      </rPr>
      <t>Aceh</t>
    </r>
  </si>
  <si>
    <r>
      <rPr>
        <sz val="11"/>
        <rFont val="Calibri"/>
      </rPr>
      <t>Sigli</t>
    </r>
  </si>
  <si>
    <r>
      <rPr>
        <sz val="11"/>
        <rFont val="Calibri"/>
      </rPr>
      <t>95°28' - 98°0'</t>
    </r>
  </si>
  <si>
    <r>
      <rPr>
        <sz val="11"/>
        <rFont val="Calibri"/>
      </rPr>
      <t>Aceh Utara</t>
    </r>
  </si>
  <si>
    <r>
      <rPr>
        <sz val="11"/>
        <rFont val="Calibri"/>
      </rPr>
      <t>Aceh</t>
    </r>
  </si>
  <si>
    <r>
      <rPr>
        <sz val="11"/>
        <rFont val="Calibri"/>
      </rPr>
      <t>Lhoksukon</t>
    </r>
  </si>
  <si>
    <r>
      <rPr>
        <sz val="11"/>
        <rFont val="Calibri"/>
      </rPr>
      <t>95°28' - 98°0'</t>
    </r>
  </si>
  <si>
    <r>
      <rPr>
        <sz val="11"/>
        <rFont val="Calibri"/>
      </rPr>
      <t>Simeulue</t>
    </r>
  </si>
  <si>
    <r>
      <rPr>
        <sz val="11"/>
        <rFont val="Calibri"/>
      </rPr>
      <t>Aceh</t>
    </r>
  </si>
  <si>
    <r>
      <rPr>
        <sz val="11"/>
        <rFont val="Calibri"/>
      </rPr>
      <t>Sinabang</t>
    </r>
  </si>
  <si>
    <r>
      <rPr>
        <sz val="11"/>
        <rFont val="Calibri"/>
      </rPr>
      <t>95°28' - 98°0'</t>
    </r>
  </si>
  <si>
    <r>
      <rPr>
        <sz val="11"/>
        <rFont val="Calibri"/>
      </rPr>
      <t>Aceh Singkil</t>
    </r>
  </si>
  <si>
    <r>
      <rPr>
        <sz val="11"/>
        <rFont val="Calibri"/>
      </rPr>
      <t>Aceh</t>
    </r>
  </si>
  <si>
    <r>
      <rPr>
        <sz val="11"/>
        <rFont val="Calibri"/>
      </rPr>
      <t>Singkil</t>
    </r>
  </si>
  <si>
    <r>
      <rPr>
        <sz val="11"/>
        <rFont val="Calibri"/>
      </rPr>
      <t>95°28' - 98°0'</t>
    </r>
  </si>
  <si>
    <r>
      <rPr>
        <sz val="11"/>
        <rFont val="Calibri"/>
      </rPr>
      <t>Bireuen</t>
    </r>
  </si>
  <si>
    <r>
      <rPr>
        <sz val="11"/>
        <rFont val="Calibri"/>
      </rPr>
      <t>Aceh</t>
    </r>
  </si>
  <si>
    <r>
      <rPr>
        <sz val="11"/>
        <rFont val="Calibri"/>
      </rPr>
      <t>Bireuen</t>
    </r>
  </si>
  <si>
    <r>
      <rPr>
        <sz val="11"/>
        <rFont val="Calibri"/>
      </rPr>
      <t>95°28' - 98°0'</t>
    </r>
  </si>
  <si>
    <r>
      <rPr>
        <sz val="11"/>
        <rFont val="Calibri"/>
      </rPr>
      <t>Aceh Barat Daya</t>
    </r>
  </si>
  <si>
    <r>
      <rPr>
        <sz val="11"/>
        <rFont val="Calibri"/>
      </rPr>
      <t>Aceh</t>
    </r>
  </si>
  <si>
    <r>
      <rPr>
        <sz val="11"/>
        <rFont val="Calibri"/>
      </rPr>
      <t>Blangpidie</t>
    </r>
  </si>
  <si>
    <r>
      <rPr>
        <sz val="11"/>
        <rFont val="Calibri"/>
      </rPr>
      <t>95°28' - 98°0'</t>
    </r>
  </si>
  <si>
    <r>
      <rPr>
        <sz val="11"/>
        <rFont val="Calibri"/>
      </rPr>
      <t>Gayo Lues</t>
    </r>
  </si>
  <si>
    <r>
      <rPr>
        <sz val="11"/>
        <rFont val="Calibri"/>
      </rPr>
      <t>Aceh</t>
    </r>
  </si>
  <si>
    <r>
      <rPr>
        <sz val="11"/>
        <rFont val="Calibri"/>
      </rPr>
      <t>Blang Kejeren</t>
    </r>
  </si>
  <si>
    <r>
      <rPr>
        <sz val="11"/>
        <rFont val="Calibri"/>
      </rPr>
      <t>95°28' - 98°0'</t>
    </r>
  </si>
  <si>
    <r>
      <rPr>
        <sz val="11"/>
        <rFont val="Calibri"/>
      </rPr>
      <t>Aceh Jaya</t>
    </r>
  </si>
  <si>
    <r>
      <rPr>
        <sz val="11"/>
        <rFont val="Calibri"/>
      </rPr>
      <t>Aceh</t>
    </r>
  </si>
  <si>
    <r>
      <rPr>
        <sz val="11"/>
        <rFont val="Calibri"/>
      </rPr>
      <t>Calang</t>
    </r>
  </si>
  <si>
    <r>
      <rPr>
        <sz val="11"/>
        <rFont val="Calibri"/>
      </rPr>
      <t>95°28' - 98°0'</t>
    </r>
  </si>
  <si>
    <r>
      <rPr>
        <sz val="11"/>
        <rFont val="Calibri"/>
      </rPr>
      <t>Nagan Raya</t>
    </r>
  </si>
  <si>
    <r>
      <rPr>
        <sz val="11"/>
        <rFont val="Calibri"/>
      </rPr>
      <t>Aceh</t>
    </r>
  </si>
  <si>
    <r>
      <rPr>
        <sz val="11"/>
        <rFont val="Calibri"/>
      </rPr>
      <t>Suka Makmue</t>
    </r>
  </si>
  <si>
    <r>
      <rPr>
        <sz val="11"/>
        <rFont val="Calibri"/>
      </rPr>
      <t>95°28' - 98°0'</t>
    </r>
  </si>
  <si>
    <r>
      <rPr>
        <sz val="11"/>
        <rFont val="Calibri"/>
      </rPr>
      <t>Aceh Tamiang</t>
    </r>
  </si>
  <si>
    <r>
      <rPr>
        <sz val="11"/>
        <rFont val="Calibri"/>
      </rPr>
      <t>Aceh</t>
    </r>
  </si>
  <si>
    <r>
      <rPr>
        <sz val="11"/>
        <rFont val="Calibri"/>
      </rPr>
      <t>Karang Baru</t>
    </r>
  </si>
  <si>
    <r>
      <rPr>
        <sz val="11"/>
        <rFont val="Calibri"/>
      </rPr>
      <t>95°28' - 98°0'</t>
    </r>
  </si>
  <si>
    <r>
      <rPr>
        <sz val="11"/>
        <rFont val="Calibri"/>
      </rPr>
      <t>Bener Meriah</t>
    </r>
  </si>
  <si>
    <r>
      <rPr>
        <sz val="11"/>
        <rFont val="Calibri"/>
      </rPr>
      <t>Aceh</t>
    </r>
  </si>
  <si>
    <r>
      <rPr>
        <sz val="11"/>
        <rFont val="Calibri"/>
      </rPr>
      <t>Simpang Tiga Redelong</t>
    </r>
  </si>
  <si>
    <r>
      <rPr>
        <sz val="11"/>
        <rFont val="Calibri"/>
      </rPr>
      <t>95°28' - 98°0'</t>
    </r>
  </si>
  <si>
    <r>
      <rPr>
        <sz val="11"/>
        <rFont val="Calibri"/>
      </rPr>
      <t>Pidie Jaya</t>
    </r>
  </si>
  <si>
    <r>
      <rPr>
        <sz val="11"/>
        <rFont val="Calibri"/>
      </rPr>
      <t>Aceh</t>
    </r>
  </si>
  <si>
    <r>
      <rPr>
        <sz val="11"/>
        <rFont val="Calibri"/>
      </rPr>
      <t>Meureudu</t>
    </r>
  </si>
  <si>
    <r>
      <rPr>
        <sz val="11"/>
        <rFont val="Calibri"/>
      </rPr>
      <t>95°28' - 98°0'</t>
    </r>
  </si>
  <si>
    <r>
      <rPr>
        <sz val="11"/>
        <rFont val="Calibri"/>
      </rPr>
      <t>Tapanuli Tengah</t>
    </r>
  </si>
  <si>
    <r>
      <rPr>
        <sz val="11"/>
        <rFont val="Calibri"/>
      </rPr>
      <t>Sumatra Utara</t>
    </r>
  </si>
  <si>
    <r>
      <rPr>
        <sz val="11"/>
        <rFont val="Calibri"/>
      </rPr>
      <t>Pandan</t>
    </r>
  </si>
  <si>
    <r>
      <rPr>
        <sz val="11"/>
        <rFont val="Calibri"/>
      </rPr>
      <t>97°23' - 101°36'</t>
    </r>
  </si>
  <si>
    <r>
      <rPr>
        <sz val="11"/>
        <rFont val="Calibri"/>
      </rPr>
      <t>Tapanuli Utara</t>
    </r>
  </si>
  <si>
    <r>
      <rPr>
        <sz val="11"/>
        <rFont val="Calibri"/>
      </rPr>
      <t>Sumatra Utara</t>
    </r>
  </si>
  <si>
    <r>
      <rPr>
        <sz val="11"/>
        <rFont val="Calibri"/>
      </rPr>
      <t>Tarutung</t>
    </r>
  </si>
  <si>
    <r>
      <rPr>
        <sz val="11"/>
        <rFont val="Calibri"/>
      </rPr>
      <t>97°23' - 101°36'</t>
    </r>
  </si>
  <si>
    <r>
      <rPr>
        <sz val="11"/>
        <rFont val="Calibri"/>
      </rPr>
      <t>Tapanuli Selatan</t>
    </r>
  </si>
  <si>
    <r>
      <rPr>
        <sz val="11"/>
        <rFont val="Calibri"/>
      </rPr>
      <t>Sumatra Utara</t>
    </r>
  </si>
  <si>
    <r>
      <rPr>
        <sz val="11"/>
        <rFont val="Calibri"/>
      </rPr>
      <t>Sipirok</t>
    </r>
  </si>
  <si>
    <r>
      <rPr>
        <sz val="11"/>
        <rFont val="Calibri"/>
      </rPr>
      <t>97°23' - 101°36'</t>
    </r>
  </si>
  <si>
    <r>
      <rPr>
        <sz val="11"/>
        <rFont val="Calibri"/>
      </rPr>
      <t>Nias</t>
    </r>
  </si>
  <si>
    <r>
      <rPr>
        <sz val="11"/>
        <rFont val="Calibri"/>
      </rPr>
      <t>Sumatra Utara</t>
    </r>
  </si>
  <si>
    <r>
      <rPr>
        <sz val="11"/>
        <rFont val="Calibri"/>
      </rPr>
      <t>Gunung Sitoli</t>
    </r>
  </si>
  <si>
    <r>
      <rPr>
        <sz val="11"/>
        <rFont val="Calibri"/>
      </rPr>
      <t>97°23' - 101°36'</t>
    </r>
  </si>
  <si>
    <r>
      <rPr>
        <sz val="11"/>
        <rFont val="Calibri"/>
      </rPr>
      <t>Langkat</t>
    </r>
  </si>
  <si>
    <r>
      <rPr>
        <sz val="11"/>
        <rFont val="Calibri"/>
      </rPr>
      <t>Sumatra Utara</t>
    </r>
  </si>
  <si>
    <r>
      <rPr>
        <sz val="11"/>
        <rFont val="Calibri"/>
      </rPr>
      <t>Stabat</t>
    </r>
  </si>
  <si>
    <r>
      <rPr>
        <sz val="11"/>
        <rFont val="Calibri"/>
      </rPr>
      <t>97°23' - 101°36'</t>
    </r>
  </si>
  <si>
    <r>
      <rPr>
        <sz val="11"/>
        <rFont val="Calibri"/>
      </rPr>
      <t>Karo</t>
    </r>
  </si>
  <si>
    <r>
      <rPr>
        <sz val="11"/>
        <rFont val="Calibri"/>
      </rPr>
      <t>Sumatra Utara</t>
    </r>
  </si>
  <si>
    <r>
      <rPr>
        <sz val="11"/>
        <rFont val="Calibri"/>
      </rPr>
      <t>Kabanjahe</t>
    </r>
  </si>
  <si>
    <r>
      <rPr>
        <sz val="11"/>
        <rFont val="Calibri"/>
      </rPr>
      <t>97°23' - 101°36'</t>
    </r>
  </si>
  <si>
    <r>
      <rPr>
        <sz val="11"/>
        <rFont val="Calibri"/>
      </rPr>
      <t>Deli Serdang</t>
    </r>
  </si>
  <si>
    <r>
      <rPr>
        <sz val="11"/>
        <rFont val="Calibri"/>
      </rPr>
      <t>Sumatra Utara</t>
    </r>
  </si>
  <si>
    <r>
      <rPr>
        <sz val="11"/>
        <rFont val="Calibri"/>
      </rPr>
      <t>Lubuk Pakam</t>
    </r>
  </si>
  <si>
    <r>
      <rPr>
        <sz val="11"/>
        <rFont val="Calibri"/>
      </rPr>
      <t>97°23' - 101°36'</t>
    </r>
  </si>
  <si>
    <r>
      <rPr>
        <sz val="11"/>
        <rFont val="Calibri"/>
      </rPr>
      <t>Simalungun</t>
    </r>
  </si>
  <si>
    <r>
      <rPr>
        <sz val="11"/>
        <rFont val="Calibri"/>
      </rPr>
      <t>Sumatra Utara</t>
    </r>
  </si>
  <si>
    <r>
      <rPr>
        <sz val="11"/>
        <rFont val="Calibri"/>
      </rPr>
      <t>Raya</t>
    </r>
  </si>
  <si>
    <r>
      <rPr>
        <sz val="11"/>
        <rFont val="Calibri"/>
      </rPr>
      <t>97°23' - 101°36'</t>
    </r>
  </si>
  <si>
    <r>
      <rPr>
        <sz val="11"/>
        <rFont val="Calibri"/>
      </rPr>
      <t>Asahan</t>
    </r>
  </si>
  <si>
    <r>
      <rPr>
        <sz val="11"/>
        <rFont val="Calibri"/>
      </rPr>
      <t>Sumatra Utara</t>
    </r>
  </si>
  <si>
    <r>
      <rPr>
        <sz val="11"/>
        <rFont val="Calibri"/>
      </rPr>
      <t>Kisaran</t>
    </r>
  </si>
  <si>
    <r>
      <rPr>
        <sz val="11"/>
        <rFont val="Calibri"/>
      </rPr>
      <t>97°23' - 101°36'</t>
    </r>
  </si>
  <si>
    <r>
      <rPr>
        <sz val="11"/>
        <rFont val="Calibri"/>
      </rPr>
      <t>Labuhanbatu</t>
    </r>
  </si>
  <si>
    <r>
      <rPr>
        <sz val="11"/>
        <rFont val="Calibri"/>
      </rPr>
      <t>Sumatra Utara</t>
    </r>
  </si>
  <si>
    <r>
      <rPr>
        <sz val="11"/>
        <rFont val="Calibri"/>
      </rPr>
      <t>Rantau Prapat</t>
    </r>
  </si>
  <si>
    <r>
      <rPr>
        <sz val="11"/>
        <rFont val="Calibri"/>
      </rPr>
      <t>97°23' - 101°36'</t>
    </r>
  </si>
  <si>
    <r>
      <rPr>
        <sz val="11"/>
        <rFont val="Calibri"/>
      </rPr>
      <t>Dairi</t>
    </r>
  </si>
  <si>
    <r>
      <rPr>
        <sz val="11"/>
        <rFont val="Calibri"/>
      </rPr>
      <t>Sumatra Utara</t>
    </r>
  </si>
  <si>
    <r>
      <rPr>
        <sz val="11"/>
        <rFont val="Calibri"/>
      </rPr>
      <t>Sidikalang</t>
    </r>
  </si>
  <si>
    <r>
      <rPr>
        <sz val="11"/>
        <rFont val="Calibri"/>
      </rPr>
      <t>97°23' - 101°36'</t>
    </r>
  </si>
  <si>
    <r>
      <rPr>
        <sz val="11"/>
        <rFont val="Calibri"/>
      </rPr>
      <t>Toba</t>
    </r>
  </si>
  <si>
    <r>
      <rPr>
        <sz val="11"/>
        <rFont val="Calibri"/>
      </rPr>
      <t>Sumatra Utara</t>
    </r>
  </si>
  <si>
    <r>
      <rPr>
        <sz val="11"/>
        <rFont val="Calibri"/>
      </rPr>
      <t>Balige</t>
    </r>
  </si>
  <si>
    <r>
      <rPr>
        <sz val="11"/>
        <rFont val="Calibri"/>
      </rPr>
      <t>97°23' - 101°36'</t>
    </r>
  </si>
  <si>
    <r>
      <rPr>
        <sz val="11"/>
        <rFont val="Calibri"/>
      </rPr>
      <t>Mandailing Natal</t>
    </r>
  </si>
  <si>
    <r>
      <rPr>
        <sz val="11"/>
        <rFont val="Calibri"/>
      </rPr>
      <t>Sumatra Utara</t>
    </r>
  </si>
  <si>
    <r>
      <rPr>
        <sz val="11"/>
        <rFont val="Calibri"/>
      </rPr>
      <t>Kota Panyabungan</t>
    </r>
  </si>
  <si>
    <r>
      <rPr>
        <sz val="11"/>
        <rFont val="Calibri"/>
      </rPr>
      <t>97°23' - 101°36'</t>
    </r>
  </si>
  <si>
    <r>
      <rPr>
        <sz val="11"/>
        <rFont val="Calibri"/>
      </rPr>
      <t>Nias Selatan</t>
    </r>
  </si>
  <si>
    <r>
      <rPr>
        <sz val="11"/>
        <rFont val="Calibri"/>
      </rPr>
      <t>Sumatra Utara</t>
    </r>
  </si>
  <si>
    <r>
      <rPr>
        <sz val="11"/>
        <rFont val="Calibri"/>
      </rPr>
      <t>Teluk Dalam</t>
    </r>
  </si>
  <si>
    <r>
      <rPr>
        <sz val="11"/>
        <rFont val="Calibri"/>
      </rPr>
      <t>97°23' - 101°36'</t>
    </r>
  </si>
  <si>
    <r>
      <rPr>
        <sz val="11"/>
        <rFont val="Calibri"/>
      </rPr>
      <t>Pakpak Bharat</t>
    </r>
  </si>
  <si>
    <r>
      <rPr>
        <sz val="11"/>
        <rFont val="Calibri"/>
      </rPr>
      <t>Sumatra Utara</t>
    </r>
  </si>
  <si>
    <r>
      <rPr>
        <sz val="11"/>
        <rFont val="Calibri"/>
      </rPr>
      <t>Salak</t>
    </r>
  </si>
  <si>
    <r>
      <rPr>
        <sz val="11"/>
        <rFont val="Calibri"/>
      </rPr>
      <t>97°23' - 101°36'</t>
    </r>
  </si>
  <si>
    <r>
      <rPr>
        <sz val="11"/>
        <rFont val="Calibri"/>
      </rPr>
      <t>Humbang Hasundutan</t>
    </r>
  </si>
  <si>
    <r>
      <rPr>
        <sz val="11"/>
        <rFont val="Calibri"/>
      </rPr>
      <t>Sumatra Utara</t>
    </r>
  </si>
  <si>
    <r>
      <rPr>
        <sz val="11"/>
        <rFont val="Calibri"/>
      </rPr>
      <t>Dolok Sanggul</t>
    </r>
  </si>
  <si>
    <r>
      <rPr>
        <sz val="11"/>
        <rFont val="Calibri"/>
      </rPr>
      <t>97°23' - 101°36'</t>
    </r>
  </si>
  <si>
    <r>
      <rPr>
        <sz val="11"/>
        <rFont val="Calibri"/>
      </rPr>
      <t>Samosir</t>
    </r>
  </si>
  <si>
    <r>
      <rPr>
        <sz val="11"/>
        <rFont val="Calibri"/>
      </rPr>
      <t>Sumatra Utara</t>
    </r>
  </si>
  <si>
    <r>
      <rPr>
        <sz val="11"/>
        <rFont val="Calibri"/>
      </rPr>
      <t>Pangururan</t>
    </r>
  </si>
  <si>
    <r>
      <rPr>
        <sz val="11"/>
        <rFont val="Calibri"/>
      </rPr>
      <t>97°23' - 101°36'</t>
    </r>
  </si>
  <si>
    <r>
      <rPr>
        <sz val="11"/>
        <rFont val="Calibri"/>
      </rPr>
      <t>Serdang Bedagai</t>
    </r>
  </si>
  <si>
    <r>
      <rPr>
        <sz val="11"/>
        <rFont val="Calibri"/>
      </rPr>
      <t>Sumatra Utara</t>
    </r>
  </si>
  <si>
    <r>
      <rPr>
        <sz val="11"/>
        <rFont val="Calibri"/>
      </rPr>
      <t>Sei Rampah</t>
    </r>
  </si>
  <si>
    <r>
      <rPr>
        <sz val="11"/>
        <rFont val="Calibri"/>
      </rPr>
      <t>97°23' - 101°36'</t>
    </r>
  </si>
  <si>
    <r>
      <rPr>
        <sz val="11"/>
        <rFont val="Calibri"/>
      </rPr>
      <t>Batu Bara</t>
    </r>
  </si>
  <si>
    <r>
      <rPr>
        <sz val="11"/>
        <rFont val="Calibri"/>
      </rPr>
      <t>Sumatra Utara</t>
    </r>
  </si>
  <si>
    <r>
      <rPr>
        <sz val="11"/>
        <rFont val="Calibri"/>
      </rPr>
      <t>Limapuluh</t>
    </r>
  </si>
  <si>
    <r>
      <rPr>
        <sz val="11"/>
        <rFont val="Calibri"/>
      </rPr>
      <t>97°23' - 101°36'</t>
    </r>
  </si>
  <si>
    <r>
      <rPr>
        <sz val="11"/>
        <rFont val="Calibri"/>
      </rPr>
      <t>Padang Lawas Utara</t>
    </r>
  </si>
  <si>
    <r>
      <rPr>
        <sz val="11"/>
        <rFont val="Calibri"/>
      </rPr>
      <t>Sumatra Utara</t>
    </r>
  </si>
  <si>
    <r>
      <rPr>
        <sz val="11"/>
        <rFont val="Calibri"/>
      </rPr>
      <t>Gunung Tua</t>
    </r>
  </si>
  <si>
    <r>
      <rPr>
        <sz val="11"/>
        <rFont val="Calibri"/>
      </rPr>
      <t>97°23' - 101°36'</t>
    </r>
  </si>
  <si>
    <r>
      <rPr>
        <sz val="11"/>
        <rFont val="Calibri"/>
      </rPr>
      <t>Kabupaten Padang Lawas</t>
    </r>
  </si>
  <si>
    <r>
      <rPr>
        <sz val="11"/>
        <rFont val="Calibri"/>
      </rPr>
      <t>Sumatra Utara</t>
    </r>
  </si>
  <si>
    <r>
      <rPr>
        <sz val="11"/>
        <rFont val="Calibri"/>
      </rPr>
      <t>Sibuhuan</t>
    </r>
  </si>
  <si>
    <r>
      <rPr>
        <sz val="11"/>
        <rFont val="Calibri"/>
      </rPr>
      <t>Labuhanbatu Selatan</t>
    </r>
  </si>
  <si>
    <r>
      <rPr>
        <sz val="11"/>
        <rFont val="Calibri"/>
      </rPr>
      <t>Sumatra Utara</t>
    </r>
  </si>
  <si>
    <r>
      <rPr>
        <sz val="11"/>
        <rFont val="Calibri"/>
      </rPr>
      <t>Kota Pinang</t>
    </r>
  </si>
  <si>
    <r>
      <rPr>
        <sz val="11"/>
        <rFont val="Calibri"/>
      </rPr>
      <t>97°23' - 101°36'</t>
    </r>
  </si>
  <si>
    <r>
      <rPr>
        <sz val="11"/>
        <rFont val="Calibri"/>
      </rPr>
      <t>Labuhanbatu Utara</t>
    </r>
  </si>
  <si>
    <r>
      <rPr>
        <sz val="11"/>
        <rFont val="Calibri"/>
      </rPr>
      <t>Sumatra Utara</t>
    </r>
  </si>
  <si>
    <r>
      <rPr>
        <sz val="11"/>
        <rFont val="Calibri"/>
      </rPr>
      <t>Aek Kanopan</t>
    </r>
  </si>
  <si>
    <r>
      <rPr>
        <sz val="11"/>
        <rFont val="Calibri"/>
      </rPr>
      <t>97°23' - 101°36'</t>
    </r>
  </si>
  <si>
    <r>
      <rPr>
        <sz val="11"/>
        <rFont val="Calibri"/>
      </rPr>
      <t>Nias Utara</t>
    </r>
  </si>
  <si>
    <r>
      <rPr>
        <sz val="11"/>
        <rFont val="Calibri"/>
      </rPr>
      <t>Sumatra Utara</t>
    </r>
  </si>
  <si>
    <r>
      <rPr>
        <sz val="11"/>
        <rFont val="Calibri"/>
      </rPr>
      <t>Lotu</t>
    </r>
  </si>
  <si>
    <r>
      <rPr>
        <sz val="11"/>
        <rFont val="Calibri"/>
      </rPr>
      <t>97°23' - 101°36'</t>
    </r>
  </si>
  <si>
    <r>
      <rPr>
        <sz val="11"/>
        <rFont val="Calibri"/>
      </rPr>
      <t>Nias Barat</t>
    </r>
  </si>
  <si>
    <r>
      <rPr>
        <sz val="11"/>
        <rFont val="Calibri"/>
      </rPr>
      <t>Sumatra Utara</t>
    </r>
  </si>
  <si>
    <r>
      <rPr>
        <sz val="11"/>
        <rFont val="Calibri"/>
      </rPr>
      <t>Lahomi</t>
    </r>
  </si>
  <si>
    <r>
      <rPr>
        <sz val="11"/>
        <rFont val="Calibri"/>
      </rPr>
      <t>97°23' - 101°36'</t>
    </r>
  </si>
  <si>
    <r>
      <rPr>
        <sz val="11"/>
        <rFont val="Calibri"/>
      </rPr>
      <t>Pesisir Selatan</t>
    </r>
  </si>
  <si>
    <r>
      <rPr>
        <sz val="11"/>
        <rFont val="Calibri"/>
      </rPr>
      <t>Sumatra Barat</t>
    </r>
  </si>
  <si>
    <r>
      <rPr>
        <sz val="11"/>
        <rFont val="Calibri"/>
      </rPr>
      <t>Painan</t>
    </r>
  </si>
  <si>
    <r>
      <rPr>
        <sz val="11"/>
        <rFont val="Calibri"/>
      </rPr>
      <t>97°23' - 101°36'</t>
    </r>
  </si>
  <si>
    <r>
      <rPr>
        <sz val="11"/>
        <rFont val="Calibri"/>
      </rPr>
      <t>Solok</t>
    </r>
  </si>
  <si>
    <r>
      <rPr>
        <sz val="11"/>
        <rFont val="Calibri"/>
      </rPr>
      <t>Sumatra Barat</t>
    </r>
  </si>
  <si>
    <r>
      <rPr>
        <sz val="11"/>
        <rFont val="Calibri"/>
      </rPr>
      <t>Arosuka</t>
    </r>
  </si>
  <si>
    <r>
      <rPr>
        <sz val="11"/>
        <rFont val="Calibri"/>
      </rPr>
      <t>97°23' - 101°36'</t>
    </r>
  </si>
  <si>
    <r>
      <rPr>
        <sz val="11"/>
        <rFont val="Calibri"/>
      </rPr>
      <t>Sijunjung</t>
    </r>
  </si>
  <si>
    <r>
      <rPr>
        <sz val="11"/>
        <rFont val="Calibri"/>
      </rPr>
      <t>Sumatra Barat</t>
    </r>
  </si>
  <si>
    <r>
      <rPr>
        <sz val="11"/>
        <rFont val="Calibri"/>
      </rPr>
      <t>Muaro</t>
    </r>
  </si>
  <si>
    <r>
      <rPr>
        <sz val="11"/>
        <rFont val="Calibri"/>
      </rPr>
      <t>97°23' - 101°36'</t>
    </r>
  </si>
  <si>
    <r>
      <rPr>
        <sz val="11"/>
        <rFont val="Calibri"/>
      </rPr>
      <t>Tanah Datar</t>
    </r>
  </si>
  <si>
    <r>
      <rPr>
        <sz val="11"/>
        <rFont val="Calibri"/>
      </rPr>
      <t>Sumatra Barat</t>
    </r>
  </si>
  <si>
    <r>
      <rPr>
        <sz val="11"/>
        <rFont val="Calibri"/>
      </rPr>
      <t>Batusangkar</t>
    </r>
  </si>
  <si>
    <r>
      <rPr>
        <sz val="11"/>
        <rFont val="Calibri"/>
      </rPr>
      <t>97°23' - 101°36'</t>
    </r>
  </si>
  <si>
    <r>
      <rPr>
        <sz val="11"/>
        <rFont val="Calibri"/>
      </rPr>
      <t>Padang Pariaman</t>
    </r>
  </si>
  <si>
    <r>
      <rPr>
        <sz val="11"/>
        <rFont val="Calibri"/>
      </rPr>
      <t>Sumatra Barat</t>
    </r>
  </si>
  <si>
    <r>
      <rPr>
        <sz val="11"/>
        <rFont val="Calibri"/>
      </rPr>
      <t>Parit Malintang</t>
    </r>
  </si>
  <si>
    <r>
      <rPr>
        <sz val="11"/>
        <rFont val="Calibri"/>
      </rPr>
      <t>97°23' - 101°36'</t>
    </r>
  </si>
  <si>
    <r>
      <rPr>
        <sz val="11"/>
        <rFont val="Calibri"/>
      </rPr>
      <t>Agam</t>
    </r>
  </si>
  <si>
    <r>
      <rPr>
        <sz val="11"/>
        <rFont val="Calibri"/>
      </rPr>
      <t>Sumatra Barat</t>
    </r>
  </si>
  <si>
    <r>
      <rPr>
        <sz val="11"/>
        <rFont val="Calibri"/>
      </rPr>
      <t>Lubuk Basung</t>
    </r>
  </si>
  <si>
    <r>
      <rPr>
        <sz val="11"/>
        <rFont val="Calibri"/>
      </rPr>
      <t>97°23' - 101°36'</t>
    </r>
  </si>
  <si>
    <r>
      <rPr>
        <sz val="11"/>
        <rFont val="Calibri"/>
      </rPr>
      <t>Lima Puluh Kota</t>
    </r>
  </si>
  <si>
    <r>
      <rPr>
        <sz val="11"/>
        <rFont val="Calibri"/>
      </rPr>
      <t>Sumatra Barat</t>
    </r>
  </si>
  <si>
    <r>
      <rPr>
        <sz val="11"/>
        <rFont val="Calibri"/>
      </rPr>
      <t>Sarilamak</t>
    </r>
  </si>
  <si>
    <r>
      <rPr>
        <sz val="11"/>
        <rFont val="Calibri"/>
      </rPr>
      <t>97°23' - 101°36'</t>
    </r>
  </si>
  <si>
    <r>
      <rPr>
        <sz val="11"/>
        <rFont val="Calibri"/>
      </rPr>
      <t>Pasaman</t>
    </r>
  </si>
  <si>
    <r>
      <rPr>
        <sz val="11"/>
        <rFont val="Calibri"/>
      </rPr>
      <t>Sumatra Barat</t>
    </r>
  </si>
  <si>
    <r>
      <rPr>
        <sz val="11"/>
        <rFont val="Calibri"/>
      </rPr>
      <t>Lubuk Sikaping</t>
    </r>
  </si>
  <si>
    <r>
      <rPr>
        <sz val="11"/>
        <rFont val="Calibri"/>
      </rPr>
      <t>97°23' - 101°36'</t>
    </r>
  </si>
  <si>
    <r>
      <rPr>
        <sz val="11"/>
        <rFont val="Calibri"/>
      </rPr>
      <t>Kepulauan Mentawai</t>
    </r>
  </si>
  <si>
    <r>
      <rPr>
        <sz val="11"/>
        <rFont val="Calibri"/>
      </rPr>
      <t>Sumatra Barat</t>
    </r>
  </si>
  <si>
    <r>
      <rPr>
        <sz val="11"/>
        <rFont val="Calibri"/>
      </rPr>
      <t>Tuapeijat</t>
    </r>
  </si>
  <si>
    <r>
      <rPr>
        <sz val="11"/>
        <rFont val="Calibri"/>
      </rPr>
      <t>97°23' - 101°36'</t>
    </r>
  </si>
  <si>
    <r>
      <rPr>
        <sz val="11"/>
        <rFont val="Calibri"/>
      </rPr>
      <t>Dharmasraya</t>
    </r>
  </si>
  <si>
    <r>
      <rPr>
        <sz val="11"/>
        <rFont val="Calibri"/>
      </rPr>
      <t>Sumatra Barat</t>
    </r>
  </si>
  <si>
    <r>
      <rPr>
        <sz val="11"/>
        <rFont val="Calibri"/>
      </rPr>
      <t>Pulau Punjung</t>
    </r>
  </si>
  <si>
    <r>
      <rPr>
        <sz val="11"/>
        <rFont val="Calibri"/>
      </rPr>
      <t>97°23' - 101°36'</t>
    </r>
  </si>
  <si>
    <r>
      <rPr>
        <sz val="11"/>
        <rFont val="Calibri"/>
      </rPr>
      <t>Solok Selatan</t>
    </r>
  </si>
  <si>
    <r>
      <rPr>
        <sz val="11"/>
        <rFont val="Calibri"/>
      </rPr>
      <t>Sumatra Barat</t>
    </r>
  </si>
  <si>
    <r>
      <rPr>
        <sz val="11"/>
        <rFont val="Calibri"/>
      </rPr>
      <t>Padang Aro</t>
    </r>
  </si>
  <si>
    <r>
      <rPr>
        <sz val="11"/>
        <rFont val="Calibri"/>
      </rPr>
      <t>97°23' - 101°36'</t>
    </r>
  </si>
  <si>
    <r>
      <rPr>
        <sz val="11"/>
        <rFont val="Calibri"/>
      </rPr>
      <t>Pasaman Barat</t>
    </r>
  </si>
  <si>
    <r>
      <rPr>
        <sz val="11"/>
        <rFont val="Calibri"/>
      </rPr>
      <t>Sumatra Barat</t>
    </r>
  </si>
  <si>
    <r>
      <rPr>
        <sz val="11"/>
        <rFont val="Calibri"/>
      </rPr>
      <t>Simpang Ampek</t>
    </r>
  </si>
  <si>
    <r>
      <rPr>
        <sz val="11"/>
        <rFont val="Calibri"/>
      </rPr>
      <t>97°23' - 101°36'</t>
    </r>
  </si>
  <si>
    <r>
      <rPr>
        <sz val="11"/>
        <rFont val="Calibri"/>
      </rPr>
      <t>Kampar</t>
    </r>
  </si>
  <si>
    <r>
      <rPr>
        <sz val="11"/>
        <rFont val="Calibri"/>
      </rPr>
      <t>Riau</t>
    </r>
  </si>
  <si>
    <r>
      <rPr>
        <sz val="11"/>
        <rFont val="Calibri"/>
      </rPr>
      <t>Bangkinang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</si>
  <si>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</si>
  <si>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Hulu</t>
    </r>
  </si>
  <si>
    <r>
      <rPr>
        <sz val="11"/>
        <rFont val="Calibri"/>
      </rPr>
      <t>Riau</t>
    </r>
  </si>
  <si>
    <r>
      <rPr>
        <sz val="11"/>
        <rFont val="Calibri"/>
      </rPr>
      <t>Rengat</t>
    </r>
  </si>
  <si>
    <r>
      <rPr>
        <sz val="11"/>
        <rFont val="Calibri"/>
      </rPr>
      <t>100°26' - 102°59'</t>
    </r>
  </si>
  <si>
    <r>
      <rPr>
        <sz val="11"/>
        <rFont val="Calibri"/>
      </rPr>
      <t>Bengkalis</t>
    </r>
  </si>
  <si>
    <r>
      <rPr>
        <sz val="11"/>
        <rFont val="Calibri"/>
      </rPr>
      <t>Riau</t>
    </r>
  </si>
  <si>
    <r>
      <rPr>
        <sz val="11"/>
        <rFont val="Calibri"/>
      </rPr>
      <t>Bengkalis</t>
    </r>
  </si>
  <si>
    <r>
      <rPr>
        <sz val="11"/>
        <rFont val="Calibri"/>
      </rPr>
      <t>100°26' - 102°59'</t>
    </r>
  </si>
  <si>
    <r>
      <rPr>
        <sz val="11"/>
        <rFont val="Calibri"/>
      </rPr>
      <t>Indragiri Hilir</t>
    </r>
  </si>
  <si>
    <r>
      <rPr>
        <sz val="11"/>
        <rFont val="Calibri"/>
      </rPr>
      <t>Riau</t>
    </r>
  </si>
  <si>
    <r>
      <rPr>
        <sz val="11"/>
        <rFont val="Calibri"/>
      </rPr>
      <t>Tembilahan</t>
    </r>
  </si>
  <si>
    <r>
      <rPr>
        <sz val="11"/>
        <rFont val="Calibri"/>
      </rPr>
      <t>100°26' - 102°59'</t>
    </r>
  </si>
  <si>
    <r>
      <rPr>
        <sz val="11"/>
        <rFont val="Calibri"/>
      </rPr>
      <t>Pelalawan</t>
    </r>
  </si>
  <si>
    <r>
      <rPr>
        <sz val="11"/>
        <rFont val="Calibri"/>
      </rPr>
      <t>Riau</t>
    </r>
  </si>
  <si>
    <r>
      <rPr>
        <sz val="11"/>
        <rFont val="Calibri"/>
      </rPr>
      <t>Pangkalan Kerinci</t>
    </r>
  </si>
  <si>
    <r>
      <rPr>
        <sz val="11"/>
        <rFont val="Calibri"/>
      </rPr>
      <t>100°26' - 102°59'</t>
    </r>
  </si>
  <si>
    <r>
      <rPr>
        <sz val="11"/>
        <rFont val="Calibri"/>
      </rPr>
      <t>Rokan Hulu</t>
    </r>
  </si>
  <si>
    <r>
      <rPr>
        <sz val="11"/>
        <rFont val="Calibri"/>
      </rPr>
      <t>Riau</t>
    </r>
  </si>
  <si>
    <r>
      <rPr>
        <sz val="11"/>
        <rFont val="Calibri"/>
      </rPr>
      <t>Pasir Pengaraian</t>
    </r>
  </si>
  <si>
    <r>
      <rPr>
        <sz val="11"/>
        <rFont val="Calibri"/>
      </rPr>
      <t>100°26' - 102°59'</t>
    </r>
  </si>
  <si>
    <r>
      <rPr>
        <sz val="11"/>
        <rFont val="Calibri"/>
      </rPr>
      <t>Rokan Hilir</t>
    </r>
  </si>
  <si>
    <r>
      <rPr>
        <sz val="11"/>
        <rFont val="Calibri"/>
      </rPr>
      <t>Riau</t>
    </r>
  </si>
  <si>
    <r>
      <rPr>
        <sz val="11"/>
        <rFont val="Calibri"/>
      </rPr>
      <t>Ujung Tanjung</t>
    </r>
  </si>
  <si>
    <r>
      <rPr>
        <sz val="11"/>
        <rFont val="Calibri"/>
      </rPr>
      <t>100°26' - 102°59'</t>
    </r>
  </si>
  <si>
    <r>
      <rPr>
        <sz val="11"/>
        <rFont val="Calibri"/>
      </rPr>
      <t>Siak</t>
    </r>
  </si>
  <si>
    <r>
      <rPr>
        <sz val="11"/>
        <rFont val="Calibri"/>
      </rPr>
      <t>Riau</t>
    </r>
  </si>
  <si>
    <r>
      <rPr>
        <sz val="11"/>
        <rFont val="Calibri"/>
      </rPr>
      <t>Siak Sri Indrapura</t>
    </r>
  </si>
  <si>
    <r>
      <rPr>
        <sz val="11"/>
        <rFont val="Calibri"/>
      </rPr>
      <t>100°26' - 102°59'</t>
    </r>
  </si>
  <si>
    <r>
      <rPr>
        <sz val="11"/>
        <rFont val="Calibri"/>
      </rPr>
      <t>Kuantan Singingi</t>
    </r>
  </si>
  <si>
    <r>
      <rPr>
        <sz val="11"/>
        <rFont val="Calibri"/>
      </rPr>
      <t>Riau</t>
    </r>
  </si>
  <si>
    <r>
      <rPr>
        <sz val="11"/>
        <rFont val="Calibri"/>
      </rPr>
      <t>Taluk Kuantan</t>
    </r>
  </si>
  <si>
    <r>
      <rPr>
        <sz val="11"/>
        <rFont val="Calibri"/>
      </rPr>
      <t>100°26' - 102°59'</t>
    </r>
  </si>
  <si>
    <r>
      <rPr>
        <sz val="11"/>
        <rFont val="Calibri"/>
      </rPr>
      <t>Kepulauan Meranti</t>
    </r>
  </si>
  <si>
    <r>
      <rPr>
        <sz val="11"/>
        <rFont val="Calibri"/>
      </rPr>
      <t>Riau</t>
    </r>
  </si>
  <si>
    <r>
      <rPr>
        <sz val="11"/>
        <rFont val="Calibri"/>
      </rPr>
      <t>Selatpanjang</t>
    </r>
  </si>
  <si>
    <r>
      <rPr>
        <sz val="11"/>
        <rFont val="Calibri"/>
      </rPr>
      <t>100°26' - 102°59'</t>
    </r>
  </si>
  <si>
    <r>
      <rPr>
        <sz val="11"/>
        <rFont val="Calibri"/>
      </rPr>
      <t>Kerinci</t>
    </r>
  </si>
  <si>
    <r>
      <rPr>
        <sz val="11"/>
        <rFont val="Calibri"/>
      </rPr>
      <t>Jambi</t>
    </r>
  </si>
  <si>
    <r>
      <rPr>
        <sz val="11"/>
        <rFont val="Calibri"/>
      </rPr>
      <t>Sungaipenuh</t>
    </r>
  </si>
  <si>
    <r>
      <rPr>
        <sz val="11"/>
        <rFont val="Calibri"/>
      </rPr>
      <t>101°26' - 103°49'</t>
    </r>
  </si>
  <si>
    <r>
      <rPr>
        <sz val="11"/>
        <rFont val="Calibri"/>
      </rPr>
      <t>Merangin</t>
    </r>
  </si>
  <si>
    <r>
      <rPr>
        <sz val="11"/>
        <rFont val="Calibri"/>
      </rPr>
      <t>Jambi</t>
    </r>
  </si>
  <si>
    <r>
      <rPr>
        <sz val="11"/>
        <rFont val="Calibri"/>
      </rPr>
      <t>Bangko</t>
    </r>
  </si>
  <si>
    <r>
      <rPr>
        <sz val="11"/>
        <rFont val="Calibri"/>
      </rPr>
      <t>101°26' - 103°49'</t>
    </r>
  </si>
  <si>
    <r>
      <rPr>
        <sz val="11"/>
        <rFont val="Calibri"/>
      </rPr>
      <t>Sarolangun</t>
    </r>
  </si>
  <si>
    <r>
      <rPr>
        <sz val="11"/>
        <rFont val="Calibri"/>
      </rPr>
      <t>Jambi</t>
    </r>
  </si>
  <si>
    <r>
      <rPr>
        <sz val="11"/>
        <rFont val="Calibri"/>
      </rPr>
      <t>Sarolangun</t>
    </r>
  </si>
  <si>
    <r>
      <rPr>
        <sz val="11"/>
        <rFont val="Calibri"/>
      </rPr>
      <t>101°26' - 103°49'</t>
    </r>
  </si>
  <si>
    <r>
      <rPr>
        <sz val="11"/>
        <rFont val="Calibri"/>
      </rPr>
      <t>Batanghari</t>
    </r>
  </si>
  <si>
    <r>
      <rPr>
        <sz val="11"/>
        <rFont val="Calibri"/>
      </rPr>
      <t>Jambi</t>
    </r>
  </si>
  <si>
    <r>
      <rPr>
        <sz val="11"/>
        <rFont val="Calibri"/>
      </rPr>
      <t>Muara Bulian</t>
    </r>
  </si>
  <si>
    <r>
      <rPr>
        <sz val="11"/>
        <rFont val="Calibri"/>
      </rPr>
      <t>101°26' - 103°49'</t>
    </r>
  </si>
  <si>
    <r>
      <rPr>
        <sz val="11"/>
        <rFont val="Calibri"/>
      </rPr>
      <t>Muaro Jambi</t>
    </r>
  </si>
  <si>
    <r>
      <rPr>
        <sz val="11"/>
        <rFont val="Calibri"/>
      </rPr>
      <t>Jambi</t>
    </r>
  </si>
  <si>
    <r>
      <rPr>
        <sz val="11"/>
        <rFont val="Calibri"/>
      </rPr>
      <t>Sengeti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</si>
  <si>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</si>
  <si>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Barat</t>
    </r>
  </si>
  <si>
    <r>
      <rPr>
        <sz val="11"/>
        <rFont val="Calibri"/>
      </rPr>
      <t>Jambi</t>
    </r>
  </si>
  <si>
    <r>
      <rPr>
        <sz val="11"/>
        <rFont val="Calibri"/>
      </rPr>
      <t>Kuala Tungkal</t>
    </r>
  </si>
  <si>
    <r>
      <rPr>
        <sz val="11"/>
        <rFont val="Calibri"/>
      </rPr>
      <t>101°26' - 103°49'</t>
    </r>
  </si>
  <si>
    <r>
      <rPr>
        <sz val="11"/>
        <rFont val="Calibri"/>
      </rPr>
      <t>Tanjung Jabung Timur</t>
    </r>
  </si>
  <si>
    <r>
      <rPr>
        <sz val="11"/>
        <rFont val="Calibri"/>
      </rPr>
      <t>Jambi</t>
    </r>
  </si>
  <si>
    <r>
      <rPr>
        <sz val="11"/>
        <rFont val="Calibri"/>
      </rPr>
      <t>Muara Sabak</t>
    </r>
  </si>
  <si>
    <r>
      <rPr>
        <sz val="11"/>
        <rFont val="Calibri"/>
      </rPr>
      <t>101°26' - 103°49'</t>
    </r>
  </si>
  <si>
    <r>
      <rPr>
        <sz val="11"/>
        <rFont val="Calibri"/>
      </rPr>
      <t>Bungo</t>
    </r>
  </si>
  <si>
    <r>
      <rPr>
        <sz val="11"/>
        <rFont val="Calibri"/>
      </rPr>
      <t>Jambi</t>
    </r>
  </si>
  <si>
    <r>
      <rPr>
        <sz val="11"/>
        <rFont val="Calibri"/>
      </rPr>
      <t>Muara Bungo</t>
    </r>
  </si>
  <si>
    <r>
      <rPr>
        <sz val="11"/>
        <rFont val="Calibri"/>
      </rPr>
      <t>101°26' - 103°49'</t>
    </r>
  </si>
  <si>
    <r>
      <rPr>
        <sz val="11"/>
        <rFont val="Calibri"/>
      </rPr>
      <t>Tebo</t>
    </r>
  </si>
  <si>
    <r>
      <rPr>
        <sz val="11"/>
        <rFont val="Calibri"/>
      </rPr>
      <t>Jambi</t>
    </r>
  </si>
  <si>
    <r>
      <rPr>
        <sz val="11"/>
        <rFont val="Calibri"/>
      </rPr>
      <t>Muara Tebo</t>
    </r>
  </si>
  <si>
    <r>
      <rPr>
        <sz val="11"/>
        <rFont val="Calibri"/>
      </rPr>
      <t>101°26' - 103°49'</t>
    </r>
  </si>
  <si>
    <r>
      <rPr>
        <sz val="11"/>
        <rFont val="Calibri"/>
      </rPr>
      <t>Ogan Komering Ulu</t>
    </r>
  </si>
  <si>
    <r>
      <rPr>
        <sz val="11"/>
        <rFont val="Calibri"/>
      </rPr>
      <t>Sumatra Selatan</t>
    </r>
  </si>
  <si>
    <r>
      <rPr>
        <sz val="11"/>
        <rFont val="Calibri"/>
      </rPr>
      <t>Baturaja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</si>
  <si>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</si>
  <si>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Ilir</t>
    </r>
  </si>
  <si>
    <r>
      <rPr>
        <sz val="11"/>
        <rFont val="Calibri"/>
      </rPr>
      <t>Sumatra Selatan</t>
    </r>
  </si>
  <si>
    <r>
      <rPr>
        <sz val="11"/>
        <rFont val="Calibri"/>
      </rPr>
      <t>Kota Kayu Agung</t>
    </r>
  </si>
  <si>
    <r>
      <rPr>
        <sz val="11"/>
        <rFont val="Calibri"/>
      </rPr>
      <t>102°42' - 105°13'</t>
    </r>
  </si>
  <si>
    <r>
      <rPr>
        <sz val="11"/>
        <rFont val="Calibri"/>
      </rPr>
      <t>Muara Enim</t>
    </r>
  </si>
  <si>
    <r>
      <rPr>
        <sz val="11"/>
        <rFont val="Calibri"/>
      </rPr>
      <t>Sumatra Selatan</t>
    </r>
  </si>
  <si>
    <r>
      <rPr>
        <sz val="11"/>
        <rFont val="Calibri"/>
      </rPr>
      <t>Muara Enim</t>
    </r>
  </si>
  <si>
    <r>
      <rPr>
        <sz val="11"/>
        <rFont val="Calibri"/>
      </rPr>
      <t>102°42' - 105°13'</t>
    </r>
  </si>
  <si>
    <r>
      <rPr>
        <sz val="11"/>
        <rFont val="Calibri"/>
      </rPr>
      <t>Lahat</t>
    </r>
  </si>
  <si>
    <r>
      <rPr>
        <sz val="11"/>
        <rFont val="Calibri"/>
      </rPr>
      <t>Sumatra Selatan</t>
    </r>
  </si>
  <si>
    <r>
      <rPr>
        <sz val="11"/>
        <rFont val="Calibri"/>
      </rPr>
      <t>Lahat</t>
    </r>
  </si>
  <si>
    <r>
      <rPr>
        <sz val="11"/>
        <rFont val="Calibri"/>
      </rPr>
      <t>102°42' - 105°13'</t>
    </r>
  </si>
  <si>
    <r>
      <rPr>
        <sz val="11"/>
        <rFont val="Calibri"/>
      </rPr>
      <t>Musi Rawas</t>
    </r>
  </si>
  <si>
    <r>
      <rPr>
        <sz val="11"/>
        <rFont val="Calibri"/>
      </rPr>
      <t>Sumatra Selatan</t>
    </r>
  </si>
  <si>
    <r>
      <rPr>
        <sz val="11"/>
        <rFont val="Calibri"/>
      </rPr>
      <t>Muara Beliti Baru</t>
    </r>
  </si>
  <si>
    <r>
      <rPr>
        <sz val="11"/>
        <rFont val="Calibri"/>
      </rPr>
      <t>102°42' - 105°13'</t>
    </r>
  </si>
  <si>
    <r>
      <rPr>
        <sz val="11"/>
        <rFont val="Calibri"/>
      </rPr>
      <t>Musi Banyuasin</t>
    </r>
  </si>
  <si>
    <r>
      <rPr>
        <sz val="11"/>
        <rFont val="Calibri"/>
      </rPr>
      <t>Sumatra Selatan</t>
    </r>
  </si>
  <si>
    <r>
      <rPr>
        <sz val="11"/>
        <rFont val="Calibri"/>
      </rPr>
      <t>Sekayu</t>
    </r>
  </si>
  <si>
    <r>
      <rPr>
        <sz val="11"/>
        <rFont val="Calibri"/>
      </rPr>
      <t>102°42' - 105°13'</t>
    </r>
  </si>
  <si>
    <r>
      <rPr>
        <sz val="11"/>
        <rFont val="Calibri"/>
      </rPr>
      <t>Banyuasin</t>
    </r>
  </si>
  <si>
    <r>
      <rPr>
        <sz val="11"/>
        <rFont val="Calibri"/>
      </rPr>
      <t>Sumatra Selatan</t>
    </r>
  </si>
  <si>
    <r>
      <rPr>
        <sz val="11"/>
        <rFont val="Calibri"/>
      </rPr>
      <t>Kota Pangkalan Balai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</si>
  <si>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</si>
  <si>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Timur</t>
    </r>
  </si>
  <si>
    <r>
      <rPr>
        <sz val="11"/>
        <rFont val="Calibri"/>
      </rPr>
      <t>Sumatra Selatan</t>
    </r>
  </si>
  <si>
    <r>
      <rPr>
        <sz val="11"/>
        <rFont val="Calibri"/>
      </rPr>
      <t>Martapura</t>
    </r>
  </si>
  <si>
    <r>
      <rPr>
        <sz val="11"/>
        <rFont val="Calibri"/>
      </rPr>
      <t>102°42' - 105°13'</t>
    </r>
  </si>
  <si>
    <r>
      <rPr>
        <sz val="11"/>
        <rFont val="Calibri"/>
      </rPr>
      <t>Ogan Komering Ulu Selatan</t>
    </r>
  </si>
  <si>
    <r>
      <rPr>
        <sz val="11"/>
        <rFont val="Calibri"/>
      </rPr>
      <t>Sumatra Selatan</t>
    </r>
  </si>
  <si>
    <r>
      <rPr>
        <sz val="11"/>
        <rFont val="Calibri"/>
      </rPr>
      <t>Muaradua</t>
    </r>
  </si>
  <si>
    <r>
      <rPr>
        <sz val="11"/>
        <rFont val="Calibri"/>
      </rPr>
      <t>102°42' - 105°13'</t>
    </r>
  </si>
  <si>
    <r>
      <rPr>
        <sz val="11"/>
        <rFont val="Calibri"/>
      </rPr>
      <t>Ogan Ilir</t>
    </r>
  </si>
  <si>
    <r>
      <rPr>
        <sz val="11"/>
        <rFont val="Calibri"/>
      </rPr>
      <t>Sumatra Selatan</t>
    </r>
  </si>
  <si>
    <r>
      <rPr>
        <sz val="11"/>
        <rFont val="Calibri"/>
      </rPr>
      <t>Indralaya</t>
    </r>
  </si>
  <si>
    <r>
      <rPr>
        <sz val="11"/>
        <rFont val="Calibri"/>
      </rPr>
      <t>102°42' - 105°13'</t>
    </r>
  </si>
  <si>
    <r>
      <rPr>
        <sz val="11"/>
        <rFont val="Calibri"/>
      </rPr>
      <t>Empat Lawang</t>
    </r>
  </si>
  <si>
    <r>
      <rPr>
        <sz val="11"/>
        <rFont val="Calibri"/>
      </rPr>
      <t>Sumatra Selatan</t>
    </r>
  </si>
  <si>
    <r>
      <rPr>
        <sz val="11"/>
        <rFont val="Calibri"/>
      </rPr>
      <t>Tebing Tinggi</t>
    </r>
  </si>
  <si>
    <r>
      <rPr>
        <sz val="11"/>
        <rFont val="Calibri"/>
      </rPr>
      <t>102°42' - 105°13'</t>
    </r>
  </si>
  <si>
    <r>
      <rPr>
        <sz val="11"/>
        <rFont val="Calibri"/>
      </rPr>
      <t>Penukal Abab Lematang Ilir</t>
    </r>
  </si>
  <si>
    <r>
      <rPr>
        <sz val="11"/>
        <rFont val="Calibri"/>
      </rPr>
      <t>Sumatra Selatan</t>
    </r>
  </si>
  <si>
    <r>
      <rPr>
        <sz val="11"/>
        <rFont val="Calibri"/>
      </rPr>
      <t>Talang Ubi</t>
    </r>
  </si>
  <si>
    <r>
      <rPr>
        <sz val="11"/>
        <rFont val="Calibri"/>
      </rPr>
      <t>102°42' - 105°13'</t>
    </r>
  </si>
  <si>
    <r>
      <rPr>
        <sz val="11"/>
        <rFont val="Calibri"/>
      </rPr>
      <t>Musi Rawas Utara</t>
    </r>
  </si>
  <si>
    <r>
      <rPr>
        <sz val="11"/>
        <rFont val="Calibri"/>
      </rPr>
      <t>Sumatra Selatan</t>
    </r>
  </si>
  <si>
    <r>
      <rPr>
        <sz val="11"/>
        <rFont val="Calibri"/>
      </rPr>
      <t>Rupit</t>
    </r>
  </si>
  <si>
    <r>
      <rPr>
        <sz val="11"/>
        <rFont val="Calibri"/>
      </rPr>
      <t>102°42' - 105°13'</t>
    </r>
  </si>
  <si>
    <r>
      <rPr>
        <sz val="11"/>
        <rFont val="Calibri"/>
      </rPr>
      <t>Bengkulu Selatan</t>
    </r>
  </si>
  <si>
    <r>
      <rPr>
        <sz val="11"/>
        <rFont val="Calibri"/>
      </rPr>
      <t>Bengkulu</t>
    </r>
  </si>
  <si>
    <r>
      <rPr>
        <sz val="11"/>
        <rFont val="Calibri"/>
      </rPr>
      <t>Kota Manna</t>
    </r>
  </si>
  <si>
    <r>
      <rPr>
        <sz val="11"/>
        <rFont val="Calibri"/>
      </rPr>
      <t>101°7' - 103°15'</t>
    </r>
  </si>
  <si>
    <r>
      <rPr>
        <sz val="11"/>
        <rFont val="Calibri"/>
      </rPr>
      <t>Rejang Lebong</t>
    </r>
  </si>
  <si>
    <r>
      <rPr>
        <sz val="11"/>
        <rFont val="Calibri"/>
      </rPr>
      <t>Bengkulu</t>
    </r>
  </si>
  <si>
    <r>
      <rPr>
        <sz val="11"/>
        <rFont val="Calibri"/>
      </rPr>
      <t>Curup</t>
    </r>
  </si>
  <si>
    <r>
      <rPr>
        <sz val="11"/>
        <rFont val="Calibri"/>
      </rPr>
      <t>101°7' - 103°15'</t>
    </r>
  </si>
  <si>
    <r>
      <rPr>
        <sz val="11"/>
        <rFont val="Calibri"/>
      </rPr>
      <t>Bengkulu Utara</t>
    </r>
  </si>
  <si>
    <r>
      <rPr>
        <sz val="11"/>
        <rFont val="Calibri"/>
      </rPr>
      <t>Bengkulu</t>
    </r>
  </si>
  <si>
    <r>
      <rPr>
        <sz val="11"/>
        <rFont val="Calibri"/>
      </rPr>
      <t>Kota Arga Makmur</t>
    </r>
  </si>
  <si>
    <r>
      <rPr>
        <sz val="11"/>
        <rFont val="Calibri"/>
      </rPr>
      <t>101°7' - 103°15'</t>
    </r>
  </si>
  <si>
    <r>
      <rPr>
        <sz val="11"/>
        <rFont val="Calibri"/>
      </rPr>
      <t>Kaur</t>
    </r>
  </si>
  <si>
    <r>
      <rPr>
        <sz val="11"/>
        <rFont val="Calibri"/>
      </rPr>
      <t>Bengkulu</t>
    </r>
  </si>
  <si>
    <r>
      <rPr>
        <sz val="11"/>
        <rFont val="Calibri"/>
      </rPr>
      <t>Bintuhan</t>
    </r>
  </si>
  <si>
    <r>
      <rPr>
        <sz val="11"/>
        <rFont val="Calibri"/>
      </rPr>
      <t>101°7' - 103°15'</t>
    </r>
  </si>
  <si>
    <r>
      <rPr>
        <sz val="11"/>
        <rFont val="Calibri"/>
      </rPr>
      <t>Seluma</t>
    </r>
  </si>
  <si>
    <r>
      <rPr>
        <sz val="11"/>
        <rFont val="Calibri"/>
      </rPr>
      <t>Bengkulu</t>
    </r>
  </si>
  <si>
    <r>
      <rPr>
        <sz val="11"/>
        <rFont val="Calibri"/>
      </rPr>
      <t>Tais</t>
    </r>
  </si>
  <si>
    <r>
      <rPr>
        <sz val="11"/>
        <rFont val="Calibri"/>
      </rPr>
      <t>101°7' - 103°15'</t>
    </r>
  </si>
  <si>
    <r>
      <rPr>
        <sz val="11"/>
        <rFont val="Calibri"/>
      </rPr>
      <t>Mukomuko</t>
    </r>
  </si>
  <si>
    <r>
      <rPr>
        <sz val="11"/>
        <rFont val="Calibri"/>
      </rPr>
      <t>Bengkulu</t>
    </r>
  </si>
  <si>
    <r>
      <rPr>
        <sz val="11"/>
        <rFont val="Calibri"/>
      </rPr>
      <t>Mukomuko</t>
    </r>
  </si>
  <si>
    <r>
      <rPr>
        <sz val="11"/>
        <rFont val="Calibri"/>
      </rPr>
      <t>101°7' - 103°15'</t>
    </r>
  </si>
  <si>
    <r>
      <rPr>
        <sz val="11"/>
        <rFont val="Calibri"/>
      </rPr>
      <t>Lebong</t>
    </r>
  </si>
  <si>
    <r>
      <rPr>
        <sz val="11"/>
        <rFont val="Calibri"/>
      </rPr>
      <t>Bengkulu</t>
    </r>
  </si>
  <si>
    <r>
      <rPr>
        <sz val="11"/>
        <rFont val="Calibri"/>
      </rPr>
      <t>Muara Aman</t>
    </r>
  </si>
  <si>
    <r>
      <rPr>
        <sz val="11"/>
        <rFont val="Calibri"/>
      </rPr>
      <t>101°7' - 103°15'</t>
    </r>
  </si>
  <si>
    <r>
      <rPr>
        <sz val="11"/>
        <rFont val="Calibri"/>
      </rPr>
      <t>Kepahiang</t>
    </r>
  </si>
  <si>
    <r>
      <rPr>
        <sz val="11"/>
        <rFont val="Calibri"/>
      </rPr>
      <t>Bengkulu</t>
    </r>
  </si>
  <si>
    <r>
      <rPr>
        <sz val="11"/>
        <rFont val="Calibri"/>
      </rPr>
      <t>Kepahiang</t>
    </r>
  </si>
  <si>
    <r>
      <rPr>
        <sz val="11"/>
        <rFont val="Calibri"/>
      </rPr>
      <t>101°7' - 103°15'</t>
    </r>
  </si>
  <si>
    <r>
      <rPr>
        <sz val="11"/>
        <rFont val="Calibri"/>
      </rPr>
      <t>Bengkulu Tengah</t>
    </r>
  </si>
  <si>
    <r>
      <rPr>
        <sz val="11"/>
        <rFont val="Calibri"/>
      </rPr>
      <t>Bengkulu</t>
    </r>
  </si>
  <si>
    <r>
      <rPr>
        <sz val="11"/>
        <rFont val="Calibri"/>
      </rPr>
      <t>Karang Tinggi</t>
    </r>
  </si>
  <si>
    <r>
      <rPr>
        <sz val="11"/>
        <rFont val="Calibri"/>
      </rPr>
      <t>101°7' - 103°15'</t>
    </r>
  </si>
  <si>
    <r>
      <rPr>
        <sz val="11"/>
        <rFont val="Calibri"/>
      </rPr>
      <t>Lampung Selatan</t>
    </r>
  </si>
  <si>
    <r>
      <rPr>
        <sz val="11"/>
        <rFont val="Calibri"/>
      </rPr>
      <t>Lampung</t>
    </r>
  </si>
  <si>
    <r>
      <rPr>
        <sz val="11"/>
        <rFont val="Calibri"/>
      </rPr>
      <t>Kalianda</t>
    </r>
  </si>
  <si>
    <r>
      <rPr>
        <sz val="11"/>
        <rFont val="Calibri"/>
      </rPr>
      <t>101°7' - 103°15'</t>
    </r>
  </si>
  <si>
    <r>
      <rPr>
        <sz val="11"/>
        <rFont val="Calibri"/>
      </rPr>
      <t>Lampung Tengah</t>
    </r>
  </si>
  <si>
    <r>
      <rPr>
        <sz val="11"/>
        <rFont val="Calibri"/>
      </rPr>
      <t>Lampung</t>
    </r>
  </si>
  <si>
    <r>
      <rPr>
        <sz val="11"/>
        <rFont val="Calibri"/>
      </rPr>
      <t>Gunung Sugih</t>
    </r>
  </si>
  <si>
    <r>
      <rPr>
        <sz val="11"/>
        <rFont val="Calibri"/>
      </rPr>
      <t>101°7' - 103°15'</t>
    </r>
  </si>
  <si>
    <r>
      <rPr>
        <sz val="11"/>
        <rFont val="Calibri"/>
      </rPr>
      <t>Lampung Utara</t>
    </r>
  </si>
  <si>
    <r>
      <rPr>
        <sz val="11"/>
        <rFont val="Calibri"/>
      </rPr>
      <t>Lampung</t>
    </r>
  </si>
  <si>
    <r>
      <rPr>
        <sz val="11"/>
        <rFont val="Calibri"/>
      </rPr>
      <t>Kotabumi</t>
    </r>
  </si>
  <si>
    <r>
      <rPr>
        <sz val="11"/>
        <rFont val="Calibri"/>
      </rPr>
      <t>101°7' - 103°15'</t>
    </r>
  </si>
  <si>
    <r>
      <rPr>
        <sz val="11"/>
        <rFont val="Calibri"/>
      </rPr>
      <t>Lampung Barat</t>
    </r>
  </si>
  <si>
    <r>
      <rPr>
        <sz val="11"/>
        <rFont val="Calibri"/>
      </rPr>
      <t>Lampung</t>
    </r>
  </si>
  <si>
    <r>
      <rPr>
        <sz val="11"/>
        <rFont val="Calibri"/>
      </rPr>
      <t>Kota Liwa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</si>
  <si>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</si>
  <si>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</t>
    </r>
  </si>
  <si>
    <r>
      <rPr>
        <sz val="11"/>
        <rFont val="Calibri"/>
      </rPr>
      <t>Lampung</t>
    </r>
  </si>
  <si>
    <r>
      <rPr>
        <sz val="11"/>
        <rFont val="Calibri"/>
      </rPr>
      <t>Menggala</t>
    </r>
  </si>
  <si>
    <r>
      <rPr>
        <sz val="11"/>
        <rFont val="Calibri"/>
      </rPr>
      <t>101°7' - 103°15'</t>
    </r>
  </si>
  <si>
    <r>
      <rPr>
        <sz val="11"/>
        <rFont val="Calibri"/>
      </rPr>
      <t>Tanggamus</t>
    </r>
  </si>
  <si>
    <r>
      <rPr>
        <sz val="11"/>
        <rFont val="Calibri"/>
      </rPr>
      <t>Lampung</t>
    </r>
  </si>
  <si>
    <r>
      <rPr>
        <sz val="11"/>
        <rFont val="Calibri"/>
      </rPr>
      <t>Kota Agung</t>
    </r>
  </si>
  <si>
    <r>
      <rPr>
        <sz val="11"/>
        <rFont val="Calibri"/>
      </rPr>
      <t>101°7' - 103°15'</t>
    </r>
  </si>
  <si>
    <r>
      <rPr>
        <sz val="11"/>
        <rFont val="Calibri"/>
      </rPr>
      <t>Lampung Timur</t>
    </r>
  </si>
  <si>
    <r>
      <rPr>
        <sz val="11"/>
        <rFont val="Calibri"/>
      </rPr>
      <t>Lampung</t>
    </r>
  </si>
  <si>
    <r>
      <rPr>
        <sz val="11"/>
        <rFont val="Calibri"/>
      </rPr>
      <t>Sukadana,</t>
    </r>
  </si>
  <si>
    <r>
      <rPr>
        <sz val="11"/>
        <rFont val="Calibri"/>
      </rPr>
      <t>101°7' - 103°15'</t>
    </r>
  </si>
  <si>
    <r>
      <rPr>
        <sz val="11"/>
        <rFont val="Calibri"/>
      </rPr>
      <t>Way Kanan</t>
    </r>
  </si>
  <si>
    <r>
      <rPr>
        <sz val="11"/>
        <rFont val="Calibri"/>
      </rPr>
      <t>Lampung</t>
    </r>
  </si>
  <si>
    <r>
      <rPr>
        <sz val="11"/>
        <rFont val="Calibri"/>
      </rPr>
      <t>Blambangan Umpu</t>
    </r>
  </si>
  <si>
    <r>
      <rPr>
        <sz val="11"/>
        <rFont val="Calibri"/>
      </rPr>
      <t>101°7' - 103°15'</t>
    </r>
  </si>
  <si>
    <r>
      <rPr>
        <sz val="11"/>
        <rFont val="Calibri"/>
      </rPr>
      <t>Pesawaran</t>
    </r>
  </si>
  <si>
    <r>
      <rPr>
        <sz val="11"/>
        <rFont val="Calibri"/>
      </rPr>
      <t>Lampung</t>
    </r>
  </si>
  <si>
    <r>
      <rPr>
        <sz val="11"/>
        <rFont val="Calibri"/>
      </rPr>
      <t>Gedong Tataan</t>
    </r>
  </si>
  <si>
    <r>
      <rPr>
        <sz val="11"/>
        <rFont val="Calibri"/>
      </rPr>
      <t>101°7' - 103°15'</t>
    </r>
  </si>
  <si>
    <r>
      <rPr>
        <sz val="11"/>
        <rFont val="Calibri"/>
      </rPr>
      <t>Pringsewu</t>
    </r>
  </si>
  <si>
    <r>
      <rPr>
        <sz val="11"/>
        <rFont val="Calibri"/>
      </rPr>
      <t>Lampung</t>
    </r>
  </si>
  <si>
    <r>
      <rPr>
        <sz val="11"/>
        <rFont val="Calibri"/>
      </rPr>
      <t>Pringsewu</t>
    </r>
  </si>
  <si>
    <r>
      <rPr>
        <sz val="11"/>
        <rFont val="Calibri"/>
      </rPr>
      <t>101°7' - 103°15'</t>
    </r>
  </si>
  <si>
    <r>
      <rPr>
        <sz val="11"/>
        <rFont val="Calibri"/>
      </rPr>
      <t>Mesuji</t>
    </r>
  </si>
  <si>
    <r>
      <rPr>
        <sz val="11"/>
        <rFont val="Calibri"/>
      </rPr>
      <t>Lampung</t>
    </r>
  </si>
  <si>
    <r>
      <rPr>
        <sz val="11"/>
        <rFont val="Calibri"/>
      </rPr>
      <t>Mesuji</t>
    </r>
  </si>
  <si>
    <r>
      <rPr>
        <sz val="11"/>
        <rFont val="Calibri"/>
      </rPr>
      <t>101°7' - 103°15'</t>
    </r>
  </si>
  <si>
    <r>
      <rPr>
        <sz val="11"/>
        <rFont val="Calibri"/>
      </rPr>
      <t>Tulang Bawang Barat</t>
    </r>
  </si>
  <si>
    <r>
      <rPr>
        <sz val="11"/>
        <rFont val="Calibri"/>
      </rPr>
      <t>Lampung</t>
    </r>
  </si>
  <si>
    <r>
      <rPr>
        <sz val="11"/>
        <rFont val="Calibri"/>
      </rPr>
      <t>Tulang Bawang Tengah</t>
    </r>
  </si>
  <si>
    <r>
      <rPr>
        <sz val="11"/>
        <rFont val="Calibri"/>
      </rPr>
      <t>101°7' - 103°15'</t>
    </r>
  </si>
  <si>
    <r>
      <rPr>
        <sz val="11"/>
        <rFont val="Calibri"/>
      </rPr>
      <t>Pesisir Barat</t>
    </r>
  </si>
  <si>
    <r>
      <rPr>
        <sz val="11"/>
        <rFont val="Calibri"/>
      </rPr>
      <t>Lampung</t>
    </r>
  </si>
  <si>
    <r>
      <rPr>
        <sz val="11"/>
        <rFont val="Calibri"/>
      </rPr>
      <t>Pasar Krui</t>
    </r>
  </si>
  <si>
    <r>
      <rPr>
        <sz val="11"/>
        <rFont val="Calibri"/>
      </rPr>
      <t>101°7' - 103°15'</t>
    </r>
  </si>
  <si>
    <r>
      <rPr>
        <sz val="11"/>
        <rFont val="Calibri"/>
      </rPr>
      <t>Bangka</t>
    </r>
  </si>
  <si>
    <r>
      <rPr>
        <sz val="11"/>
        <rFont val="Calibri"/>
      </rPr>
      <t>Kepulauan Bangka Belitung</t>
    </r>
  </si>
  <si>
    <r>
      <rPr>
        <sz val="11"/>
        <rFont val="Calibri"/>
      </rPr>
      <t>Sungailiat</t>
    </r>
  </si>
  <si>
    <r>
      <rPr>
        <sz val="11"/>
        <rFont val="Calibri"/>
      </rPr>
      <t>103°24' - 108°33'</t>
    </r>
  </si>
  <si>
    <r>
      <rPr>
        <sz val="11"/>
        <rFont val="Calibri"/>
      </rPr>
      <t>Belitung</t>
    </r>
  </si>
  <si>
    <r>
      <rPr>
        <sz val="11"/>
        <rFont val="Calibri"/>
      </rPr>
      <t>Kepulauan Bangka Belitung</t>
    </r>
  </si>
  <si>
    <r>
      <rPr>
        <sz val="11"/>
        <rFont val="Calibri"/>
      </rPr>
      <t>Tanjungpandan</t>
    </r>
  </si>
  <si>
    <r>
      <rPr>
        <sz val="11"/>
        <rFont val="Calibri"/>
      </rPr>
      <t>103°24' - 108°33'</t>
    </r>
  </si>
  <si>
    <r>
      <rPr>
        <sz val="11"/>
        <rFont val="Calibri"/>
      </rPr>
      <t>Bangka Selatan</t>
    </r>
  </si>
  <si>
    <r>
      <rPr>
        <sz val="11"/>
        <rFont val="Calibri"/>
      </rPr>
      <t>Kepulauan Bangka Belitung</t>
    </r>
  </si>
  <si>
    <r>
      <rPr>
        <sz val="11"/>
        <rFont val="Calibri"/>
      </rPr>
      <t>Toboali</t>
    </r>
  </si>
  <si>
    <r>
      <rPr>
        <sz val="11"/>
        <rFont val="Calibri"/>
      </rPr>
      <t>103°24' - 108°33'</t>
    </r>
  </si>
  <si>
    <r>
      <rPr>
        <sz val="11"/>
        <rFont val="Calibri"/>
      </rPr>
      <t>Bangka Tengah</t>
    </r>
  </si>
  <si>
    <r>
      <rPr>
        <sz val="11"/>
        <rFont val="Calibri"/>
      </rPr>
      <t>Kepulauan Bangka Belitung</t>
    </r>
  </si>
  <si>
    <r>
      <rPr>
        <sz val="11"/>
        <rFont val="Calibri"/>
      </rPr>
      <t>Koba</t>
    </r>
  </si>
  <si>
    <r>
      <rPr>
        <sz val="11"/>
        <rFont val="Calibri"/>
      </rPr>
      <t>103°24' - 108°33'</t>
    </r>
  </si>
  <si>
    <r>
      <rPr>
        <sz val="11"/>
        <rFont val="Calibri"/>
      </rPr>
      <t>Bangka Barat</t>
    </r>
  </si>
  <si>
    <r>
      <rPr>
        <sz val="11"/>
        <rFont val="Calibri"/>
      </rPr>
      <t>Kepulauan Bangka Belitung</t>
    </r>
  </si>
  <si>
    <r>
      <rPr>
        <sz val="11"/>
        <rFont val="Calibri"/>
      </rPr>
      <t>Muntok</t>
    </r>
  </si>
  <si>
    <r>
      <rPr>
        <sz val="11"/>
        <rFont val="Calibri"/>
      </rPr>
      <t>103°24' - 108°33'</t>
    </r>
  </si>
  <si>
    <r>
      <rPr>
        <sz val="11"/>
        <rFont val="Calibri"/>
      </rPr>
      <t>Belitung Timur</t>
    </r>
  </si>
  <si>
    <r>
      <rPr>
        <sz val="11"/>
        <rFont val="Calibri"/>
      </rPr>
      <t>Kepulauan Bangka Belitung</t>
    </r>
  </si>
  <si>
    <r>
      <rPr>
        <sz val="11"/>
        <rFont val="Calibri"/>
      </rPr>
      <t>Manggar</t>
    </r>
  </si>
  <si>
    <r>
      <rPr>
        <sz val="11"/>
        <rFont val="Calibri"/>
      </rPr>
      <t>103°24' - 108°33'</t>
    </r>
  </si>
  <si>
    <r>
      <rPr>
        <sz val="11"/>
        <rFont val="Calibri"/>
      </rPr>
      <t>Bintan</t>
    </r>
  </si>
  <si>
    <r>
      <rPr>
        <sz val="11"/>
        <rFont val="Calibri"/>
      </rPr>
      <t>Kepulauan Riau</t>
    </r>
  </si>
  <si>
    <r>
      <rPr>
        <sz val="11"/>
        <rFont val="Calibri"/>
      </rPr>
      <t>Teluk Bintan</t>
    </r>
  </si>
  <si>
    <r>
      <rPr>
        <sz val="11"/>
        <rFont val="Calibri"/>
      </rPr>
      <t>103°24' - 108°33'</t>
    </r>
  </si>
  <si>
    <r>
      <rPr>
        <sz val="11"/>
        <rFont val="Calibri"/>
      </rPr>
      <t>Karimun</t>
    </r>
  </si>
  <si>
    <r>
      <rPr>
        <sz val="11"/>
        <rFont val="Calibri"/>
      </rPr>
      <t>Kepulauan Riau</t>
    </r>
  </si>
  <si>
    <r>
      <rPr>
        <sz val="11"/>
        <rFont val="Calibri"/>
      </rPr>
      <t>Tanjung Balai Karimun</t>
    </r>
  </si>
  <si>
    <r>
      <rPr>
        <sz val="11"/>
        <rFont val="Calibri"/>
      </rPr>
      <t>103°24' - 108°33'</t>
    </r>
  </si>
  <si>
    <r>
      <rPr>
        <sz val="11"/>
        <rFont val="Calibri"/>
      </rPr>
      <t>Natuna</t>
    </r>
  </si>
  <si>
    <r>
      <rPr>
        <sz val="11"/>
        <rFont val="Calibri"/>
      </rPr>
      <t>Kepulauan Riau</t>
    </r>
  </si>
  <si>
    <r>
      <rPr>
        <sz val="11"/>
        <rFont val="Calibri"/>
      </rPr>
      <t>Ranai</t>
    </r>
  </si>
  <si>
    <r>
      <rPr>
        <sz val="11"/>
        <rFont val="Calibri"/>
      </rPr>
      <t>103°24' - 108°33'</t>
    </r>
  </si>
  <si>
    <r>
      <rPr>
        <sz val="11"/>
        <rFont val="Calibri"/>
      </rPr>
      <t>Lingga</t>
    </r>
  </si>
  <si>
    <r>
      <rPr>
        <sz val="11"/>
        <rFont val="Calibri"/>
      </rPr>
      <t>Kepulauan Riau</t>
    </r>
  </si>
  <si>
    <r>
      <rPr>
        <sz val="11"/>
        <rFont val="Calibri"/>
      </rPr>
      <t>Daik</t>
    </r>
  </si>
  <si>
    <r>
      <rPr>
        <sz val="11"/>
        <rFont val="Calibri"/>
      </rPr>
      <t>103°24' - 108°33'</t>
    </r>
  </si>
  <si>
    <r>
      <rPr>
        <sz val="11"/>
        <rFont val="Calibri"/>
      </rPr>
      <t>Kepulauan Anambas</t>
    </r>
  </si>
  <si>
    <r>
      <rPr>
        <sz val="11"/>
        <rFont val="Calibri"/>
      </rPr>
      <t>Kepulauan Riau</t>
    </r>
  </si>
  <si>
    <r>
      <rPr>
        <sz val="11"/>
        <rFont val="Calibri"/>
      </rPr>
      <t>Tarempa</t>
    </r>
  </si>
  <si>
    <r>
      <rPr>
        <sz val="11"/>
        <rFont val="Calibri"/>
      </rPr>
      <t>103°24' - 108°33'</t>
    </r>
  </si>
  <si>
    <r>
      <rPr>
        <sz val="11"/>
        <rFont val="Calibri"/>
      </rPr>
      <t>Kepulauan Seribu</t>
    </r>
  </si>
  <si>
    <r>
      <rPr>
        <sz val="11"/>
        <rFont val="Calibri"/>
      </rPr>
      <t>Daerah Khusus Ibukota Jakarta</t>
    </r>
  </si>
  <si>
    <r>
      <rPr>
        <sz val="11"/>
        <rFont val="Calibri"/>
      </rPr>
      <t>Pulau Pramuka</t>
    </r>
  </si>
  <si>
    <r>
      <rPr>
        <sz val="11"/>
        <rFont val="Calibri"/>
      </rPr>
      <t>103°24' - 108°33'</t>
    </r>
  </si>
  <si>
    <r>
      <rPr>
        <sz val="11"/>
        <rFont val="Calibri"/>
      </rPr>
      <t>Bogor</t>
    </r>
  </si>
  <si>
    <r>
      <rPr>
        <sz val="11"/>
        <rFont val="Calibri"/>
      </rPr>
      <t>Jawa Barat</t>
    </r>
  </si>
  <si>
    <r>
      <rPr>
        <sz val="11"/>
        <rFont val="Calibri"/>
      </rPr>
      <t>Cibinong</t>
    </r>
  </si>
  <si>
    <r>
      <rPr>
        <sz val="11"/>
        <rFont val="Calibri"/>
      </rPr>
      <t>103°24' - 108°33'</t>
    </r>
  </si>
  <si>
    <r>
      <rPr>
        <sz val="11"/>
        <rFont val="Calibri"/>
      </rPr>
      <t>Sukabumi</t>
    </r>
  </si>
  <si>
    <r>
      <rPr>
        <sz val="11"/>
        <rFont val="Calibri"/>
      </rPr>
      <t>Jawa Barat</t>
    </r>
  </si>
  <si>
    <r>
      <rPr>
        <sz val="11"/>
        <rFont val="Calibri"/>
      </rPr>
      <t>Pelabuhanratu</t>
    </r>
  </si>
  <si>
    <r>
      <rPr>
        <sz val="11"/>
        <rFont val="Calibri"/>
      </rPr>
      <t>103°24' - 108°33'</t>
    </r>
  </si>
  <si>
    <r>
      <rPr>
        <sz val="11"/>
        <rFont val="Calibri"/>
      </rPr>
      <t>Cianjur</t>
    </r>
  </si>
  <si>
    <r>
      <rPr>
        <sz val="11"/>
        <rFont val="Calibri"/>
      </rPr>
      <t>Jawa Barat</t>
    </r>
  </si>
  <si>
    <r>
      <rPr>
        <sz val="11"/>
        <rFont val="Calibri"/>
      </rPr>
      <t>Cianjur</t>
    </r>
  </si>
  <si>
    <r>
      <rPr>
        <sz val="11"/>
        <rFont val="Calibri"/>
      </rPr>
      <t>103°24' - 108°33'</t>
    </r>
  </si>
  <si>
    <r>
      <rPr>
        <sz val="11"/>
        <rFont val="Calibri"/>
      </rPr>
      <t>Bandung</t>
    </r>
  </si>
  <si>
    <r>
      <rPr>
        <sz val="11"/>
        <rFont val="Calibri"/>
      </rPr>
      <t>Jawa Barat</t>
    </r>
  </si>
  <si>
    <r>
      <rPr>
        <sz val="11"/>
        <rFont val="Calibri"/>
      </rPr>
      <t>Soreang</t>
    </r>
  </si>
  <si>
    <r>
      <rPr>
        <sz val="11"/>
        <rFont val="Calibri"/>
      </rPr>
      <t>103°24' - 108°33'</t>
    </r>
  </si>
  <si>
    <r>
      <rPr>
        <sz val="11"/>
        <rFont val="Calibri"/>
      </rPr>
      <t>Garut</t>
    </r>
  </si>
  <si>
    <r>
      <rPr>
        <sz val="11"/>
        <rFont val="Calibri"/>
      </rPr>
      <t>Jawa Barat</t>
    </r>
  </si>
  <si>
    <r>
      <rPr>
        <sz val="11"/>
        <rFont val="Calibri"/>
      </rPr>
      <t>Garut</t>
    </r>
  </si>
  <si>
    <r>
      <rPr>
        <sz val="11"/>
        <rFont val="Calibri"/>
      </rPr>
      <t>103°24' - 108°33'</t>
    </r>
  </si>
  <si>
    <r>
      <rPr>
        <sz val="11"/>
        <rFont val="Calibri"/>
      </rPr>
      <t>Tasikmalaya</t>
    </r>
  </si>
  <si>
    <r>
      <rPr>
        <sz val="11"/>
        <rFont val="Calibri"/>
      </rPr>
      <t>Jawa Barat</t>
    </r>
  </si>
  <si>
    <r>
      <rPr>
        <sz val="11"/>
        <rFont val="Calibri"/>
      </rPr>
      <t>Singaparna</t>
    </r>
  </si>
  <si>
    <r>
      <rPr>
        <sz val="11"/>
        <rFont val="Calibri"/>
      </rPr>
      <t>103°24' - 108°33'</t>
    </r>
  </si>
  <si>
    <r>
      <rPr>
        <sz val="11"/>
        <rFont val="Calibri"/>
      </rPr>
      <t>Ciamis</t>
    </r>
  </si>
  <si>
    <r>
      <rPr>
        <sz val="11"/>
        <rFont val="Calibri"/>
      </rPr>
      <t>Jawa Barat</t>
    </r>
  </si>
  <si>
    <r>
      <rPr>
        <sz val="11"/>
        <rFont val="Calibri"/>
      </rPr>
      <t>Ciamis</t>
    </r>
  </si>
  <si>
    <r>
      <rPr>
        <sz val="11"/>
        <rFont val="Calibri"/>
      </rPr>
      <t>103°24' - 108°33'</t>
    </r>
  </si>
  <si>
    <r>
      <rPr>
        <sz val="11"/>
        <rFont val="Calibri"/>
      </rPr>
      <t>Kuningan</t>
    </r>
  </si>
  <si>
    <r>
      <rPr>
        <sz val="11"/>
        <rFont val="Calibri"/>
      </rPr>
      <t>Jawa Barat</t>
    </r>
  </si>
  <si>
    <r>
      <rPr>
        <sz val="11"/>
        <rFont val="Calibri"/>
      </rPr>
      <t>Kuningan</t>
    </r>
  </si>
  <si>
    <r>
      <rPr>
        <sz val="11"/>
        <rFont val="Calibri"/>
      </rPr>
      <t>103°24' - 108°33'</t>
    </r>
  </si>
  <si>
    <r>
      <rPr>
        <sz val="11"/>
        <rFont val="Calibri"/>
      </rPr>
      <t>Cirebon</t>
    </r>
  </si>
  <si>
    <r>
      <rPr>
        <sz val="11"/>
        <rFont val="Calibri"/>
      </rPr>
      <t>Jawa Barat</t>
    </r>
  </si>
  <si>
    <r>
      <rPr>
        <sz val="11"/>
        <rFont val="Calibri"/>
      </rPr>
      <t>Sumber</t>
    </r>
  </si>
  <si>
    <r>
      <rPr>
        <sz val="11"/>
        <rFont val="Calibri"/>
      </rPr>
      <t>103°24' - 108°33'</t>
    </r>
  </si>
  <si>
    <r>
      <rPr>
        <sz val="11"/>
        <rFont val="Calibri"/>
      </rPr>
      <t>Majalengka</t>
    </r>
  </si>
  <si>
    <r>
      <rPr>
        <sz val="11"/>
        <rFont val="Calibri"/>
      </rPr>
      <t>Jawa Barat</t>
    </r>
  </si>
  <si>
    <r>
      <rPr>
        <sz val="11"/>
        <rFont val="Calibri"/>
      </rPr>
      <t>Majalengka</t>
    </r>
  </si>
  <si>
    <r>
      <rPr>
        <sz val="11"/>
        <rFont val="Calibri"/>
      </rPr>
      <t>103°24' - 108°33'</t>
    </r>
  </si>
  <si>
    <r>
      <rPr>
        <sz val="11"/>
        <rFont val="Calibri"/>
      </rPr>
      <t>Sumedang</t>
    </r>
  </si>
  <si>
    <r>
      <rPr>
        <sz val="11"/>
        <rFont val="Calibri"/>
      </rPr>
      <t>Jawa Barat</t>
    </r>
  </si>
  <si>
    <r>
      <rPr>
        <sz val="11"/>
        <rFont val="Calibri"/>
      </rPr>
      <t>Sumedang</t>
    </r>
  </si>
  <si>
    <r>
      <rPr>
        <sz val="11"/>
        <rFont val="Calibri"/>
      </rPr>
      <t>103°24' - 108°33'</t>
    </r>
  </si>
  <si>
    <r>
      <rPr>
        <sz val="11"/>
        <rFont val="Calibri"/>
      </rPr>
      <t>Indramayu</t>
    </r>
  </si>
  <si>
    <r>
      <rPr>
        <sz val="11"/>
        <rFont val="Calibri"/>
      </rPr>
      <t>Jawa Barat</t>
    </r>
  </si>
  <si>
    <r>
      <rPr>
        <sz val="11"/>
        <rFont val="Calibri"/>
      </rPr>
      <t>Indramayu</t>
    </r>
  </si>
  <si>
    <r>
      <rPr>
        <sz val="11"/>
        <rFont val="Calibri"/>
      </rPr>
      <t>103°24' - 108°33'</t>
    </r>
  </si>
  <si>
    <r>
      <rPr>
        <sz val="11"/>
        <rFont val="Calibri"/>
      </rPr>
      <t>Subang</t>
    </r>
  </si>
  <si>
    <r>
      <rPr>
        <sz val="11"/>
        <rFont val="Calibri"/>
      </rPr>
      <t>Jawa Barat</t>
    </r>
  </si>
  <si>
    <r>
      <rPr>
        <sz val="11"/>
        <rFont val="Calibri"/>
      </rPr>
      <t>Subang</t>
    </r>
  </si>
  <si>
    <r>
      <rPr>
        <sz val="11"/>
        <rFont val="Calibri"/>
      </rPr>
      <t>103°24' - 108°33'</t>
    </r>
  </si>
  <si>
    <r>
      <rPr>
        <sz val="11"/>
        <rFont val="Calibri"/>
      </rPr>
      <t>Purwakarta</t>
    </r>
  </si>
  <si>
    <r>
      <rPr>
        <sz val="11"/>
        <rFont val="Calibri"/>
      </rPr>
      <t>Jawa Barat</t>
    </r>
  </si>
  <si>
    <r>
      <rPr>
        <sz val="11"/>
        <rFont val="Calibri"/>
      </rPr>
      <t>Purwakarta</t>
    </r>
  </si>
  <si>
    <r>
      <rPr>
        <sz val="11"/>
        <rFont val="Calibri"/>
      </rPr>
      <t>103°24' - 108°33'</t>
    </r>
  </si>
  <si>
    <r>
      <rPr>
        <sz val="11"/>
        <rFont val="Calibri"/>
      </rPr>
      <t>Karawang</t>
    </r>
  </si>
  <si>
    <r>
      <rPr>
        <sz val="11"/>
        <rFont val="Calibri"/>
      </rPr>
      <t>Jawa Barat</t>
    </r>
  </si>
  <si>
    <r>
      <rPr>
        <sz val="11"/>
        <rFont val="Calibri"/>
      </rPr>
      <t>Karawang</t>
    </r>
  </si>
  <si>
    <r>
      <rPr>
        <sz val="11"/>
        <rFont val="Calibri"/>
      </rPr>
      <t>103°24' - 108°33'</t>
    </r>
  </si>
  <si>
    <r>
      <rPr>
        <sz val="11"/>
        <rFont val="Calibri"/>
      </rPr>
      <t>Bekasi</t>
    </r>
  </si>
  <si>
    <r>
      <rPr>
        <sz val="11"/>
        <rFont val="Calibri"/>
      </rPr>
      <t>Jawa Barat</t>
    </r>
  </si>
  <si>
    <r>
      <rPr>
        <sz val="11"/>
        <rFont val="Calibri"/>
      </rPr>
      <t>Cikarang</t>
    </r>
  </si>
  <si>
    <r>
      <rPr>
        <sz val="11"/>
        <rFont val="Calibri"/>
      </rPr>
      <t>103°24' - 108°33'</t>
    </r>
  </si>
  <si>
    <r>
      <rPr>
        <sz val="11"/>
        <rFont val="Calibri"/>
      </rPr>
      <t>Bandung Barat</t>
    </r>
  </si>
  <si>
    <r>
      <rPr>
        <sz val="11"/>
        <rFont val="Calibri"/>
      </rPr>
      <t>Jawa Barat</t>
    </r>
  </si>
  <si>
    <r>
      <rPr>
        <sz val="11"/>
        <rFont val="Calibri"/>
      </rPr>
      <t>Ngamprah</t>
    </r>
  </si>
  <si>
    <r>
      <rPr>
        <sz val="11"/>
        <rFont val="Calibri"/>
      </rPr>
      <t>103°24' - 108°33'</t>
    </r>
  </si>
  <si>
    <r>
      <rPr>
        <sz val="11"/>
        <rFont val="Calibri"/>
      </rPr>
      <t>Cilacap</t>
    </r>
  </si>
  <si>
    <r>
      <rPr>
        <sz val="11"/>
        <rFont val="Calibri"/>
      </rPr>
      <t>Jawa Tengah</t>
    </r>
  </si>
  <si>
    <r>
      <rPr>
        <sz val="11"/>
        <rFont val="Calibri"/>
      </rPr>
      <t>Cilacap</t>
    </r>
  </si>
  <si>
    <r>
      <rPr>
        <sz val="11"/>
        <rFont val="Calibri"/>
      </rPr>
      <t>109.1 - 111.25</t>
    </r>
  </si>
  <si>
    <r>
      <rPr>
        <sz val="11"/>
        <rFont val="Calibri"/>
      </rPr>
      <t>Banyumas</t>
    </r>
  </si>
  <si>
    <r>
      <rPr>
        <sz val="11"/>
        <rFont val="Calibri"/>
      </rPr>
      <t>Jawa Tengah</t>
    </r>
  </si>
  <si>
    <r>
      <rPr>
        <sz val="11"/>
        <rFont val="Calibri"/>
      </rPr>
      <t>Kota Purwokerto</t>
    </r>
  </si>
  <si>
    <r>
      <rPr>
        <sz val="11"/>
        <rFont val="Calibri"/>
      </rPr>
      <t>Purbalingga</t>
    </r>
  </si>
  <si>
    <r>
      <rPr>
        <sz val="11"/>
        <rFont val="Calibri"/>
      </rPr>
      <t>Jawa Tengah</t>
    </r>
  </si>
  <si>
    <r>
      <rPr>
        <sz val="11"/>
        <rFont val="Calibri"/>
      </rPr>
      <t>Purbalingga</t>
    </r>
  </si>
  <si>
    <r>
      <rPr>
        <sz val="11"/>
        <rFont val="Calibri"/>
      </rPr>
      <t>Banjarnegara</t>
    </r>
  </si>
  <si>
    <r>
      <rPr>
        <sz val="11"/>
        <rFont val="Calibri"/>
      </rPr>
      <t>Jawa Tengah</t>
    </r>
  </si>
  <si>
    <r>
      <rPr>
        <sz val="11"/>
        <rFont val="Calibri"/>
      </rPr>
      <t>Banjarnegara</t>
    </r>
  </si>
  <si>
    <r>
      <rPr>
        <sz val="11"/>
        <rFont val="Calibri"/>
      </rPr>
      <t>Kebumen</t>
    </r>
  </si>
  <si>
    <r>
      <rPr>
        <sz val="11"/>
        <rFont val="Calibri"/>
      </rPr>
      <t>Jawa Tengah</t>
    </r>
  </si>
  <si>
    <r>
      <rPr>
        <sz val="11"/>
        <rFont val="Calibri"/>
      </rPr>
      <t>Kebumen</t>
    </r>
  </si>
  <si>
    <r>
      <rPr>
        <sz val="11"/>
        <rFont val="Calibri"/>
      </rPr>
      <t>Purworejo</t>
    </r>
  </si>
  <si>
    <r>
      <rPr>
        <sz val="11"/>
        <rFont val="Calibri"/>
      </rPr>
      <t>Jawa Tengah</t>
    </r>
  </si>
  <si>
    <r>
      <rPr>
        <sz val="11"/>
        <rFont val="Calibri"/>
      </rPr>
      <t>Purworejo</t>
    </r>
  </si>
  <si>
    <r>
      <rPr>
        <sz val="11"/>
        <rFont val="Calibri"/>
      </rPr>
      <t>Wonosobo</t>
    </r>
  </si>
  <si>
    <r>
      <rPr>
        <sz val="11"/>
        <rFont val="Calibri"/>
      </rPr>
      <t>Jawa Tengah</t>
    </r>
  </si>
  <si>
    <r>
      <rPr>
        <sz val="11"/>
        <rFont val="Calibri"/>
      </rPr>
      <t>Wonosobo</t>
    </r>
  </si>
  <si>
    <r>
      <rPr>
        <sz val="11"/>
        <rFont val="Calibri"/>
      </rPr>
      <t>Magelang</t>
    </r>
  </si>
  <si>
    <r>
      <rPr>
        <sz val="11"/>
        <rFont val="Calibri"/>
      </rPr>
      <t>Jawa Tengah</t>
    </r>
  </si>
  <si>
    <r>
      <rPr>
        <sz val="11"/>
        <rFont val="Calibri"/>
      </rPr>
      <t>Kota Mungkid</t>
    </r>
  </si>
  <si>
    <r>
      <rPr>
        <sz val="11"/>
        <rFont val="Calibri"/>
      </rPr>
      <t>Boyolali</t>
    </r>
  </si>
  <si>
    <r>
      <rPr>
        <sz val="11"/>
        <rFont val="Calibri"/>
      </rPr>
      <t>Jawa Tengah</t>
    </r>
  </si>
  <si>
    <r>
      <rPr>
        <sz val="11"/>
        <rFont val="Calibri"/>
      </rPr>
      <t>Boyolali</t>
    </r>
  </si>
  <si>
    <r>
      <rPr>
        <sz val="11"/>
        <rFont val="Calibri"/>
      </rPr>
      <t>Klaten</t>
    </r>
  </si>
  <si>
    <r>
      <rPr>
        <sz val="11"/>
        <rFont val="Calibri"/>
      </rPr>
      <t>Jawa Tengah</t>
    </r>
  </si>
  <si>
    <r>
      <rPr>
        <sz val="11"/>
        <rFont val="Calibri"/>
      </rPr>
      <t>Klaten</t>
    </r>
  </si>
  <si>
    <r>
      <rPr>
        <sz val="11"/>
        <rFont val="Calibri"/>
      </rPr>
      <t>Sukoharjo</t>
    </r>
  </si>
  <si>
    <r>
      <rPr>
        <sz val="11"/>
        <rFont val="Calibri"/>
      </rPr>
      <t>Jawa Tengah</t>
    </r>
  </si>
  <si>
    <r>
      <rPr>
        <sz val="11"/>
        <rFont val="Calibri"/>
      </rPr>
      <t>Sukoharjo</t>
    </r>
  </si>
  <si>
    <r>
      <rPr>
        <sz val="11"/>
        <rFont val="Calibri"/>
      </rPr>
      <t>Wonogiri</t>
    </r>
  </si>
  <si>
    <r>
      <rPr>
        <sz val="11"/>
        <rFont val="Calibri"/>
      </rPr>
      <t>Jawa Tengah</t>
    </r>
  </si>
  <si>
    <r>
      <rPr>
        <sz val="11"/>
        <rFont val="Calibri"/>
      </rPr>
      <t>Wonogiri</t>
    </r>
  </si>
  <si>
    <r>
      <rPr>
        <sz val="11"/>
        <rFont val="Calibri"/>
      </rPr>
      <t>Karanganyar</t>
    </r>
  </si>
  <si>
    <r>
      <rPr>
        <sz val="11"/>
        <rFont val="Calibri"/>
      </rPr>
      <t>Jawa Tengah</t>
    </r>
  </si>
  <si>
    <r>
      <rPr>
        <sz val="11"/>
        <rFont val="Calibri"/>
      </rPr>
      <t>Karanganyar</t>
    </r>
  </si>
  <si>
    <r>
      <rPr>
        <sz val="11"/>
        <rFont val="Calibri"/>
      </rPr>
      <t>Sragen</t>
    </r>
  </si>
  <si>
    <r>
      <rPr>
        <sz val="11"/>
        <rFont val="Calibri"/>
      </rPr>
      <t>Jawa Tengah</t>
    </r>
  </si>
  <si>
    <r>
      <rPr>
        <sz val="11"/>
        <rFont val="Calibri"/>
      </rPr>
      <t>Sragen</t>
    </r>
  </si>
  <si>
    <r>
      <rPr>
        <sz val="11"/>
        <rFont val="Calibri"/>
      </rPr>
      <t>Grobogan</t>
    </r>
  </si>
  <si>
    <r>
      <rPr>
        <sz val="11"/>
        <rFont val="Calibri"/>
      </rPr>
      <t>Jawa Tengah</t>
    </r>
  </si>
  <si>
    <r>
      <rPr>
        <sz val="11"/>
        <rFont val="Calibri"/>
      </rPr>
      <t>Purwodadi</t>
    </r>
  </si>
  <si>
    <r>
      <rPr>
        <sz val="11"/>
        <rFont val="Calibri"/>
      </rPr>
      <t>Blora</t>
    </r>
  </si>
  <si>
    <r>
      <rPr>
        <sz val="11"/>
        <rFont val="Calibri"/>
      </rPr>
      <t>Jawa Tengah</t>
    </r>
  </si>
  <si>
    <r>
      <rPr>
        <sz val="11"/>
        <rFont val="Calibri"/>
      </rPr>
      <t>Blora</t>
    </r>
  </si>
  <si>
    <r>
      <rPr>
        <sz val="11"/>
        <rFont val="Calibri"/>
      </rPr>
      <t>Rembang</t>
    </r>
  </si>
  <si>
    <r>
      <rPr>
        <sz val="11"/>
        <rFont val="Calibri"/>
      </rPr>
      <t>Jawa Tengah</t>
    </r>
  </si>
  <si>
    <r>
      <rPr>
        <sz val="11"/>
        <rFont val="Calibri"/>
      </rPr>
      <t>Rembang</t>
    </r>
  </si>
  <si>
    <r>
      <rPr>
        <sz val="11"/>
        <rFont val="Calibri"/>
      </rPr>
      <t>Pati</t>
    </r>
  </si>
  <si>
    <r>
      <rPr>
        <sz val="11"/>
        <rFont val="Calibri"/>
      </rPr>
      <t>Jawa Tengah</t>
    </r>
  </si>
  <si>
    <r>
      <rPr>
        <sz val="11"/>
        <rFont val="Calibri"/>
      </rPr>
      <t>Pati</t>
    </r>
  </si>
  <si>
    <r>
      <rPr>
        <sz val="11"/>
        <rFont val="Calibri"/>
      </rPr>
      <t>Kudus</t>
    </r>
  </si>
  <si>
    <r>
      <rPr>
        <sz val="11"/>
        <rFont val="Calibri"/>
      </rPr>
      <t>Jawa Tengah</t>
    </r>
  </si>
  <si>
    <r>
      <rPr>
        <sz val="11"/>
        <rFont val="Calibri"/>
      </rPr>
      <t>Kudus</t>
    </r>
  </si>
  <si>
    <r>
      <rPr>
        <sz val="11"/>
        <rFont val="Calibri"/>
      </rPr>
      <t>Jepara</t>
    </r>
  </si>
  <si>
    <r>
      <rPr>
        <sz val="11"/>
        <rFont val="Calibri"/>
      </rPr>
      <t>Jawa Tengah</t>
    </r>
  </si>
  <si>
    <r>
      <rPr>
        <sz val="11"/>
        <rFont val="Calibri"/>
      </rPr>
      <t>Jepara</t>
    </r>
  </si>
  <si>
    <r>
      <rPr>
        <sz val="11"/>
        <rFont val="Calibri"/>
      </rPr>
      <t>Demak</t>
    </r>
  </si>
  <si>
    <r>
      <rPr>
        <sz val="11"/>
        <rFont val="Calibri"/>
      </rPr>
      <t>Jawa Tengah</t>
    </r>
  </si>
  <si>
    <r>
      <rPr>
        <sz val="11"/>
        <rFont val="Calibri"/>
      </rPr>
      <t>Demak</t>
    </r>
  </si>
  <si>
    <r>
      <rPr>
        <sz val="11"/>
        <rFont val="Calibri"/>
      </rPr>
      <t>Semarang</t>
    </r>
  </si>
  <si>
    <r>
      <rPr>
        <sz val="11"/>
        <rFont val="Calibri"/>
      </rPr>
      <t>Jawa Tengah</t>
    </r>
  </si>
  <si>
    <r>
      <rPr>
        <sz val="11"/>
        <rFont val="Calibri"/>
      </rPr>
      <t>Ungaran</t>
    </r>
  </si>
  <si>
    <r>
      <rPr>
        <sz val="11"/>
        <rFont val="Calibri"/>
      </rPr>
      <t>Temanggung</t>
    </r>
  </si>
  <si>
    <r>
      <rPr>
        <sz val="11"/>
        <rFont val="Calibri"/>
      </rPr>
      <t>Jawa Tengah</t>
    </r>
  </si>
  <si>
    <r>
      <rPr>
        <sz val="11"/>
        <rFont val="Calibri"/>
      </rPr>
      <t>Temanggung</t>
    </r>
  </si>
  <si>
    <r>
      <rPr>
        <sz val="11"/>
        <rFont val="Calibri"/>
      </rPr>
      <t>Kendal</t>
    </r>
  </si>
  <si>
    <r>
      <rPr>
        <sz val="11"/>
        <rFont val="Calibri"/>
      </rPr>
      <t>Jawa Tengah</t>
    </r>
  </si>
  <si>
    <r>
      <rPr>
        <sz val="11"/>
        <rFont val="Calibri"/>
      </rPr>
      <t>Kendal</t>
    </r>
  </si>
  <si>
    <r>
      <rPr>
        <sz val="11"/>
        <rFont val="Calibri"/>
      </rPr>
      <t>Batang</t>
    </r>
  </si>
  <si>
    <r>
      <rPr>
        <sz val="11"/>
        <rFont val="Calibri"/>
      </rPr>
      <t>Jawa Tengah</t>
    </r>
  </si>
  <si>
    <r>
      <rPr>
        <sz val="11"/>
        <rFont val="Calibri"/>
      </rPr>
      <t>Batang</t>
    </r>
  </si>
  <si>
    <r>
      <rPr>
        <sz val="11"/>
        <rFont val="Calibri"/>
      </rPr>
      <t>Pekalongan</t>
    </r>
  </si>
  <si>
    <r>
      <rPr>
        <sz val="11"/>
        <rFont val="Calibri"/>
      </rPr>
      <t>Jawa Tengah</t>
    </r>
  </si>
  <si>
    <r>
      <rPr>
        <sz val="11"/>
        <rFont val="Calibri"/>
      </rPr>
      <t>Kajen</t>
    </r>
  </si>
  <si>
    <r>
      <rPr>
        <sz val="11"/>
        <rFont val="Calibri"/>
      </rPr>
      <t>Pemalang</t>
    </r>
  </si>
  <si>
    <r>
      <rPr>
        <sz val="11"/>
        <rFont val="Calibri"/>
      </rPr>
      <t>Jawa Tengah</t>
    </r>
  </si>
  <si>
    <r>
      <rPr>
        <sz val="11"/>
        <rFont val="Calibri"/>
      </rPr>
      <t>Pemalang</t>
    </r>
  </si>
  <si>
    <r>
      <rPr>
        <sz val="11"/>
        <rFont val="Calibri"/>
      </rPr>
      <t>Tegal</t>
    </r>
  </si>
  <si>
    <r>
      <rPr>
        <sz val="11"/>
        <rFont val="Calibri"/>
      </rPr>
      <t>Jawa Tengah</t>
    </r>
  </si>
  <si>
    <r>
      <rPr>
        <sz val="11"/>
        <rFont val="Calibri"/>
      </rPr>
      <t>Slawi</t>
    </r>
  </si>
  <si>
    <r>
      <rPr>
        <sz val="11"/>
        <rFont val="Calibri"/>
      </rPr>
      <t>Brebes</t>
    </r>
  </si>
  <si>
    <r>
      <rPr>
        <sz val="11"/>
        <rFont val="Calibri"/>
      </rPr>
      <t>Jawa Tengah</t>
    </r>
  </si>
  <si>
    <r>
      <rPr>
        <sz val="11"/>
        <rFont val="Calibri"/>
      </rPr>
      <t>Brebes</t>
    </r>
  </si>
  <si>
    <r>
      <rPr>
        <sz val="11"/>
        <rFont val="Calibri"/>
      </rPr>
      <t>Kulon Progo</t>
    </r>
  </si>
  <si>
    <r>
      <rPr>
        <sz val="11"/>
        <rFont val="Calibri"/>
      </rPr>
      <t>Daerah Istimewa Yogyakarta</t>
    </r>
  </si>
  <si>
    <r>
      <rPr>
        <sz val="11"/>
        <rFont val="Calibri"/>
      </rPr>
      <t>Wates</t>
    </r>
  </si>
  <si>
    <r>
      <rPr>
        <sz val="11"/>
        <rFont val="Calibri"/>
      </rPr>
      <t>110.9 - 110.37</t>
    </r>
  </si>
  <si>
    <r>
      <rPr>
        <sz val="11"/>
        <rFont val="Calibri"/>
      </rPr>
      <t>Bantul</t>
    </r>
  </si>
  <si>
    <r>
      <rPr>
        <sz val="11"/>
        <rFont val="Calibri"/>
      </rPr>
      <t>Daerah Istimewa Yogyakarta</t>
    </r>
  </si>
  <si>
    <r>
      <rPr>
        <sz val="11"/>
        <rFont val="Calibri"/>
      </rPr>
      <t>Bantul</t>
    </r>
  </si>
  <si>
    <r>
      <rPr>
        <sz val="11"/>
        <rFont val="Calibri"/>
      </rPr>
      <t>110.9 - 110.37</t>
    </r>
  </si>
  <si>
    <r>
      <rPr>
        <sz val="11"/>
        <rFont val="Calibri"/>
      </rPr>
      <t>Gunungkidul</t>
    </r>
  </si>
  <si>
    <r>
      <rPr>
        <sz val="11"/>
        <rFont val="Calibri"/>
      </rPr>
      <t>Daerah Istimewa Yogyakarta</t>
    </r>
  </si>
  <si>
    <r>
      <rPr>
        <sz val="11"/>
        <rFont val="Calibri"/>
      </rPr>
      <t>Wonosari</t>
    </r>
  </si>
  <si>
    <r>
      <rPr>
        <sz val="11"/>
        <rFont val="Calibri"/>
      </rPr>
      <t>110.9 - 110.37</t>
    </r>
  </si>
  <si>
    <r>
      <rPr>
        <sz val="11"/>
        <rFont val="Calibri"/>
      </rPr>
      <t>Sleman</t>
    </r>
  </si>
  <si>
    <r>
      <rPr>
        <sz val="11"/>
        <rFont val="Calibri"/>
      </rPr>
      <t>Daerah Istimewa Yogyakarta</t>
    </r>
  </si>
  <si>
    <r>
      <rPr>
        <sz val="11"/>
        <rFont val="Calibri"/>
      </rPr>
      <t>Sleman</t>
    </r>
  </si>
  <si>
    <r>
      <rPr>
        <sz val="11"/>
        <rFont val="Calibri"/>
      </rPr>
      <t>110.9 - 110.37</t>
    </r>
  </si>
  <si>
    <r>
      <rPr>
        <sz val="11"/>
        <rFont val="Calibri"/>
      </rPr>
      <t>Pacitan</t>
    </r>
  </si>
  <si>
    <r>
      <rPr>
        <sz val="11"/>
        <rFont val="Calibri"/>
      </rPr>
      <t>Jawa Timur</t>
    </r>
  </si>
  <si>
    <r>
      <rPr>
        <sz val="11"/>
        <rFont val="Calibri"/>
      </rPr>
      <t>Pacitan</t>
    </r>
  </si>
  <si>
    <r>
      <rPr>
        <sz val="11"/>
        <rFont val="Calibri"/>
      </rPr>
      <t>111.6 - 114.0</t>
    </r>
  </si>
  <si>
    <r>
      <rPr>
        <sz val="11"/>
        <rFont val="Calibri"/>
      </rPr>
      <t>Ponorogo</t>
    </r>
  </si>
  <si>
    <r>
      <rPr>
        <sz val="11"/>
        <rFont val="Calibri"/>
      </rPr>
      <t>Jawa Timur</t>
    </r>
  </si>
  <si>
    <r>
      <rPr>
        <sz val="11"/>
        <rFont val="Calibri"/>
      </rPr>
      <t>Ponorogo</t>
    </r>
  </si>
  <si>
    <r>
      <rPr>
        <sz val="11"/>
        <rFont val="Calibri"/>
      </rPr>
      <t>111.6 - 114.0</t>
    </r>
  </si>
  <si>
    <r>
      <rPr>
        <sz val="11"/>
        <rFont val="Calibri"/>
      </rPr>
      <t>Trenggalek</t>
    </r>
  </si>
  <si>
    <r>
      <rPr>
        <sz val="11"/>
        <rFont val="Calibri"/>
      </rPr>
      <t>Jawa Timur</t>
    </r>
  </si>
  <si>
    <r>
      <rPr>
        <sz val="11"/>
        <rFont val="Calibri"/>
      </rPr>
      <t>Trenggalek</t>
    </r>
  </si>
  <si>
    <r>
      <rPr>
        <sz val="11"/>
        <rFont val="Calibri"/>
      </rPr>
      <t>111.6 - 114.0</t>
    </r>
  </si>
  <si>
    <r>
      <rPr>
        <sz val="11"/>
        <rFont val="Calibri"/>
      </rPr>
      <t>Tulungagung</t>
    </r>
  </si>
  <si>
    <r>
      <rPr>
        <sz val="11"/>
        <rFont val="Calibri"/>
      </rPr>
      <t>Jawa Timur</t>
    </r>
  </si>
  <si>
    <r>
      <rPr>
        <sz val="11"/>
        <rFont val="Calibri"/>
      </rPr>
      <t>Tulungagung</t>
    </r>
  </si>
  <si>
    <r>
      <rPr>
        <sz val="11"/>
        <rFont val="Calibri"/>
      </rPr>
      <t>111.6 - 114.0</t>
    </r>
  </si>
  <si>
    <r>
      <rPr>
        <sz val="11"/>
        <rFont val="Calibri"/>
      </rPr>
      <t>Blitar</t>
    </r>
  </si>
  <si>
    <r>
      <rPr>
        <sz val="11"/>
        <rFont val="Calibri"/>
      </rPr>
      <t>Jawa Timur</t>
    </r>
  </si>
  <si>
    <r>
      <rPr>
        <sz val="11"/>
        <rFont val="Calibri"/>
      </rPr>
      <t>Kanigoro</t>
    </r>
  </si>
  <si>
    <r>
      <rPr>
        <sz val="11"/>
        <rFont val="Calibri"/>
      </rPr>
      <t>111.6 - 114.0</t>
    </r>
  </si>
  <si>
    <r>
      <rPr>
        <sz val="11"/>
        <rFont val="Calibri"/>
      </rPr>
      <t>Kediri</t>
    </r>
  </si>
  <si>
    <r>
      <rPr>
        <sz val="11"/>
        <rFont val="Calibri"/>
      </rPr>
      <t>Jawa Timur</t>
    </r>
  </si>
  <si>
    <r>
      <rPr>
        <sz val="11"/>
        <rFont val="Calibri"/>
      </rPr>
      <t>Kediri</t>
    </r>
  </si>
  <si>
    <r>
      <rPr>
        <sz val="11"/>
        <rFont val="Calibri"/>
      </rPr>
      <t>111.6 - 114.0</t>
    </r>
  </si>
  <si>
    <r>
      <rPr>
        <sz val="11"/>
        <rFont val="Calibri"/>
      </rPr>
      <t>Malang</t>
    </r>
  </si>
  <si>
    <r>
      <rPr>
        <sz val="11"/>
        <rFont val="Calibri"/>
      </rPr>
      <t>Jawa Timur</t>
    </r>
  </si>
  <si>
    <r>
      <rPr>
        <sz val="11"/>
        <rFont val="Calibri"/>
      </rPr>
      <t>Kepanjen</t>
    </r>
  </si>
  <si>
    <r>
      <rPr>
        <sz val="11"/>
        <rFont val="Calibri"/>
      </rPr>
      <t>111.6 - 114.0</t>
    </r>
  </si>
  <si>
    <r>
      <rPr>
        <sz val="11"/>
        <rFont val="Calibri"/>
      </rPr>
      <t>Lumajang</t>
    </r>
  </si>
  <si>
    <r>
      <rPr>
        <sz val="11"/>
        <rFont val="Calibri"/>
      </rPr>
      <t>Jawa Timur</t>
    </r>
  </si>
  <si>
    <r>
      <rPr>
        <sz val="11"/>
        <rFont val="Calibri"/>
      </rPr>
      <t>Lumajang</t>
    </r>
  </si>
  <si>
    <r>
      <rPr>
        <sz val="11"/>
        <rFont val="Calibri"/>
      </rPr>
      <t>111.6 - 114.0</t>
    </r>
  </si>
  <si>
    <r>
      <rPr>
        <sz val="11"/>
        <rFont val="Calibri"/>
      </rPr>
      <t>Jember</t>
    </r>
  </si>
  <si>
    <r>
      <rPr>
        <sz val="11"/>
        <rFont val="Calibri"/>
      </rPr>
      <t>Jawa Timur</t>
    </r>
  </si>
  <si>
    <r>
      <rPr>
        <sz val="11"/>
        <rFont val="Calibri"/>
      </rPr>
      <t>Jember</t>
    </r>
  </si>
  <si>
    <r>
      <rPr>
        <sz val="11"/>
        <rFont val="Calibri"/>
      </rPr>
      <t>111.6 - 114.0</t>
    </r>
  </si>
  <si>
    <r>
      <rPr>
        <sz val="11"/>
        <rFont val="Calibri"/>
      </rPr>
      <t>Banyuwangi</t>
    </r>
  </si>
  <si>
    <r>
      <rPr>
        <sz val="11"/>
        <rFont val="Calibri"/>
      </rPr>
      <t>Jawa Timur</t>
    </r>
  </si>
  <si>
    <r>
      <rPr>
        <sz val="11"/>
        <rFont val="Calibri"/>
      </rPr>
      <t>Banyuwangi</t>
    </r>
  </si>
  <si>
    <r>
      <rPr>
        <sz val="11"/>
        <rFont val="Calibri"/>
      </rPr>
      <t>111.6 - 114.0</t>
    </r>
  </si>
  <si>
    <r>
      <rPr>
        <sz val="11"/>
        <rFont val="Calibri"/>
      </rPr>
      <t>Bondowoso</t>
    </r>
  </si>
  <si>
    <r>
      <rPr>
        <sz val="11"/>
        <rFont val="Calibri"/>
      </rPr>
      <t>Jawa Timur</t>
    </r>
  </si>
  <si>
    <r>
      <rPr>
        <sz val="11"/>
        <rFont val="Calibri"/>
      </rPr>
      <t>Bondowoso</t>
    </r>
  </si>
  <si>
    <r>
      <rPr>
        <sz val="11"/>
        <rFont val="Calibri"/>
      </rPr>
      <t>111.6 - 114.0</t>
    </r>
  </si>
  <si>
    <r>
      <rPr>
        <sz val="11"/>
        <rFont val="Calibri"/>
      </rPr>
      <t>Situbondo</t>
    </r>
  </si>
  <si>
    <r>
      <rPr>
        <sz val="11"/>
        <rFont val="Calibri"/>
      </rPr>
      <t>Jawa Timur</t>
    </r>
  </si>
  <si>
    <r>
      <rPr>
        <sz val="11"/>
        <rFont val="Calibri"/>
      </rPr>
      <t>Situbondo</t>
    </r>
  </si>
  <si>
    <r>
      <rPr>
        <sz val="11"/>
        <rFont val="Calibri"/>
      </rPr>
      <t>111.6 - 114.0</t>
    </r>
  </si>
  <si>
    <r>
      <rPr>
        <sz val="11"/>
        <rFont val="Calibri"/>
      </rPr>
      <t>Probolinggo</t>
    </r>
  </si>
  <si>
    <r>
      <rPr>
        <sz val="11"/>
        <rFont val="Calibri"/>
      </rPr>
      <t>Jawa Timur</t>
    </r>
  </si>
  <si>
    <r>
      <rPr>
        <sz val="11"/>
        <rFont val="Calibri"/>
      </rPr>
      <t>Kraksaan</t>
    </r>
  </si>
  <si>
    <r>
      <rPr>
        <sz val="11"/>
        <rFont val="Calibri"/>
      </rPr>
      <t>111.6 - 114.0</t>
    </r>
  </si>
  <si>
    <r>
      <rPr>
        <sz val="11"/>
        <rFont val="Calibri"/>
      </rPr>
      <t>Pasuruan</t>
    </r>
  </si>
  <si>
    <r>
      <rPr>
        <sz val="11"/>
        <rFont val="Calibri"/>
      </rPr>
      <t>Jawa Timur</t>
    </r>
  </si>
  <si>
    <r>
      <rPr>
        <sz val="11"/>
        <rFont val="Calibri"/>
      </rPr>
      <t>Pasuruan</t>
    </r>
  </si>
  <si>
    <r>
      <rPr>
        <sz val="11"/>
        <rFont val="Calibri"/>
      </rPr>
      <t>111.6 - 114.0</t>
    </r>
  </si>
  <si>
    <r>
      <rPr>
        <sz val="11"/>
        <rFont val="Calibri"/>
      </rPr>
      <t>Sidoarjo</t>
    </r>
  </si>
  <si>
    <r>
      <rPr>
        <sz val="11"/>
        <rFont val="Calibri"/>
      </rPr>
      <t>Jawa Timur</t>
    </r>
  </si>
  <si>
    <r>
      <rPr>
        <sz val="11"/>
        <rFont val="Calibri"/>
      </rPr>
      <t>Sidoarjo</t>
    </r>
  </si>
  <si>
    <r>
      <rPr>
        <sz val="11"/>
        <rFont val="Calibri"/>
      </rPr>
      <t>111.6 - 114.0</t>
    </r>
  </si>
  <si>
    <r>
      <rPr>
        <sz val="11"/>
        <rFont val="Calibri"/>
      </rPr>
      <t>Mojokerto</t>
    </r>
  </si>
  <si>
    <r>
      <rPr>
        <sz val="11"/>
        <rFont val="Calibri"/>
      </rPr>
      <t>Jawa Timur</t>
    </r>
  </si>
  <si>
    <r>
      <rPr>
        <sz val="11"/>
        <rFont val="Calibri"/>
      </rPr>
      <t>Mojokerto</t>
    </r>
  </si>
  <si>
    <r>
      <rPr>
        <sz val="11"/>
        <rFont val="Calibri"/>
      </rPr>
      <t>111.6 - 114.0</t>
    </r>
  </si>
  <si>
    <r>
      <rPr>
        <sz val="11"/>
        <rFont val="Calibri"/>
      </rPr>
      <t>Jombang</t>
    </r>
  </si>
  <si>
    <r>
      <rPr>
        <sz val="11"/>
        <rFont val="Calibri"/>
      </rPr>
      <t>Jawa Timur</t>
    </r>
  </si>
  <si>
    <r>
      <rPr>
        <sz val="11"/>
        <rFont val="Calibri"/>
      </rPr>
      <t>Jombang</t>
    </r>
  </si>
  <si>
    <r>
      <rPr>
        <sz val="11"/>
        <rFont val="Calibri"/>
      </rPr>
      <t>111.6 - 114.0</t>
    </r>
  </si>
  <si>
    <r>
      <rPr>
        <sz val="11"/>
        <rFont val="Calibri"/>
      </rPr>
      <t>Nganjuk</t>
    </r>
  </si>
  <si>
    <r>
      <rPr>
        <sz val="11"/>
        <rFont val="Calibri"/>
      </rPr>
      <t>Jawa Timur</t>
    </r>
  </si>
  <si>
    <r>
      <rPr>
        <sz val="11"/>
        <rFont val="Calibri"/>
      </rPr>
      <t>Nganjuk</t>
    </r>
  </si>
  <si>
    <r>
      <rPr>
        <sz val="11"/>
        <rFont val="Calibri"/>
      </rPr>
      <t>111.6 - 114.0</t>
    </r>
  </si>
  <si>
    <r>
      <rPr>
        <sz val="11"/>
        <rFont val="Calibri"/>
      </rPr>
      <t>Madiun</t>
    </r>
  </si>
  <si>
    <r>
      <rPr>
        <sz val="11"/>
        <rFont val="Calibri"/>
      </rPr>
      <t>Jawa Timur</t>
    </r>
  </si>
  <si>
    <r>
      <rPr>
        <sz val="11"/>
        <rFont val="Calibri"/>
      </rPr>
      <t>Madiun</t>
    </r>
  </si>
  <si>
    <r>
      <rPr>
        <sz val="11"/>
        <rFont val="Calibri"/>
      </rPr>
      <t>111.6 - 114.0</t>
    </r>
  </si>
  <si>
    <r>
      <rPr>
        <sz val="11"/>
        <rFont val="Calibri"/>
      </rPr>
      <t>Magetan</t>
    </r>
  </si>
  <si>
    <r>
      <rPr>
        <sz val="11"/>
        <rFont val="Calibri"/>
      </rPr>
      <t>Jawa Timur</t>
    </r>
  </si>
  <si>
    <r>
      <rPr>
        <sz val="11"/>
        <rFont val="Calibri"/>
      </rPr>
      <t>Magetan</t>
    </r>
  </si>
  <si>
    <r>
      <rPr>
        <sz val="11"/>
        <rFont val="Calibri"/>
      </rPr>
      <t>111.6 - 114.0</t>
    </r>
  </si>
  <si>
    <r>
      <rPr>
        <sz val="11"/>
        <rFont val="Calibri"/>
      </rPr>
      <t>Ngawi</t>
    </r>
  </si>
  <si>
    <r>
      <rPr>
        <sz val="11"/>
        <rFont val="Calibri"/>
      </rPr>
      <t>Jawa Timur</t>
    </r>
  </si>
  <si>
    <r>
      <rPr>
        <sz val="11"/>
        <rFont val="Calibri"/>
      </rPr>
      <t>Ngawi</t>
    </r>
  </si>
  <si>
    <r>
      <rPr>
        <sz val="11"/>
        <rFont val="Calibri"/>
      </rPr>
      <t>111.6 - 114.0</t>
    </r>
  </si>
  <si>
    <r>
      <rPr>
        <sz val="11"/>
        <rFont val="Calibri"/>
      </rPr>
      <t>Bojonegoro</t>
    </r>
  </si>
  <si>
    <r>
      <rPr>
        <sz val="11"/>
        <rFont val="Calibri"/>
      </rPr>
      <t>Jawa Timur</t>
    </r>
  </si>
  <si>
    <r>
      <rPr>
        <sz val="11"/>
        <rFont val="Calibri"/>
      </rPr>
      <t>Bojonegoro</t>
    </r>
  </si>
  <si>
    <r>
      <rPr>
        <sz val="11"/>
        <rFont val="Calibri"/>
      </rPr>
      <t>111.6 - 114.0</t>
    </r>
  </si>
  <si>
    <r>
      <rPr>
        <sz val="11"/>
        <rFont val="Calibri"/>
      </rPr>
      <t>Tuban</t>
    </r>
  </si>
  <si>
    <r>
      <rPr>
        <sz val="11"/>
        <rFont val="Calibri"/>
      </rPr>
      <t>Jawa Timur</t>
    </r>
  </si>
  <si>
    <r>
      <rPr>
        <sz val="11"/>
        <rFont val="Calibri"/>
      </rPr>
      <t>Tuban</t>
    </r>
  </si>
  <si>
    <r>
      <rPr>
        <sz val="11"/>
        <rFont val="Calibri"/>
      </rPr>
      <t>111.6 - 114.0</t>
    </r>
  </si>
  <si>
    <r>
      <rPr>
        <sz val="11"/>
        <rFont val="Calibri"/>
      </rPr>
      <t>Lamongan</t>
    </r>
  </si>
  <si>
    <r>
      <rPr>
        <sz val="11"/>
        <rFont val="Calibri"/>
      </rPr>
      <t>Jawa Timur</t>
    </r>
  </si>
  <si>
    <r>
      <rPr>
        <sz val="11"/>
        <rFont val="Calibri"/>
      </rPr>
      <t>Lamongan</t>
    </r>
  </si>
  <si>
    <r>
      <rPr>
        <sz val="11"/>
        <rFont val="Calibri"/>
      </rPr>
      <t>111.6 - 114.0</t>
    </r>
  </si>
  <si>
    <r>
      <rPr>
        <sz val="11"/>
        <rFont val="Calibri"/>
      </rPr>
      <t>Gresik</t>
    </r>
  </si>
  <si>
    <r>
      <rPr>
        <sz val="11"/>
        <rFont val="Calibri"/>
      </rPr>
      <t>Jawa Timur</t>
    </r>
  </si>
  <si>
    <r>
      <rPr>
        <sz val="11"/>
        <rFont val="Calibri"/>
      </rPr>
      <t>Gresik</t>
    </r>
  </si>
  <si>
    <r>
      <rPr>
        <sz val="11"/>
        <rFont val="Calibri"/>
      </rPr>
      <t>111.6 - 114.0</t>
    </r>
  </si>
  <si>
    <r>
      <rPr>
        <sz val="11"/>
        <rFont val="Calibri"/>
      </rPr>
      <t>Bangkalan</t>
    </r>
  </si>
  <si>
    <r>
      <rPr>
        <sz val="11"/>
        <rFont val="Calibri"/>
      </rPr>
      <t>Jawa Timur</t>
    </r>
  </si>
  <si>
    <r>
      <rPr>
        <sz val="11"/>
        <rFont val="Calibri"/>
      </rPr>
      <t>Bangkalan</t>
    </r>
  </si>
  <si>
    <r>
      <rPr>
        <sz val="11"/>
        <rFont val="Calibri"/>
      </rPr>
      <t>111.6 - 114.0</t>
    </r>
  </si>
  <si>
    <r>
      <rPr>
        <sz val="11"/>
        <rFont val="Calibri"/>
      </rPr>
      <t>Sampang</t>
    </r>
  </si>
  <si>
    <r>
      <rPr>
        <sz val="11"/>
        <rFont val="Calibri"/>
      </rPr>
      <t>Jawa Timur</t>
    </r>
  </si>
  <si>
    <r>
      <rPr>
        <sz val="11"/>
        <rFont val="Calibri"/>
      </rPr>
      <t>Sampang</t>
    </r>
  </si>
  <si>
    <r>
      <rPr>
        <sz val="11"/>
        <rFont val="Calibri"/>
      </rPr>
      <t>111.6 - 114.0</t>
    </r>
  </si>
  <si>
    <r>
      <rPr>
        <sz val="11"/>
        <rFont val="Calibri"/>
      </rPr>
      <t>Pamekasan</t>
    </r>
  </si>
  <si>
    <r>
      <rPr>
        <sz val="11"/>
        <rFont val="Calibri"/>
      </rPr>
      <t>Jawa Timur</t>
    </r>
  </si>
  <si>
    <r>
      <rPr>
        <sz val="11"/>
        <rFont val="Calibri"/>
      </rPr>
      <t>Pamekasan</t>
    </r>
  </si>
  <si>
    <r>
      <rPr>
        <sz val="11"/>
        <rFont val="Calibri"/>
      </rPr>
      <t>111.6 - 114.0</t>
    </r>
  </si>
  <si>
    <r>
      <rPr>
        <sz val="11"/>
        <rFont val="Calibri"/>
      </rPr>
      <t>Sumenep</t>
    </r>
  </si>
  <si>
    <r>
      <rPr>
        <sz val="11"/>
        <rFont val="Calibri"/>
      </rPr>
      <t>Jawa Timur</t>
    </r>
  </si>
  <si>
    <r>
      <rPr>
        <sz val="11"/>
        <rFont val="Calibri"/>
      </rPr>
      <t>Sumenep</t>
    </r>
  </si>
  <si>
    <r>
      <rPr>
        <sz val="11"/>
        <rFont val="Calibri"/>
      </rPr>
      <t>111.6 - 114.0</t>
    </r>
  </si>
  <si>
    <r>
      <rPr>
        <sz val="11"/>
        <rFont val="Calibri"/>
      </rPr>
      <t>Pandeglang</t>
    </r>
  </si>
  <si>
    <r>
      <rPr>
        <sz val="11"/>
        <rFont val="Calibri"/>
      </rPr>
      <t>Banten</t>
    </r>
  </si>
  <si>
    <r>
      <rPr>
        <sz val="11"/>
        <rFont val="Calibri"/>
      </rPr>
      <t>Pandeglang</t>
    </r>
  </si>
  <si>
    <r>
      <rPr>
        <sz val="11"/>
        <rFont val="Calibri"/>
      </rPr>
      <t>106.3 - 106.42</t>
    </r>
  </si>
  <si>
    <r>
      <rPr>
        <sz val="11"/>
        <rFont val="Calibri"/>
      </rPr>
      <t>Lebak</t>
    </r>
  </si>
  <si>
    <r>
      <rPr>
        <sz val="11"/>
        <rFont val="Calibri"/>
      </rPr>
      <t>Banten</t>
    </r>
  </si>
  <si>
    <r>
      <rPr>
        <sz val="11"/>
        <rFont val="Calibri"/>
      </rPr>
      <t>Rangkasbitung</t>
    </r>
  </si>
  <si>
    <r>
      <rPr>
        <sz val="11"/>
        <rFont val="Calibri"/>
      </rPr>
      <t>106.3 - 106.42</t>
    </r>
  </si>
  <si>
    <r>
      <rPr>
        <sz val="11"/>
        <rFont val="Calibri"/>
      </rPr>
      <t>Tangerang</t>
    </r>
  </si>
  <si>
    <r>
      <rPr>
        <sz val="11"/>
        <rFont val="Calibri"/>
      </rPr>
      <t>Banten</t>
    </r>
  </si>
  <si>
    <r>
      <rPr>
        <sz val="11"/>
        <rFont val="Calibri"/>
      </rPr>
      <t>Tigaraksa</t>
    </r>
  </si>
  <si>
    <r>
      <rPr>
        <sz val="11"/>
        <rFont val="Calibri"/>
      </rPr>
      <t>106.3 - 106.42</t>
    </r>
  </si>
  <si>
    <r>
      <rPr>
        <sz val="11"/>
        <rFont val="Calibri"/>
      </rPr>
      <t>Serang</t>
    </r>
  </si>
  <si>
    <r>
      <rPr>
        <sz val="11"/>
        <rFont val="Calibri"/>
      </rPr>
      <t>Banten</t>
    </r>
  </si>
  <si>
    <r>
      <rPr>
        <sz val="11"/>
        <rFont val="Calibri"/>
      </rPr>
      <t>Ciruas</t>
    </r>
  </si>
  <si>
    <r>
      <rPr>
        <sz val="11"/>
        <rFont val="Calibri"/>
      </rPr>
      <t>106.3 - 106.42</t>
    </r>
  </si>
  <si>
    <r>
      <rPr>
        <sz val="11"/>
        <rFont val="Calibri"/>
      </rPr>
      <t>Pangandaran</t>
    </r>
  </si>
  <si>
    <r>
      <rPr>
        <sz val="11"/>
        <rFont val="Calibri"/>
      </rPr>
      <t>Jawa Barat</t>
    </r>
  </si>
  <si>
    <r>
      <rPr>
        <sz val="11"/>
        <rFont val="Calibri"/>
      </rPr>
      <t>Parigi</t>
    </r>
  </si>
  <si>
    <r>
      <rPr>
        <sz val="11"/>
        <rFont val="Calibri"/>
      </rPr>
      <t>103.24 - 108.39</t>
    </r>
  </si>
  <si>
    <r>
      <rPr>
        <sz val="11"/>
        <rFont val="Calibri"/>
      </rPr>
      <t>Jembrana</t>
    </r>
  </si>
  <si>
    <r>
      <rPr>
        <sz val="11"/>
        <rFont val="Calibri"/>
      </rPr>
      <t>Bali</t>
    </r>
  </si>
  <si>
    <r>
      <rPr>
        <sz val="11"/>
        <rFont val="Calibri"/>
      </rPr>
      <t>Negara</t>
    </r>
  </si>
  <si>
    <r>
      <rPr>
        <sz val="11"/>
        <rFont val="Calibri"/>
      </rPr>
      <t>114.37 -115.36</t>
    </r>
  </si>
  <si>
    <r>
      <rPr>
        <sz val="11"/>
        <rFont val="Calibri"/>
      </rPr>
      <t>Tabanan</t>
    </r>
  </si>
  <si>
    <r>
      <rPr>
        <sz val="11"/>
        <rFont val="Calibri"/>
      </rPr>
      <t>Bali</t>
    </r>
  </si>
  <si>
    <r>
      <rPr>
        <sz val="11"/>
        <rFont val="Calibri"/>
      </rPr>
      <t>Tabanan</t>
    </r>
  </si>
  <si>
    <r>
      <rPr>
        <sz val="11"/>
        <rFont val="Calibri"/>
      </rPr>
      <t>114.37 -115.36</t>
    </r>
  </si>
  <si>
    <r>
      <rPr>
        <sz val="11"/>
        <rFont val="Calibri"/>
      </rPr>
      <t>Badung</t>
    </r>
  </si>
  <si>
    <r>
      <rPr>
        <sz val="11"/>
        <rFont val="Calibri"/>
      </rPr>
      <t>Bali</t>
    </r>
  </si>
  <si>
    <r>
      <rPr>
        <sz val="11"/>
        <rFont val="Calibri"/>
      </rPr>
      <t>Mengwi</t>
    </r>
  </si>
  <si>
    <r>
      <rPr>
        <sz val="11"/>
        <rFont val="Calibri"/>
      </rPr>
      <t>114.37 -115.36</t>
    </r>
  </si>
  <si>
    <r>
      <rPr>
        <sz val="11"/>
        <rFont val="Calibri"/>
      </rPr>
      <t>Gianyar</t>
    </r>
  </si>
  <si>
    <r>
      <rPr>
        <sz val="11"/>
        <rFont val="Calibri"/>
      </rPr>
      <t>Bali</t>
    </r>
  </si>
  <si>
    <r>
      <rPr>
        <sz val="11"/>
        <rFont val="Calibri"/>
      </rPr>
      <t>Gianyar</t>
    </r>
  </si>
  <si>
    <r>
      <rPr>
        <sz val="11"/>
        <rFont val="Calibri"/>
      </rPr>
      <t>114.37 -115.36</t>
    </r>
  </si>
  <si>
    <r>
      <rPr>
        <sz val="11"/>
        <rFont val="Calibri"/>
      </rPr>
      <t>Klungkung</t>
    </r>
  </si>
  <si>
    <r>
      <rPr>
        <sz val="11"/>
        <rFont val="Calibri"/>
      </rPr>
      <t>Bali</t>
    </r>
  </si>
  <si>
    <r>
      <rPr>
        <sz val="11"/>
        <rFont val="Calibri"/>
      </rPr>
      <t>Klungkung</t>
    </r>
  </si>
  <si>
    <r>
      <rPr>
        <sz val="11"/>
        <rFont val="Calibri"/>
      </rPr>
      <t>114.37 -115.36</t>
    </r>
  </si>
  <si>
    <r>
      <rPr>
        <sz val="11"/>
        <rFont val="Calibri"/>
      </rPr>
      <t>Bangli</t>
    </r>
  </si>
  <si>
    <r>
      <rPr>
        <sz val="11"/>
        <rFont val="Calibri"/>
      </rPr>
      <t>Bali</t>
    </r>
  </si>
  <si>
    <r>
      <rPr>
        <sz val="11"/>
        <rFont val="Calibri"/>
      </rPr>
      <t>Bangli</t>
    </r>
  </si>
  <si>
    <r>
      <rPr>
        <sz val="11"/>
        <rFont val="Calibri"/>
      </rPr>
      <t>114.37 -115.36</t>
    </r>
  </si>
  <si>
    <r>
      <rPr>
        <sz val="11"/>
        <rFont val="Calibri"/>
      </rPr>
      <t>Karangasem</t>
    </r>
  </si>
  <si>
    <r>
      <rPr>
        <sz val="11"/>
        <rFont val="Calibri"/>
      </rPr>
      <t>Bali</t>
    </r>
  </si>
  <si>
    <r>
      <rPr>
        <sz val="11"/>
        <rFont val="Calibri"/>
      </rPr>
      <t>Karangasem</t>
    </r>
  </si>
  <si>
    <r>
      <rPr>
        <sz val="11"/>
        <rFont val="Calibri"/>
      </rPr>
      <t>114.37 -115.36</t>
    </r>
  </si>
  <si>
    <r>
      <rPr>
        <sz val="11"/>
        <rFont val="Calibri"/>
      </rPr>
      <t>Buleleng</t>
    </r>
  </si>
  <si>
    <r>
      <rPr>
        <sz val="11"/>
        <rFont val="Calibri"/>
      </rPr>
      <t>Bali</t>
    </r>
  </si>
  <si>
    <r>
      <rPr>
        <sz val="11"/>
        <rFont val="Calibri"/>
      </rPr>
      <t>Singaraja</t>
    </r>
  </si>
  <si>
    <r>
      <rPr>
        <sz val="11"/>
        <rFont val="Calibri"/>
      </rPr>
      <t>114.37 -115.36</t>
    </r>
  </si>
  <si>
    <r>
      <rPr>
        <sz val="11"/>
        <rFont val="Calibri"/>
      </rPr>
      <t>Lombok Barat</t>
    </r>
  </si>
  <si>
    <r>
      <rPr>
        <sz val="11"/>
        <rFont val="Calibri"/>
      </rPr>
      <t>Nusa Tenggara Barat</t>
    </r>
  </si>
  <si>
    <r>
      <rPr>
        <sz val="11"/>
        <rFont val="Calibri"/>
      </rPr>
      <t>Mataram</t>
    </r>
  </si>
  <si>
    <r>
      <rPr>
        <sz val="11"/>
        <rFont val="Calibri"/>
      </rPr>
      <t>116.6 -118.43</t>
    </r>
  </si>
  <si>
    <r>
      <rPr>
        <sz val="11"/>
        <rFont val="Calibri"/>
      </rPr>
      <t>Lombok Tengah</t>
    </r>
  </si>
  <si>
    <r>
      <rPr>
        <sz val="11"/>
        <rFont val="Calibri"/>
      </rPr>
      <t>Nusa Tenggara Barat</t>
    </r>
  </si>
  <si>
    <r>
      <rPr>
        <sz val="11"/>
        <rFont val="Calibri"/>
      </rPr>
      <t>Praya</t>
    </r>
  </si>
  <si>
    <r>
      <rPr>
        <sz val="11"/>
        <rFont val="Calibri"/>
      </rPr>
      <t>116.6 -118.43</t>
    </r>
  </si>
  <si>
    <r>
      <rPr>
        <sz val="11"/>
        <rFont val="Calibri"/>
      </rPr>
      <t>Lombok Timur</t>
    </r>
  </si>
  <si>
    <r>
      <rPr>
        <sz val="11"/>
        <rFont val="Calibri"/>
      </rPr>
      <t>Nusa Tenggara Barat</t>
    </r>
  </si>
  <si>
    <r>
      <rPr>
        <sz val="11"/>
        <rFont val="Calibri"/>
      </rPr>
      <t>Selong</t>
    </r>
  </si>
  <si>
    <r>
      <rPr>
        <sz val="11"/>
        <rFont val="Calibri"/>
      </rPr>
      <t>116.6 -118.43</t>
    </r>
  </si>
  <si>
    <r>
      <rPr>
        <sz val="11"/>
        <rFont val="Calibri"/>
      </rPr>
      <t>Sumbawa</t>
    </r>
  </si>
  <si>
    <r>
      <rPr>
        <sz val="11"/>
        <rFont val="Calibri"/>
      </rPr>
      <t>Nusa Tenggara Barat</t>
    </r>
  </si>
  <si>
    <r>
      <rPr>
        <sz val="11"/>
        <rFont val="Calibri"/>
      </rPr>
      <t>Sumbawa Besar</t>
    </r>
  </si>
  <si>
    <r>
      <rPr>
        <sz val="11"/>
        <rFont val="Calibri"/>
      </rPr>
      <t>116.6 -118.43</t>
    </r>
  </si>
  <si>
    <r>
      <rPr>
        <sz val="11"/>
        <rFont val="Calibri"/>
      </rPr>
      <t>Dompu</t>
    </r>
  </si>
  <si>
    <r>
      <rPr>
        <sz val="11"/>
        <rFont val="Calibri"/>
      </rPr>
      <t>Nusa Tenggara Barat</t>
    </r>
  </si>
  <si>
    <r>
      <rPr>
        <sz val="11"/>
        <rFont val="Calibri"/>
      </rPr>
      <t>Dompu</t>
    </r>
  </si>
  <si>
    <r>
      <rPr>
        <sz val="11"/>
        <rFont val="Calibri"/>
      </rPr>
      <t>116.6 -118.43</t>
    </r>
  </si>
  <si>
    <r>
      <rPr>
        <sz val="11"/>
        <rFont val="Calibri"/>
      </rPr>
      <t>Bima</t>
    </r>
  </si>
  <si>
    <r>
      <rPr>
        <sz val="11"/>
        <rFont val="Calibri"/>
      </rPr>
      <t>Nusa Tenggara Barat</t>
    </r>
  </si>
  <si>
    <r>
      <rPr>
        <sz val="11"/>
        <rFont val="Calibri"/>
      </rPr>
      <t>Raba</t>
    </r>
  </si>
  <si>
    <r>
      <rPr>
        <sz val="11"/>
        <rFont val="Calibri"/>
      </rPr>
      <t>116.6 -118.43</t>
    </r>
  </si>
  <si>
    <r>
      <rPr>
        <sz val="11"/>
        <rFont val="Calibri"/>
      </rPr>
      <t>Sumbawa Barat</t>
    </r>
  </si>
  <si>
    <r>
      <rPr>
        <sz val="11"/>
        <rFont val="Calibri"/>
      </rPr>
      <t>Nusa Tenggara Barat</t>
    </r>
  </si>
  <si>
    <r>
      <rPr>
        <sz val="11"/>
        <rFont val="Calibri"/>
      </rPr>
      <t>Taliwang</t>
    </r>
  </si>
  <si>
    <r>
      <rPr>
        <sz val="11"/>
        <rFont val="Calibri"/>
      </rPr>
      <t>116.6 -118.43</t>
    </r>
  </si>
  <si>
    <r>
      <rPr>
        <sz val="11"/>
        <rFont val="Calibri"/>
      </rPr>
      <t>Lombok Utara</t>
    </r>
  </si>
  <si>
    <r>
      <rPr>
        <sz val="11"/>
        <rFont val="Calibri"/>
      </rPr>
      <t>Nusa Tenggara Barat</t>
    </r>
  </si>
  <si>
    <r>
      <rPr>
        <sz val="11"/>
        <rFont val="Calibri"/>
      </rPr>
      <t>Tanjung</t>
    </r>
  </si>
  <si>
    <r>
      <rPr>
        <sz val="11"/>
        <rFont val="Calibri"/>
      </rPr>
      <t>116.6 -118.43</t>
    </r>
  </si>
  <si>
    <r>
      <rPr>
        <sz val="11"/>
        <rFont val="Calibri"/>
      </rPr>
      <t>Kupang</t>
    </r>
  </si>
  <si>
    <r>
      <rPr>
        <sz val="11"/>
        <rFont val="Calibri"/>
      </rPr>
      <t>Nusa Tenggara Timur</t>
    </r>
  </si>
  <si>
    <r>
      <rPr>
        <sz val="11"/>
        <rFont val="Calibri"/>
      </rPr>
      <t>Kupang</t>
    </r>
  </si>
  <si>
    <r>
      <rPr>
        <sz val="11"/>
        <rFont val="Calibri"/>
      </rPr>
      <t>119.8 -124.57</t>
    </r>
  </si>
  <si>
    <r>
      <rPr>
        <sz val="11"/>
        <rFont val="Calibri"/>
      </rPr>
      <t>Timor Tengah Selatan</t>
    </r>
  </si>
  <si>
    <r>
      <rPr>
        <sz val="11"/>
        <rFont val="Calibri"/>
      </rPr>
      <t>Nusa Tenggara Timur</t>
    </r>
  </si>
  <si>
    <r>
      <rPr>
        <sz val="11"/>
        <rFont val="Calibri"/>
      </rPr>
      <t>Soe</t>
    </r>
  </si>
  <si>
    <r>
      <rPr>
        <sz val="11"/>
        <rFont val="Calibri"/>
      </rPr>
      <t>119.8 -124.57</t>
    </r>
  </si>
  <si>
    <r>
      <rPr>
        <sz val="11"/>
        <rFont val="Calibri"/>
      </rPr>
      <t>Timor Tengah Utara</t>
    </r>
  </si>
  <si>
    <r>
      <rPr>
        <sz val="11"/>
        <rFont val="Calibri"/>
      </rPr>
      <t>Nusa Tenggara Timur</t>
    </r>
  </si>
  <si>
    <r>
      <rPr>
        <sz val="11"/>
        <rFont val="Calibri"/>
      </rPr>
      <t>Kefamenanu</t>
    </r>
  </si>
  <si>
    <r>
      <rPr>
        <sz val="11"/>
        <rFont val="Calibri"/>
      </rPr>
      <t>119.8 -124.57</t>
    </r>
  </si>
  <si>
    <r>
      <rPr>
        <sz val="11"/>
        <rFont val="Calibri"/>
      </rPr>
      <t>Belu</t>
    </r>
  </si>
  <si>
    <r>
      <rPr>
        <sz val="11"/>
        <rFont val="Calibri"/>
      </rPr>
      <t>Nusa Tenggara Timur</t>
    </r>
  </si>
  <si>
    <r>
      <rPr>
        <sz val="11"/>
        <rFont val="Calibri"/>
      </rPr>
      <t>Atambua</t>
    </r>
  </si>
  <si>
    <r>
      <rPr>
        <sz val="11"/>
        <rFont val="Calibri"/>
      </rPr>
      <t>119.8 -124.57</t>
    </r>
  </si>
  <si>
    <r>
      <rPr>
        <sz val="11"/>
        <rFont val="Calibri"/>
      </rPr>
      <t>Alor</t>
    </r>
  </si>
  <si>
    <r>
      <rPr>
        <sz val="11"/>
        <rFont val="Calibri"/>
      </rPr>
      <t>Nusa Tenggara Timur</t>
    </r>
  </si>
  <si>
    <r>
      <rPr>
        <sz val="11"/>
        <rFont val="Calibri"/>
      </rPr>
      <t>Kalabahi</t>
    </r>
  </si>
  <si>
    <r>
      <rPr>
        <sz val="11"/>
        <rFont val="Calibri"/>
      </rPr>
      <t>119.8 -124.57</t>
    </r>
  </si>
  <si>
    <r>
      <rPr>
        <sz val="11"/>
        <rFont val="Calibri"/>
      </rPr>
      <t>Flores Timur</t>
    </r>
  </si>
  <si>
    <r>
      <rPr>
        <sz val="11"/>
        <rFont val="Calibri"/>
      </rPr>
      <t>Nusa Tenggara Timur</t>
    </r>
  </si>
  <si>
    <r>
      <rPr>
        <sz val="11"/>
        <rFont val="Calibri"/>
      </rPr>
      <t>Larantuka</t>
    </r>
  </si>
  <si>
    <r>
      <rPr>
        <sz val="11"/>
        <rFont val="Calibri"/>
      </rPr>
      <t>119.8 -124.57</t>
    </r>
  </si>
  <si>
    <r>
      <rPr>
        <sz val="11"/>
        <rFont val="Calibri"/>
      </rPr>
      <t>Sikka</t>
    </r>
  </si>
  <si>
    <r>
      <rPr>
        <sz val="11"/>
        <rFont val="Calibri"/>
      </rPr>
      <t>Nusa Tenggara Timur</t>
    </r>
  </si>
  <si>
    <r>
      <rPr>
        <sz val="11"/>
        <rFont val="Calibri"/>
      </rPr>
      <t>Maumere</t>
    </r>
  </si>
  <si>
    <r>
      <rPr>
        <sz val="11"/>
        <rFont val="Calibri"/>
      </rPr>
      <t>119.8 -124.57</t>
    </r>
  </si>
  <si>
    <r>
      <rPr>
        <sz val="11"/>
        <rFont val="Calibri"/>
      </rPr>
      <t>Ende</t>
    </r>
  </si>
  <si>
    <r>
      <rPr>
        <sz val="11"/>
        <rFont val="Calibri"/>
      </rPr>
      <t>Nusa Tenggara Timur</t>
    </r>
  </si>
  <si>
    <r>
      <rPr>
        <sz val="11"/>
        <rFont val="Calibri"/>
      </rPr>
      <t>Ende</t>
    </r>
  </si>
  <si>
    <r>
      <rPr>
        <sz val="11"/>
        <rFont val="Calibri"/>
      </rPr>
      <t>119.8 -124.57</t>
    </r>
  </si>
  <si>
    <r>
      <rPr>
        <sz val="11"/>
        <rFont val="Calibri"/>
      </rPr>
      <t>Ngada</t>
    </r>
  </si>
  <si>
    <r>
      <rPr>
        <sz val="11"/>
        <rFont val="Calibri"/>
      </rPr>
      <t>Nusa Tenggara Timur</t>
    </r>
  </si>
  <si>
    <r>
      <rPr>
        <sz val="11"/>
        <rFont val="Calibri"/>
      </rPr>
      <t>Bajawa</t>
    </r>
  </si>
  <si>
    <r>
      <rPr>
        <sz val="11"/>
        <rFont val="Calibri"/>
      </rPr>
      <t>119.8 -124.57</t>
    </r>
  </si>
  <si>
    <r>
      <rPr>
        <sz val="11"/>
        <rFont val="Calibri"/>
      </rPr>
      <t>Manggarai</t>
    </r>
  </si>
  <si>
    <r>
      <rPr>
        <sz val="11"/>
        <rFont val="Calibri"/>
      </rPr>
      <t>Nusa Tenggara Timur</t>
    </r>
  </si>
  <si>
    <r>
      <rPr>
        <sz val="11"/>
        <rFont val="Calibri"/>
      </rPr>
      <t>Ruteng</t>
    </r>
  </si>
  <si>
    <r>
      <rPr>
        <sz val="11"/>
        <rFont val="Calibri"/>
      </rPr>
      <t>119.8 -124.57</t>
    </r>
  </si>
  <si>
    <r>
      <rPr>
        <sz val="11"/>
        <rFont val="Calibri"/>
      </rPr>
      <t>Sumba Timur</t>
    </r>
  </si>
  <si>
    <r>
      <rPr>
        <sz val="11"/>
        <rFont val="Calibri"/>
      </rPr>
      <t>Nusa Tenggara Timur</t>
    </r>
  </si>
  <si>
    <r>
      <rPr>
        <sz val="11"/>
        <rFont val="Calibri"/>
      </rPr>
      <t>Waingapu</t>
    </r>
  </si>
  <si>
    <r>
      <rPr>
        <sz val="11"/>
        <rFont val="Calibri"/>
      </rPr>
      <t>119.8 -124.57</t>
    </r>
  </si>
  <si>
    <r>
      <rPr>
        <sz val="11"/>
        <rFont val="Calibri"/>
      </rPr>
      <t>Sumba Barat</t>
    </r>
  </si>
  <si>
    <r>
      <rPr>
        <sz val="11"/>
        <rFont val="Calibri"/>
      </rPr>
      <t>Nusa Tenggara Timur</t>
    </r>
  </si>
  <si>
    <r>
      <rPr>
        <sz val="11"/>
        <rFont val="Calibri"/>
      </rPr>
      <t>Waikabubak</t>
    </r>
  </si>
  <si>
    <r>
      <rPr>
        <sz val="11"/>
        <rFont val="Calibri"/>
      </rPr>
      <t>119.8 -124.57</t>
    </r>
  </si>
  <si>
    <r>
      <rPr>
        <sz val="11"/>
        <rFont val="Calibri"/>
      </rPr>
      <t>Lembata</t>
    </r>
  </si>
  <si>
    <r>
      <rPr>
        <sz val="11"/>
        <rFont val="Calibri"/>
      </rPr>
      <t>Nusa Tenggara Timur</t>
    </r>
  </si>
  <si>
    <r>
      <rPr>
        <sz val="11"/>
        <rFont val="Calibri"/>
      </rPr>
      <t>Lewoleba</t>
    </r>
  </si>
  <si>
    <r>
      <rPr>
        <sz val="11"/>
        <rFont val="Calibri"/>
      </rPr>
      <t>119.8 -124.57</t>
    </r>
  </si>
  <si>
    <r>
      <rPr>
        <sz val="11"/>
        <rFont val="Calibri"/>
      </rPr>
      <t>Rote Ndao</t>
    </r>
  </si>
  <si>
    <r>
      <rPr>
        <sz val="11"/>
        <rFont val="Calibri"/>
      </rPr>
      <t>Nusa Tenggara Timur</t>
    </r>
  </si>
  <si>
    <r>
      <rPr>
        <sz val="11"/>
        <rFont val="Calibri"/>
      </rPr>
      <t>Baa</t>
    </r>
  </si>
  <si>
    <r>
      <rPr>
        <sz val="11"/>
        <rFont val="Calibri"/>
      </rPr>
      <t>119.8 -124.57</t>
    </r>
  </si>
  <si>
    <r>
      <rPr>
        <sz val="11"/>
        <rFont val="Calibri"/>
      </rPr>
      <t>Manggarai Barat</t>
    </r>
  </si>
  <si>
    <r>
      <rPr>
        <sz val="11"/>
        <rFont val="Calibri"/>
      </rPr>
      <t>Nusa Tenggara Timur</t>
    </r>
  </si>
  <si>
    <r>
      <rPr>
        <sz val="11"/>
        <rFont val="Calibri"/>
      </rPr>
      <t>Labuan Bajo</t>
    </r>
  </si>
  <si>
    <r>
      <rPr>
        <sz val="11"/>
        <rFont val="Calibri"/>
      </rPr>
      <t>119.8 -124.57</t>
    </r>
  </si>
  <si>
    <r>
      <rPr>
        <sz val="11"/>
        <rFont val="Calibri"/>
      </rPr>
      <t>Nagekeo</t>
    </r>
  </si>
  <si>
    <r>
      <rPr>
        <sz val="11"/>
        <rFont val="Calibri"/>
      </rPr>
      <t>Nusa Tenggara Timur</t>
    </r>
  </si>
  <si>
    <r>
      <rPr>
        <sz val="11"/>
        <rFont val="Calibri"/>
      </rPr>
      <t>Mbay</t>
    </r>
  </si>
  <si>
    <r>
      <rPr>
        <sz val="11"/>
        <rFont val="Calibri"/>
      </rPr>
      <t>119.8 -124.57</t>
    </r>
  </si>
  <si>
    <r>
      <rPr>
        <sz val="11"/>
        <rFont val="Calibri"/>
      </rPr>
      <t>Sumba Tengah</t>
    </r>
  </si>
  <si>
    <r>
      <rPr>
        <sz val="11"/>
        <rFont val="Calibri"/>
      </rPr>
      <t>Nusa Tenggara Timur</t>
    </r>
  </si>
  <si>
    <r>
      <rPr>
        <sz val="11"/>
        <rFont val="Calibri"/>
      </rPr>
      <t>Waibakul</t>
    </r>
  </si>
  <si>
    <r>
      <rPr>
        <sz val="11"/>
        <rFont val="Calibri"/>
      </rPr>
      <t>119.8 -124.57</t>
    </r>
  </si>
  <si>
    <r>
      <rPr>
        <sz val="11"/>
        <rFont val="Calibri"/>
      </rPr>
      <t>Sumba Barat Daya</t>
    </r>
  </si>
  <si>
    <r>
      <rPr>
        <sz val="11"/>
        <rFont val="Calibri"/>
      </rPr>
      <t>Nusa Tenggara Timur</t>
    </r>
  </si>
  <si>
    <r>
      <rPr>
        <sz val="11"/>
        <rFont val="Calibri"/>
      </rPr>
      <t>Tambolaka</t>
    </r>
  </si>
  <si>
    <r>
      <rPr>
        <sz val="11"/>
        <rFont val="Calibri"/>
      </rPr>
      <t>119.8 -124.57</t>
    </r>
  </si>
  <si>
    <r>
      <rPr>
        <sz val="11"/>
        <rFont val="Calibri"/>
      </rPr>
      <t>Manggarai Timur</t>
    </r>
  </si>
  <si>
    <r>
      <rPr>
        <sz val="11"/>
        <rFont val="Calibri"/>
      </rPr>
      <t>Nusa Tenggara Timur</t>
    </r>
  </si>
  <si>
    <r>
      <rPr>
        <sz val="11"/>
        <rFont val="Calibri"/>
      </rPr>
      <t>Borong</t>
    </r>
  </si>
  <si>
    <r>
      <rPr>
        <sz val="11"/>
        <rFont val="Calibri"/>
      </rPr>
      <t>119.8 -124.57</t>
    </r>
  </si>
  <si>
    <r>
      <rPr>
        <sz val="11"/>
        <rFont val="Calibri"/>
      </rPr>
      <t>Sabu Raijua</t>
    </r>
  </si>
  <si>
    <r>
      <rPr>
        <sz val="11"/>
        <rFont val="Calibri"/>
      </rPr>
      <t>Nusa Tenggara Timur</t>
    </r>
  </si>
  <si>
    <r>
      <rPr>
        <sz val="11"/>
        <rFont val="Calibri"/>
      </rPr>
      <t>Seba</t>
    </r>
  </si>
  <si>
    <r>
      <rPr>
        <sz val="11"/>
        <rFont val="Calibri"/>
      </rPr>
      <t>119.8 -124.57</t>
    </r>
  </si>
  <si>
    <r>
      <rPr>
        <sz val="11"/>
        <rFont val="Calibri"/>
      </rPr>
      <t>Malaka</t>
    </r>
  </si>
  <si>
    <r>
      <rPr>
        <sz val="11"/>
        <rFont val="Calibri"/>
      </rPr>
      <t>Nusa Tenggara Timur</t>
    </r>
  </si>
  <si>
    <r>
      <rPr>
        <sz val="11"/>
        <rFont val="Calibri"/>
      </rPr>
      <t>Betun</t>
    </r>
  </si>
  <si>
    <r>
      <rPr>
        <sz val="11"/>
        <rFont val="Calibri"/>
      </rPr>
      <t>119.8 -124.57</t>
    </r>
  </si>
  <si>
    <r>
      <rPr>
        <sz val="11"/>
        <rFont val="Calibri"/>
      </rPr>
      <t>Sambas</t>
    </r>
  </si>
  <si>
    <r>
      <rPr>
        <sz val="11"/>
        <rFont val="Calibri"/>
      </rPr>
      <t>Kalimantan Barat</t>
    </r>
  </si>
  <si>
    <r>
      <rPr>
        <sz val="11"/>
        <rFont val="Calibri"/>
      </rPr>
      <t>Sambas</t>
    </r>
  </si>
  <si>
    <r>
      <rPr>
        <sz val="11"/>
        <rFont val="Calibri"/>
      </rPr>
      <t>108.57 -113.0</t>
    </r>
  </si>
  <si>
    <r>
      <rPr>
        <sz val="11"/>
        <rFont val="Calibri"/>
      </rPr>
      <t>Mempawah</t>
    </r>
  </si>
  <si>
    <r>
      <rPr>
        <sz val="11"/>
        <rFont val="Calibri"/>
      </rPr>
      <t>Kalimantan Barat</t>
    </r>
  </si>
  <si>
    <r>
      <rPr>
        <sz val="11"/>
        <rFont val="Calibri"/>
      </rPr>
      <t>Mempawah</t>
    </r>
  </si>
  <si>
    <r>
      <rPr>
        <sz val="11"/>
        <rFont val="Calibri"/>
      </rPr>
      <t>108.57 -113.0</t>
    </r>
  </si>
  <si>
    <r>
      <rPr>
        <sz val="11"/>
        <rFont val="Calibri"/>
      </rPr>
      <t>Sanggau</t>
    </r>
  </si>
  <si>
    <r>
      <rPr>
        <sz val="11"/>
        <rFont val="Calibri"/>
      </rPr>
      <t>Kalimantan Barat</t>
    </r>
  </si>
  <si>
    <r>
      <rPr>
        <sz val="11"/>
        <rFont val="Calibri"/>
      </rPr>
      <t>Sanggau</t>
    </r>
  </si>
  <si>
    <r>
      <rPr>
        <sz val="11"/>
        <rFont val="Calibri"/>
      </rPr>
      <t>108.57 - 113.0</t>
    </r>
  </si>
  <si>
    <r>
      <rPr>
        <sz val="11"/>
        <rFont val="Calibri"/>
      </rPr>
      <t>Ketapang</t>
    </r>
  </si>
  <si>
    <r>
      <rPr>
        <sz val="11"/>
        <rFont val="Calibri"/>
      </rPr>
      <t>Kalimantan Barat</t>
    </r>
  </si>
  <si>
    <r>
      <rPr>
        <sz val="11"/>
        <rFont val="Calibri"/>
      </rPr>
      <t>Ketapang</t>
    </r>
  </si>
  <si>
    <r>
      <rPr>
        <sz val="11"/>
        <rFont val="Calibri"/>
      </rPr>
      <t>108.57 - 113.0</t>
    </r>
  </si>
  <si>
    <r>
      <rPr>
        <sz val="11"/>
        <rFont val="Calibri"/>
      </rPr>
      <t>Sintang</t>
    </r>
  </si>
  <si>
    <r>
      <rPr>
        <sz val="11"/>
        <rFont val="Calibri"/>
      </rPr>
      <t>Kalimantan Barat</t>
    </r>
  </si>
  <si>
    <r>
      <rPr>
        <sz val="11"/>
        <rFont val="Calibri"/>
      </rPr>
      <t>Sintang</t>
    </r>
  </si>
  <si>
    <r>
      <rPr>
        <sz val="11"/>
        <rFont val="Calibri"/>
      </rPr>
      <t>108.57 - 113.0</t>
    </r>
  </si>
  <si>
    <r>
      <rPr>
        <sz val="11"/>
        <rFont val="Calibri"/>
      </rPr>
      <t>Kapuas Hulu</t>
    </r>
  </si>
  <si>
    <r>
      <rPr>
        <sz val="11"/>
        <rFont val="Calibri"/>
      </rPr>
      <t>Kalimantan Barat</t>
    </r>
  </si>
  <si>
    <r>
      <rPr>
        <sz val="11"/>
        <rFont val="Calibri"/>
      </rPr>
      <t>Putussibau</t>
    </r>
  </si>
  <si>
    <r>
      <rPr>
        <sz val="11"/>
        <rFont val="Calibri"/>
      </rPr>
      <t>108.57 - 113.0</t>
    </r>
  </si>
  <si>
    <r>
      <rPr>
        <sz val="11"/>
        <rFont val="Calibri"/>
      </rPr>
      <t>Bengkayang</t>
    </r>
  </si>
  <si>
    <r>
      <rPr>
        <sz val="11"/>
        <rFont val="Calibri"/>
      </rPr>
      <t>Kalimantan Barat</t>
    </r>
  </si>
  <si>
    <r>
      <rPr>
        <sz val="11"/>
        <rFont val="Calibri"/>
      </rPr>
      <t>Bengkayang</t>
    </r>
  </si>
  <si>
    <r>
      <rPr>
        <sz val="11"/>
        <rFont val="Calibri"/>
      </rPr>
      <t>108.57 - 113.0</t>
    </r>
  </si>
  <si>
    <r>
      <rPr>
        <sz val="11"/>
        <rFont val="Calibri"/>
      </rPr>
      <t>Landak</t>
    </r>
  </si>
  <si>
    <r>
      <rPr>
        <sz val="11"/>
        <rFont val="Calibri"/>
      </rPr>
      <t>Kalimantan Barat</t>
    </r>
  </si>
  <si>
    <r>
      <rPr>
        <sz val="11"/>
        <rFont val="Calibri"/>
      </rPr>
      <t>Ngabang</t>
    </r>
  </si>
  <si>
    <r>
      <rPr>
        <sz val="11"/>
        <rFont val="Calibri"/>
      </rPr>
      <t>108.57 - 113.0</t>
    </r>
  </si>
  <si>
    <r>
      <rPr>
        <sz val="11"/>
        <rFont val="Calibri"/>
      </rPr>
      <t>Sekadau</t>
    </r>
  </si>
  <si>
    <r>
      <rPr>
        <sz val="11"/>
        <rFont val="Calibri"/>
      </rPr>
      <t>Kalimantan Barat</t>
    </r>
  </si>
  <si>
    <r>
      <rPr>
        <sz val="11"/>
        <rFont val="Calibri"/>
      </rPr>
      <t>Sekadau</t>
    </r>
  </si>
  <si>
    <r>
      <rPr>
        <sz val="11"/>
        <rFont val="Calibri"/>
      </rPr>
      <t>108.57 - 113.0</t>
    </r>
  </si>
  <si>
    <r>
      <rPr>
        <sz val="11"/>
        <rFont val="Calibri"/>
      </rPr>
      <t>Melawi</t>
    </r>
  </si>
  <si>
    <r>
      <rPr>
        <sz val="11"/>
        <rFont val="Calibri"/>
      </rPr>
      <t>Kalimantan Barat</t>
    </r>
  </si>
  <si>
    <r>
      <rPr>
        <sz val="11"/>
        <rFont val="Calibri"/>
      </rPr>
      <t>Nanga Pinoh</t>
    </r>
  </si>
  <si>
    <r>
      <rPr>
        <sz val="11"/>
        <rFont val="Calibri"/>
      </rPr>
      <t>108.57 - 113.0</t>
    </r>
  </si>
  <si>
    <r>
      <rPr>
        <sz val="11"/>
        <rFont val="Calibri"/>
      </rPr>
      <t>Kayong Utara</t>
    </r>
  </si>
  <si>
    <r>
      <rPr>
        <sz val="11"/>
        <rFont val="Calibri"/>
      </rPr>
      <t>Kalimantan Barat</t>
    </r>
  </si>
  <si>
    <r>
      <rPr>
        <sz val="11"/>
        <rFont val="Calibri"/>
      </rPr>
      <t>Sukadana</t>
    </r>
  </si>
  <si>
    <r>
      <rPr>
        <sz val="11"/>
        <rFont val="Calibri"/>
      </rPr>
      <t>108.57 - 113.0</t>
    </r>
  </si>
  <si>
    <r>
      <rPr>
        <sz val="11"/>
        <rFont val="Calibri"/>
      </rPr>
      <t>Kubu Raya</t>
    </r>
  </si>
  <si>
    <r>
      <rPr>
        <sz val="11"/>
        <rFont val="Calibri"/>
      </rPr>
      <t>Kalimantan Barat</t>
    </r>
  </si>
  <si>
    <r>
      <rPr>
        <sz val="11"/>
        <rFont val="Calibri"/>
      </rPr>
      <t>Sungai Raya</t>
    </r>
  </si>
  <si>
    <r>
      <rPr>
        <sz val="11"/>
        <rFont val="Calibri"/>
      </rPr>
      <t>108.57 - 113.0</t>
    </r>
  </si>
  <si>
    <r>
      <rPr>
        <sz val="11"/>
        <rFont val="Calibri"/>
      </rPr>
      <t>Kotawaringin Barat</t>
    </r>
  </si>
  <si>
    <r>
      <rPr>
        <sz val="11"/>
        <rFont val="Calibri"/>
      </rPr>
      <t>Kalimantan Tengah</t>
    </r>
  </si>
  <si>
    <r>
      <rPr>
        <sz val="11"/>
        <rFont val="Calibri"/>
      </rPr>
      <t>Pangkalan Bun</t>
    </r>
  </si>
  <si>
    <r>
      <rPr>
        <sz val="11"/>
        <rFont val="Calibri"/>
      </rPr>
      <t>111.14 - 115.11</t>
    </r>
  </si>
  <si>
    <r>
      <rPr>
        <sz val="11"/>
        <rFont val="Calibri"/>
      </rPr>
      <t>Kotawaringin Timur</t>
    </r>
  </si>
  <si>
    <r>
      <rPr>
        <sz val="11"/>
        <rFont val="Calibri"/>
      </rPr>
      <t>Kalimantan Tengah</t>
    </r>
  </si>
  <si>
    <r>
      <rPr>
        <sz val="11"/>
        <rFont val="Calibri"/>
      </rPr>
      <t>Sampit</t>
    </r>
  </si>
  <si>
    <r>
      <rPr>
        <sz val="11"/>
        <rFont val="Calibri"/>
      </rPr>
      <t>111.14 - 115.11</t>
    </r>
  </si>
  <si>
    <r>
      <rPr>
        <sz val="11"/>
        <rFont val="Calibri"/>
      </rPr>
      <t>Kapuas</t>
    </r>
  </si>
  <si>
    <r>
      <rPr>
        <sz val="11"/>
        <rFont val="Calibri"/>
      </rPr>
      <t>Kalimantan Tengah</t>
    </r>
  </si>
  <si>
    <r>
      <rPr>
        <sz val="11"/>
        <rFont val="Calibri"/>
      </rPr>
      <t>Kuala Kapuas</t>
    </r>
  </si>
  <si>
    <r>
      <rPr>
        <sz val="11"/>
        <rFont val="Calibri"/>
      </rPr>
      <t>111.14 - 115.11</t>
    </r>
  </si>
  <si>
    <r>
      <rPr>
        <sz val="11"/>
        <rFont val="Calibri"/>
      </rPr>
      <t>Barito Selatan</t>
    </r>
  </si>
  <si>
    <r>
      <rPr>
        <sz val="11"/>
        <rFont val="Calibri"/>
      </rPr>
      <t>Kalimantan Tengah</t>
    </r>
  </si>
  <si>
    <r>
      <rPr>
        <sz val="11"/>
        <rFont val="Calibri"/>
      </rPr>
      <t>Buntok</t>
    </r>
  </si>
  <si>
    <r>
      <rPr>
        <sz val="11"/>
        <rFont val="Calibri"/>
      </rPr>
      <t>111.14 - 115.11</t>
    </r>
  </si>
  <si>
    <r>
      <rPr>
        <sz val="11"/>
        <rFont val="Calibri"/>
      </rPr>
      <t>Barito Utara</t>
    </r>
  </si>
  <si>
    <r>
      <rPr>
        <sz val="11"/>
        <rFont val="Calibri"/>
      </rPr>
      <t>Kalimantan Tengah</t>
    </r>
  </si>
  <si>
    <r>
      <rPr>
        <sz val="11"/>
        <rFont val="Calibri"/>
      </rPr>
      <t>Muara Teweh</t>
    </r>
  </si>
  <si>
    <r>
      <rPr>
        <sz val="11"/>
        <rFont val="Calibri"/>
      </rPr>
      <t>111.14 - 115.11</t>
    </r>
  </si>
  <si>
    <r>
      <rPr>
        <sz val="11"/>
        <rFont val="Calibri"/>
      </rPr>
      <t>Katingan</t>
    </r>
  </si>
  <si>
    <r>
      <rPr>
        <sz val="11"/>
        <rFont val="Calibri"/>
      </rPr>
      <t>Kalimantan Tengah</t>
    </r>
  </si>
  <si>
    <r>
      <rPr>
        <sz val="11"/>
        <rFont val="Calibri"/>
      </rPr>
      <t>Kasongan</t>
    </r>
  </si>
  <si>
    <r>
      <rPr>
        <sz val="11"/>
        <rFont val="Calibri"/>
      </rPr>
      <t>111.14 - 115.11</t>
    </r>
  </si>
  <si>
    <r>
      <rPr>
        <sz val="11"/>
        <rFont val="Calibri"/>
      </rPr>
      <t>Seruyan</t>
    </r>
  </si>
  <si>
    <r>
      <rPr>
        <sz val="11"/>
        <rFont val="Calibri"/>
      </rPr>
      <t>Kalimantan Tengah</t>
    </r>
  </si>
  <si>
    <r>
      <rPr>
        <sz val="11"/>
        <rFont val="Calibri"/>
      </rPr>
      <t>Kuala Pembuang</t>
    </r>
  </si>
  <si>
    <r>
      <rPr>
        <sz val="11"/>
        <rFont val="Calibri"/>
      </rPr>
      <t>111.14 - 115.11</t>
    </r>
  </si>
  <si>
    <r>
      <rPr>
        <sz val="11"/>
        <rFont val="Calibri"/>
      </rPr>
      <t>Sukamara</t>
    </r>
  </si>
  <si>
    <r>
      <rPr>
        <sz val="11"/>
        <rFont val="Calibri"/>
      </rPr>
      <t>Kalimantan Tengah</t>
    </r>
  </si>
  <si>
    <r>
      <rPr>
        <sz val="11"/>
        <rFont val="Calibri"/>
      </rPr>
      <t>Sukamara</t>
    </r>
  </si>
  <si>
    <r>
      <rPr>
        <sz val="11"/>
        <rFont val="Calibri"/>
      </rPr>
      <t>111.14 - 115.11</t>
    </r>
  </si>
  <si>
    <r>
      <rPr>
        <sz val="11"/>
        <rFont val="Calibri"/>
      </rPr>
      <t>Lamandau</t>
    </r>
  </si>
  <si>
    <r>
      <rPr>
        <sz val="11"/>
        <rFont val="Calibri"/>
      </rPr>
      <t>Kalimantan Tengah</t>
    </r>
  </si>
  <si>
    <r>
      <rPr>
        <sz val="11"/>
        <rFont val="Calibri"/>
      </rPr>
      <t>Nanga Bulik</t>
    </r>
  </si>
  <si>
    <r>
      <rPr>
        <sz val="11"/>
        <rFont val="Calibri"/>
      </rPr>
      <t>111.14 - 115.11</t>
    </r>
  </si>
  <si>
    <r>
      <rPr>
        <sz val="11"/>
        <rFont val="Calibri"/>
      </rPr>
      <t>Gunung Mas</t>
    </r>
  </si>
  <si>
    <r>
      <rPr>
        <sz val="11"/>
        <rFont val="Calibri"/>
      </rPr>
      <t>Kalimantan Tengah</t>
    </r>
  </si>
  <si>
    <r>
      <rPr>
        <sz val="11"/>
        <rFont val="Calibri"/>
      </rPr>
      <t>Kuala Kurun</t>
    </r>
  </si>
  <si>
    <r>
      <rPr>
        <sz val="11"/>
        <rFont val="Calibri"/>
      </rPr>
      <t>111.14 - 115.11</t>
    </r>
  </si>
  <si>
    <r>
      <rPr>
        <sz val="11"/>
        <rFont val="Calibri"/>
      </rPr>
      <t>Pulang Pisau</t>
    </r>
  </si>
  <si>
    <r>
      <rPr>
        <sz val="11"/>
        <rFont val="Calibri"/>
      </rPr>
      <t>Kalimantan Tengah</t>
    </r>
  </si>
  <si>
    <r>
      <rPr>
        <sz val="11"/>
        <rFont val="Calibri"/>
      </rPr>
      <t>Pulang Pisau</t>
    </r>
  </si>
  <si>
    <r>
      <rPr>
        <sz val="11"/>
        <rFont val="Calibri"/>
      </rPr>
      <t>111.14 - 115.11</t>
    </r>
  </si>
  <si>
    <r>
      <rPr>
        <sz val="11"/>
        <rFont val="Calibri"/>
      </rPr>
      <t>Murung Raya</t>
    </r>
  </si>
  <si>
    <r>
      <rPr>
        <sz val="11"/>
        <rFont val="Calibri"/>
      </rPr>
      <t>Kalimantan Tengah</t>
    </r>
  </si>
  <si>
    <r>
      <rPr>
        <sz val="11"/>
        <rFont val="Calibri"/>
      </rPr>
      <t>Purukcahu</t>
    </r>
  </si>
  <si>
    <r>
      <rPr>
        <sz val="11"/>
        <rFont val="Calibri"/>
      </rPr>
      <t>111.14 - 115.11</t>
    </r>
  </si>
  <si>
    <r>
      <rPr>
        <sz val="11"/>
        <rFont val="Calibri"/>
      </rPr>
      <t>Barito Timur</t>
    </r>
  </si>
  <si>
    <r>
      <rPr>
        <sz val="11"/>
        <rFont val="Calibri"/>
      </rPr>
      <t>Kalimantan Tengah</t>
    </r>
  </si>
  <si>
    <r>
      <rPr>
        <sz val="11"/>
        <rFont val="Calibri"/>
      </rPr>
      <t>Tamiang</t>
    </r>
  </si>
  <si>
    <r>
      <rPr>
        <sz val="11"/>
        <rFont val="Calibri"/>
      </rPr>
      <t>111.14 - 115.11</t>
    </r>
  </si>
  <si>
    <r>
      <rPr>
        <sz val="11"/>
        <rFont val="Calibri"/>
      </rPr>
      <t>Tanah Laut</t>
    </r>
  </si>
  <si>
    <r>
      <rPr>
        <sz val="11"/>
        <rFont val="Calibri"/>
      </rPr>
      <t>Kalimantan Selatan</t>
    </r>
  </si>
  <si>
    <r>
      <rPr>
        <sz val="11"/>
        <rFont val="Calibri"/>
      </rPr>
      <t>Pelaihari</t>
    </r>
  </si>
  <si>
    <r>
      <rPr>
        <sz val="11"/>
        <rFont val="Calibri"/>
      </rPr>
      <t>114.40 - 115.56</t>
    </r>
  </si>
  <si>
    <r>
      <rPr>
        <sz val="11"/>
        <rFont val="Calibri"/>
      </rPr>
      <t>Kotabaru</t>
    </r>
  </si>
  <si>
    <r>
      <rPr>
        <sz val="11"/>
        <rFont val="Calibri"/>
      </rPr>
      <t>Kalimantan Selatan</t>
    </r>
  </si>
  <si>
    <r>
      <rPr>
        <sz val="11"/>
        <rFont val="Calibri"/>
      </rPr>
      <t>Kotabaru</t>
    </r>
  </si>
  <si>
    <r>
      <rPr>
        <sz val="11"/>
        <rFont val="Calibri"/>
      </rPr>
      <t>114.40 - 115.56</t>
    </r>
  </si>
  <si>
    <r>
      <rPr>
        <sz val="11"/>
        <rFont val="Calibri"/>
      </rPr>
      <t>Banjar</t>
    </r>
  </si>
  <si>
    <r>
      <rPr>
        <sz val="11"/>
        <rFont val="Calibri"/>
      </rPr>
      <t>Kalimantan Selatan</t>
    </r>
  </si>
  <si>
    <r>
      <rPr>
        <sz val="11"/>
        <rFont val="Calibri"/>
      </rPr>
      <t>Martapura</t>
    </r>
  </si>
  <si>
    <r>
      <rPr>
        <sz val="11"/>
        <rFont val="Calibri"/>
      </rPr>
      <t>114.40 - 115.56</t>
    </r>
  </si>
  <si>
    <r>
      <rPr>
        <sz val="11"/>
        <rFont val="Calibri"/>
      </rPr>
      <t>Barito Kuala</t>
    </r>
  </si>
  <si>
    <r>
      <rPr>
        <sz val="11"/>
        <rFont val="Calibri"/>
      </rPr>
      <t>Kalimantan Selatan</t>
    </r>
  </si>
  <si>
    <r>
      <rPr>
        <sz val="11"/>
        <rFont val="Calibri"/>
      </rPr>
      <t>Marabahan</t>
    </r>
  </si>
  <si>
    <r>
      <rPr>
        <sz val="11"/>
        <rFont val="Calibri"/>
      </rPr>
      <t>114.40 - 115.56</t>
    </r>
  </si>
  <si>
    <r>
      <rPr>
        <sz val="11"/>
        <rFont val="Calibri"/>
      </rPr>
      <t>Tapin</t>
    </r>
  </si>
  <si>
    <r>
      <rPr>
        <sz val="11"/>
        <rFont val="Calibri"/>
      </rPr>
      <t>Kalimantan Selatan</t>
    </r>
  </si>
  <si>
    <r>
      <rPr>
        <sz val="11"/>
        <rFont val="Calibri"/>
      </rPr>
      <t>Rantau</t>
    </r>
  </si>
  <si>
    <r>
      <rPr>
        <sz val="11"/>
        <rFont val="Calibri"/>
      </rPr>
      <t>114.40 - 115.56</t>
    </r>
  </si>
  <si>
    <r>
      <rPr>
        <sz val="11"/>
        <rFont val="Calibri"/>
      </rPr>
      <t>Hulu Sungai Selatan</t>
    </r>
  </si>
  <si>
    <r>
      <rPr>
        <sz val="11"/>
        <rFont val="Calibri"/>
      </rPr>
      <t>Kalimantan Selatan</t>
    </r>
  </si>
  <si>
    <r>
      <rPr>
        <sz val="11"/>
        <rFont val="Calibri"/>
      </rPr>
      <t>Kandangan</t>
    </r>
  </si>
  <si>
    <r>
      <rPr>
        <sz val="11"/>
        <rFont val="Calibri"/>
      </rPr>
      <t>114.40 - 115.56</t>
    </r>
  </si>
  <si>
    <r>
      <rPr>
        <sz val="11"/>
        <rFont val="Calibri"/>
      </rPr>
      <t>Hulu Sungai Tengah</t>
    </r>
  </si>
  <si>
    <r>
      <rPr>
        <sz val="11"/>
        <rFont val="Calibri"/>
      </rPr>
      <t>Kalimantan Selatan</t>
    </r>
  </si>
  <si>
    <r>
      <rPr>
        <sz val="11"/>
        <rFont val="Calibri"/>
      </rPr>
      <t>Barabai</t>
    </r>
  </si>
  <si>
    <r>
      <rPr>
        <sz val="11"/>
        <rFont val="Calibri"/>
      </rPr>
      <t>114.40 - 115.56</t>
    </r>
  </si>
  <si>
    <r>
      <rPr>
        <sz val="11"/>
        <rFont val="Calibri"/>
      </rPr>
      <t>Hulu Sungai Utara</t>
    </r>
  </si>
  <si>
    <r>
      <rPr>
        <sz val="11"/>
        <rFont val="Calibri"/>
      </rPr>
      <t>Kalimantan Selatan</t>
    </r>
  </si>
  <si>
    <r>
      <rPr>
        <sz val="11"/>
        <rFont val="Calibri"/>
      </rPr>
      <t>Amuntai</t>
    </r>
  </si>
  <si>
    <r>
      <rPr>
        <sz val="11"/>
        <rFont val="Calibri"/>
      </rPr>
      <t>114.40 - 115.56</t>
    </r>
  </si>
  <si>
    <r>
      <rPr>
        <sz val="11"/>
        <rFont val="Calibri"/>
      </rPr>
      <t>Tabalong</t>
    </r>
  </si>
  <si>
    <r>
      <rPr>
        <sz val="11"/>
        <rFont val="Calibri"/>
      </rPr>
      <t>Kalimantan Selatan</t>
    </r>
  </si>
  <si>
    <r>
      <rPr>
        <sz val="11"/>
        <rFont val="Calibri"/>
      </rPr>
      <t>Tanjung</t>
    </r>
  </si>
  <si>
    <r>
      <rPr>
        <sz val="11"/>
        <rFont val="Calibri"/>
      </rPr>
      <t>114.40 - 115.56</t>
    </r>
  </si>
  <si>
    <r>
      <rPr>
        <sz val="11"/>
        <rFont val="Calibri"/>
      </rPr>
      <t>Tanah Bumbu</t>
    </r>
  </si>
  <si>
    <r>
      <rPr>
        <sz val="11"/>
        <rFont val="Calibri"/>
      </rPr>
      <t>Kalimantan Selatan</t>
    </r>
  </si>
  <si>
    <r>
      <rPr>
        <sz val="11"/>
        <rFont val="Calibri"/>
      </rPr>
      <t>Batulicin</t>
    </r>
  </si>
  <si>
    <r>
      <rPr>
        <sz val="11"/>
        <rFont val="Calibri"/>
      </rPr>
      <t>114.40 - 115.56</t>
    </r>
  </si>
  <si>
    <r>
      <rPr>
        <sz val="11"/>
        <rFont val="Calibri"/>
      </rPr>
      <t>Balangan</t>
    </r>
  </si>
  <si>
    <r>
      <rPr>
        <sz val="11"/>
        <rFont val="Calibri"/>
      </rPr>
      <t>Kalimantan Selatan</t>
    </r>
  </si>
  <si>
    <r>
      <rPr>
        <sz val="11"/>
        <rFont val="Calibri"/>
      </rPr>
      <t>Paringin</t>
    </r>
  </si>
  <si>
    <r>
      <rPr>
        <sz val="11"/>
        <rFont val="Calibri"/>
      </rPr>
      <t>114.40 - 115.56</t>
    </r>
  </si>
  <si>
    <r>
      <rPr>
        <sz val="11"/>
        <rFont val="Calibri"/>
      </rPr>
      <t>Paser</t>
    </r>
  </si>
  <si>
    <r>
      <rPr>
        <sz val="11"/>
        <rFont val="Calibri"/>
      </rPr>
      <t>Kalimantan Timur</t>
    </r>
  </si>
  <si>
    <r>
      <rPr>
        <sz val="11"/>
        <rFont val="Calibri"/>
      </rPr>
      <t>Tanah Grogot</t>
    </r>
  </si>
  <si>
    <r>
      <rPr>
        <sz val="11"/>
        <rFont val="Calibri"/>
      </rPr>
      <t>114.42 - 118.5</t>
    </r>
  </si>
  <si>
    <r>
      <rPr>
        <sz val="11"/>
        <rFont val="Calibri"/>
      </rPr>
      <t>Kutai Kartanegara</t>
    </r>
  </si>
  <si>
    <r>
      <rPr>
        <sz val="11"/>
        <rFont val="Calibri"/>
      </rPr>
      <t>Kalimantan Timur</t>
    </r>
  </si>
  <si>
    <r>
      <rPr>
        <sz val="11"/>
        <rFont val="Calibri"/>
      </rPr>
      <t>Tenggarong</t>
    </r>
  </si>
  <si>
    <r>
      <rPr>
        <sz val="11"/>
        <rFont val="Calibri"/>
      </rPr>
      <t>114.42 - 118.5</t>
    </r>
  </si>
  <si>
    <r>
      <rPr>
        <sz val="11"/>
        <rFont val="Calibri"/>
      </rPr>
      <t>Berau</t>
    </r>
  </si>
  <si>
    <r>
      <rPr>
        <sz val="11"/>
        <rFont val="Calibri"/>
      </rPr>
      <t>Kalimantan Timur</t>
    </r>
  </si>
  <si>
    <r>
      <rPr>
        <sz val="11"/>
        <rFont val="Calibri"/>
      </rPr>
      <t>Tanjungredep</t>
    </r>
  </si>
  <si>
    <r>
      <rPr>
        <sz val="11"/>
        <rFont val="Calibri"/>
      </rPr>
      <t>114.42 - 118.5</t>
    </r>
  </si>
  <si>
    <r>
      <rPr>
        <sz val="11"/>
        <rFont val="Calibri"/>
      </rPr>
      <t>Kutai Barat</t>
    </r>
  </si>
  <si>
    <r>
      <rPr>
        <sz val="11"/>
        <rFont val="Calibri"/>
      </rPr>
      <t>Kalimantan Timur</t>
    </r>
  </si>
  <si>
    <r>
      <rPr>
        <sz val="11"/>
        <rFont val="Calibri"/>
      </rPr>
      <t>Sendawar</t>
    </r>
  </si>
  <si>
    <r>
      <rPr>
        <sz val="11"/>
        <rFont val="Calibri"/>
      </rPr>
      <t>114.42 - 118.5</t>
    </r>
  </si>
  <si>
    <r>
      <rPr>
        <sz val="11"/>
        <rFont val="Calibri"/>
      </rPr>
      <t>Kutai Timur</t>
    </r>
  </si>
  <si>
    <r>
      <rPr>
        <sz val="11"/>
        <rFont val="Calibri"/>
      </rPr>
      <t>Kalimantan Timur</t>
    </r>
  </si>
  <si>
    <r>
      <rPr>
        <sz val="11"/>
        <rFont val="Calibri"/>
      </rPr>
      <t>Sangatta</t>
    </r>
  </si>
  <si>
    <r>
      <rPr>
        <sz val="11"/>
        <rFont val="Calibri"/>
      </rPr>
      <t>114.42 - 118.5</t>
    </r>
  </si>
  <si>
    <r>
      <rPr>
        <sz val="11"/>
        <rFont val="Calibri"/>
      </rPr>
      <t>Penajam Paser Utara</t>
    </r>
  </si>
  <si>
    <r>
      <rPr>
        <sz val="11"/>
        <rFont val="Calibri"/>
      </rPr>
      <t>Kalimantan Timur</t>
    </r>
  </si>
  <si>
    <r>
      <rPr>
        <sz val="11"/>
        <rFont val="Calibri"/>
      </rPr>
      <t>Penajam</t>
    </r>
  </si>
  <si>
    <r>
      <rPr>
        <sz val="11"/>
        <rFont val="Calibri"/>
      </rPr>
      <t>114.42 - 118.5</t>
    </r>
  </si>
  <si>
    <r>
      <rPr>
        <sz val="11"/>
        <rFont val="Calibri"/>
      </rPr>
      <t>Mahakam Ulu</t>
    </r>
  </si>
  <si>
    <r>
      <rPr>
        <sz val="11"/>
        <rFont val="Calibri"/>
      </rPr>
      <t>Kalimantan Timur</t>
    </r>
  </si>
  <si>
    <r>
      <rPr>
        <sz val="11"/>
        <rFont val="Calibri"/>
      </rPr>
      <t>Batu Bulan</t>
    </r>
  </si>
  <si>
    <r>
      <rPr>
        <sz val="11"/>
        <rFont val="Calibri"/>
      </rPr>
      <t>114.42 - 118.5</t>
    </r>
  </si>
  <si>
    <r>
      <rPr>
        <sz val="11"/>
        <rFont val="Calibri"/>
      </rPr>
      <t>Bulungan</t>
    </r>
  </si>
  <si>
    <r>
      <rPr>
        <sz val="11"/>
        <rFont val="Calibri"/>
      </rPr>
      <t>Kalimantan Utara</t>
    </r>
  </si>
  <si>
    <r>
      <rPr>
        <sz val="11"/>
        <rFont val="Calibri"/>
      </rPr>
      <t>Tanjungselor</t>
    </r>
  </si>
  <si>
    <r>
      <rPr>
        <sz val="11"/>
        <rFont val="Calibri"/>
      </rPr>
      <t>116.38 - 117.38</t>
    </r>
  </si>
  <si>
    <r>
      <rPr>
        <sz val="11"/>
        <rFont val="Calibri"/>
      </rPr>
      <t>Malinau</t>
    </r>
  </si>
  <si>
    <r>
      <rPr>
        <sz val="11"/>
        <rFont val="Calibri"/>
      </rPr>
      <t>Kalimantan Utara</t>
    </r>
  </si>
  <si>
    <r>
      <rPr>
        <sz val="11"/>
        <rFont val="Calibri"/>
      </rPr>
      <t>Malinau</t>
    </r>
  </si>
  <si>
    <r>
      <rPr>
        <sz val="11"/>
        <rFont val="Calibri"/>
      </rPr>
      <t>116.38 - 117.38</t>
    </r>
  </si>
  <si>
    <r>
      <rPr>
        <sz val="11"/>
        <rFont val="Calibri"/>
      </rPr>
      <t>Nunukan</t>
    </r>
  </si>
  <si>
    <r>
      <rPr>
        <sz val="11"/>
        <rFont val="Calibri"/>
      </rPr>
      <t>Kalimantan Utara</t>
    </r>
  </si>
  <si>
    <r>
      <rPr>
        <sz val="11"/>
        <rFont val="Calibri"/>
      </rPr>
      <t>Nunukan</t>
    </r>
  </si>
  <si>
    <r>
      <rPr>
        <sz val="11"/>
        <rFont val="Calibri"/>
      </rPr>
      <t>116.38 - 117.38</t>
    </r>
  </si>
  <si>
    <r>
      <rPr>
        <sz val="11"/>
        <rFont val="Calibri"/>
      </rPr>
      <t>Tana Tidung</t>
    </r>
  </si>
  <si>
    <r>
      <rPr>
        <sz val="11"/>
        <rFont val="Calibri"/>
      </rPr>
      <t>Kalimantan Utara</t>
    </r>
  </si>
  <si>
    <r>
      <rPr>
        <sz val="11"/>
        <rFont val="Calibri"/>
      </rPr>
      <t>Tideng Pale</t>
    </r>
  </si>
  <si>
    <r>
      <rPr>
        <sz val="11"/>
        <rFont val="Calibri"/>
      </rPr>
      <t>116.38 - 117.38</t>
    </r>
  </si>
  <si>
    <r>
      <rPr>
        <sz val="11"/>
        <rFont val="Calibri"/>
      </rPr>
      <t>Bolaang Mongondow</t>
    </r>
  </si>
  <si>
    <r>
      <rPr>
        <sz val="11"/>
        <rFont val="Calibri"/>
      </rPr>
      <t>Sulawesi Utara</t>
    </r>
  </si>
  <si>
    <r>
      <rPr>
        <sz val="11"/>
        <rFont val="Calibri"/>
      </rPr>
      <t>Lolak</t>
    </r>
  </si>
  <si>
    <r>
      <rPr>
        <sz val="11"/>
        <rFont val="Calibri"/>
      </rPr>
      <t>123.15 -126.28</t>
    </r>
  </si>
  <si>
    <r>
      <rPr>
        <sz val="11"/>
        <rFont val="Calibri"/>
      </rPr>
      <t>Minahasa</t>
    </r>
  </si>
  <si>
    <r>
      <rPr>
        <sz val="11"/>
        <rFont val="Calibri"/>
      </rPr>
      <t>Sulawesi Utara</t>
    </r>
  </si>
  <si>
    <r>
      <rPr>
        <sz val="11"/>
        <rFont val="Calibri"/>
      </rPr>
      <t>Tondano</t>
    </r>
  </si>
  <si>
    <r>
      <rPr>
        <sz val="11"/>
        <rFont val="Calibri"/>
      </rPr>
      <t>123.15 -126.28</t>
    </r>
  </si>
  <si>
    <r>
      <rPr>
        <sz val="11"/>
        <rFont val="Calibri"/>
      </rPr>
      <t>Kepulauan Sangihe</t>
    </r>
  </si>
  <si>
    <r>
      <rPr>
        <sz val="11"/>
        <rFont val="Calibri"/>
      </rPr>
      <t>Sulawesi Utara</t>
    </r>
  </si>
  <si>
    <r>
      <rPr>
        <sz val="11"/>
        <rFont val="Calibri"/>
      </rPr>
      <t>Tahuna</t>
    </r>
  </si>
  <si>
    <r>
      <rPr>
        <sz val="11"/>
        <rFont val="Calibri"/>
      </rPr>
      <t>123.15 -126.28</t>
    </r>
  </si>
  <si>
    <r>
      <rPr>
        <sz val="11"/>
        <rFont val="Calibri"/>
      </rPr>
      <t>Kepulauan Talaud</t>
    </r>
  </si>
  <si>
    <r>
      <rPr>
        <sz val="11"/>
        <rFont val="Calibri"/>
      </rPr>
      <t>Sulawesi Utara</t>
    </r>
  </si>
  <si>
    <r>
      <rPr>
        <sz val="11"/>
        <rFont val="Calibri"/>
      </rPr>
      <t>Melonguane</t>
    </r>
  </si>
  <si>
    <r>
      <rPr>
        <sz val="11"/>
        <rFont val="Calibri"/>
      </rPr>
      <t>123.15 -126.28</t>
    </r>
  </si>
  <si>
    <r>
      <rPr>
        <sz val="11"/>
        <rFont val="Calibri"/>
      </rPr>
      <t>Minahasa Selatan</t>
    </r>
  </si>
  <si>
    <r>
      <rPr>
        <sz val="11"/>
        <rFont val="Calibri"/>
      </rPr>
      <t>Sulawesi Utara</t>
    </r>
  </si>
  <si>
    <r>
      <rPr>
        <sz val="11"/>
        <rFont val="Calibri"/>
      </rPr>
      <t>Amurang</t>
    </r>
  </si>
  <si>
    <r>
      <rPr>
        <sz val="11"/>
        <rFont val="Calibri"/>
      </rPr>
      <t>123.15 -126.28</t>
    </r>
  </si>
  <si>
    <r>
      <rPr>
        <sz val="11"/>
        <rFont val="Calibri"/>
      </rPr>
      <t>Minahasa Utara</t>
    </r>
  </si>
  <si>
    <r>
      <rPr>
        <sz val="11"/>
        <rFont val="Calibri"/>
      </rPr>
      <t>Sulawesi Utara</t>
    </r>
  </si>
  <si>
    <r>
      <rPr>
        <sz val="11"/>
        <rFont val="Calibri"/>
      </rPr>
      <t>Airmadidi</t>
    </r>
  </si>
  <si>
    <r>
      <rPr>
        <sz val="11"/>
        <rFont val="Calibri"/>
      </rPr>
      <t>123.15 -126.28</t>
    </r>
  </si>
  <si>
    <r>
      <rPr>
        <sz val="11"/>
        <rFont val="Calibri"/>
      </rPr>
      <t>Minahasa Tenggara</t>
    </r>
  </si>
  <si>
    <r>
      <rPr>
        <sz val="11"/>
        <rFont val="Calibri"/>
      </rPr>
      <t>Sulawesi Utara</t>
    </r>
  </si>
  <si>
    <r>
      <rPr>
        <sz val="11"/>
        <rFont val="Calibri"/>
      </rPr>
      <t>Ratahan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</si>
  <si>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</si>
  <si>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Utara</t>
    </r>
  </si>
  <si>
    <r>
      <rPr>
        <sz val="11"/>
        <rFont val="Calibri"/>
      </rPr>
      <t>Sulawesi Utara</t>
    </r>
  </si>
  <si>
    <r>
      <rPr>
        <sz val="11"/>
        <rFont val="Calibri"/>
      </rPr>
      <t>Boroko</t>
    </r>
  </si>
  <si>
    <r>
      <rPr>
        <sz val="11"/>
        <rFont val="Calibri"/>
      </rPr>
      <t>123.15 -126.28</t>
    </r>
  </si>
  <si>
    <r>
      <rPr>
        <sz val="11"/>
        <rFont val="Calibri"/>
      </rPr>
      <t>Kepulauan Siau Tagulandang Biaro</t>
    </r>
  </si>
  <si>
    <r>
      <rPr>
        <sz val="11"/>
        <rFont val="Calibri"/>
      </rPr>
      <t>Sulawesi Utara</t>
    </r>
  </si>
  <si>
    <r>
      <rPr>
        <sz val="11"/>
        <rFont val="Calibri"/>
      </rPr>
      <t>Ondong Siau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</si>
  <si>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</si>
  <si>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Timur</t>
    </r>
  </si>
  <si>
    <r>
      <rPr>
        <sz val="11"/>
        <rFont val="Calibri"/>
      </rPr>
      <t>Sulawesi Utara</t>
    </r>
  </si>
  <si>
    <r>
      <rPr>
        <sz val="11"/>
        <rFont val="Calibri"/>
      </rPr>
      <t>Tutuyan</t>
    </r>
  </si>
  <si>
    <r>
      <rPr>
        <sz val="11"/>
        <rFont val="Calibri"/>
      </rPr>
      <t>123.15 -126.28</t>
    </r>
  </si>
  <si>
    <r>
      <rPr>
        <sz val="11"/>
        <rFont val="Calibri"/>
      </rPr>
      <t>Bolaang Mongondow Selatan</t>
    </r>
  </si>
  <si>
    <r>
      <rPr>
        <sz val="11"/>
        <rFont val="Calibri"/>
      </rPr>
      <t>Sulawesi Utara</t>
    </r>
  </si>
  <si>
    <r>
      <rPr>
        <sz val="11"/>
        <rFont val="Calibri"/>
      </rPr>
      <t>Bolaang Uki</t>
    </r>
  </si>
  <si>
    <r>
      <rPr>
        <sz val="11"/>
        <rFont val="Calibri"/>
      </rPr>
      <t>123.15 -126.28</t>
    </r>
  </si>
  <si>
    <r>
      <rPr>
        <sz val="11"/>
        <rFont val="Calibri"/>
      </rPr>
      <t>Banggai</t>
    </r>
  </si>
  <si>
    <r>
      <rPr>
        <sz val="11"/>
        <rFont val="Calibri"/>
      </rPr>
      <t>Sulawesi Tengah</t>
    </r>
  </si>
  <si>
    <r>
      <rPr>
        <sz val="11"/>
        <rFont val="Calibri"/>
      </rPr>
      <t>Luwuk</t>
    </r>
  </si>
  <si>
    <r>
      <rPr>
        <sz val="11"/>
        <rFont val="Calibri"/>
      </rPr>
      <t>119.50 -123.33</t>
    </r>
  </si>
  <si>
    <r>
      <rPr>
        <sz val="11"/>
        <rFont val="Calibri"/>
      </rPr>
      <t>Poso</t>
    </r>
  </si>
  <si>
    <r>
      <rPr>
        <sz val="11"/>
        <rFont val="Calibri"/>
      </rPr>
      <t>Sulawesi tengah</t>
    </r>
  </si>
  <si>
    <r>
      <rPr>
        <sz val="11"/>
        <rFont val="Calibri"/>
      </rPr>
      <t>Poso</t>
    </r>
  </si>
  <si>
    <r>
      <rPr>
        <sz val="11"/>
        <rFont val="Calibri"/>
      </rPr>
      <t>119.50 -123.33</t>
    </r>
  </si>
  <si>
    <r>
      <rPr>
        <sz val="11"/>
        <rFont val="Calibri"/>
      </rPr>
      <t>Donggala</t>
    </r>
  </si>
  <si>
    <r>
      <rPr>
        <sz val="11"/>
        <rFont val="Calibri"/>
      </rPr>
      <t>Sulawesi Tengah</t>
    </r>
  </si>
  <si>
    <r>
      <rPr>
        <sz val="11"/>
        <rFont val="Calibri"/>
      </rPr>
      <t>Banawa</t>
    </r>
  </si>
  <si>
    <r>
      <rPr>
        <sz val="11"/>
        <rFont val="Calibri"/>
      </rPr>
      <t>119.50 -123.33</t>
    </r>
  </si>
  <si>
    <r>
      <rPr>
        <sz val="11"/>
        <rFont val="Calibri"/>
      </rPr>
      <t>Tolitoli</t>
    </r>
  </si>
  <si>
    <r>
      <rPr>
        <sz val="11"/>
        <rFont val="Calibri"/>
      </rPr>
      <t>Sulawesi Tengah</t>
    </r>
  </si>
  <si>
    <r>
      <rPr>
        <sz val="11"/>
        <rFont val="Calibri"/>
      </rPr>
      <t>Tolitoli</t>
    </r>
  </si>
  <si>
    <r>
      <rPr>
        <sz val="11"/>
        <rFont val="Calibri"/>
      </rPr>
      <t>119.50 -123.33</t>
    </r>
  </si>
  <si>
    <r>
      <rPr>
        <sz val="11"/>
        <rFont val="Calibri"/>
      </rPr>
      <t>Buol</t>
    </r>
  </si>
  <si>
    <r>
      <rPr>
        <sz val="11"/>
        <rFont val="Calibri"/>
      </rPr>
      <t>Sulawesi Tengah</t>
    </r>
  </si>
  <si>
    <r>
      <rPr>
        <sz val="11"/>
        <rFont val="Calibri"/>
      </rPr>
      <t>Buol</t>
    </r>
  </si>
  <si>
    <r>
      <rPr>
        <sz val="11"/>
        <rFont val="Calibri"/>
      </rPr>
      <t>119.50 -123.33</t>
    </r>
  </si>
  <si>
    <r>
      <rPr>
        <sz val="11"/>
        <rFont val="Calibri"/>
      </rPr>
      <t>Morowali</t>
    </r>
  </si>
  <si>
    <r>
      <rPr>
        <sz val="11"/>
        <rFont val="Calibri"/>
      </rPr>
      <t>Sulawesi Tengah</t>
    </r>
  </si>
  <si>
    <r>
      <rPr>
        <sz val="11"/>
        <rFont val="Calibri"/>
      </rPr>
      <t>Bungku</t>
    </r>
  </si>
  <si>
    <r>
      <rPr>
        <sz val="11"/>
        <rFont val="Calibri"/>
      </rPr>
      <t>119.50 -123.33</t>
    </r>
  </si>
  <si>
    <r>
      <rPr>
        <sz val="11"/>
        <rFont val="Calibri"/>
      </rPr>
      <t>Banggai Kepulauan</t>
    </r>
  </si>
  <si>
    <r>
      <rPr>
        <sz val="11"/>
        <rFont val="Calibri"/>
      </rPr>
      <t>Sulawesi Tengah</t>
    </r>
  </si>
  <si>
    <r>
      <rPr>
        <sz val="11"/>
        <rFont val="Calibri"/>
      </rPr>
      <t>Salakan</t>
    </r>
  </si>
  <si>
    <r>
      <rPr>
        <sz val="11"/>
        <rFont val="Calibri"/>
      </rPr>
      <t>119.50 -123.33</t>
    </r>
  </si>
  <si>
    <r>
      <rPr>
        <sz val="11"/>
        <rFont val="Calibri"/>
      </rPr>
      <t>Parigi Moutong</t>
    </r>
  </si>
  <si>
    <r>
      <rPr>
        <sz val="11"/>
        <rFont val="Calibri"/>
      </rPr>
      <t>Sulawesi Tengah</t>
    </r>
  </si>
  <si>
    <r>
      <rPr>
        <sz val="11"/>
        <rFont val="Calibri"/>
      </rPr>
      <t>Parigi Kota</t>
    </r>
  </si>
  <si>
    <r>
      <rPr>
        <sz val="11"/>
        <rFont val="Calibri"/>
      </rPr>
      <t>119.50 -123.33</t>
    </r>
  </si>
  <si>
    <r>
      <rPr>
        <sz val="11"/>
        <rFont val="Calibri"/>
      </rPr>
      <t>Tojo Una Una</t>
    </r>
  </si>
  <si>
    <r>
      <rPr>
        <sz val="11"/>
        <rFont val="Calibri"/>
      </rPr>
      <t>Sulawesi Tengah</t>
    </r>
  </si>
  <si>
    <r>
      <rPr>
        <sz val="11"/>
        <rFont val="Calibri"/>
      </rPr>
      <t>Ampana</t>
    </r>
  </si>
  <si>
    <r>
      <rPr>
        <sz val="11"/>
        <rFont val="Calibri"/>
      </rPr>
      <t>119.50 -123.33</t>
    </r>
  </si>
  <si>
    <r>
      <rPr>
        <sz val="11"/>
        <rFont val="Calibri"/>
      </rPr>
      <t>Sigi</t>
    </r>
  </si>
  <si>
    <r>
      <rPr>
        <sz val="11"/>
        <rFont val="Calibri"/>
      </rPr>
      <t>Sulawesi Tengah</t>
    </r>
  </si>
  <si>
    <r>
      <rPr>
        <sz val="11"/>
        <rFont val="Calibri"/>
      </rPr>
      <t>Sigi Biromaru</t>
    </r>
  </si>
  <si>
    <r>
      <rPr>
        <sz val="11"/>
        <rFont val="Calibri"/>
      </rPr>
      <t>119.50 -123.33</t>
    </r>
  </si>
  <si>
    <r>
      <rPr>
        <sz val="11"/>
        <rFont val="Calibri"/>
      </rPr>
      <t>Banggai Laut</t>
    </r>
  </si>
  <si>
    <r>
      <rPr>
        <sz val="11"/>
        <rFont val="Calibri"/>
      </rPr>
      <t>Sulawesi Tengah</t>
    </r>
  </si>
  <si>
    <r>
      <rPr>
        <sz val="11"/>
        <rFont val="Calibri"/>
      </rPr>
      <t>Banggai</t>
    </r>
  </si>
  <si>
    <r>
      <rPr>
        <sz val="11"/>
        <rFont val="Calibri"/>
      </rPr>
      <t>119.50 -123.33</t>
    </r>
  </si>
  <si>
    <r>
      <rPr>
        <sz val="11"/>
        <rFont val="Calibri"/>
      </rPr>
      <t>Morowali Utara</t>
    </r>
  </si>
  <si>
    <r>
      <rPr>
        <sz val="11"/>
        <rFont val="Calibri"/>
      </rPr>
      <t>Sulawesi Tengah</t>
    </r>
  </si>
  <si>
    <r>
      <rPr>
        <sz val="11"/>
        <rFont val="Calibri"/>
      </rPr>
      <t>Kolonodale</t>
    </r>
  </si>
  <si>
    <r>
      <rPr>
        <sz val="11"/>
        <rFont val="Calibri"/>
      </rPr>
      <t>119.50 -123.33</t>
    </r>
  </si>
  <si>
    <r>
      <rPr>
        <sz val="11"/>
        <rFont val="Calibri"/>
      </rPr>
      <t>Kepulauan Selayar</t>
    </r>
  </si>
  <si>
    <r>
      <rPr>
        <sz val="11"/>
        <rFont val="Calibri"/>
      </rPr>
      <t>Sulawesi Selatan</t>
    </r>
  </si>
  <si>
    <r>
      <rPr>
        <sz val="11"/>
        <rFont val="Calibri"/>
      </rPr>
      <t>Benteng</t>
    </r>
  </si>
  <si>
    <r>
      <rPr>
        <sz val="11"/>
        <rFont val="Calibri"/>
      </rPr>
      <t>119.29 -121.10</t>
    </r>
  </si>
  <si>
    <r>
      <rPr>
        <sz val="11"/>
        <rFont val="Calibri"/>
      </rPr>
      <t>Bulukumba</t>
    </r>
  </si>
  <si>
    <r>
      <rPr>
        <sz val="11"/>
        <rFont val="Calibri"/>
      </rPr>
      <t>Sulawesi Selatan</t>
    </r>
  </si>
  <si>
    <r>
      <rPr>
        <sz val="11"/>
        <rFont val="Calibri"/>
      </rPr>
      <t>Bulukumba</t>
    </r>
  </si>
  <si>
    <r>
      <rPr>
        <sz val="11"/>
        <rFont val="Calibri"/>
      </rPr>
      <t>119.29 -121.10</t>
    </r>
  </si>
  <si>
    <r>
      <rPr>
        <sz val="11"/>
        <rFont val="Calibri"/>
      </rPr>
      <t>Bantaeng</t>
    </r>
  </si>
  <si>
    <r>
      <rPr>
        <sz val="11"/>
        <rFont val="Calibri"/>
      </rPr>
      <t>Sulawesi Selatan</t>
    </r>
  </si>
  <si>
    <r>
      <rPr>
        <sz val="11"/>
        <rFont val="Calibri"/>
      </rPr>
      <t>Bantaeng</t>
    </r>
  </si>
  <si>
    <r>
      <rPr>
        <sz val="11"/>
        <rFont val="Calibri"/>
      </rPr>
      <t>119.29 -121.10</t>
    </r>
  </si>
  <si>
    <r>
      <rPr>
        <sz val="11"/>
        <rFont val="Calibri"/>
      </rPr>
      <t>Jeneponto</t>
    </r>
  </si>
  <si>
    <r>
      <rPr>
        <sz val="11"/>
        <rFont val="Calibri"/>
      </rPr>
      <t>Sulawesi Selatan</t>
    </r>
  </si>
  <si>
    <r>
      <rPr>
        <sz val="11"/>
        <rFont val="Calibri"/>
      </rPr>
      <t>Jeneponto</t>
    </r>
  </si>
  <si>
    <r>
      <rPr>
        <sz val="11"/>
        <rFont val="Calibri"/>
      </rPr>
      <t>119.29 -121.10</t>
    </r>
  </si>
  <si>
    <r>
      <rPr>
        <sz val="11"/>
        <rFont val="Calibri"/>
      </rPr>
      <t>Takalar</t>
    </r>
  </si>
  <si>
    <r>
      <rPr>
        <sz val="11"/>
        <rFont val="Calibri"/>
      </rPr>
      <t>Sulawesi Selatan</t>
    </r>
  </si>
  <si>
    <r>
      <rPr>
        <sz val="11"/>
        <rFont val="Calibri"/>
      </rPr>
      <t>Pattalassang</t>
    </r>
  </si>
  <si>
    <r>
      <rPr>
        <sz val="11"/>
        <rFont val="Calibri"/>
      </rPr>
      <t>119.29 -121.10</t>
    </r>
  </si>
  <si>
    <r>
      <rPr>
        <sz val="11"/>
        <rFont val="Calibri"/>
      </rPr>
      <t>Gowa</t>
    </r>
  </si>
  <si>
    <r>
      <rPr>
        <sz val="11"/>
        <rFont val="Calibri"/>
      </rPr>
      <t>Sulawesi Selatan</t>
    </r>
  </si>
  <si>
    <r>
      <rPr>
        <sz val="11"/>
        <rFont val="Calibri"/>
      </rPr>
      <t>Sungguminasa</t>
    </r>
  </si>
  <si>
    <r>
      <rPr>
        <sz val="11"/>
        <rFont val="Calibri"/>
      </rPr>
      <t>119.29 -121.10</t>
    </r>
  </si>
  <si>
    <r>
      <rPr>
        <sz val="11"/>
        <rFont val="Calibri"/>
      </rPr>
      <t>Sinjai</t>
    </r>
  </si>
  <si>
    <r>
      <rPr>
        <sz val="11"/>
        <rFont val="Calibri"/>
      </rPr>
      <t>Sulawesi Selatan</t>
    </r>
  </si>
  <si>
    <r>
      <rPr>
        <sz val="11"/>
        <rFont val="Calibri"/>
      </rPr>
      <t>Sinjai</t>
    </r>
  </si>
  <si>
    <r>
      <rPr>
        <sz val="11"/>
        <rFont val="Calibri"/>
      </rPr>
      <t>119.29 -121.10</t>
    </r>
  </si>
  <si>
    <r>
      <rPr>
        <sz val="11"/>
        <rFont val="Calibri"/>
      </rPr>
      <t>Bone</t>
    </r>
  </si>
  <si>
    <r>
      <rPr>
        <sz val="11"/>
        <rFont val="Calibri"/>
      </rPr>
      <t>Sulawesi Selatan</t>
    </r>
  </si>
  <si>
    <r>
      <rPr>
        <sz val="11"/>
        <rFont val="Calibri"/>
      </rPr>
      <t>Watampone</t>
    </r>
  </si>
  <si>
    <r>
      <rPr>
        <sz val="11"/>
        <rFont val="Calibri"/>
      </rPr>
      <t>119.29 -121.10</t>
    </r>
  </si>
  <si>
    <r>
      <rPr>
        <sz val="11"/>
        <rFont val="Calibri"/>
      </rPr>
      <t>Maros</t>
    </r>
  </si>
  <si>
    <r>
      <rPr>
        <sz val="11"/>
        <rFont val="Calibri"/>
      </rPr>
      <t>Sulawesi Selatan</t>
    </r>
  </si>
  <si>
    <r>
      <rPr>
        <sz val="11"/>
        <rFont val="Calibri"/>
      </rPr>
      <t>Turikale</t>
    </r>
  </si>
  <si>
    <r>
      <rPr>
        <sz val="11"/>
        <rFont val="Calibri"/>
      </rPr>
      <t>119.29 -121.10</t>
    </r>
  </si>
  <si>
    <r>
      <rPr>
        <sz val="11"/>
        <rFont val="Calibri"/>
      </rPr>
      <t>Pangkajene Dan Kepulauan</t>
    </r>
  </si>
  <si>
    <r>
      <rPr>
        <sz val="11"/>
        <rFont val="Calibri"/>
      </rPr>
      <t>Sulawesi Selatan</t>
    </r>
  </si>
  <si>
    <r>
      <rPr>
        <sz val="11"/>
        <rFont val="Calibri"/>
      </rPr>
      <t>Pangkajene</t>
    </r>
  </si>
  <si>
    <r>
      <rPr>
        <sz val="11"/>
        <rFont val="Calibri"/>
      </rPr>
      <t>119.29 -121.10</t>
    </r>
  </si>
  <si>
    <r>
      <rPr>
        <sz val="11"/>
        <rFont val="Calibri"/>
      </rPr>
      <t>Barru</t>
    </r>
  </si>
  <si>
    <r>
      <rPr>
        <sz val="11"/>
        <rFont val="Calibri"/>
      </rPr>
      <t>Sulawesi Selatan</t>
    </r>
  </si>
  <si>
    <r>
      <rPr>
        <sz val="11"/>
        <rFont val="Calibri"/>
      </rPr>
      <t>Barru</t>
    </r>
  </si>
  <si>
    <r>
      <rPr>
        <sz val="11"/>
        <rFont val="Calibri"/>
      </rPr>
      <t>119.29 -121.10</t>
    </r>
  </si>
  <si>
    <r>
      <rPr>
        <sz val="11"/>
        <rFont val="Calibri"/>
      </rPr>
      <t>Soppeng</t>
    </r>
  </si>
  <si>
    <r>
      <rPr>
        <sz val="11"/>
        <rFont val="Calibri"/>
      </rPr>
      <t>Sulawesi Selatan</t>
    </r>
  </si>
  <si>
    <r>
      <rPr>
        <sz val="11"/>
        <rFont val="Calibri"/>
      </rPr>
      <t>Watan Soppeng</t>
    </r>
  </si>
  <si>
    <r>
      <rPr>
        <sz val="11"/>
        <rFont val="Calibri"/>
      </rPr>
      <t>119.29 -121.10</t>
    </r>
  </si>
  <si>
    <r>
      <rPr>
        <sz val="11"/>
        <rFont val="Calibri"/>
      </rPr>
      <t>Wajo</t>
    </r>
  </si>
  <si>
    <r>
      <rPr>
        <sz val="11"/>
        <rFont val="Calibri"/>
      </rPr>
      <t>Sulawesi Selatan</t>
    </r>
  </si>
  <si>
    <r>
      <rPr>
        <sz val="11"/>
        <rFont val="Calibri"/>
      </rPr>
      <t>Sengkang</t>
    </r>
  </si>
  <si>
    <r>
      <rPr>
        <sz val="11"/>
        <rFont val="Calibri"/>
      </rPr>
      <t>119.29 -121.10</t>
    </r>
  </si>
  <si>
    <r>
      <rPr>
        <sz val="11"/>
        <rFont val="Calibri"/>
      </rPr>
      <t>Sidenreng Rappang</t>
    </r>
  </si>
  <si>
    <r>
      <rPr>
        <sz val="11"/>
        <rFont val="Calibri"/>
      </rPr>
      <t>Sulawesi Selatan</t>
    </r>
  </si>
  <si>
    <r>
      <rPr>
        <sz val="11"/>
        <rFont val="Calibri"/>
      </rPr>
      <t>Pangkajene Sidenreng</t>
    </r>
  </si>
  <si>
    <r>
      <rPr>
        <sz val="11"/>
        <rFont val="Calibri"/>
      </rPr>
      <t>119.29 -121.10</t>
    </r>
  </si>
  <si>
    <r>
      <rPr>
        <sz val="11"/>
        <rFont val="Calibri"/>
      </rPr>
      <t>Pinrang</t>
    </r>
  </si>
  <si>
    <r>
      <rPr>
        <sz val="11"/>
        <rFont val="Calibri"/>
      </rPr>
      <t>Sulawesi Selatan</t>
    </r>
  </si>
  <si>
    <r>
      <rPr>
        <sz val="11"/>
        <rFont val="Calibri"/>
      </rPr>
      <t>Pinrang</t>
    </r>
  </si>
  <si>
    <r>
      <rPr>
        <sz val="11"/>
        <rFont val="Calibri"/>
      </rPr>
      <t>119.29 -121.10</t>
    </r>
  </si>
  <si>
    <r>
      <rPr>
        <sz val="11"/>
        <rFont val="Calibri"/>
      </rPr>
      <t>Enrekang</t>
    </r>
  </si>
  <si>
    <r>
      <rPr>
        <sz val="11"/>
        <rFont val="Calibri"/>
      </rPr>
      <t>Sulawesi Selatan</t>
    </r>
  </si>
  <si>
    <r>
      <rPr>
        <sz val="11"/>
        <rFont val="Calibri"/>
      </rPr>
      <t>Enrekang</t>
    </r>
  </si>
  <si>
    <r>
      <rPr>
        <sz val="11"/>
        <rFont val="Calibri"/>
      </rPr>
      <t>119.29 -121.10</t>
    </r>
  </si>
  <si>
    <r>
      <rPr>
        <sz val="11"/>
        <rFont val="Calibri"/>
      </rPr>
      <t>Luwu</t>
    </r>
  </si>
  <si>
    <r>
      <rPr>
        <sz val="11"/>
        <rFont val="Calibri"/>
      </rPr>
      <t>Sulawesi Selatan</t>
    </r>
  </si>
  <si>
    <r>
      <rPr>
        <sz val="11"/>
        <rFont val="Calibri"/>
      </rPr>
      <t>Belopa</t>
    </r>
  </si>
  <si>
    <r>
      <rPr>
        <sz val="11"/>
        <rFont val="Calibri"/>
      </rPr>
      <t>119.29 -121.10</t>
    </r>
  </si>
  <si>
    <r>
      <rPr>
        <sz val="11"/>
        <rFont val="Calibri"/>
      </rPr>
      <t>Tana Toraja</t>
    </r>
  </si>
  <si>
    <r>
      <rPr>
        <sz val="11"/>
        <rFont val="Calibri"/>
      </rPr>
      <t>Sulawesi Selatan</t>
    </r>
  </si>
  <si>
    <r>
      <rPr>
        <sz val="11"/>
        <rFont val="Calibri"/>
      </rPr>
      <t>Makale</t>
    </r>
  </si>
  <si>
    <r>
      <rPr>
        <sz val="11"/>
        <rFont val="Calibri"/>
      </rPr>
      <t>119.29 -121.10</t>
    </r>
  </si>
  <si>
    <r>
      <rPr>
        <sz val="11"/>
        <rFont val="Calibri"/>
      </rPr>
      <t>Luwu Utara</t>
    </r>
  </si>
  <si>
    <r>
      <rPr>
        <sz val="11"/>
        <rFont val="Calibri"/>
      </rPr>
      <t>Sulawesi Selatan</t>
    </r>
  </si>
  <si>
    <r>
      <rPr>
        <sz val="11"/>
        <rFont val="Calibri"/>
      </rPr>
      <t>Masamba</t>
    </r>
  </si>
  <si>
    <r>
      <rPr>
        <sz val="11"/>
        <rFont val="Calibri"/>
      </rPr>
      <t>119.29 -121.10</t>
    </r>
  </si>
  <si>
    <r>
      <rPr>
        <sz val="11"/>
        <rFont val="Calibri"/>
      </rPr>
      <t>Luwu Timur</t>
    </r>
  </si>
  <si>
    <r>
      <rPr>
        <sz val="11"/>
        <rFont val="Calibri"/>
      </rPr>
      <t>Sulawesi Selatan</t>
    </r>
  </si>
  <si>
    <r>
      <rPr>
        <sz val="11"/>
        <rFont val="Calibri"/>
      </rPr>
      <t>Malili</t>
    </r>
  </si>
  <si>
    <r>
      <rPr>
        <sz val="11"/>
        <rFont val="Calibri"/>
      </rPr>
      <t>119.29 -121.10</t>
    </r>
  </si>
  <si>
    <r>
      <rPr>
        <sz val="11"/>
        <rFont val="Calibri"/>
      </rPr>
      <t>Toraja Utara</t>
    </r>
  </si>
  <si>
    <r>
      <rPr>
        <sz val="11"/>
        <rFont val="Calibri"/>
      </rPr>
      <t>Sulawesi Selatan</t>
    </r>
  </si>
  <si>
    <r>
      <rPr>
        <sz val="11"/>
        <rFont val="Calibri"/>
      </rPr>
      <t>Rantepao</t>
    </r>
  </si>
  <si>
    <r>
      <rPr>
        <sz val="11"/>
        <rFont val="Calibri"/>
      </rPr>
      <t>119.29 -121.10</t>
    </r>
  </si>
  <si>
    <r>
      <rPr>
        <sz val="11"/>
        <rFont val="Calibri"/>
      </rPr>
      <t>Kolaka</t>
    </r>
  </si>
  <si>
    <r>
      <rPr>
        <sz val="11"/>
        <rFont val="Calibri"/>
      </rPr>
      <t>Sulawesi Tenggara</t>
    </r>
  </si>
  <si>
    <r>
      <rPr>
        <sz val="11"/>
        <rFont val="Calibri"/>
      </rPr>
      <t>Kolaka</t>
    </r>
  </si>
  <si>
    <r>
      <rPr>
        <sz val="11"/>
        <rFont val="Calibri"/>
      </rPr>
      <t>121.35-123.35</t>
    </r>
  </si>
  <si>
    <r>
      <rPr>
        <sz val="11"/>
        <rFont val="Calibri"/>
      </rPr>
      <t>Konawe</t>
    </r>
  </si>
  <si>
    <r>
      <rPr>
        <sz val="11"/>
        <rFont val="Calibri"/>
      </rPr>
      <t>Sulawesi Tenggara</t>
    </r>
  </si>
  <si>
    <r>
      <rPr>
        <sz val="11"/>
        <rFont val="Calibri"/>
      </rPr>
      <t>Unaaha</t>
    </r>
  </si>
  <si>
    <r>
      <rPr>
        <sz val="11"/>
        <rFont val="Calibri"/>
      </rPr>
      <t>121.35-123.35</t>
    </r>
  </si>
  <si>
    <r>
      <rPr>
        <sz val="11"/>
        <rFont val="Calibri"/>
      </rPr>
      <t>Muna</t>
    </r>
  </si>
  <si>
    <r>
      <rPr>
        <sz val="11"/>
        <rFont val="Calibri"/>
      </rPr>
      <t>Sulawesi Tenggara</t>
    </r>
  </si>
  <si>
    <r>
      <rPr>
        <sz val="11"/>
        <rFont val="Calibri"/>
      </rPr>
      <t>Raha</t>
    </r>
  </si>
  <si>
    <r>
      <rPr>
        <sz val="11"/>
        <rFont val="Calibri"/>
      </rPr>
      <t>121.35-123.35</t>
    </r>
  </si>
  <si>
    <r>
      <rPr>
        <sz val="11"/>
        <rFont val="Calibri"/>
      </rPr>
      <t>Buton</t>
    </r>
  </si>
  <si>
    <r>
      <rPr>
        <sz val="11"/>
        <rFont val="Calibri"/>
      </rPr>
      <t>Sulawesi Tenggara</t>
    </r>
  </si>
  <si>
    <r>
      <rPr>
        <sz val="11"/>
        <rFont val="Calibri"/>
      </rPr>
      <t>Pasarwajo</t>
    </r>
  </si>
  <si>
    <r>
      <rPr>
        <sz val="11"/>
        <rFont val="Calibri"/>
      </rPr>
      <t>121.35-123.35</t>
    </r>
  </si>
  <si>
    <r>
      <rPr>
        <sz val="11"/>
        <rFont val="Calibri"/>
      </rPr>
      <t>Konawe Selatan</t>
    </r>
  </si>
  <si>
    <r>
      <rPr>
        <sz val="11"/>
        <rFont val="Calibri"/>
      </rPr>
      <t>Sulawesi Tenggara</t>
    </r>
  </si>
  <si>
    <r>
      <rPr>
        <sz val="11"/>
        <rFont val="Calibri"/>
      </rPr>
      <t>Andolo</t>
    </r>
  </si>
  <si>
    <r>
      <rPr>
        <sz val="11"/>
        <rFont val="Calibri"/>
      </rPr>
      <t>121.35-123.35</t>
    </r>
  </si>
  <si>
    <r>
      <rPr>
        <sz val="11"/>
        <rFont val="Calibri"/>
      </rPr>
      <t>Bombana</t>
    </r>
  </si>
  <si>
    <r>
      <rPr>
        <sz val="11"/>
        <rFont val="Calibri"/>
      </rPr>
      <t>Sulawesi Tenggara</t>
    </r>
  </si>
  <si>
    <r>
      <rPr>
        <sz val="11"/>
        <rFont val="Calibri"/>
      </rPr>
      <t>Rumbia</t>
    </r>
  </si>
  <si>
    <r>
      <rPr>
        <sz val="11"/>
        <rFont val="Calibri"/>
      </rPr>
      <t>121.35-123.35</t>
    </r>
  </si>
  <si>
    <r>
      <rPr>
        <sz val="11"/>
        <rFont val="Calibri"/>
      </rPr>
      <t>Wakatobi</t>
    </r>
  </si>
  <si>
    <r>
      <rPr>
        <sz val="11"/>
        <rFont val="Calibri"/>
      </rPr>
      <t>Sulawesi Tenggara</t>
    </r>
  </si>
  <si>
    <r>
      <rPr>
        <sz val="11"/>
        <rFont val="Calibri"/>
      </rPr>
      <t>Wangi Wangi</t>
    </r>
  </si>
  <si>
    <r>
      <rPr>
        <sz val="11"/>
        <rFont val="Calibri"/>
      </rPr>
      <t>121.35-123.35</t>
    </r>
  </si>
  <si>
    <r>
      <rPr>
        <sz val="11"/>
        <rFont val="Calibri"/>
      </rPr>
      <t>Kolaka Utara</t>
    </r>
  </si>
  <si>
    <r>
      <rPr>
        <sz val="11"/>
        <rFont val="Calibri"/>
      </rPr>
      <t>Sulawesi Tenggara</t>
    </r>
  </si>
  <si>
    <r>
      <rPr>
        <sz val="11"/>
        <rFont val="Calibri"/>
      </rPr>
      <t>Lasusua</t>
    </r>
  </si>
  <si>
    <r>
      <rPr>
        <sz val="11"/>
        <rFont val="Calibri"/>
      </rPr>
      <t>121.35-123.35</t>
    </r>
  </si>
  <si>
    <r>
      <rPr>
        <sz val="11"/>
        <rFont val="Calibri"/>
      </rPr>
      <t>Konawe Utara</t>
    </r>
  </si>
  <si>
    <r>
      <rPr>
        <sz val="11"/>
        <rFont val="Calibri"/>
      </rPr>
      <t>Sulawesi Tenggara</t>
    </r>
  </si>
  <si>
    <r>
      <rPr>
        <sz val="11"/>
        <rFont val="Calibri"/>
      </rPr>
      <t>Wanggudu</t>
    </r>
  </si>
  <si>
    <r>
      <rPr>
        <sz val="11"/>
        <rFont val="Calibri"/>
      </rPr>
      <t>121.35-123.35</t>
    </r>
  </si>
  <si>
    <r>
      <rPr>
        <sz val="11"/>
        <rFont val="Calibri"/>
      </rPr>
      <t>Buton Utara</t>
    </r>
  </si>
  <si>
    <r>
      <rPr>
        <sz val="11"/>
        <rFont val="Calibri"/>
      </rPr>
      <t>Sulawesi Tenggara</t>
    </r>
  </si>
  <si>
    <r>
      <rPr>
        <sz val="11"/>
        <rFont val="Calibri"/>
      </rPr>
      <t>Buranga</t>
    </r>
  </si>
  <si>
    <r>
      <rPr>
        <sz val="11"/>
        <rFont val="Calibri"/>
      </rPr>
      <t>121.35-123.35</t>
    </r>
  </si>
  <si>
    <r>
      <rPr>
        <sz val="11"/>
        <rFont val="Calibri"/>
      </rPr>
      <t>Kolaka Timur</t>
    </r>
  </si>
  <si>
    <r>
      <rPr>
        <sz val="11"/>
        <rFont val="Calibri"/>
      </rPr>
      <t>Sulawesi Tenggara</t>
    </r>
  </si>
  <si>
    <r>
      <rPr>
        <sz val="11"/>
        <rFont val="Calibri"/>
      </rPr>
      <t>Tirawuta</t>
    </r>
  </si>
  <si>
    <r>
      <rPr>
        <sz val="11"/>
        <rFont val="Calibri"/>
      </rPr>
      <t>121.35-123.35</t>
    </r>
  </si>
  <si>
    <r>
      <rPr>
        <sz val="11"/>
        <rFont val="Calibri"/>
      </rPr>
      <t>Konawe Kepulauan</t>
    </r>
  </si>
  <si>
    <r>
      <rPr>
        <sz val="11"/>
        <rFont val="Calibri"/>
      </rPr>
      <t>Sulawesi Tenggara</t>
    </r>
  </si>
  <si>
    <r>
      <rPr>
        <sz val="11"/>
        <rFont val="Calibri"/>
      </rPr>
      <t>Langara</t>
    </r>
  </si>
  <si>
    <r>
      <rPr>
        <sz val="11"/>
        <rFont val="Calibri"/>
      </rPr>
      <t>121.35-123.35</t>
    </r>
  </si>
  <si>
    <r>
      <rPr>
        <sz val="11"/>
        <rFont val="Calibri"/>
      </rPr>
      <t>Muna Barat</t>
    </r>
  </si>
  <si>
    <r>
      <rPr>
        <sz val="11"/>
        <rFont val="Calibri"/>
      </rPr>
      <t>Sulawesi Tenggara</t>
    </r>
  </si>
  <si>
    <r>
      <rPr>
        <sz val="11"/>
        <rFont val="Calibri"/>
      </rPr>
      <t>Laworo</t>
    </r>
  </si>
  <si>
    <r>
      <rPr>
        <sz val="11"/>
        <rFont val="Calibri"/>
      </rPr>
      <t>121.35-123.35</t>
    </r>
  </si>
  <si>
    <r>
      <rPr>
        <sz val="11"/>
        <rFont val="Calibri"/>
      </rPr>
      <t>Buton Tengah</t>
    </r>
  </si>
  <si>
    <r>
      <rPr>
        <sz val="11"/>
        <rFont val="Calibri"/>
      </rPr>
      <t>Sulawesi Tenggara</t>
    </r>
  </si>
  <si>
    <r>
      <rPr>
        <sz val="11"/>
        <rFont val="Calibri"/>
      </rPr>
      <t>Labungkari</t>
    </r>
  </si>
  <si>
    <r>
      <rPr>
        <sz val="11"/>
        <rFont val="Calibri"/>
      </rPr>
      <t>121.35-123.35</t>
    </r>
  </si>
  <si>
    <r>
      <rPr>
        <sz val="11"/>
        <rFont val="Calibri"/>
      </rPr>
      <t>Buton Selatan</t>
    </r>
  </si>
  <si>
    <r>
      <rPr>
        <sz val="11"/>
        <rFont val="Calibri"/>
      </rPr>
      <t>Sulawesi Tenggara</t>
    </r>
  </si>
  <si>
    <r>
      <rPr>
        <sz val="11"/>
        <rFont val="Calibri"/>
      </rPr>
      <t>Batauga</t>
    </r>
  </si>
  <si>
    <r>
      <rPr>
        <sz val="11"/>
        <rFont val="Calibri"/>
      </rPr>
      <t>121.35-123.35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</si>
  <si>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</si>
  <si>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</si>
  <si>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Gorontalo</t>
    </r>
  </si>
  <si>
    <r>
      <rPr>
        <sz val="11"/>
        <rFont val="Calibri"/>
      </rPr>
      <t>121.43-123.50</t>
    </r>
  </si>
  <si>
    <r>
      <rPr>
        <sz val="11"/>
        <rFont val="Calibri"/>
      </rPr>
      <t>Boalemo</t>
    </r>
  </si>
  <si>
    <r>
      <rPr>
        <sz val="11"/>
        <rFont val="Calibri"/>
      </rPr>
      <t>Gorontalo</t>
    </r>
  </si>
  <si>
    <r>
      <rPr>
        <sz val="11"/>
        <rFont val="Calibri"/>
      </rPr>
      <t>Tilamuta</t>
    </r>
  </si>
  <si>
    <r>
      <rPr>
        <sz val="11"/>
        <rFont val="Calibri"/>
      </rPr>
      <t>121.43-123.50</t>
    </r>
  </si>
  <si>
    <r>
      <rPr>
        <sz val="11"/>
        <rFont val="Calibri"/>
      </rPr>
      <t>Bone Bolango</t>
    </r>
  </si>
  <si>
    <r>
      <rPr>
        <sz val="11"/>
        <rFont val="Calibri"/>
      </rPr>
      <t>Gorontalo</t>
    </r>
  </si>
  <si>
    <r>
      <rPr>
        <sz val="11"/>
        <rFont val="Calibri"/>
      </rPr>
      <t>Suwawa</t>
    </r>
  </si>
  <si>
    <r>
      <rPr>
        <sz val="11"/>
        <rFont val="Calibri"/>
      </rPr>
      <t>121.43-123.50</t>
    </r>
  </si>
  <si>
    <r>
      <rPr>
        <sz val="11"/>
        <rFont val="Calibri"/>
      </rPr>
      <t>Pohuwato</t>
    </r>
  </si>
  <si>
    <r>
      <rPr>
        <sz val="11"/>
        <rFont val="Calibri"/>
      </rPr>
      <t>Gorontalo</t>
    </r>
  </si>
  <si>
    <r>
      <rPr>
        <sz val="11"/>
        <rFont val="Calibri"/>
      </rPr>
      <t>Marisa</t>
    </r>
  </si>
  <si>
    <r>
      <rPr>
        <sz val="11"/>
        <rFont val="Calibri"/>
      </rPr>
      <t>121.43-123.50</t>
    </r>
  </si>
  <si>
    <r>
      <rPr>
        <sz val="11"/>
        <rFont val="Calibri"/>
      </rPr>
      <t>Gorontalo Utara</t>
    </r>
  </si>
  <si>
    <r>
      <rPr>
        <sz val="11"/>
        <rFont val="Calibri"/>
      </rPr>
      <t>Gorontalo</t>
    </r>
  </si>
  <si>
    <r>
      <rPr>
        <sz val="11"/>
        <rFont val="Calibri"/>
      </rPr>
      <t>Kwandang</t>
    </r>
  </si>
  <si>
    <r>
      <rPr>
        <sz val="11"/>
        <rFont val="Calibri"/>
      </rPr>
      <t>121.43-123.50</t>
    </r>
  </si>
  <si>
    <r>
      <rPr>
        <sz val="11"/>
        <rFont val="Calibri"/>
      </rPr>
      <t>Pasangkayu</t>
    </r>
  </si>
  <si>
    <r>
      <rPr>
        <sz val="11"/>
        <rFont val="Calibri"/>
      </rPr>
      <t>Sulawesi Barat</t>
    </r>
  </si>
  <si>
    <r>
      <rPr>
        <sz val="11"/>
        <rFont val="Calibri"/>
      </rPr>
      <t>Pasangkayu</t>
    </r>
  </si>
  <si>
    <r>
      <rPr>
        <sz val="11"/>
        <rFont val="Calibri"/>
      </rPr>
      <t>118.58-119.30</t>
    </r>
  </si>
  <si>
    <r>
      <rPr>
        <sz val="11"/>
        <rFont val="Calibri"/>
      </rPr>
      <t>Mamuju</t>
    </r>
  </si>
  <si>
    <r>
      <rPr>
        <sz val="11"/>
        <rFont val="Calibri"/>
      </rPr>
      <t>Sulawesi Barat</t>
    </r>
  </si>
  <si>
    <r>
      <rPr>
        <sz val="11"/>
        <rFont val="Calibri"/>
      </rPr>
      <t>Mamuju</t>
    </r>
  </si>
  <si>
    <r>
      <rPr>
        <sz val="11"/>
        <rFont val="Calibri"/>
      </rPr>
      <t>118.58-119.30</t>
    </r>
  </si>
  <si>
    <r>
      <rPr>
        <sz val="11"/>
        <rFont val="Calibri"/>
      </rPr>
      <t>Mamasa</t>
    </r>
  </si>
  <si>
    <r>
      <rPr>
        <sz val="11"/>
        <rFont val="Calibri"/>
      </rPr>
      <t>Sulawesi Barat</t>
    </r>
  </si>
  <si>
    <r>
      <rPr>
        <sz val="11"/>
        <rFont val="Calibri"/>
      </rPr>
      <t>Mamasa</t>
    </r>
  </si>
  <si>
    <r>
      <rPr>
        <sz val="11"/>
        <rFont val="Calibri"/>
      </rPr>
      <t>118.58-119.30</t>
    </r>
  </si>
  <si>
    <r>
      <rPr>
        <sz val="11"/>
        <rFont val="Calibri"/>
      </rPr>
      <t>Polewali Mandar</t>
    </r>
  </si>
  <si>
    <r>
      <rPr>
        <sz val="11"/>
        <rFont val="Calibri"/>
      </rPr>
      <t>Sulawesi Barat</t>
    </r>
  </si>
  <si>
    <r>
      <rPr>
        <sz val="11"/>
        <rFont val="Calibri"/>
      </rPr>
      <t>Polewali</t>
    </r>
  </si>
  <si>
    <r>
      <rPr>
        <sz val="11"/>
        <rFont val="Calibri"/>
      </rPr>
      <t>118.58-119.30</t>
    </r>
  </si>
  <si>
    <r>
      <rPr>
        <sz val="11"/>
        <rFont val="Calibri"/>
      </rPr>
      <t>Majene</t>
    </r>
  </si>
  <si>
    <r>
      <rPr>
        <sz val="11"/>
        <rFont val="Calibri"/>
      </rPr>
      <t>Sulawesi Barat</t>
    </r>
  </si>
  <si>
    <r>
      <rPr>
        <sz val="11"/>
        <rFont val="Calibri"/>
      </rPr>
      <t>Majene</t>
    </r>
  </si>
  <si>
    <r>
      <rPr>
        <sz val="11"/>
        <rFont val="Calibri"/>
      </rPr>
      <t>118.58-119.30</t>
    </r>
  </si>
  <si>
    <r>
      <rPr>
        <sz val="11"/>
        <rFont val="Calibri"/>
      </rPr>
      <t>Mamuju Tengah</t>
    </r>
  </si>
  <si>
    <r>
      <rPr>
        <sz val="11"/>
        <rFont val="Calibri"/>
      </rPr>
      <t>Sulawesi Barat</t>
    </r>
  </si>
  <si>
    <r>
      <rPr>
        <sz val="11"/>
        <rFont val="Calibri"/>
      </rPr>
      <t>Tobadak</t>
    </r>
  </si>
  <si>
    <r>
      <rPr>
        <sz val="11"/>
        <rFont val="Calibri"/>
      </rPr>
      <t>118.58-119.30</t>
    </r>
  </si>
  <si>
    <r>
      <rPr>
        <sz val="11"/>
        <rFont val="Calibri"/>
      </rPr>
      <t>Maluku Tengah</t>
    </r>
  </si>
  <si>
    <r>
      <rPr>
        <sz val="11"/>
        <rFont val="Calibri"/>
      </rPr>
      <t>Maluku</t>
    </r>
  </si>
  <si>
    <r>
      <rPr>
        <sz val="11"/>
        <rFont val="Calibri"/>
      </rPr>
      <t>Masohi</t>
    </r>
  </si>
  <si>
    <r>
      <rPr>
        <sz val="11"/>
        <rFont val="Calibri"/>
      </rPr>
      <t>Maluku Tenggara</t>
    </r>
  </si>
  <si>
    <r>
      <rPr>
        <sz val="11"/>
        <rFont val="Calibri"/>
      </rPr>
      <t>Maluku</t>
    </r>
  </si>
  <si>
    <r>
      <rPr>
        <sz val="11"/>
        <rFont val="Calibri"/>
      </rPr>
      <t>Langgur</t>
    </r>
  </si>
  <si>
    <r>
      <rPr>
        <sz val="11"/>
        <rFont val="Calibri"/>
      </rPr>
      <t>Kepulauan Tanimbar</t>
    </r>
  </si>
  <si>
    <r>
      <rPr>
        <sz val="11"/>
        <rFont val="Calibri"/>
      </rPr>
      <t>Maluku</t>
    </r>
  </si>
  <si>
    <r>
      <rPr>
        <sz val="11"/>
        <rFont val="Calibri"/>
      </rPr>
      <t>Saumlaki</t>
    </r>
  </si>
  <si>
    <r>
      <rPr>
        <sz val="11"/>
        <rFont val="Calibri"/>
      </rPr>
      <t>Buru</t>
    </r>
  </si>
  <si>
    <r>
      <rPr>
        <sz val="11"/>
        <rFont val="Calibri"/>
      </rPr>
      <t>Maluku</t>
    </r>
  </si>
  <si>
    <r>
      <rPr>
        <sz val="11"/>
        <rFont val="Calibri"/>
      </rPr>
      <t>Namlea</t>
    </r>
  </si>
  <si>
    <r>
      <rPr>
        <sz val="11"/>
        <rFont val="Calibri"/>
      </rPr>
      <t>Seram Bagian Timur</t>
    </r>
  </si>
  <si>
    <r>
      <rPr>
        <sz val="11"/>
        <rFont val="Calibri"/>
      </rPr>
      <t>Maluku</t>
    </r>
  </si>
  <si>
    <r>
      <rPr>
        <sz val="11"/>
        <rFont val="Calibri"/>
      </rPr>
      <t>Bula</t>
    </r>
  </si>
  <si>
    <r>
      <rPr>
        <sz val="11"/>
        <rFont val="Calibri"/>
      </rPr>
      <t>Seram Bagian Barat</t>
    </r>
  </si>
  <si>
    <r>
      <rPr>
        <sz val="11"/>
        <rFont val="Calibri"/>
      </rPr>
      <t>Maluku</t>
    </r>
  </si>
  <si>
    <r>
      <rPr>
        <sz val="11"/>
        <rFont val="Calibri"/>
      </rPr>
      <t>Piru</t>
    </r>
  </si>
  <si>
    <r>
      <rPr>
        <sz val="11"/>
        <rFont val="Calibri"/>
      </rPr>
      <t>Kepulauan Aru</t>
    </r>
  </si>
  <si>
    <r>
      <rPr>
        <sz val="11"/>
        <rFont val="Calibri"/>
      </rPr>
      <t>Maluku</t>
    </r>
  </si>
  <si>
    <r>
      <rPr>
        <sz val="11"/>
        <rFont val="Calibri"/>
      </rPr>
      <t>Dobo</t>
    </r>
  </si>
  <si>
    <r>
      <rPr>
        <sz val="11"/>
        <rFont val="Calibri"/>
      </rPr>
      <t>Maluku Barat Daya</t>
    </r>
  </si>
  <si>
    <r>
      <rPr>
        <sz val="11"/>
        <rFont val="Calibri"/>
      </rPr>
      <t>Maluku</t>
    </r>
  </si>
  <si>
    <r>
      <rPr>
        <sz val="11"/>
        <rFont val="Calibri"/>
      </rPr>
      <t>Tiakur</t>
    </r>
  </si>
  <si>
    <r>
      <rPr>
        <sz val="11"/>
        <rFont val="Calibri"/>
      </rPr>
      <t>Buru Selatan</t>
    </r>
  </si>
  <si>
    <r>
      <rPr>
        <sz val="11"/>
        <rFont val="Calibri"/>
      </rPr>
      <t>Maluku</t>
    </r>
  </si>
  <si>
    <r>
      <rPr>
        <sz val="11"/>
        <rFont val="Calibri"/>
      </rPr>
      <t>Namrole</t>
    </r>
  </si>
  <si>
    <r>
      <rPr>
        <sz val="11"/>
        <rFont val="Calibri"/>
      </rPr>
      <t>Halmahera Barat</t>
    </r>
  </si>
  <si>
    <r>
      <rPr>
        <sz val="11"/>
        <rFont val="Calibri"/>
      </rPr>
      <t>Maluku Utara</t>
    </r>
  </si>
  <si>
    <r>
      <rPr>
        <sz val="11"/>
        <rFont val="Calibri"/>
      </rPr>
      <t>Jailolo</t>
    </r>
  </si>
  <si>
    <r>
      <rPr>
        <sz val="11"/>
        <rFont val="Calibri"/>
      </rPr>
      <t>***</t>
    </r>
  </si>
  <si>
    <r>
      <rPr>
        <sz val="11"/>
        <rFont val="Calibri"/>
      </rPr>
      <t>Halmahera Tengah</t>
    </r>
  </si>
  <si>
    <r>
      <rPr>
        <sz val="11"/>
        <rFont val="Calibri"/>
      </rPr>
      <t>Maluku Utara</t>
    </r>
  </si>
  <si>
    <r>
      <rPr>
        <sz val="11"/>
        <rFont val="Calibri"/>
      </rPr>
      <t>Weda</t>
    </r>
  </si>
  <si>
    <r>
      <rPr>
        <sz val="11"/>
        <rFont val="Calibri"/>
      </rPr>
      <t>Halmahera Utara</t>
    </r>
  </si>
  <si>
    <r>
      <rPr>
        <sz val="11"/>
        <rFont val="Calibri"/>
      </rPr>
      <t>Maluku Utara</t>
    </r>
  </si>
  <si>
    <r>
      <rPr>
        <sz val="11"/>
        <rFont val="Calibri"/>
      </rPr>
      <t>Tobelo</t>
    </r>
  </si>
  <si>
    <r>
      <rPr>
        <sz val="11"/>
        <rFont val="Calibri"/>
      </rPr>
      <t>Halmahera Selatan</t>
    </r>
  </si>
  <si>
    <r>
      <rPr>
        <sz val="11"/>
        <rFont val="Calibri"/>
      </rPr>
      <t>Maluku Utara</t>
    </r>
  </si>
  <si>
    <r>
      <rPr>
        <sz val="11"/>
        <rFont val="Calibri"/>
      </rPr>
      <t>Labuha</t>
    </r>
  </si>
  <si>
    <r>
      <rPr>
        <sz val="11"/>
        <rFont val="Calibri"/>
      </rPr>
      <t>Kepulauan Sula</t>
    </r>
  </si>
  <si>
    <r>
      <rPr>
        <sz val="11"/>
        <rFont val="Calibri"/>
      </rPr>
      <t>Maluku Utara</t>
    </r>
  </si>
  <si>
    <r>
      <rPr>
        <sz val="11"/>
        <rFont val="Calibri"/>
      </rPr>
      <t>Sanana</t>
    </r>
  </si>
  <si>
    <r>
      <rPr>
        <sz val="11"/>
        <rFont val="Calibri"/>
      </rPr>
      <t>Halmahera Timur</t>
    </r>
  </si>
  <si>
    <r>
      <rPr>
        <sz val="11"/>
        <rFont val="Calibri"/>
      </rPr>
      <t>Maluku Utara</t>
    </r>
  </si>
  <si>
    <r>
      <rPr>
        <sz val="11"/>
        <rFont val="Calibri"/>
      </rPr>
      <t>Maba</t>
    </r>
  </si>
  <si>
    <r>
      <rPr>
        <sz val="11"/>
        <rFont val="Calibri"/>
      </rPr>
      <t>Pulau Morotai</t>
    </r>
  </si>
  <si>
    <r>
      <rPr>
        <sz val="11"/>
        <rFont val="Calibri"/>
      </rPr>
      <t>Maluku Utara</t>
    </r>
  </si>
  <si>
    <r>
      <rPr>
        <sz val="11"/>
        <rFont val="Calibri"/>
      </rPr>
      <t>Morotai Selatan</t>
    </r>
  </si>
  <si>
    <r>
      <rPr>
        <sz val="11"/>
        <rFont val="Calibri"/>
      </rPr>
      <t>Pulau Taliabu</t>
    </r>
  </si>
  <si>
    <r>
      <rPr>
        <sz val="11"/>
        <rFont val="Calibri"/>
      </rPr>
      <t>Maluku Utara</t>
    </r>
  </si>
  <si>
    <r>
      <rPr>
        <sz val="11"/>
        <rFont val="Calibri"/>
      </rPr>
      <t>Bobong</t>
    </r>
  </si>
  <si>
    <r>
      <rPr>
        <sz val="11"/>
        <rFont val="Calibri"/>
      </rPr>
      <t>Merauke</t>
    </r>
  </si>
  <si>
    <r>
      <rPr>
        <sz val="11"/>
        <rFont val="Calibri"/>
      </rPr>
      <t>Papua Selatan</t>
    </r>
  </si>
  <si>
    <r>
      <rPr>
        <sz val="11"/>
        <rFont val="Calibri"/>
      </rPr>
      <t>Merauke</t>
    </r>
  </si>
  <si>
    <r>
      <rPr>
        <sz val="11"/>
        <rFont val="Calibri"/>
      </rPr>
      <t>*****</t>
    </r>
  </si>
  <si>
    <r>
      <rPr>
        <sz val="11"/>
        <rFont val="Calibri"/>
      </rPr>
      <t>Jayawijaya</t>
    </r>
  </si>
  <si>
    <r>
      <rPr>
        <sz val="11"/>
        <rFont val="Calibri"/>
      </rPr>
      <t>Papua Pegunungan</t>
    </r>
  </si>
  <si>
    <r>
      <rPr>
        <sz val="11"/>
        <rFont val="Calibri"/>
      </rPr>
      <t>Wamena</t>
    </r>
  </si>
  <si>
    <r>
      <rPr>
        <sz val="11"/>
        <rFont val="Calibri"/>
      </rPr>
      <t>Jayapura</t>
    </r>
  </si>
  <si>
    <r>
      <rPr>
        <sz val="11"/>
        <rFont val="Calibri"/>
      </rPr>
      <t>Papua</t>
    </r>
  </si>
  <si>
    <r>
      <rPr>
        <sz val="11"/>
        <rFont val="Calibri"/>
      </rPr>
      <t>Sentani</t>
    </r>
  </si>
  <si>
    <r>
      <rPr>
        <sz val="11"/>
        <rFont val="Calibri"/>
      </rPr>
      <t>Nabire</t>
    </r>
  </si>
  <si>
    <r>
      <rPr>
        <sz val="11"/>
        <rFont val="Calibri"/>
      </rPr>
      <t>Papua Tengah</t>
    </r>
  </si>
  <si>
    <r>
      <rPr>
        <sz val="11"/>
        <rFont val="Calibri"/>
      </rPr>
      <t>Nabire</t>
    </r>
  </si>
  <si>
    <r>
      <rPr>
        <sz val="11"/>
        <rFont val="Calibri"/>
      </rPr>
      <t>Kepulauan Yapen</t>
    </r>
  </si>
  <si>
    <r>
      <rPr>
        <sz val="11"/>
        <rFont val="Calibri"/>
      </rPr>
      <t>Papua</t>
    </r>
  </si>
  <si>
    <r>
      <rPr>
        <sz val="11"/>
        <rFont val="Calibri"/>
      </rPr>
      <t>Serui</t>
    </r>
  </si>
  <si>
    <r>
      <rPr>
        <sz val="11"/>
        <rFont val="Calibri"/>
      </rPr>
      <t>Biak Numfor</t>
    </r>
  </si>
  <si>
    <r>
      <rPr>
        <sz val="11"/>
        <rFont val="Calibri"/>
      </rPr>
      <t>Papua</t>
    </r>
  </si>
  <si>
    <r>
      <rPr>
        <sz val="11"/>
        <rFont val="Calibri"/>
      </rPr>
      <t>Biak</t>
    </r>
  </si>
  <si>
    <r>
      <rPr>
        <sz val="11"/>
        <rFont val="Calibri"/>
      </rPr>
      <t>Puncak Jaya</t>
    </r>
  </si>
  <si>
    <r>
      <rPr>
        <sz val="11"/>
        <rFont val="Calibri"/>
      </rPr>
      <t>Papua Tengah</t>
    </r>
  </si>
  <si>
    <r>
      <rPr>
        <sz val="11"/>
        <rFont val="Calibri"/>
      </rPr>
      <t>Kotamulia</t>
    </r>
  </si>
  <si>
    <r>
      <rPr>
        <sz val="11"/>
        <rFont val="Calibri"/>
      </rPr>
      <t>Paniai</t>
    </r>
  </si>
  <si>
    <r>
      <rPr>
        <sz val="11"/>
        <rFont val="Calibri"/>
      </rPr>
      <t>Papua Tengah</t>
    </r>
  </si>
  <si>
    <r>
      <rPr>
        <sz val="11"/>
        <rFont val="Calibri"/>
      </rPr>
      <t>Enarotali</t>
    </r>
  </si>
  <si>
    <r>
      <rPr>
        <sz val="11"/>
        <rFont val="Calibri"/>
      </rPr>
      <t>Mimika</t>
    </r>
  </si>
  <si>
    <r>
      <rPr>
        <sz val="11"/>
        <rFont val="Calibri"/>
      </rPr>
      <t>Papua Tengah</t>
    </r>
  </si>
  <si>
    <r>
      <rPr>
        <sz val="11"/>
        <rFont val="Calibri"/>
      </rPr>
      <t>Timika</t>
    </r>
  </si>
  <si>
    <r>
      <rPr>
        <sz val="11"/>
        <rFont val="Calibri"/>
      </rPr>
      <t>Sarmi</t>
    </r>
  </si>
  <si>
    <r>
      <rPr>
        <sz val="11"/>
        <rFont val="Calibri"/>
      </rPr>
      <t>Papua</t>
    </r>
  </si>
  <si>
    <r>
      <rPr>
        <sz val="11"/>
        <rFont val="Calibri"/>
      </rPr>
      <t>Sarmi</t>
    </r>
  </si>
  <si>
    <r>
      <rPr>
        <sz val="11"/>
        <rFont val="Calibri"/>
      </rPr>
      <t>Keerom</t>
    </r>
  </si>
  <si>
    <r>
      <rPr>
        <sz val="11"/>
        <rFont val="Calibri"/>
      </rPr>
      <t>Papua</t>
    </r>
  </si>
  <si>
    <r>
      <rPr>
        <sz val="11"/>
        <rFont val="Calibri"/>
      </rPr>
      <t>Waris</t>
    </r>
  </si>
  <si>
    <r>
      <rPr>
        <sz val="11"/>
        <rFont val="Calibri"/>
      </rPr>
      <t>Pegunungan Bintang</t>
    </r>
  </si>
  <si>
    <r>
      <rPr>
        <sz val="11"/>
        <rFont val="Calibri"/>
      </rPr>
      <t>Papua Pegunungan</t>
    </r>
  </si>
  <si>
    <r>
      <rPr>
        <sz val="11"/>
        <rFont val="Calibri"/>
      </rPr>
      <t>Oksibil</t>
    </r>
  </si>
  <si>
    <r>
      <rPr>
        <sz val="11"/>
        <rFont val="Calibri"/>
      </rPr>
      <t>Yahukimo</t>
    </r>
  </si>
  <si>
    <r>
      <rPr>
        <sz val="11"/>
        <rFont val="Calibri"/>
      </rPr>
      <t>Papua Pegunungan</t>
    </r>
  </si>
  <si>
    <r>
      <rPr>
        <sz val="11"/>
        <rFont val="Calibri"/>
      </rPr>
      <t>Sumohai</t>
    </r>
  </si>
  <si>
    <r>
      <rPr>
        <sz val="11"/>
        <rFont val="Calibri"/>
      </rPr>
      <t>Tolikara</t>
    </r>
  </si>
  <si>
    <r>
      <rPr>
        <sz val="11"/>
        <rFont val="Calibri"/>
      </rPr>
      <t>Papua Pegunungan</t>
    </r>
  </si>
  <si>
    <r>
      <rPr>
        <sz val="11"/>
        <rFont val="Calibri"/>
      </rPr>
      <t>Karubaga</t>
    </r>
  </si>
  <si>
    <r>
      <rPr>
        <sz val="11"/>
        <rFont val="Calibri"/>
      </rPr>
      <t>Waropen</t>
    </r>
  </si>
  <si>
    <r>
      <rPr>
        <sz val="11"/>
        <rFont val="Calibri"/>
      </rPr>
      <t>Papua</t>
    </r>
  </si>
  <si>
    <r>
      <rPr>
        <sz val="11"/>
        <rFont val="Calibri"/>
      </rPr>
      <t>Botawa</t>
    </r>
  </si>
  <si>
    <r>
      <rPr>
        <sz val="11"/>
        <rFont val="Calibri"/>
      </rPr>
      <t>Boven Digoel</t>
    </r>
  </si>
  <si>
    <r>
      <rPr>
        <sz val="11"/>
        <rFont val="Calibri"/>
      </rPr>
      <t>Papua Selatan</t>
    </r>
  </si>
  <si>
    <r>
      <rPr>
        <sz val="11"/>
        <rFont val="Calibri"/>
      </rPr>
      <t>Tanah Merah</t>
    </r>
  </si>
  <si>
    <r>
      <rPr>
        <sz val="11"/>
        <rFont val="Calibri"/>
      </rPr>
      <t>Mappi</t>
    </r>
  </si>
  <si>
    <r>
      <rPr>
        <sz val="11"/>
        <rFont val="Calibri"/>
      </rPr>
      <t>Papua Selatan</t>
    </r>
  </si>
  <si>
    <r>
      <rPr>
        <sz val="11"/>
        <rFont val="Calibri"/>
      </rPr>
      <t>Kepi</t>
    </r>
  </si>
  <si>
    <r>
      <rPr>
        <sz val="11"/>
        <rFont val="Calibri"/>
      </rPr>
      <t>Asmat</t>
    </r>
  </si>
  <si>
    <r>
      <rPr>
        <sz val="11"/>
        <rFont val="Calibri"/>
      </rPr>
      <t>Papua Selatan</t>
    </r>
  </si>
  <si>
    <r>
      <rPr>
        <sz val="11"/>
        <rFont val="Calibri"/>
      </rPr>
      <t>Agats</t>
    </r>
  </si>
  <si>
    <r>
      <rPr>
        <sz val="11"/>
        <rFont val="Calibri"/>
      </rPr>
      <t>Supiori</t>
    </r>
  </si>
  <si>
    <r>
      <rPr>
        <sz val="11"/>
        <rFont val="Calibri"/>
      </rPr>
      <t>Papua</t>
    </r>
  </si>
  <si>
    <r>
      <rPr>
        <sz val="11"/>
        <rFont val="Calibri"/>
      </rPr>
      <t>Sorendiweri</t>
    </r>
  </si>
  <si>
    <r>
      <rPr>
        <sz val="11"/>
        <rFont val="Calibri"/>
      </rPr>
      <t>Mamberamo Raya</t>
    </r>
  </si>
  <si>
    <r>
      <rPr>
        <sz val="11"/>
        <rFont val="Calibri"/>
      </rPr>
      <t>Papua</t>
    </r>
  </si>
  <si>
    <r>
      <rPr>
        <sz val="11"/>
        <rFont val="Calibri"/>
      </rPr>
      <t>Burmeso</t>
    </r>
  </si>
  <si>
    <r>
      <rPr>
        <sz val="11"/>
        <rFont val="Calibri"/>
      </rPr>
      <t>Mamberamo Tengah</t>
    </r>
  </si>
  <si>
    <r>
      <rPr>
        <sz val="11"/>
        <rFont val="Calibri"/>
      </rPr>
      <t>Papua Pegunungan</t>
    </r>
  </si>
  <si>
    <r>
      <rPr>
        <sz val="11"/>
        <rFont val="Calibri"/>
      </rPr>
      <t>Kobakma</t>
    </r>
  </si>
  <si>
    <r>
      <rPr>
        <sz val="11"/>
        <rFont val="Calibri"/>
      </rPr>
      <t>Yalimo</t>
    </r>
  </si>
  <si>
    <r>
      <rPr>
        <sz val="11"/>
        <rFont val="Calibri"/>
      </rPr>
      <t>Papua Pegunungan</t>
    </r>
  </si>
  <si>
    <r>
      <rPr>
        <sz val="11"/>
        <rFont val="Calibri"/>
      </rPr>
      <t>Elelim</t>
    </r>
  </si>
  <si>
    <r>
      <rPr>
        <sz val="11"/>
        <rFont val="Calibri"/>
      </rPr>
      <t>Lanny Jaya</t>
    </r>
  </si>
  <si>
    <r>
      <rPr>
        <sz val="11"/>
        <rFont val="Calibri"/>
      </rPr>
      <t>Papua Pegunungan</t>
    </r>
  </si>
  <si>
    <r>
      <rPr>
        <sz val="11"/>
        <rFont val="Calibri"/>
      </rPr>
      <t>Tiom</t>
    </r>
  </si>
  <si>
    <r>
      <rPr>
        <sz val="11"/>
        <rFont val="Calibri"/>
      </rPr>
      <t>Nduga</t>
    </r>
  </si>
  <si>
    <r>
      <rPr>
        <sz val="11"/>
        <rFont val="Calibri"/>
      </rPr>
      <t>Papua Pegunungan</t>
    </r>
  </si>
  <si>
    <r>
      <rPr>
        <sz val="11"/>
        <rFont val="Calibri"/>
      </rPr>
      <t>Kenyam</t>
    </r>
  </si>
  <si>
    <r>
      <rPr>
        <sz val="11"/>
        <rFont val="Calibri"/>
      </rPr>
      <t>Puncak</t>
    </r>
  </si>
  <si>
    <r>
      <rPr>
        <sz val="11"/>
        <rFont val="Calibri"/>
      </rPr>
      <t>Papua Tengah</t>
    </r>
  </si>
  <si>
    <r>
      <rPr>
        <sz val="11"/>
        <rFont val="Calibri"/>
      </rPr>
      <t>Ilaga</t>
    </r>
  </si>
  <si>
    <r>
      <rPr>
        <sz val="11"/>
        <rFont val="Calibri"/>
      </rPr>
      <t>Dogiyai</t>
    </r>
  </si>
  <si>
    <r>
      <rPr>
        <sz val="11"/>
        <rFont val="Calibri"/>
      </rPr>
      <t>Papua Tengah</t>
    </r>
  </si>
  <si>
    <r>
      <rPr>
        <sz val="11"/>
        <rFont val="Calibri"/>
      </rPr>
      <t>Kigamani</t>
    </r>
  </si>
  <si>
    <r>
      <rPr>
        <sz val="11"/>
        <rFont val="Calibri"/>
      </rPr>
      <t>Intan Jaya</t>
    </r>
  </si>
  <si>
    <r>
      <rPr>
        <sz val="11"/>
        <rFont val="Calibri"/>
      </rPr>
      <t>Papua Tengah</t>
    </r>
  </si>
  <si>
    <r>
      <rPr>
        <sz val="11"/>
        <rFont val="Calibri"/>
      </rPr>
      <t>Sugapa</t>
    </r>
  </si>
  <si>
    <r>
      <rPr>
        <sz val="11"/>
        <rFont val="Calibri"/>
      </rPr>
      <t>Deiyai</t>
    </r>
  </si>
  <si>
    <r>
      <rPr>
        <sz val="11"/>
        <rFont val="Calibri"/>
      </rPr>
      <t>Papua Tengah</t>
    </r>
  </si>
  <si>
    <r>
      <rPr>
        <sz val="11"/>
        <rFont val="Calibri"/>
      </rPr>
      <t>Tigi</t>
    </r>
  </si>
  <si>
    <r>
      <rPr>
        <sz val="11"/>
        <rFont val="Calibri"/>
      </rPr>
      <t>Sorong</t>
    </r>
  </si>
  <si>
    <r>
      <rPr>
        <sz val="11"/>
        <rFont val="Calibri"/>
      </rPr>
      <t>Papua Barat Daya</t>
    </r>
  </si>
  <si>
    <r>
      <rPr>
        <sz val="11"/>
        <rFont val="Calibri"/>
      </rPr>
      <t>Aimas</t>
    </r>
  </si>
  <si>
    <r>
      <rPr>
        <sz val="11"/>
        <rFont val="Calibri"/>
      </rPr>
      <t>Manokwari</t>
    </r>
  </si>
  <si>
    <r>
      <rPr>
        <sz val="11"/>
        <rFont val="Calibri"/>
      </rPr>
      <t>Papua Barat</t>
    </r>
  </si>
  <si>
    <r>
      <rPr>
        <sz val="11"/>
        <rFont val="Calibri"/>
      </rPr>
      <t>Manokwari</t>
    </r>
  </si>
  <si>
    <r>
      <rPr>
        <sz val="11"/>
        <rFont val="Calibri"/>
      </rPr>
      <t>Fakfak</t>
    </r>
  </si>
  <si>
    <r>
      <rPr>
        <sz val="11"/>
        <rFont val="Calibri"/>
      </rPr>
      <t>Papua Barat</t>
    </r>
  </si>
  <si>
    <r>
      <rPr>
        <sz val="11"/>
        <rFont val="Calibri"/>
      </rPr>
      <t>Fakfak</t>
    </r>
  </si>
  <si>
    <r>
      <rPr>
        <sz val="11"/>
        <rFont val="Calibri"/>
      </rPr>
      <t>Sorong Selatan</t>
    </r>
  </si>
  <si>
    <r>
      <rPr>
        <sz val="11"/>
        <rFont val="Calibri"/>
      </rPr>
      <t>Papua Barat Daya</t>
    </r>
  </si>
  <si>
    <r>
      <rPr>
        <sz val="11"/>
        <rFont val="Calibri"/>
      </rPr>
      <t>Teminabuan</t>
    </r>
  </si>
  <si>
    <r>
      <rPr>
        <sz val="11"/>
        <rFont val="Calibri"/>
      </rPr>
      <t>Raja Ampat</t>
    </r>
  </si>
  <si>
    <r>
      <rPr>
        <sz val="11"/>
        <rFont val="Calibri"/>
      </rPr>
      <t>Papua Barat Daya</t>
    </r>
  </si>
  <si>
    <r>
      <rPr>
        <sz val="11"/>
        <rFont val="Calibri"/>
      </rPr>
      <t>Waisai</t>
    </r>
  </si>
  <si>
    <r>
      <rPr>
        <sz val="11"/>
        <rFont val="Calibri"/>
      </rPr>
      <t>Teluk Bintuni</t>
    </r>
  </si>
  <si>
    <r>
      <rPr>
        <sz val="11"/>
        <rFont val="Calibri"/>
      </rPr>
      <t>Papua Barat</t>
    </r>
  </si>
  <si>
    <r>
      <rPr>
        <sz val="11"/>
        <rFont val="Calibri"/>
      </rPr>
      <t>Bintuni</t>
    </r>
  </si>
  <si>
    <r>
      <rPr>
        <sz val="11"/>
        <rFont val="Calibri"/>
      </rPr>
      <t>Teluk Wondama</t>
    </r>
  </si>
  <si>
    <r>
      <rPr>
        <sz val="11"/>
        <rFont val="Calibri"/>
      </rPr>
      <t>Papua Barat</t>
    </r>
  </si>
  <si>
    <r>
      <rPr>
        <sz val="11"/>
        <rFont val="Calibri"/>
      </rPr>
      <t>Rasiei</t>
    </r>
  </si>
  <si>
    <r>
      <rPr>
        <sz val="11"/>
        <rFont val="Calibri"/>
      </rPr>
      <t>Kaimana</t>
    </r>
  </si>
  <si>
    <r>
      <rPr>
        <sz val="11"/>
        <rFont val="Calibri"/>
      </rPr>
      <t>Papua Barat</t>
    </r>
  </si>
  <si>
    <r>
      <rPr>
        <sz val="11"/>
        <rFont val="Calibri"/>
      </rPr>
      <t>Kaimana</t>
    </r>
  </si>
  <si>
    <r>
      <rPr>
        <sz val="11"/>
        <rFont val="Calibri"/>
      </rPr>
      <t>Tambrauw</t>
    </r>
  </si>
  <si>
    <r>
      <rPr>
        <sz val="11"/>
        <rFont val="Calibri"/>
      </rPr>
      <t>Papua Barat Daya</t>
    </r>
  </si>
  <si>
    <r>
      <rPr>
        <sz val="11"/>
        <rFont val="Calibri"/>
      </rPr>
      <t>Fef</t>
    </r>
  </si>
  <si>
    <r>
      <rPr>
        <sz val="11"/>
        <rFont val="Calibri"/>
      </rPr>
      <t>Maybrat</t>
    </r>
  </si>
  <si>
    <r>
      <rPr>
        <sz val="11"/>
        <rFont val="Calibri"/>
      </rPr>
      <t>Papua Barat Daya</t>
    </r>
  </si>
  <si>
    <r>
      <rPr>
        <sz val="11"/>
        <rFont val="Calibri"/>
      </rPr>
      <t>Kumurkek</t>
    </r>
  </si>
  <si>
    <r>
      <rPr>
        <sz val="11"/>
        <rFont val="Calibri"/>
      </rPr>
      <t>Manokwari Selatan</t>
    </r>
  </si>
  <si>
    <r>
      <rPr>
        <sz val="11"/>
        <rFont val="Calibri"/>
      </rPr>
      <t>Papua Barat</t>
    </r>
  </si>
  <si>
    <r>
      <rPr>
        <sz val="11"/>
        <rFont val="Calibri"/>
      </rPr>
      <t>Ransiki</t>
    </r>
  </si>
  <si>
    <r>
      <rPr>
        <sz val="11"/>
        <rFont val="Calibri"/>
      </rPr>
      <t>Pegunungan Arfak</t>
    </r>
  </si>
  <si>
    <r>
      <rPr>
        <sz val="11"/>
        <rFont val="Calibri"/>
      </rPr>
      <t>Papua Barat</t>
    </r>
  </si>
  <si>
    <r>
      <rPr>
        <sz val="11"/>
        <rFont val="Calibri"/>
      </rPr>
      <t>Anggi</t>
    </r>
  </si>
  <si>
    <r>
      <rPr>
        <sz val="11"/>
        <rFont val="Calibri"/>
      </rPr>
      <t>Jakarta</t>
    </r>
  </si>
  <si>
    <r>
      <rPr>
        <sz val="11"/>
        <rFont val="Calibri"/>
      </rPr>
      <t>Daerah Khusus Ibu Kota Jakarta</t>
    </r>
  </si>
  <si>
    <r>
      <rPr>
        <sz val="11"/>
        <rFont val="Calibri"/>
      </rPr>
      <t>Jakarta Pusat</t>
    </r>
  </si>
  <si>
    <r>
      <rPr>
        <sz val="11"/>
        <rFont val="Calibri"/>
      </rPr>
      <t>106.35 -106.54</t>
    </r>
  </si>
  <si>
    <r>
      <rPr>
        <sz val="11"/>
        <rFont val="Calibri"/>
      </rPr>
      <t>Jakarta Timur</t>
    </r>
  </si>
  <si>
    <r>
      <rPr>
        <sz val="11"/>
        <rFont val="Calibri"/>
      </rPr>
      <t>Daerah Khusus Ibu Kota Jak-Tim</t>
    </r>
  </si>
  <si>
    <r>
      <rPr>
        <sz val="11"/>
        <rFont val="Calibri"/>
      </rPr>
      <t>Jakarta Timur</t>
    </r>
  </si>
  <si>
    <r>
      <rPr>
        <sz val="11"/>
        <rFont val="Calibri"/>
      </rPr>
      <t>106.35 -106.54</t>
    </r>
  </si>
  <si>
    <r>
      <rPr>
        <sz val="11"/>
        <rFont val="Calibri"/>
      </rPr>
      <t>Jakarta Barat</t>
    </r>
  </si>
  <si>
    <r>
      <rPr>
        <sz val="11"/>
        <rFont val="Calibri"/>
      </rPr>
      <t>Daerah Khusus Ibu Kota Jak-Bar</t>
    </r>
  </si>
  <si>
    <r>
      <rPr>
        <sz val="11"/>
        <rFont val="Calibri"/>
      </rPr>
      <t>Jakarta Barat</t>
    </r>
  </si>
  <si>
    <r>
      <rPr>
        <sz val="11"/>
        <rFont val="Calibri"/>
      </rPr>
      <t>106.35 -106.54</t>
    </r>
  </si>
  <si>
    <r>
      <rPr>
        <sz val="11"/>
        <rFont val="Calibri"/>
      </rPr>
      <t>Jakarta Selatan</t>
    </r>
  </si>
  <si>
    <r>
      <rPr>
        <sz val="11"/>
        <rFont val="Calibri"/>
      </rPr>
      <t>Daerah Khusus Ibu Kota Jak-Sel</t>
    </r>
  </si>
  <si>
    <r>
      <rPr>
        <sz val="11"/>
        <rFont val="Calibri"/>
      </rPr>
      <t>Jakarta Selatan</t>
    </r>
  </si>
  <si>
    <r>
      <rPr>
        <sz val="11"/>
        <rFont val="Calibri"/>
      </rPr>
      <t>106.35 -106.54</t>
    </r>
  </si>
  <si>
    <r>
      <rPr>
        <sz val="11"/>
        <rFont val="Calibri"/>
      </rPr>
      <t>Banten</t>
    </r>
  </si>
  <si>
    <r>
      <rPr>
        <sz val="11"/>
        <rFont val="Calibri"/>
      </rPr>
      <t>Banten</t>
    </r>
  </si>
  <si>
    <r>
      <rPr>
        <sz val="11"/>
        <rFont val="Calibri"/>
      </rPr>
      <t>Kota Banten</t>
    </r>
  </si>
  <si>
    <r>
      <rPr>
        <sz val="11"/>
        <rFont val="Calibri"/>
      </rPr>
      <t>106.3 - 106.42</t>
    </r>
  </si>
  <si>
    <r>
      <rPr>
        <sz val="11"/>
        <rFont val="Calibri"/>
      </rPr>
      <t>Tangerang Selatan</t>
    </r>
  </si>
  <si>
    <r>
      <rPr>
        <sz val="11"/>
        <rFont val="Calibri"/>
      </rPr>
      <t>Banten</t>
    </r>
  </si>
  <si>
    <r>
      <rPr>
        <sz val="11"/>
        <rFont val="Calibri"/>
      </rPr>
      <t>Tangerang Selatan</t>
    </r>
  </si>
  <si>
    <r>
      <rPr>
        <sz val="11"/>
        <rFont val="Calibri"/>
      </rPr>
      <t>106.3 - 106.42</t>
    </r>
  </si>
  <si>
    <r>
      <rPr>
        <sz val="11"/>
        <rFont val="Calibri"/>
      </rPr>
      <t>Cilegon</t>
    </r>
  </si>
  <si>
    <r>
      <rPr>
        <sz val="11"/>
        <rFont val="Calibri"/>
      </rPr>
      <t>Banten</t>
    </r>
  </si>
  <si>
    <r>
      <rPr>
        <sz val="11"/>
        <rFont val="Calibri"/>
      </rPr>
      <t>Cilegon</t>
    </r>
  </si>
  <si>
    <r>
      <rPr>
        <sz val="11"/>
        <rFont val="Calibri"/>
      </rPr>
      <t>106.3 - 106.42</t>
    </r>
  </si>
  <si>
    <r>
      <rPr>
        <b/>
        <sz val="11"/>
        <rFont val="Calibri"/>
      </rPr>
      <t>KABUPATEN</t>
    </r>
  </si>
  <si>
    <r>
      <rPr>
        <b/>
        <sz val="11"/>
        <rFont val="Calibri"/>
      </rPr>
      <t>PROVINSI</t>
    </r>
  </si>
  <si>
    <r>
      <rPr>
        <b/>
        <sz val="11"/>
        <rFont val="Calibri"/>
      </rPr>
      <t>IBU KOTA</t>
    </r>
  </si>
  <si>
    <r>
      <rPr>
        <b/>
        <sz val="11"/>
        <rFont val="Calibri"/>
      </rPr>
      <t>TB</t>
    </r>
  </si>
  <si>
    <r>
      <rPr>
        <b/>
        <sz val="11"/>
        <rFont val="Calibri"/>
      </rPr>
      <t>KORDINAT</t>
    </r>
  </si>
  <si>
    <r>
      <rPr>
        <b/>
        <sz val="11"/>
        <rFont val="Calibri"/>
      </rPr>
      <t>Aceh Selatan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</si>
  <si>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</si>
  <si>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Tapaktuan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</si>
  <si>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</si>
  <si>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Tenggara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</si>
  <si>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</si>
  <si>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Kutacane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</si>
  <si>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</si>
  <si>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Timur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</si>
  <si>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</si>
  <si>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Idi Rayeuk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</si>
  <si>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</si>
  <si>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Tengah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</si>
  <si>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</si>
  <si>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Takengon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</si>
  <si>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</si>
  <si>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</si>
  <si>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</si>
  <si>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Meulaboh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</si>
  <si>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</si>
  <si>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Besar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</si>
  <si>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</si>
  <si>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Kota Jantho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</si>
  <si>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</si>
  <si>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</si>
  <si>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</si>
  <si>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Sigli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</si>
  <si>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</si>
  <si>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Utara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</si>
  <si>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</si>
  <si>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Lhoksukon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</si>
  <si>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</si>
  <si>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Simeulue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</si>
  <si>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</si>
  <si>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Sinabang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</si>
  <si>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</si>
  <si>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Singkil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</si>
  <si>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</si>
  <si>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Singkil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</si>
  <si>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</si>
  <si>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</si>
  <si>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</si>
  <si>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Bireuen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</si>
  <si>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</si>
  <si>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Barat Daya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</si>
  <si>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</si>
  <si>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Blangpidie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</si>
  <si>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</si>
  <si>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Gayo Lues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</si>
  <si>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</si>
  <si>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Blang Kejeren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</si>
  <si>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</si>
  <si>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</si>
  <si>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</si>
  <si>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Calang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</si>
  <si>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</si>
  <si>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Nagan Raya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</si>
  <si>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</si>
  <si>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Suka Makmue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</si>
  <si>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</si>
  <si>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Aceh Tamiang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</si>
  <si>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</si>
  <si>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Karang Baru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</si>
  <si>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</si>
  <si>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Bener Meriah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</si>
  <si>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</si>
  <si>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Simpang Tiga Redelong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</si>
  <si>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</si>
  <si>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Pidie Jaya</t>
    </r>
  </si>
  <si>
    <r>
      <rPr>
        <b/>
        <sz val="11"/>
        <rFont val="Calibri"/>
      </rPr>
      <t>Aceh</t>
    </r>
  </si>
  <si>
    <r>
      <rPr>
        <b/>
        <sz val="11"/>
        <rFont val="Calibri"/>
      </rPr>
      <t>Meureudu</t>
    </r>
  </si>
  <si>
    <r>
      <rPr>
        <b/>
        <sz val="11"/>
        <rFont val="Calibri"/>
      </rPr>
      <t>95°28' - 98°0'</t>
    </r>
  </si>
  <si>
    <r>
      <rPr>
        <b/>
        <sz val="11"/>
        <rFont val="Calibri"/>
      </rPr>
      <t>Tapanuli Tengah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</si>
  <si>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</si>
  <si>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Pandan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</si>
  <si>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</si>
  <si>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</si>
  <si>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</si>
  <si>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Tarutung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</si>
  <si>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</si>
  <si>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Tapanuli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</si>
  <si>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</si>
  <si>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Sipirok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</si>
  <si>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</si>
  <si>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</si>
  <si>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</si>
  <si>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Sitoli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</si>
  <si>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</si>
  <si>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Langkat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</si>
  <si>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</si>
  <si>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Stabat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</si>
  <si>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</si>
  <si>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Karo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</si>
  <si>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</si>
  <si>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Kabanjahe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</si>
  <si>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</si>
  <si>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Deli Serdang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</si>
  <si>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</si>
  <si>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Lubuk Pakam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</si>
  <si>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</si>
  <si>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Simalungun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</si>
  <si>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</si>
  <si>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Raya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</si>
  <si>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</si>
  <si>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Asahan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</si>
  <si>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</si>
  <si>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Kisaran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</si>
  <si>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</si>
  <si>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</si>
  <si>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</si>
  <si>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Rantau Prapat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</si>
  <si>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</si>
  <si>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Dairi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</si>
  <si>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</si>
  <si>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Sidikalang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</si>
  <si>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</si>
  <si>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Toba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</si>
  <si>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</si>
  <si>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Balige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</si>
  <si>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</si>
  <si>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Mandailing Natal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</si>
  <si>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</si>
  <si>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Panyabungan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</si>
  <si>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</si>
  <si>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</si>
  <si>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</si>
  <si>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Teluk Dalam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</si>
  <si>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</si>
  <si>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Pakpak Bharat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</si>
  <si>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</si>
  <si>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Salak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</si>
  <si>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</si>
  <si>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Humbang Hasundutan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</si>
  <si>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</si>
  <si>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Dolok Sanggul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</si>
  <si>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</si>
  <si>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Samosir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</si>
  <si>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</si>
  <si>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Pangururan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</si>
  <si>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</si>
  <si>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Serdang Bedagai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</si>
  <si>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</si>
  <si>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Sei Rampah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</si>
  <si>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</si>
  <si>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Batu Bara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</si>
  <si>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</si>
  <si>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Limapuluh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</si>
  <si>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</si>
  <si>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Lawas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</si>
  <si>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</si>
  <si>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Gunung Tua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</si>
  <si>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</si>
  <si>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Kabupaten Padang Lawas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</si>
  <si>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</si>
  <si>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Sibuhuan</t>
    </r>
  </si>
  <si>
    <r>
      <rPr>
        <b/>
        <sz val="11"/>
        <rFont val="Calibri"/>
      </rPr>
      <t>Labuhanbatu Selatan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</si>
  <si>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</si>
  <si>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Kota Pinang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</si>
  <si>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</si>
  <si>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Labuhanbatu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</si>
  <si>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</si>
  <si>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Aek Kanopan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</si>
  <si>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</si>
  <si>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Utara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</si>
  <si>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</si>
  <si>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Lotu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</si>
  <si>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</si>
  <si>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Nias Barat</t>
    </r>
  </si>
  <si>
    <r>
      <rPr>
        <b/>
        <sz val="11"/>
        <rFont val="Calibri"/>
      </rPr>
      <t>Sumatra Utara</t>
    </r>
  </si>
  <si>
    <r>
      <rPr>
        <b/>
        <sz val="11"/>
        <rFont val="Calibri"/>
      </rPr>
      <t>Lahomi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</si>
  <si>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</si>
  <si>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Pesisir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</si>
  <si>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</si>
  <si>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Painan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</si>
  <si>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</si>
  <si>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</si>
  <si>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</si>
  <si>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Arosuka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</si>
  <si>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</si>
  <si>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Sijunjung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</si>
  <si>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</si>
  <si>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Muaro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</si>
  <si>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</si>
  <si>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Tanah Datar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</si>
  <si>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</si>
  <si>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Batusangkar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</si>
  <si>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</si>
  <si>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Padang Pariaman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</si>
  <si>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</si>
  <si>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Parit Malintang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</si>
  <si>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</si>
  <si>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Agam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</si>
  <si>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</si>
  <si>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Basung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</si>
  <si>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</si>
  <si>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Lima Puluh Kota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</si>
  <si>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</si>
  <si>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Sarilamak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</si>
  <si>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</si>
  <si>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</si>
  <si>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</si>
  <si>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Lubuk Sikaping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</si>
  <si>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</si>
  <si>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Kepulauan Mentawai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</si>
  <si>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</si>
  <si>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Tuapeijat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</si>
  <si>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</si>
  <si>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Dharmasraya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</si>
  <si>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</si>
  <si>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Pulau Punjung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</si>
  <si>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</si>
  <si>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Solok Selatan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</si>
  <si>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</si>
  <si>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Padang Aro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</si>
  <si>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</si>
  <si>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Pasaman Barat</t>
    </r>
  </si>
  <si>
    <r>
      <rPr>
        <b/>
        <sz val="11"/>
        <rFont val="Calibri"/>
      </rPr>
      <t>Sumatra Barat</t>
    </r>
  </si>
  <si>
    <r>
      <rPr>
        <b/>
        <sz val="11"/>
        <rFont val="Calibri"/>
      </rPr>
      <t>Simpang Ampek</t>
    </r>
  </si>
  <si>
    <r>
      <rPr>
        <b/>
        <sz val="11"/>
        <rFont val="Calibri"/>
      </rPr>
      <t>97°23' - 101°36'</t>
    </r>
  </si>
  <si>
    <r>
      <rPr>
        <b/>
        <sz val="11"/>
        <rFont val="Calibri"/>
      </rPr>
      <t>Kampar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</si>
  <si>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</si>
  <si>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Bangkinang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</si>
  <si>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</si>
  <si>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</si>
  <si>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</si>
  <si>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Rengat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</si>
  <si>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</si>
  <si>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</si>
  <si>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</si>
  <si>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Bengkalis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</si>
  <si>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</si>
  <si>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Indragiri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</si>
  <si>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</si>
  <si>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Tembilahan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</si>
  <si>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</si>
  <si>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Pelalawan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</si>
  <si>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</si>
  <si>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Pangkalan Kerinci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</si>
  <si>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</si>
  <si>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Hulu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</si>
  <si>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</si>
  <si>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Pasir Pengaraian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</si>
  <si>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</si>
  <si>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Rokan Hilir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</si>
  <si>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</si>
  <si>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Ujung Tanjung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</si>
  <si>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</si>
  <si>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Siak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</si>
  <si>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</si>
  <si>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Siak Sri Indrapura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</si>
  <si>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</si>
  <si>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Kuantan Singingi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</si>
  <si>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</si>
  <si>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Taluk Kuantan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</si>
  <si>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</si>
  <si>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Kepulauan Meranti</t>
    </r>
  </si>
  <si>
    <r>
      <rPr>
        <b/>
        <sz val="11"/>
        <rFont val="Calibri"/>
      </rPr>
      <t>Riau</t>
    </r>
  </si>
  <si>
    <r>
      <rPr>
        <b/>
        <sz val="11"/>
        <rFont val="Calibri"/>
      </rPr>
      <t>Selatpanjang</t>
    </r>
  </si>
  <si>
    <r>
      <rPr>
        <b/>
        <sz val="11"/>
        <rFont val="Calibri"/>
      </rPr>
      <t>100°26' - 102°59'</t>
    </r>
  </si>
  <si>
    <r>
      <rPr>
        <b/>
        <sz val="11"/>
        <rFont val="Calibri"/>
      </rPr>
      <t>Kerinci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</si>
  <si>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</si>
  <si>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Sungaipenuh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</si>
  <si>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</si>
  <si>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Merangin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</si>
  <si>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</si>
  <si>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Bangko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</si>
  <si>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</si>
  <si>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</si>
  <si>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</si>
  <si>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Sarolangun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</si>
  <si>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</si>
  <si>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Batanghari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</si>
  <si>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</si>
  <si>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Bulian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</si>
  <si>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</si>
  <si>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Muaro Jambi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</si>
  <si>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</si>
  <si>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Sengeti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</si>
  <si>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</si>
  <si>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Barat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</si>
  <si>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</si>
  <si>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Kuala Tungkal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</si>
  <si>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</si>
  <si>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Tanjung Jabung Timur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</si>
  <si>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</si>
  <si>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Sabak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</si>
  <si>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</si>
  <si>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Bungo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</si>
  <si>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</si>
  <si>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Bungo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</si>
  <si>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</si>
  <si>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Tebo</t>
    </r>
  </si>
  <si>
    <r>
      <rPr>
        <b/>
        <sz val="11"/>
        <rFont val="Calibri"/>
      </rPr>
      <t>Jambi</t>
    </r>
  </si>
  <si>
    <r>
      <rPr>
        <b/>
        <sz val="11"/>
        <rFont val="Calibri"/>
      </rPr>
      <t>Muara Tebo</t>
    </r>
  </si>
  <si>
    <r>
      <rPr>
        <b/>
        <sz val="11"/>
        <rFont val="Calibri"/>
      </rPr>
      <t>101°26' - 103°49'</t>
    </r>
  </si>
  <si>
    <r>
      <rPr>
        <b/>
        <sz val="11"/>
        <rFont val="Calibri"/>
      </rPr>
      <t>Ogan Komering Ulu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</si>
  <si>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</si>
  <si>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Baturaja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</si>
  <si>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</si>
  <si>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</si>
  <si>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</si>
  <si>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Kayu Agung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</si>
  <si>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</si>
  <si>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</si>
  <si>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</si>
  <si>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Enim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</si>
  <si>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</si>
  <si>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</si>
  <si>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</si>
  <si>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Lahat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</si>
  <si>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</si>
  <si>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</si>
  <si>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</si>
  <si>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 Beliti Baru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</si>
  <si>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</si>
  <si>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</si>
  <si>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</si>
  <si>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Sekayu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</si>
  <si>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</si>
  <si>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Banyuasin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</si>
  <si>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</si>
  <si>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Kota Pangkalan Balai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</si>
  <si>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</si>
  <si>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Timur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</si>
  <si>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</si>
  <si>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</si>
  <si>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</si>
  <si>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Komering Ulu Selatan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</si>
  <si>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</si>
  <si>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Muaradua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</si>
  <si>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</si>
  <si>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Ogan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</si>
  <si>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</si>
  <si>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Indralaya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</si>
  <si>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</si>
  <si>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Empat Lawang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</si>
  <si>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</si>
  <si>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Tebing Tinggi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</si>
  <si>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</si>
  <si>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Penukal Abab Lematang Ilir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</si>
  <si>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</si>
  <si>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Talang Ubi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</si>
  <si>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</si>
  <si>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Musi Rawas Utara</t>
    </r>
  </si>
  <si>
    <r>
      <rPr>
        <b/>
        <sz val="11"/>
        <rFont val="Calibri"/>
      </rPr>
      <t>Sumatra Selatan</t>
    </r>
  </si>
  <si>
    <r>
      <rPr>
        <b/>
        <sz val="11"/>
        <rFont val="Calibri"/>
      </rPr>
      <t>Rupit</t>
    </r>
  </si>
  <si>
    <r>
      <rPr>
        <b/>
        <sz val="11"/>
        <rFont val="Calibri"/>
      </rPr>
      <t>102°42' - 105°13'</t>
    </r>
  </si>
  <si>
    <r>
      <rPr>
        <b/>
        <sz val="11"/>
        <rFont val="Calibri"/>
      </rPr>
      <t>Bengkulu Selatan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</si>
  <si>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</si>
  <si>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Manna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</si>
  <si>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</si>
  <si>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Rejang 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</si>
  <si>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</si>
  <si>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Curup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</si>
  <si>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</si>
  <si>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Utara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</si>
  <si>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</si>
  <si>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Kota Arga Makmur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</si>
  <si>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</si>
  <si>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Kaur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</si>
  <si>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</si>
  <si>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Bintuhan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</si>
  <si>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</si>
  <si>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Seluma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</si>
  <si>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</si>
  <si>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Tais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</si>
  <si>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</si>
  <si>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</si>
  <si>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</si>
  <si>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Mukomuko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</si>
  <si>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</si>
  <si>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Lebong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</si>
  <si>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</si>
  <si>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Muara Aman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</si>
  <si>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</si>
  <si>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</si>
  <si>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</si>
  <si>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Kepahiang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</si>
  <si>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</si>
  <si>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Bengkulu Tengah</t>
    </r>
  </si>
  <si>
    <r>
      <rPr>
        <b/>
        <sz val="11"/>
        <rFont val="Calibri"/>
      </rPr>
      <t>Bengkulu</t>
    </r>
  </si>
  <si>
    <r>
      <rPr>
        <b/>
        <sz val="11"/>
        <rFont val="Calibri"/>
      </rPr>
      <t>Karang Tinggi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</si>
  <si>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</si>
  <si>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Selatan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</si>
  <si>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</si>
  <si>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Kalianda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</si>
  <si>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</si>
  <si>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Tengah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</si>
  <si>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</si>
  <si>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Gunung Sugih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</si>
  <si>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</si>
  <si>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Utara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</si>
  <si>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</si>
  <si>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Kotabumi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</si>
  <si>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</si>
  <si>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</si>
  <si>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</si>
  <si>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Liwa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</si>
  <si>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</si>
  <si>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</si>
  <si>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</si>
  <si>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Menggala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</si>
  <si>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</si>
  <si>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Tanggamus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</si>
  <si>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</si>
  <si>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Kota Agung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</si>
  <si>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</si>
  <si>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Lampung Timur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</si>
  <si>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</si>
  <si>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Sukadana,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</si>
  <si>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</si>
  <si>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Way Kanan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</si>
  <si>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</si>
  <si>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Blambangan Umpu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</si>
  <si>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</si>
  <si>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Pesawaran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</si>
  <si>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</si>
  <si>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Gedong Tataan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</si>
  <si>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</si>
  <si>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</si>
  <si>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</si>
  <si>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Pringsewu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</si>
  <si>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</si>
  <si>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</si>
  <si>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</si>
  <si>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Mesuji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</si>
  <si>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</si>
  <si>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Tulang Bawang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</si>
  <si>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</si>
  <si>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Tulang Bawang Tengah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</si>
  <si>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</si>
  <si>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Pesisir Barat</t>
    </r>
  </si>
  <si>
    <r>
      <rPr>
        <b/>
        <sz val="11"/>
        <rFont val="Calibri"/>
      </rPr>
      <t>Lampung</t>
    </r>
  </si>
  <si>
    <r>
      <rPr>
        <b/>
        <sz val="11"/>
        <rFont val="Calibri"/>
      </rPr>
      <t>Pasar Krui</t>
    </r>
  </si>
  <si>
    <r>
      <rPr>
        <b/>
        <sz val="11"/>
        <rFont val="Calibri"/>
      </rPr>
      <t>101°7' - 103°15'</t>
    </r>
  </si>
  <si>
    <r>
      <rPr>
        <b/>
        <sz val="11"/>
        <rFont val="Calibri"/>
      </rPr>
      <t>Bangka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</si>
  <si>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</si>
  <si>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Sungailiat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</si>
  <si>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</si>
  <si>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</si>
  <si>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</si>
  <si>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Tanjungpandan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</si>
  <si>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</si>
  <si>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Selatan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</si>
  <si>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</si>
  <si>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Toboali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</si>
  <si>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</si>
  <si>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Tengah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</si>
  <si>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</si>
  <si>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Koba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</si>
  <si>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</si>
  <si>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Bangka Barat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</si>
  <si>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</si>
  <si>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Muntok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</si>
  <si>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</si>
  <si>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Belitung Timur</t>
    </r>
  </si>
  <si>
    <r>
      <rPr>
        <b/>
        <sz val="11"/>
        <rFont val="Calibri"/>
      </rPr>
      <t>Kepulauan Bangka Belitung</t>
    </r>
  </si>
  <si>
    <r>
      <rPr>
        <b/>
        <sz val="11"/>
        <rFont val="Calibri"/>
      </rPr>
      <t>Manggar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</si>
  <si>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</si>
  <si>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Bintan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</si>
  <si>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</si>
  <si>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Teluk Bintan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</si>
  <si>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</si>
  <si>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Karimun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</si>
  <si>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</si>
  <si>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Tanjung Balai Karimun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</si>
  <si>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</si>
  <si>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Natuna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</si>
  <si>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</si>
  <si>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Ranai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</si>
  <si>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</si>
  <si>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Lingga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</si>
  <si>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</si>
  <si>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Daik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</si>
  <si>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</si>
  <si>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Anambas</t>
    </r>
  </si>
  <si>
    <r>
      <rPr>
        <b/>
        <sz val="11"/>
        <rFont val="Calibri"/>
      </rPr>
      <t>Kepulauan Riau</t>
    </r>
  </si>
  <si>
    <r>
      <rPr>
        <b/>
        <sz val="11"/>
        <rFont val="Calibri"/>
      </rPr>
      <t>Tarempa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</si>
  <si>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</si>
  <si>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Kepulauan Seribu</t>
    </r>
  </si>
  <si>
    <r>
      <rPr>
        <b/>
        <sz val="11"/>
        <rFont val="Calibri"/>
      </rPr>
      <t>Daerah Khusus Ibukota Jakarta</t>
    </r>
  </si>
  <si>
    <r>
      <rPr>
        <b/>
        <sz val="11"/>
        <rFont val="Calibri"/>
      </rPr>
      <t>Pulau Pramuka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</si>
  <si>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</si>
  <si>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Bogor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</si>
  <si>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</si>
  <si>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Cibinong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</si>
  <si>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</si>
  <si>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Sukabumi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</si>
  <si>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</si>
  <si>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Pelabuhanratu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</si>
  <si>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</si>
  <si>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</si>
  <si>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</si>
  <si>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Cianjur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</si>
  <si>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</si>
  <si>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</si>
  <si>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</si>
  <si>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Soreang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</si>
  <si>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</si>
  <si>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</si>
  <si>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</si>
  <si>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Garut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</si>
  <si>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</si>
  <si>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Tasikmalaya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</si>
  <si>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</si>
  <si>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Singaparna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</si>
  <si>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</si>
  <si>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</si>
  <si>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</si>
  <si>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Ciamis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</si>
  <si>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</si>
  <si>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</si>
  <si>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</si>
  <si>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Kuningan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</si>
  <si>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</si>
  <si>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Cirebon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</si>
  <si>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</si>
  <si>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Sumber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</si>
  <si>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</si>
  <si>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</si>
  <si>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</si>
  <si>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Majalengka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</si>
  <si>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</si>
  <si>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</si>
  <si>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</si>
  <si>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Sumedang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</si>
  <si>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</si>
  <si>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</si>
  <si>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</si>
  <si>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Indramayu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</si>
  <si>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</si>
  <si>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</si>
  <si>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</si>
  <si>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Subang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</si>
  <si>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</si>
  <si>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</si>
  <si>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</si>
  <si>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Purwakarta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</si>
  <si>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</si>
  <si>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</si>
  <si>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</si>
  <si>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Karawang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</si>
  <si>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</si>
  <si>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Bekasi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</si>
  <si>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</si>
  <si>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Cikarang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</si>
  <si>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</si>
  <si>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Bandung Barat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</si>
  <si>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</si>
  <si>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Ngamprah</t>
    </r>
  </si>
  <si>
    <r>
      <rPr>
        <b/>
        <sz val="11"/>
        <rFont val="Calibri"/>
      </rPr>
      <t>103°24' - 108°33'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</si>
  <si>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</si>
  <si>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</si>
  <si>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Cilacap</t>
    </r>
  </si>
  <si>
    <r>
      <rPr>
        <b/>
        <sz val="11"/>
        <rFont val="Calibri"/>
      </rPr>
      <t>109.1 - 111.25</t>
    </r>
  </si>
  <si>
    <r>
      <rPr>
        <b/>
        <sz val="11"/>
        <rFont val="Calibri"/>
      </rPr>
      <t>Banyumas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</si>
  <si>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</si>
  <si>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Purwokerto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</si>
  <si>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</si>
  <si>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</si>
  <si>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Purbalingga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</si>
  <si>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</si>
  <si>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</si>
  <si>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Banjarnegara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</si>
  <si>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</si>
  <si>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</si>
  <si>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Kebumen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</si>
  <si>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</si>
  <si>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</si>
  <si>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Purworejo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</si>
  <si>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</si>
  <si>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</si>
  <si>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Wonosobo</t>
    </r>
  </si>
  <si>
    <r>
      <rPr>
        <b/>
        <sz val="11"/>
        <rFont val="Calibri"/>
      </rPr>
      <t>Magelang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</si>
  <si>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</si>
  <si>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Kota Mungkid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</si>
  <si>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</si>
  <si>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</si>
  <si>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Boyolali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</si>
  <si>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</si>
  <si>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</si>
  <si>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Klaten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</si>
  <si>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</si>
  <si>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</si>
  <si>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Sukoharjo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</si>
  <si>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</si>
  <si>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</si>
  <si>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Wonogiri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</si>
  <si>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</si>
  <si>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</si>
  <si>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Karanganyar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</si>
  <si>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</si>
  <si>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</si>
  <si>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Sragen</t>
    </r>
  </si>
  <si>
    <r>
      <rPr>
        <b/>
        <sz val="11"/>
        <rFont val="Calibri"/>
      </rPr>
      <t>Grobogan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</si>
  <si>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</si>
  <si>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Purwodadi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</si>
  <si>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</si>
  <si>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</si>
  <si>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Blora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</si>
  <si>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</si>
  <si>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</si>
  <si>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Rembang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</si>
  <si>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</si>
  <si>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</si>
  <si>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Pati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</si>
  <si>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</si>
  <si>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</si>
  <si>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Kudus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</si>
  <si>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</si>
  <si>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</si>
  <si>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Jepara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</si>
  <si>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</si>
  <si>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</si>
  <si>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Demak</t>
    </r>
  </si>
  <si>
    <r>
      <rPr>
        <b/>
        <sz val="11"/>
        <rFont val="Calibri"/>
      </rPr>
      <t>Semarang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</si>
  <si>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</si>
  <si>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Ungaran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</si>
  <si>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</si>
  <si>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</si>
  <si>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Temanggung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</si>
  <si>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</si>
  <si>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</si>
  <si>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Kendal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</si>
  <si>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</si>
  <si>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</si>
  <si>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Batang</t>
    </r>
  </si>
  <si>
    <r>
      <rPr>
        <b/>
        <sz val="11"/>
        <rFont val="Calibri"/>
      </rPr>
      <t>Pekalongan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</si>
  <si>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</si>
  <si>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Kajen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</si>
  <si>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</si>
  <si>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</si>
  <si>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Pemalang</t>
    </r>
  </si>
  <si>
    <r>
      <rPr>
        <b/>
        <sz val="11"/>
        <rFont val="Calibri"/>
      </rPr>
      <t>Tegal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</si>
  <si>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</si>
  <si>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Slawi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</si>
  <si>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</si>
  <si>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Jawa Tengah</t>
    </r>
  </si>
  <si>
    <r>
      <rPr>
        <b/>
        <sz val="11"/>
        <rFont val="Calibri"/>
      </rPr>
      <t>Brebes</t>
    </r>
  </si>
  <si>
    <r>
      <rPr>
        <b/>
        <sz val="11"/>
        <rFont val="Calibri"/>
      </rPr>
      <t>Kulon Progo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</si>
  <si>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</si>
  <si>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Wates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</si>
  <si>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</si>
  <si>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</si>
  <si>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</si>
  <si>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Bantul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</si>
  <si>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</si>
  <si>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Gunungkidul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</si>
  <si>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</si>
  <si>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Wonosari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</si>
  <si>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</si>
  <si>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</si>
  <si>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Daerah Istimewa Yogyakarta</t>
    </r>
  </si>
  <si>
    <r>
      <rPr>
        <b/>
        <sz val="11"/>
        <rFont val="Calibri"/>
      </rPr>
      <t>Sleman</t>
    </r>
  </si>
  <si>
    <r>
      <rPr>
        <b/>
        <sz val="11"/>
        <rFont val="Calibri"/>
      </rPr>
      <t>110.9 - 110.37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</si>
  <si>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</si>
  <si>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</si>
  <si>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Pacitan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</si>
  <si>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</si>
  <si>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</si>
  <si>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</si>
  <si>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Ponorogo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</si>
  <si>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</si>
  <si>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</si>
  <si>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</si>
  <si>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Trenggalek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</si>
  <si>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</si>
  <si>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</si>
  <si>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</si>
  <si>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Tulungagung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</si>
  <si>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</si>
  <si>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Blitar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</si>
  <si>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</si>
  <si>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Kanigoro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</si>
  <si>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</si>
  <si>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</si>
  <si>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</si>
  <si>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Kediri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</si>
  <si>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</si>
  <si>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Malang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</si>
  <si>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</si>
  <si>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Kepanjen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</si>
  <si>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</si>
  <si>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</si>
  <si>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</si>
  <si>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Lumajang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</si>
  <si>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</si>
  <si>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</si>
  <si>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</si>
  <si>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Jember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</si>
  <si>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</si>
  <si>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</si>
  <si>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</si>
  <si>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Banyuwangi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</si>
  <si>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</si>
  <si>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</si>
  <si>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</si>
  <si>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Bondowoso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</si>
  <si>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</si>
  <si>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</si>
  <si>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</si>
  <si>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Situbondo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</si>
  <si>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</si>
  <si>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Probolinggo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</si>
  <si>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</si>
  <si>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Kraksaan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</si>
  <si>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</si>
  <si>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</si>
  <si>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</si>
  <si>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Pasuruan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</si>
  <si>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</si>
  <si>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</si>
  <si>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</si>
  <si>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Sidoarjo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</si>
  <si>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</si>
  <si>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</si>
  <si>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</si>
  <si>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Mojokerto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</si>
  <si>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</si>
  <si>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</si>
  <si>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</si>
  <si>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Jombang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</si>
  <si>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</si>
  <si>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</si>
  <si>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</si>
  <si>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Nganjuk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</si>
  <si>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</si>
  <si>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</si>
  <si>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</si>
  <si>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Madiun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</si>
  <si>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</si>
  <si>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</si>
  <si>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</si>
  <si>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Magetan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</si>
  <si>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</si>
  <si>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</si>
  <si>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</si>
  <si>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Ngawi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</si>
  <si>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</si>
  <si>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</si>
  <si>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</si>
  <si>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Bojonegoro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</si>
  <si>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</si>
  <si>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</si>
  <si>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</si>
  <si>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Tuban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</si>
  <si>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</si>
  <si>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</si>
  <si>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</si>
  <si>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Lamongan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</si>
  <si>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</si>
  <si>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</si>
  <si>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</si>
  <si>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Gresik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</si>
  <si>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</si>
  <si>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</si>
  <si>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</si>
  <si>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Bangkalan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</si>
  <si>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</si>
  <si>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</si>
  <si>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</si>
  <si>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Sampang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</si>
  <si>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</si>
  <si>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</si>
  <si>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</si>
  <si>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Pamekasan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</si>
  <si>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</si>
  <si>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</si>
  <si>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Jawa Timur</t>
    </r>
  </si>
  <si>
    <r>
      <rPr>
        <b/>
        <sz val="11"/>
        <rFont val="Calibri"/>
      </rPr>
      <t>Sumenep</t>
    </r>
  </si>
  <si>
    <r>
      <rPr>
        <b/>
        <sz val="11"/>
        <rFont val="Calibri"/>
      </rPr>
      <t>111.6 - 114.0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</si>
  <si>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</si>
  <si>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</si>
  <si>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Pandeglang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</si>
  <si>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</si>
  <si>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Lebak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</si>
  <si>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</si>
  <si>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Rangkasbitung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</si>
  <si>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</si>
  <si>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</si>
  <si>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</si>
  <si>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Tigaraksa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</si>
  <si>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</si>
  <si>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Serang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</si>
  <si>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</si>
  <si>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Ciruas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</si>
  <si>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</si>
  <si>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Pangandaran</t>
    </r>
  </si>
  <si>
    <r>
      <rPr>
        <b/>
        <sz val="11"/>
        <rFont val="Calibri"/>
      </rPr>
      <t>Jawa Barat</t>
    </r>
  </si>
  <si>
    <r>
      <rPr>
        <b/>
        <sz val="11"/>
        <rFont val="Calibri"/>
      </rPr>
      <t>Parigi</t>
    </r>
  </si>
  <si>
    <r>
      <rPr>
        <b/>
        <sz val="11"/>
        <rFont val="Calibri"/>
      </rPr>
      <t>103.24 - 108.39</t>
    </r>
  </si>
  <si>
    <r>
      <rPr>
        <b/>
        <sz val="11"/>
        <rFont val="Calibri"/>
      </rPr>
      <t>Jembrana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</si>
  <si>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</si>
  <si>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Negara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</si>
  <si>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</si>
  <si>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</si>
  <si>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</si>
  <si>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Tabanan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</si>
  <si>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</si>
  <si>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Badung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</si>
  <si>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</si>
  <si>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Mengwi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</si>
  <si>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</si>
  <si>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</si>
  <si>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</si>
  <si>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Gianyar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</si>
  <si>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</si>
  <si>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</si>
  <si>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</si>
  <si>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Klungkung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</si>
  <si>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</si>
  <si>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</si>
  <si>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</si>
  <si>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Bangli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</si>
  <si>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</si>
  <si>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</si>
  <si>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</si>
  <si>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Karangasem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</si>
  <si>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</si>
  <si>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Buleleng</t>
    </r>
  </si>
  <si>
    <r>
      <rPr>
        <b/>
        <sz val="11"/>
        <rFont val="Calibri"/>
      </rPr>
      <t>Bali</t>
    </r>
  </si>
  <si>
    <r>
      <rPr>
        <b/>
        <sz val="11"/>
        <rFont val="Calibri"/>
      </rPr>
      <t>Singaraja</t>
    </r>
  </si>
  <si>
    <r>
      <rPr>
        <b/>
        <sz val="11"/>
        <rFont val="Calibri"/>
      </rPr>
      <t>114.37 -115.36</t>
    </r>
  </si>
  <si>
    <r>
      <rPr>
        <b/>
        <sz val="11"/>
        <rFont val="Calibri"/>
      </rPr>
      <t>Lombok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</si>
  <si>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</si>
  <si>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Mataram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</si>
  <si>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</si>
  <si>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Tengah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</si>
  <si>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</si>
  <si>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Praya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</si>
  <si>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</si>
  <si>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Timur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</si>
  <si>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</si>
  <si>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Selong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</si>
  <si>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</si>
  <si>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</si>
  <si>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</si>
  <si>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Sumbawa Besar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</si>
  <si>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</si>
  <si>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</si>
  <si>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</si>
  <si>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Dompu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</si>
  <si>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</si>
  <si>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Bima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</si>
  <si>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</si>
  <si>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Raba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</si>
  <si>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</si>
  <si>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Sumbawa Barat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</si>
  <si>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</si>
  <si>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Taliwang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</si>
  <si>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</si>
  <si>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Lombok Utara</t>
    </r>
  </si>
  <si>
    <r>
      <rPr>
        <b/>
        <sz val="11"/>
        <rFont val="Calibri"/>
      </rPr>
      <t>Nusa Tenggara Barat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</si>
  <si>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</si>
  <si>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116.6 -118.43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</si>
  <si>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</si>
  <si>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</si>
  <si>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Kupang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</si>
  <si>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</si>
  <si>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Selatan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</si>
  <si>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</si>
  <si>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Soe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</si>
  <si>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</si>
  <si>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Timor Tengah Utara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</si>
  <si>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</si>
  <si>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Kefamenanu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</si>
  <si>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</si>
  <si>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Belu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</si>
  <si>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</si>
  <si>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Atambua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</si>
  <si>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</si>
  <si>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Alor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</si>
  <si>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</si>
  <si>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Kalabahi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</si>
  <si>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</si>
  <si>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Flores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</si>
  <si>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</si>
  <si>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Larantuka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</si>
  <si>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</si>
  <si>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Sikka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</si>
  <si>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</si>
  <si>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Maumere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</si>
  <si>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</si>
  <si>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</si>
  <si>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</si>
  <si>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Ende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</si>
  <si>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</si>
  <si>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Ngada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</si>
  <si>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</si>
  <si>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Bajawa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</si>
  <si>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</si>
  <si>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</si>
  <si>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</si>
  <si>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Ruteng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</si>
  <si>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</si>
  <si>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</si>
  <si>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</si>
  <si>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Waingapu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</si>
  <si>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</si>
  <si>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</si>
  <si>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</si>
  <si>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Waikabubak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</si>
  <si>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</si>
  <si>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Lembata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</si>
  <si>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</si>
  <si>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Lewoleba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</si>
  <si>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</si>
  <si>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Rote Ndao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</si>
  <si>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</si>
  <si>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Baa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</si>
  <si>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</si>
  <si>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Barat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</si>
  <si>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</si>
  <si>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Labuan Bajo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</si>
  <si>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</si>
  <si>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Nagekeo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</si>
  <si>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</si>
  <si>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Mbay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</si>
  <si>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</si>
  <si>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Tengah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</si>
  <si>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</si>
  <si>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Waibakul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</si>
  <si>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</si>
  <si>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Sumba Barat Daya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</si>
  <si>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</si>
  <si>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Tambolaka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</si>
  <si>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</si>
  <si>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Manggarai Timur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</si>
  <si>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</si>
  <si>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Borong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</si>
  <si>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</si>
  <si>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Sabu Raijua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</si>
  <si>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</si>
  <si>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Seba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</si>
  <si>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</si>
  <si>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Malaka</t>
    </r>
  </si>
  <si>
    <r>
      <rPr>
        <b/>
        <sz val="11"/>
        <rFont val="Calibri"/>
      </rPr>
      <t>Nusa Tenggara Timur</t>
    </r>
  </si>
  <si>
    <r>
      <rPr>
        <b/>
        <sz val="11"/>
        <rFont val="Calibri"/>
      </rPr>
      <t>Betun</t>
    </r>
  </si>
  <si>
    <r>
      <rPr>
        <b/>
        <sz val="11"/>
        <rFont val="Calibri"/>
      </rPr>
      <t>119.8 -124.57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</si>
  <si>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</si>
  <si>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</si>
  <si>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Sambas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</si>
  <si>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</si>
  <si>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</si>
  <si>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</si>
  <si>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Mempawah</t>
    </r>
  </si>
  <si>
    <r>
      <rPr>
        <b/>
        <sz val="11"/>
        <rFont val="Calibri"/>
      </rPr>
      <t>108.57 -113.0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</si>
  <si>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</si>
  <si>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</si>
  <si>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Sanggau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</si>
  <si>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</si>
  <si>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</si>
  <si>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</si>
  <si>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Ketapang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</si>
  <si>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</si>
  <si>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</si>
  <si>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</si>
  <si>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Sintang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</si>
  <si>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</si>
  <si>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Kapuas Hulu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</si>
  <si>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</si>
  <si>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Putussibau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</si>
  <si>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</si>
  <si>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</si>
  <si>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</si>
  <si>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Bengkayang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</si>
  <si>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</si>
  <si>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Landak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</si>
  <si>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</si>
  <si>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Ngabang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</si>
  <si>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</si>
  <si>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</si>
  <si>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</si>
  <si>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Sekadau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</si>
  <si>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</si>
  <si>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Melawi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</si>
  <si>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</si>
  <si>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Nanga Pinoh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</si>
  <si>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</si>
  <si>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Kayong Utara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</si>
  <si>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</si>
  <si>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Sukadana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</si>
  <si>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</si>
  <si>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Kubu Raya</t>
    </r>
  </si>
  <si>
    <r>
      <rPr>
        <b/>
        <sz val="11"/>
        <rFont val="Calibri"/>
      </rPr>
      <t>Kalimantan Barat</t>
    </r>
  </si>
  <si>
    <r>
      <rPr>
        <b/>
        <sz val="11"/>
        <rFont val="Calibri"/>
      </rPr>
      <t>Sungai Raya</t>
    </r>
  </si>
  <si>
    <r>
      <rPr>
        <b/>
        <sz val="11"/>
        <rFont val="Calibri"/>
      </rPr>
      <t>108.57 - 113.0</t>
    </r>
  </si>
  <si>
    <r>
      <rPr>
        <b/>
        <sz val="11"/>
        <rFont val="Calibri"/>
      </rPr>
      <t>Kotawaringin Barat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</si>
  <si>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</si>
  <si>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Pangkalan Bun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</si>
  <si>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</si>
  <si>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Kotawaringin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</si>
  <si>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</si>
  <si>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Sampit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</si>
  <si>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</si>
  <si>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Kapuas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</si>
  <si>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</si>
  <si>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Kapuas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</si>
  <si>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</si>
  <si>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Selatan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</si>
  <si>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</si>
  <si>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Buntok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</si>
  <si>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</si>
  <si>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Utara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</si>
  <si>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</si>
  <si>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Muara Teweh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</si>
  <si>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</si>
  <si>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Katingan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</si>
  <si>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</si>
  <si>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Kasongan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</si>
  <si>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</si>
  <si>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Seruyan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</si>
  <si>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</si>
  <si>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Pembuang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</si>
  <si>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</si>
  <si>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</si>
  <si>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</si>
  <si>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Sukamara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</si>
  <si>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</si>
  <si>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Lamandau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</si>
  <si>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</si>
  <si>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Nanga Bulik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</si>
  <si>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</si>
  <si>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Gunung Mas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</si>
  <si>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</si>
  <si>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Kuala Kurun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</si>
  <si>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</si>
  <si>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</si>
  <si>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</si>
  <si>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Pulang Pisau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</si>
  <si>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</si>
  <si>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Murung Raya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</si>
  <si>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</si>
  <si>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Purukcahu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</si>
  <si>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</si>
  <si>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Barito Timur</t>
    </r>
  </si>
  <si>
    <r>
      <rPr>
        <b/>
        <sz val="11"/>
        <rFont val="Calibri"/>
      </rPr>
      <t>Kalimantan Tengah</t>
    </r>
  </si>
  <si>
    <r>
      <rPr>
        <b/>
        <sz val="11"/>
        <rFont val="Calibri"/>
      </rPr>
      <t>Tamiang</t>
    </r>
  </si>
  <si>
    <r>
      <rPr>
        <b/>
        <sz val="11"/>
        <rFont val="Calibri"/>
      </rPr>
      <t>111.14 - 115.11</t>
    </r>
  </si>
  <si>
    <r>
      <rPr>
        <b/>
        <sz val="11"/>
        <rFont val="Calibri"/>
      </rPr>
      <t>Tanah Laut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</si>
  <si>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</si>
  <si>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Pelaihari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</si>
  <si>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</si>
  <si>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</si>
  <si>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</si>
  <si>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Kotabaru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</si>
  <si>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</si>
  <si>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Banjar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</si>
  <si>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</si>
  <si>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Martapura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</si>
  <si>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</si>
  <si>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Barito Kuala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</si>
  <si>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</si>
  <si>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Marabahan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</si>
  <si>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</si>
  <si>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Tapin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</si>
  <si>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</si>
  <si>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Rantau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</si>
  <si>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</si>
  <si>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Selatan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</si>
  <si>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</si>
  <si>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Kandangan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</si>
  <si>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</si>
  <si>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Tengah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</si>
  <si>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</si>
  <si>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Barabai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</si>
  <si>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</si>
  <si>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Hulu Sungai Utara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</si>
  <si>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</si>
  <si>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Amuntai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</si>
  <si>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</si>
  <si>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Tabalong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</si>
  <si>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</si>
  <si>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Tanjung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</si>
  <si>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</si>
  <si>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Tanah Bumbu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</si>
  <si>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</si>
  <si>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Batulicin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</si>
  <si>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</si>
  <si>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Balangan</t>
    </r>
  </si>
  <si>
    <r>
      <rPr>
        <b/>
        <sz val="11"/>
        <rFont val="Calibri"/>
      </rPr>
      <t>Kalimantan Selatan</t>
    </r>
  </si>
  <si>
    <r>
      <rPr>
        <b/>
        <sz val="11"/>
        <rFont val="Calibri"/>
      </rPr>
      <t>Paringin</t>
    </r>
  </si>
  <si>
    <r>
      <rPr>
        <b/>
        <sz val="11"/>
        <rFont val="Calibri"/>
      </rPr>
      <t>114.40 - 115.56</t>
    </r>
  </si>
  <si>
    <r>
      <rPr>
        <b/>
        <sz val="11"/>
        <rFont val="Calibri"/>
      </rPr>
      <t>Paser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</si>
  <si>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</si>
  <si>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Tanah Grogot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</si>
  <si>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</si>
  <si>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Kartanegara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</si>
  <si>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</si>
  <si>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Tenggarong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</si>
  <si>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</si>
  <si>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Berau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</si>
  <si>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</si>
  <si>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Tanjungredep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</si>
  <si>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</si>
  <si>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Barat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</si>
  <si>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</si>
  <si>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Sendawar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</si>
  <si>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</si>
  <si>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Kutai Timur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</si>
  <si>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</si>
  <si>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Sangatta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</si>
  <si>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</si>
  <si>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Penajam Paser Utara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</si>
  <si>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</si>
  <si>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Penajam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</si>
  <si>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</si>
  <si>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Mahakam Ulu</t>
    </r>
  </si>
  <si>
    <r>
      <rPr>
        <b/>
        <sz val="11"/>
        <rFont val="Calibri"/>
      </rPr>
      <t>Kalimantan Timur</t>
    </r>
  </si>
  <si>
    <r>
      <rPr>
        <b/>
        <sz val="11"/>
        <rFont val="Calibri"/>
      </rPr>
      <t>Batu Bulan</t>
    </r>
  </si>
  <si>
    <r>
      <rPr>
        <b/>
        <sz val="11"/>
        <rFont val="Calibri"/>
      </rPr>
      <t>114.42 - 118.5</t>
    </r>
  </si>
  <si>
    <r>
      <rPr>
        <b/>
        <sz val="11"/>
        <rFont val="Calibri"/>
      </rPr>
      <t>Bulungan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</si>
  <si>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</si>
  <si>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Tanjungselor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</si>
  <si>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</si>
  <si>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</si>
  <si>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</si>
  <si>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Malinau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</si>
  <si>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</si>
  <si>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</si>
  <si>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</si>
  <si>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Nunukan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</si>
  <si>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</si>
  <si>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Tana Tidung</t>
    </r>
  </si>
  <si>
    <r>
      <rPr>
        <b/>
        <sz val="11"/>
        <rFont val="Calibri"/>
      </rPr>
      <t>Kalimantan Utara</t>
    </r>
  </si>
  <si>
    <r>
      <rPr>
        <b/>
        <sz val="11"/>
        <rFont val="Calibri"/>
      </rPr>
      <t>Tideng Pale</t>
    </r>
  </si>
  <si>
    <r>
      <rPr>
        <b/>
        <sz val="11"/>
        <rFont val="Calibri"/>
      </rPr>
      <t>116.38 - 117.38</t>
    </r>
  </si>
  <si>
    <r>
      <rPr>
        <b/>
        <sz val="11"/>
        <rFont val="Calibri"/>
      </rPr>
      <t>Bolaang Mongondow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</si>
  <si>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</si>
  <si>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Lolak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</si>
  <si>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</si>
  <si>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</si>
  <si>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</si>
  <si>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Tondano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</si>
  <si>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</si>
  <si>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Sangihe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</si>
  <si>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</si>
  <si>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Tahuna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</si>
  <si>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</si>
  <si>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Talaud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</si>
  <si>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</si>
  <si>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Melonguane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</si>
  <si>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</si>
  <si>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</si>
  <si>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</si>
  <si>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Amurang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</si>
  <si>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</si>
  <si>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</si>
  <si>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</si>
  <si>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Airmadidi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</si>
  <si>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</si>
  <si>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Minahasa Tenggara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</si>
  <si>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</si>
  <si>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Ratahan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</si>
  <si>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</si>
  <si>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Utara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</si>
  <si>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</si>
  <si>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Boroko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</si>
  <si>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</si>
  <si>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Kepulauan Siau Tagulandang Biaro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</si>
  <si>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</si>
  <si>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Ondong Siau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</si>
  <si>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</si>
  <si>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Timur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</si>
  <si>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</si>
  <si>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Tutuyan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</si>
  <si>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</si>
  <si>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Bolaang Mongondow Selatan</t>
    </r>
  </si>
  <si>
    <r>
      <rPr>
        <b/>
        <sz val="11"/>
        <rFont val="Calibri"/>
      </rPr>
      <t>Sulawesi Utara</t>
    </r>
  </si>
  <si>
    <r>
      <rPr>
        <b/>
        <sz val="11"/>
        <rFont val="Calibri"/>
      </rPr>
      <t>Bolaang Uki</t>
    </r>
  </si>
  <si>
    <r>
      <rPr>
        <b/>
        <sz val="11"/>
        <rFont val="Calibri"/>
      </rPr>
      <t>123.15 -126.28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</si>
  <si>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</si>
  <si>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</si>
  <si>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Luwuk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</si>
  <si>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</si>
  <si>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</si>
  <si>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</si>
  <si>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Poso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</si>
  <si>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</si>
  <si>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Donggala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</si>
  <si>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</si>
  <si>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Banawa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</si>
  <si>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</si>
  <si>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</si>
  <si>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</si>
  <si>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Tolitoli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</si>
  <si>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</si>
  <si>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</si>
  <si>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</si>
  <si>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Buol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</si>
  <si>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</si>
  <si>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</si>
  <si>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</si>
  <si>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Bungku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</si>
  <si>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</si>
  <si>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Kepulauan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</si>
  <si>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</si>
  <si>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Salakan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</si>
  <si>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</si>
  <si>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Parigi Moutong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</si>
  <si>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</si>
  <si>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Parigi Kota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</si>
  <si>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</si>
  <si>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Tojo Una Una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</si>
  <si>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</si>
  <si>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Ampana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</si>
  <si>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</si>
  <si>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Sigi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</si>
  <si>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</si>
  <si>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Sigi Biromaru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</si>
  <si>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</si>
  <si>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Banggai Laut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</si>
  <si>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</si>
  <si>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Banggai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</si>
  <si>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</si>
  <si>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Morowali Utara</t>
    </r>
  </si>
  <si>
    <r>
      <rPr>
        <b/>
        <sz val="11"/>
        <rFont val="Calibri"/>
      </rPr>
      <t>Sulawesi Tengah</t>
    </r>
  </si>
  <si>
    <r>
      <rPr>
        <b/>
        <sz val="11"/>
        <rFont val="Calibri"/>
      </rPr>
      <t>Kolonodale</t>
    </r>
  </si>
  <si>
    <r>
      <rPr>
        <b/>
        <sz val="11"/>
        <rFont val="Calibri"/>
      </rPr>
      <t>119.50 -123.33</t>
    </r>
  </si>
  <si>
    <r>
      <rPr>
        <b/>
        <sz val="11"/>
        <rFont val="Calibri"/>
      </rPr>
      <t>Kepulauan Selayar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</si>
  <si>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</si>
  <si>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Benteng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</si>
  <si>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</si>
  <si>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</si>
  <si>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</si>
  <si>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Bulukumba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</si>
  <si>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</si>
  <si>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</si>
  <si>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</si>
  <si>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Bantaeng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</si>
  <si>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</si>
  <si>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</si>
  <si>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</si>
  <si>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Jeneponto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</si>
  <si>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</si>
  <si>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Takalar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</si>
  <si>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</si>
  <si>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Pattalassang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</si>
  <si>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</si>
  <si>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Gowa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</si>
  <si>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</si>
  <si>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Sungguminasa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</si>
  <si>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</si>
  <si>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</si>
  <si>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</si>
  <si>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Sinjai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</si>
  <si>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</si>
  <si>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Bone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</si>
  <si>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</si>
  <si>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Watampone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</si>
  <si>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</si>
  <si>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Maros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</si>
  <si>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</si>
  <si>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Turikale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</si>
  <si>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</si>
  <si>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Pangkajene Dan Kepulauan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</si>
  <si>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</si>
  <si>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</si>
  <si>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</si>
  <si>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</si>
  <si>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</si>
  <si>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Barru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</si>
  <si>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</si>
  <si>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Soppeng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</si>
  <si>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</si>
  <si>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Watan Soppeng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</si>
  <si>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</si>
  <si>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Wajo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</si>
  <si>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</si>
  <si>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Sengkang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</si>
  <si>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</si>
  <si>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Sidenreng Rappang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</si>
  <si>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</si>
  <si>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Pangkajene Sidenreng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</si>
  <si>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</si>
  <si>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</si>
  <si>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</si>
  <si>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Pinrang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</si>
  <si>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</si>
  <si>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</si>
  <si>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</si>
  <si>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Enrekang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</si>
  <si>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</si>
  <si>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</si>
  <si>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</si>
  <si>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Belopa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</si>
  <si>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</si>
  <si>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Tana Toraja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</si>
  <si>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</si>
  <si>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Makale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</si>
  <si>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</si>
  <si>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</si>
  <si>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</si>
  <si>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Masamba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</si>
  <si>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</si>
  <si>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Luwu Timur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</si>
  <si>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</si>
  <si>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Malili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</si>
  <si>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</si>
  <si>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Toraja Utara</t>
    </r>
  </si>
  <si>
    <r>
      <rPr>
        <b/>
        <sz val="11"/>
        <rFont val="Calibri"/>
      </rPr>
      <t>Sulawesi Selatan</t>
    </r>
  </si>
  <si>
    <r>
      <rPr>
        <b/>
        <sz val="11"/>
        <rFont val="Calibri"/>
      </rPr>
      <t>Rantepao</t>
    </r>
  </si>
  <si>
    <r>
      <rPr>
        <b/>
        <sz val="11"/>
        <rFont val="Calibri"/>
      </rPr>
      <t>119.29 -121.10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</si>
  <si>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</si>
  <si>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</si>
  <si>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Kolaka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</si>
  <si>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</si>
  <si>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</si>
  <si>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</si>
  <si>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Unaaha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</si>
  <si>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</si>
  <si>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</si>
  <si>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</si>
  <si>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Raha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</si>
  <si>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</si>
  <si>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</si>
  <si>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</si>
  <si>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Pasarwajo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</si>
  <si>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</si>
  <si>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</si>
  <si>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</si>
  <si>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Andolo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</si>
  <si>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</si>
  <si>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Bombana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</si>
  <si>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</si>
  <si>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Rumbia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</si>
  <si>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</si>
  <si>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Wakatobi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</si>
  <si>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</si>
  <si>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Wangi Wangi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</si>
  <si>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</si>
  <si>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</si>
  <si>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</si>
  <si>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Lasusua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</si>
  <si>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</si>
  <si>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</si>
  <si>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</si>
  <si>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Wanggudu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</si>
  <si>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</si>
  <si>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Utara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</si>
  <si>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</si>
  <si>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Buranga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</si>
  <si>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</si>
  <si>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Kolaka Timur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</si>
  <si>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</si>
  <si>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Tirawuta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</si>
  <si>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</si>
  <si>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Konawe Kepulauan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</si>
  <si>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</si>
  <si>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Langara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</si>
  <si>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</si>
  <si>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Muna Barat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</si>
  <si>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</si>
  <si>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Laworo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</si>
  <si>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</si>
  <si>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Tengah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</si>
  <si>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</si>
  <si>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Labungkari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</si>
  <si>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</si>
  <si>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Buton Selatan</t>
    </r>
  </si>
  <si>
    <r>
      <rPr>
        <b/>
        <sz val="11"/>
        <rFont val="Calibri"/>
      </rPr>
      <t>Sulawesi Tenggara</t>
    </r>
  </si>
  <si>
    <r>
      <rPr>
        <b/>
        <sz val="11"/>
        <rFont val="Calibri"/>
      </rPr>
      <t>Batauga</t>
    </r>
  </si>
  <si>
    <r>
      <rPr>
        <b/>
        <sz val="11"/>
        <rFont val="Calibri"/>
      </rPr>
      <t>121.35-123.35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</si>
  <si>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</si>
  <si>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</si>
  <si>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</si>
  <si>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</si>
  <si>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Boalemo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</si>
  <si>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</si>
  <si>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Tilamuta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</si>
  <si>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</si>
  <si>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Bone Bolango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</si>
  <si>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</si>
  <si>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Suwawa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</si>
  <si>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</si>
  <si>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Pohuwato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</si>
  <si>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</si>
  <si>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Marisa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</si>
  <si>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</si>
  <si>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Gorontalo Utara</t>
    </r>
  </si>
  <si>
    <r>
      <rPr>
        <b/>
        <sz val="11"/>
        <rFont val="Calibri"/>
      </rPr>
      <t>Gorontalo</t>
    </r>
  </si>
  <si>
    <r>
      <rPr>
        <b/>
        <sz val="11"/>
        <rFont val="Calibri"/>
      </rPr>
      <t>Kwandang</t>
    </r>
  </si>
  <si>
    <r>
      <rPr>
        <b/>
        <sz val="11"/>
        <rFont val="Calibri"/>
      </rPr>
      <t>121.43-123.50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</si>
  <si>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</si>
  <si>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</si>
  <si>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Pasangkayu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</si>
  <si>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</si>
  <si>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</si>
  <si>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</si>
  <si>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Mamuju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</si>
  <si>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</si>
  <si>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</si>
  <si>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</si>
  <si>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Mamasa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</si>
  <si>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</si>
  <si>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Polewali Mandar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</si>
  <si>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</si>
  <si>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Polewali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</si>
  <si>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</si>
  <si>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</si>
  <si>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</si>
  <si>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Majene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</si>
  <si>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</si>
  <si>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Mamuju Tengah</t>
    </r>
  </si>
  <si>
    <r>
      <rPr>
        <b/>
        <sz val="11"/>
        <rFont val="Calibri"/>
      </rPr>
      <t>Sulawesi Barat</t>
    </r>
  </si>
  <si>
    <r>
      <rPr>
        <b/>
        <sz val="11"/>
        <rFont val="Calibri"/>
      </rPr>
      <t>Tobadak</t>
    </r>
  </si>
  <si>
    <r>
      <rPr>
        <b/>
        <sz val="11"/>
        <rFont val="Calibri"/>
      </rPr>
      <t>118.58-119.30</t>
    </r>
  </si>
  <si>
    <r>
      <rPr>
        <b/>
        <sz val="11"/>
        <rFont val="Calibri"/>
      </rPr>
      <t>Maluku Tengah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</si>
  <si>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</si>
  <si>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Masohi</t>
    </r>
  </si>
  <si>
    <r>
      <rPr>
        <b/>
        <sz val="11"/>
        <rFont val="Calibri"/>
      </rPr>
      <t>Maluku Tenggara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</si>
  <si>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</si>
  <si>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Langgur</t>
    </r>
  </si>
  <si>
    <r>
      <rPr>
        <b/>
        <sz val="11"/>
        <rFont val="Calibri"/>
      </rPr>
      <t>Kepulauan Tanimbar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</si>
  <si>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</si>
  <si>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Saumlaki</t>
    </r>
  </si>
  <si>
    <r>
      <rPr>
        <b/>
        <sz val="11"/>
        <rFont val="Calibri"/>
      </rPr>
      <t>Buru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</si>
  <si>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</si>
  <si>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Namlea</t>
    </r>
  </si>
  <si>
    <r>
      <rPr>
        <b/>
        <sz val="11"/>
        <rFont val="Calibri"/>
      </rPr>
      <t>Seram Bagian Timur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</si>
  <si>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</si>
  <si>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Bula</t>
    </r>
  </si>
  <si>
    <r>
      <rPr>
        <b/>
        <sz val="11"/>
        <rFont val="Calibri"/>
      </rPr>
      <t>Seram Bagian Barat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</si>
  <si>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</si>
  <si>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Piru</t>
    </r>
  </si>
  <si>
    <r>
      <rPr>
        <b/>
        <sz val="11"/>
        <rFont val="Calibri"/>
      </rPr>
      <t>Kepulauan Aru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</si>
  <si>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</si>
  <si>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Dobo</t>
    </r>
  </si>
  <si>
    <r>
      <rPr>
        <b/>
        <sz val="11"/>
        <rFont val="Calibri"/>
      </rPr>
      <t>Maluku Barat Daya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</si>
  <si>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</si>
  <si>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Tiakur</t>
    </r>
  </si>
  <si>
    <r>
      <rPr>
        <b/>
        <sz val="11"/>
        <rFont val="Calibri"/>
      </rPr>
      <t>Buru Selatan</t>
    </r>
  </si>
  <si>
    <r>
      <rPr>
        <b/>
        <sz val="11"/>
        <rFont val="Calibri"/>
      </rPr>
      <t>Maluku</t>
    </r>
  </si>
  <si>
    <r>
      <rPr>
        <b/>
        <sz val="11"/>
        <rFont val="Calibri"/>
      </rPr>
      <t>Namrole</t>
    </r>
  </si>
  <si>
    <r>
      <rPr>
        <b/>
        <sz val="11"/>
        <rFont val="Calibri"/>
      </rPr>
      <t>Halmahera Barat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</si>
  <si>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</si>
  <si>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Jailolo</t>
    </r>
  </si>
  <si>
    <r>
      <rPr>
        <b/>
        <sz val="11"/>
        <rFont val="Calibri"/>
      </rPr>
      <t>***</t>
    </r>
  </si>
  <si>
    <r>
      <rPr>
        <b/>
        <sz val="11"/>
        <rFont val="Calibri"/>
      </rPr>
      <t>Halmahera Tengah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</si>
  <si>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</si>
  <si>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Weda</t>
    </r>
  </si>
  <si>
    <r>
      <rPr>
        <b/>
        <sz val="11"/>
        <rFont val="Calibri"/>
      </rPr>
      <t>Halmahera Utara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</si>
  <si>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</si>
  <si>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Tobelo</t>
    </r>
  </si>
  <si>
    <r>
      <rPr>
        <b/>
        <sz val="11"/>
        <rFont val="Calibri"/>
      </rPr>
      <t>Halmahera Selatan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</si>
  <si>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</si>
  <si>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Labuha</t>
    </r>
  </si>
  <si>
    <r>
      <rPr>
        <b/>
        <sz val="11"/>
        <rFont val="Calibri"/>
      </rPr>
      <t>Kepulauan Sula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</si>
  <si>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</si>
  <si>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Sanana</t>
    </r>
  </si>
  <si>
    <r>
      <rPr>
        <b/>
        <sz val="11"/>
        <rFont val="Calibri"/>
      </rPr>
      <t>Halmahera Timur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</si>
  <si>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</si>
  <si>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Maba</t>
    </r>
  </si>
  <si>
    <r>
      <rPr>
        <b/>
        <sz val="11"/>
        <rFont val="Calibri"/>
      </rPr>
      <t>Pulau Morotai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</si>
  <si>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</si>
  <si>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Morotai Selatan</t>
    </r>
  </si>
  <si>
    <r>
      <rPr>
        <b/>
        <sz val="11"/>
        <rFont val="Calibri"/>
      </rPr>
      <t>Pulau Taliabu</t>
    </r>
  </si>
  <si>
    <r>
      <rPr>
        <b/>
        <sz val="11"/>
        <rFont val="Calibri"/>
      </rPr>
      <t>Maluku Utara</t>
    </r>
  </si>
  <si>
    <r>
      <rPr>
        <b/>
        <sz val="11"/>
        <rFont val="Calibri"/>
      </rPr>
      <t>Bobong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</si>
  <si>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</si>
  <si>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</si>
  <si>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Merauke</t>
    </r>
  </si>
  <si>
    <r>
      <rPr>
        <b/>
        <sz val="11"/>
        <rFont val="Calibri"/>
      </rPr>
      <t>*****</t>
    </r>
  </si>
  <si>
    <r>
      <rPr>
        <b/>
        <sz val="11"/>
        <rFont val="Calibri"/>
      </rPr>
      <t>Jayawijaya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</si>
  <si>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</si>
  <si>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Wamena</t>
    </r>
  </si>
  <si>
    <r>
      <rPr>
        <b/>
        <sz val="11"/>
        <rFont val="Calibri"/>
      </rPr>
      <t>Jayapura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</si>
  <si>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</si>
  <si>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Sentani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</si>
  <si>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</si>
  <si>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</si>
  <si>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Nabire</t>
    </r>
  </si>
  <si>
    <r>
      <rPr>
        <b/>
        <sz val="11"/>
        <rFont val="Calibri"/>
      </rPr>
      <t>Kepulauan Yapen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</si>
  <si>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</si>
  <si>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Serui</t>
    </r>
  </si>
  <si>
    <r>
      <rPr>
        <b/>
        <sz val="11"/>
        <rFont val="Calibri"/>
      </rPr>
      <t>Biak Numfor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</si>
  <si>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</si>
  <si>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Biak</t>
    </r>
  </si>
  <si>
    <r>
      <rPr>
        <b/>
        <sz val="11"/>
        <rFont val="Calibri"/>
      </rPr>
      <t>Puncak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</si>
  <si>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</si>
  <si>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Kotamulia</t>
    </r>
  </si>
  <si>
    <r>
      <rPr>
        <b/>
        <sz val="11"/>
        <rFont val="Calibri"/>
      </rPr>
      <t>Paniai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</si>
  <si>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</si>
  <si>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Enarotali</t>
    </r>
  </si>
  <si>
    <r>
      <rPr>
        <b/>
        <sz val="11"/>
        <rFont val="Calibri"/>
      </rPr>
      <t>Mimika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</si>
  <si>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</si>
  <si>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Timika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</si>
  <si>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</si>
  <si>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</si>
  <si>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Sarmi</t>
    </r>
  </si>
  <si>
    <r>
      <rPr>
        <b/>
        <sz val="11"/>
        <rFont val="Calibri"/>
      </rPr>
      <t>Keerom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</si>
  <si>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</si>
  <si>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Waris</t>
    </r>
  </si>
  <si>
    <r>
      <rPr>
        <b/>
        <sz val="11"/>
        <rFont val="Calibri"/>
      </rPr>
      <t>Pegunungan Bintang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</si>
  <si>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</si>
  <si>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Oksibil</t>
    </r>
  </si>
  <si>
    <r>
      <rPr>
        <b/>
        <sz val="11"/>
        <rFont val="Calibri"/>
      </rPr>
      <t>Yahukimo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</si>
  <si>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</si>
  <si>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Sumohai</t>
    </r>
  </si>
  <si>
    <r>
      <rPr>
        <b/>
        <sz val="11"/>
        <rFont val="Calibri"/>
      </rPr>
      <t>Tolikara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</si>
  <si>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</si>
  <si>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Karubaga</t>
    </r>
  </si>
  <si>
    <r>
      <rPr>
        <b/>
        <sz val="11"/>
        <rFont val="Calibri"/>
      </rPr>
      <t>Waropen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</si>
  <si>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</si>
  <si>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Botawa</t>
    </r>
  </si>
  <si>
    <r>
      <rPr>
        <b/>
        <sz val="11"/>
        <rFont val="Calibri"/>
      </rPr>
      <t>Boven Digoel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</si>
  <si>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</si>
  <si>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Tanah Merah</t>
    </r>
  </si>
  <si>
    <r>
      <rPr>
        <b/>
        <sz val="11"/>
        <rFont val="Calibri"/>
      </rPr>
      <t>Mappi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</si>
  <si>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</si>
  <si>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Kepi</t>
    </r>
  </si>
  <si>
    <r>
      <rPr>
        <b/>
        <sz val="11"/>
        <rFont val="Calibri"/>
      </rPr>
      <t>Asmat</t>
    </r>
  </si>
  <si>
    <r>
      <rPr>
        <b/>
        <sz val="11"/>
        <rFont val="Calibri"/>
      </rPr>
      <t>Papua Selatan</t>
    </r>
  </si>
  <si>
    <r>
      <rPr>
        <b/>
        <sz val="11"/>
        <rFont val="Calibri"/>
      </rPr>
      <t>Agats</t>
    </r>
  </si>
  <si>
    <r>
      <rPr>
        <b/>
        <sz val="11"/>
        <rFont val="Calibri"/>
      </rPr>
      <t>Supiori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</si>
  <si>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</si>
  <si>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Sorendiweri</t>
    </r>
  </si>
  <si>
    <r>
      <rPr>
        <b/>
        <sz val="11"/>
        <rFont val="Calibri"/>
      </rPr>
      <t>Mamberamo Raya</t>
    </r>
  </si>
  <si>
    <r>
      <rPr>
        <b/>
        <sz val="11"/>
        <rFont val="Calibri"/>
      </rPr>
      <t>Papua</t>
    </r>
  </si>
  <si>
    <r>
      <rPr>
        <b/>
        <sz val="11"/>
        <rFont val="Calibri"/>
      </rPr>
      <t>Burmeso</t>
    </r>
  </si>
  <si>
    <r>
      <rPr>
        <b/>
        <sz val="11"/>
        <rFont val="Calibri"/>
      </rPr>
      <t>Mamberamo Tengah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</si>
  <si>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</si>
  <si>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Kobakma</t>
    </r>
  </si>
  <si>
    <r>
      <rPr>
        <b/>
        <sz val="11"/>
        <rFont val="Calibri"/>
      </rPr>
      <t>Yalimo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</si>
  <si>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</si>
  <si>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Elelim</t>
    </r>
  </si>
  <si>
    <r>
      <rPr>
        <b/>
        <sz val="11"/>
        <rFont val="Calibri"/>
      </rPr>
      <t>Lanny Jaya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</si>
  <si>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</si>
  <si>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Tiom</t>
    </r>
  </si>
  <si>
    <r>
      <rPr>
        <b/>
        <sz val="11"/>
        <rFont val="Calibri"/>
      </rPr>
      <t>Nduga</t>
    </r>
  </si>
  <si>
    <r>
      <rPr>
        <b/>
        <sz val="11"/>
        <rFont val="Calibri"/>
      </rPr>
      <t>Papua Pegunungan</t>
    </r>
  </si>
  <si>
    <r>
      <rPr>
        <b/>
        <sz val="11"/>
        <rFont val="Calibri"/>
      </rPr>
      <t>Kenyam</t>
    </r>
  </si>
  <si>
    <r>
      <rPr>
        <b/>
        <sz val="11"/>
        <rFont val="Calibri"/>
      </rPr>
      <t>Puncak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</si>
  <si>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</si>
  <si>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Ilaga</t>
    </r>
  </si>
  <si>
    <r>
      <rPr>
        <b/>
        <sz val="11"/>
        <rFont val="Calibri"/>
      </rPr>
      <t>Dogiyai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</si>
  <si>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</si>
  <si>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Kigamani</t>
    </r>
  </si>
  <si>
    <r>
      <rPr>
        <b/>
        <sz val="11"/>
        <rFont val="Calibri"/>
      </rPr>
      <t>Intan Jaya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</si>
  <si>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</si>
  <si>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Sugapa</t>
    </r>
  </si>
  <si>
    <r>
      <rPr>
        <b/>
        <sz val="11"/>
        <rFont val="Calibri"/>
      </rPr>
      <t>Deiyai</t>
    </r>
  </si>
  <si>
    <r>
      <rPr>
        <b/>
        <sz val="11"/>
        <rFont val="Calibri"/>
      </rPr>
      <t>Papua Tengah</t>
    </r>
  </si>
  <si>
    <r>
      <rPr>
        <b/>
        <sz val="11"/>
        <rFont val="Calibri"/>
      </rPr>
      <t>Tigi</t>
    </r>
  </si>
  <si>
    <r>
      <rPr>
        <b/>
        <sz val="11"/>
        <rFont val="Calibri"/>
      </rPr>
      <t>Sorong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</si>
  <si>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</si>
  <si>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Aimas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</si>
  <si>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</si>
  <si>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</si>
  <si>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Manokwari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</si>
  <si>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</si>
  <si>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</si>
  <si>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Fakfak</t>
    </r>
  </si>
  <si>
    <r>
      <rPr>
        <b/>
        <sz val="11"/>
        <rFont val="Calibri"/>
      </rPr>
      <t>Sorong Selatan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</si>
  <si>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</si>
  <si>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Teminabuan</t>
    </r>
  </si>
  <si>
    <r>
      <rPr>
        <b/>
        <sz val="11"/>
        <rFont val="Calibri"/>
      </rPr>
      <t>Raja Ampat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</si>
  <si>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</si>
  <si>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Waisai</t>
    </r>
  </si>
  <si>
    <r>
      <rPr>
        <b/>
        <sz val="11"/>
        <rFont val="Calibri"/>
      </rPr>
      <t>Teluk Bintuni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</si>
  <si>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</si>
  <si>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Bintuni</t>
    </r>
  </si>
  <si>
    <r>
      <rPr>
        <b/>
        <sz val="11"/>
        <rFont val="Calibri"/>
      </rPr>
      <t>Teluk Wondama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</si>
  <si>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</si>
  <si>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Rasiei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</si>
  <si>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</si>
  <si>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</si>
  <si>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Kaimana</t>
    </r>
  </si>
  <si>
    <r>
      <rPr>
        <b/>
        <sz val="11"/>
        <rFont val="Calibri"/>
      </rPr>
      <t>Tambrauw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</si>
  <si>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</si>
  <si>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Fef</t>
    </r>
  </si>
  <si>
    <r>
      <rPr>
        <b/>
        <sz val="11"/>
        <rFont val="Calibri"/>
      </rPr>
      <t>Maybrat</t>
    </r>
  </si>
  <si>
    <r>
      <rPr>
        <b/>
        <sz val="11"/>
        <rFont val="Calibri"/>
      </rPr>
      <t>Papua Barat Daya</t>
    </r>
  </si>
  <si>
    <r>
      <rPr>
        <b/>
        <sz val="11"/>
        <rFont val="Calibri"/>
      </rPr>
      <t>Kumurkek</t>
    </r>
  </si>
  <si>
    <r>
      <rPr>
        <b/>
        <sz val="11"/>
        <rFont val="Calibri"/>
      </rPr>
      <t>Manokwari Selatan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</si>
  <si>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</si>
  <si>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Ransiki</t>
    </r>
  </si>
  <si>
    <r>
      <rPr>
        <b/>
        <sz val="11"/>
        <rFont val="Calibri"/>
      </rPr>
      <t>Pegunungan Arfak</t>
    </r>
  </si>
  <si>
    <r>
      <rPr>
        <b/>
        <sz val="11"/>
        <rFont val="Calibri"/>
      </rPr>
      <t>Papua Barat</t>
    </r>
  </si>
  <si>
    <r>
      <rPr>
        <b/>
        <sz val="11"/>
        <rFont val="Calibri"/>
      </rPr>
      <t>Anggi</t>
    </r>
  </si>
  <si>
    <r>
      <rPr>
        <b/>
        <sz val="11"/>
        <rFont val="Calibri"/>
      </rPr>
      <t>Jakarta</t>
    </r>
  </si>
  <si>
    <r>
      <rPr>
        <b/>
        <sz val="11"/>
        <rFont val="Calibri"/>
      </rPr>
      <t>Daerah Khusus Ibu Kota Jakarta</t>
    </r>
  </si>
  <si>
    <r>
      <rPr>
        <b/>
        <sz val="11"/>
        <rFont val="Calibri"/>
      </rPr>
      <t>Jakarta Pusat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</si>
  <si>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</si>
  <si>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</si>
  <si>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Daerah Khusus Ibu Kota Jak-Tim</t>
    </r>
  </si>
  <si>
    <r>
      <rPr>
        <b/>
        <sz val="11"/>
        <rFont val="Calibri"/>
      </rPr>
      <t>Jakarta Timur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</si>
  <si>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</si>
  <si>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</si>
  <si>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Daerah Khusus Ibu Kota Jak-Bar</t>
    </r>
  </si>
  <si>
    <r>
      <rPr>
        <b/>
        <sz val="11"/>
        <rFont val="Calibri"/>
      </rPr>
      <t>Jakarta Barat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</si>
  <si>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</si>
  <si>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</si>
  <si>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Daerah Khusus Ibu Kota Jak-Sel</t>
    </r>
  </si>
  <si>
    <r>
      <rPr>
        <b/>
        <sz val="11"/>
        <rFont val="Calibri"/>
      </rPr>
      <t>Jakarta Selatan</t>
    </r>
  </si>
  <si>
    <r>
      <rPr>
        <b/>
        <sz val="11"/>
        <rFont val="Calibri"/>
      </rPr>
      <t>106.35 -106.54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</si>
  <si>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</si>
  <si>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</si>
  <si>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Kota Banten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</si>
  <si>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</si>
  <si>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</si>
  <si>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</si>
  <si>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Tangerang Selatan</t>
    </r>
  </si>
  <si>
    <r>
      <rPr>
        <b/>
        <sz val="11"/>
        <rFont val="Calibri"/>
      </rPr>
      <t>106.3 - 106.42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</si>
  <si>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</si>
  <si>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Banten</t>
    </r>
  </si>
  <si>
    <r>
      <rPr>
        <b/>
        <sz val="11"/>
        <rFont val="Calibri"/>
      </rPr>
      <t>Cilegon</t>
    </r>
  </si>
  <si>
    <r>
      <rPr>
        <b/>
        <sz val="11"/>
        <rFont val="Calibri"/>
      </rPr>
      <t>106.3 - 106.42</t>
    </r>
  </si>
  <si>
    <t>ARDL QOMAR</t>
  </si>
  <si>
    <t>JADWAL ARDIL QOMAR</t>
  </si>
  <si>
    <t>JADWAL 7 HARI SATU MINGGU</t>
  </si>
  <si>
    <t>JADWAL HARI PASARAN</t>
  </si>
  <si>
    <t>DAFTAR US BULAN TAHUN KABISAH &amp; BASITOH</t>
  </si>
  <si>
    <t>**************</t>
  </si>
  <si>
    <t>US HARI DAN PASARAN</t>
  </si>
  <si>
    <t>KABISAH BASITOH</t>
  </si>
  <si>
    <t>Sumatera selatan</t>
  </si>
  <si>
    <t>aceh tenggara</t>
  </si>
  <si>
    <t>riau</t>
  </si>
  <si>
    <t>sorong</t>
  </si>
  <si>
    <t>+/168</t>
  </si>
  <si>
    <t>+/360</t>
  </si>
  <si>
    <t>JADWAL TAHUN MAJMU'AH</t>
  </si>
  <si>
    <t>109°017' - 111°417'</t>
  </si>
  <si>
    <t>109°01' - 111°41'</t>
  </si>
  <si>
    <t>109°01' - 111°42'</t>
  </si>
  <si>
    <t>109°01' - 111°43'</t>
  </si>
  <si>
    <t>109°01' - 111°44'</t>
  </si>
  <si>
    <t>109°01' - 111°45'</t>
  </si>
  <si>
    <t>109°01' - 111°46'</t>
  </si>
  <si>
    <t>109°01' - 111°47'</t>
  </si>
  <si>
    <t>109°01' - 111°48'</t>
  </si>
  <si>
    <t>109°01' - 111°49'</t>
  </si>
  <si>
    <t>109°01' - 111°50'</t>
  </si>
  <si>
    <t>109°01' - 111°51'</t>
  </si>
  <si>
    <t>109°01' - 111°52'</t>
  </si>
  <si>
    <t>109°01' - 111°53'</t>
  </si>
  <si>
    <t>109°01' - 111°54'</t>
  </si>
  <si>
    <t>109°01' - 111°55'</t>
  </si>
  <si>
    <t>109°01' - 111°56'</t>
  </si>
  <si>
    <t>109°01' - 111°57'</t>
  </si>
  <si>
    <t>109°01' - 111°58'</t>
  </si>
  <si>
    <t>109°01' - 111°59'</t>
  </si>
  <si>
    <t>109°01' - 111°60'</t>
  </si>
  <si>
    <t>109°01' - 111°61'</t>
  </si>
  <si>
    <t>109°01' - 111°62'</t>
  </si>
  <si>
    <t>109°01' - 111°63'</t>
  </si>
  <si>
    <t>109°01' - 111°64'</t>
  </si>
  <si>
    <t>109°01' - 111°65'</t>
  </si>
  <si>
    <t>109°01' - 111°66'</t>
  </si>
  <si>
    <t>109°01' - 111°67'</t>
  </si>
  <si>
    <t>109°01' - 111°68'</t>
  </si>
  <si>
    <t>109°01' - 111°69'</t>
  </si>
  <si>
    <t>PENGOREKSIAN/PENTA'DILAN</t>
  </si>
  <si>
    <t>cipeuyeum</t>
  </si>
  <si>
    <t>Cipeuyem</t>
  </si>
  <si>
    <t>Cipeyeum</t>
  </si>
  <si>
    <t>Bogor</t>
  </si>
  <si>
    <t xml:space="preserve">PERINGATAN </t>
  </si>
  <si>
    <t>PERINGATAN ❗️</t>
  </si>
  <si>
    <t>JIKA TERJADI PERBEDAAN JANGAN</t>
  </si>
  <si>
    <t>SALING MENYALAHKAN SEBAB</t>
  </si>
  <si>
    <t>JIKA TERJADI KESALAHAN PERHITUNGAN</t>
  </si>
  <si>
    <t>TOLONG DIKOREKSI DENGAN DENGAN</t>
  </si>
  <si>
    <t>ARGUMEN YANG KUAT DAN MENGUATKAN</t>
  </si>
  <si>
    <t>ARGUMEN YANG KUAT DAN AKURAT</t>
  </si>
  <si>
    <t>PERHITANGAN TAQWIM INI DI AMBIL DARI METODE</t>
  </si>
  <si>
    <t>YANG POPULER YAITU KITAB SULAMUN-NAIREIN</t>
  </si>
  <si>
    <t>TAQWIM INI DI AMBIL DARI METODE PERHITUNGAN</t>
  </si>
  <si>
    <t>YANG POPULER YAKNI KITAB SULAMUN-NAIREIN</t>
  </si>
  <si>
    <t xml:space="preserve">DAN DALAM PROSES PERHITANGAN INI </t>
  </si>
  <si>
    <t>PATOKAN IMKAN RU'YAT ADALAH 2°</t>
  </si>
  <si>
    <t>PATOKAN IMKAN RU'YAT ADALAH DUA DERAJAT</t>
  </si>
  <si>
    <t>PATOKAN IMKAN RU'YAT DUA DERAJAT</t>
  </si>
  <si>
    <t>PATOKAN IMKAN RU'YAT ADALAH</t>
  </si>
  <si>
    <t>DUA DERJAT</t>
  </si>
  <si>
    <t>INSPIRTION: ABUL BAHRI MIFTAH BIN MA'MUN</t>
  </si>
  <si>
    <t>PENYUSUN: ALFAQIER ABDUL GHOFUR</t>
  </si>
  <si>
    <t>JIKA KALIAN MENEMUKAN KEKELIARUAN HITUNGAN</t>
  </si>
  <si>
    <t>DALAM HITUNGAN HISAB INI MAKA KAMI SIAP</t>
  </si>
  <si>
    <t>UNTUK DI KOREKSI DENGAN DALIL</t>
  </si>
  <si>
    <t>YANG KUAT DAN AKURAT</t>
  </si>
  <si>
    <t>UNTUK DI KOREKSI DENGAN DASAR DALIL</t>
  </si>
  <si>
    <t>INSPIRTION: ALMUKAROM ABUL BAHRI MIFTAH BIN MA'MUN ROHIMAHULLAH</t>
  </si>
  <si>
    <t>INSPIRTION: ALMUKAROM ABUL BAHRI MIFTAH</t>
  </si>
  <si>
    <t>BIN MA'MUN ROHIMAHULLAH</t>
  </si>
  <si>
    <t>ALMUKAROM ABUL BAHRI MIFTAH</t>
  </si>
  <si>
    <t>INSPIRTION</t>
  </si>
  <si>
    <t>PENYUSUN</t>
  </si>
  <si>
    <t>AL-FAQIER ABDUL GHOFUR BIN SYAMSUDDIN</t>
  </si>
  <si>
    <t>INSPIRTION:</t>
  </si>
  <si>
    <t>PENYUSUN:</t>
  </si>
  <si>
    <t>INSPIRTION :</t>
  </si>
  <si>
    <t>PENYUSUN :</t>
  </si>
  <si>
    <t>Tangerangan</t>
  </si>
  <si>
    <t>Papua Barat</t>
  </si>
  <si>
    <t>CIANJUR</t>
  </si>
  <si>
    <t>Jakarta selatan</t>
  </si>
  <si>
    <t>Aceh besar</t>
  </si>
  <si>
    <t>toba</t>
  </si>
  <si>
    <t>siak</t>
  </si>
  <si>
    <t>bangka</t>
  </si>
  <si>
    <t>kudus</t>
  </si>
  <si>
    <t>Ciri</t>
  </si>
  <si>
    <t>جامع</t>
  </si>
  <si>
    <t>علم الفلك</t>
  </si>
  <si>
    <t>الجامع</t>
  </si>
  <si>
    <t>أبو البحر مفتاح بن مأمون بن عبد الله</t>
  </si>
  <si>
    <t>المرتى الشنجورى ألجاوى ألاندونسى</t>
  </si>
  <si>
    <t>غفر الله لهم ولمشايخهم</t>
  </si>
  <si>
    <t>غفر الله لهم ولمشايخهم واحبائهم أمين</t>
  </si>
  <si>
    <t>دار الفكر</t>
  </si>
  <si>
    <t xml:space="preserve">المعهد الإسلامى السلفى </t>
  </si>
  <si>
    <t>شنجورى -- اندونىسىا</t>
  </si>
  <si>
    <t xml:space="preserve">شنجورى -- إندونيسيا </t>
  </si>
  <si>
    <t>المرتى الشنجورى ألجاوى ألإندونسى</t>
  </si>
  <si>
    <t>*  دار الفكر  *</t>
  </si>
  <si>
    <t>١٤٣٤ --- ٢٠١٣</t>
  </si>
  <si>
    <t xml:space="preserve">شنجورى - إندونيسيا </t>
  </si>
  <si>
    <t>المرتى ألشنجورى ألجاوى ألإندونسى</t>
  </si>
  <si>
    <t>المرتى الشنجورى الجاوى الإندونسى</t>
  </si>
  <si>
    <t>ابو البحر مفتاح بن مأمون بن عبد الله</t>
  </si>
  <si>
    <t>غفر الله لهم ولمشايخهم واحبائهم امين</t>
  </si>
  <si>
    <t xml:space="preserve">شنجورى - اندونيسيا </t>
  </si>
  <si>
    <r>
      <rPr>
        <sz val="11"/>
        <rFont val="Arial"/>
      </rPr>
      <t>(D15-(D9*30))/24</t>
    </r>
  </si>
  <si>
    <r>
      <rPr>
        <sz val="11"/>
        <rFont val="Arial"/>
      </rPr>
      <t>(D15-MOD(D15,30))/30</t>
    </r>
  </si>
  <si>
    <t>ciamis</t>
  </si>
  <si>
    <t>bandung</t>
  </si>
  <si>
    <t>PERHITUNGAN AWAL WAKTU SHOLAT</t>
  </si>
  <si>
    <t>Lintang Tempat (LT)</t>
  </si>
  <si>
    <t>Kota/Kabupaten</t>
  </si>
  <si>
    <t>ISILAH DATA DATA YANG DI TANDAI WARNA OREN</t>
  </si>
  <si>
    <t>Decima</t>
  </si>
  <si>
    <t>DMD/JMD</t>
  </si>
  <si>
    <t>Decimal/Nilai</t>
  </si>
  <si>
    <t>Ittifaq</t>
  </si>
  <si>
    <t>90 - (Tgl + 9)</t>
  </si>
  <si>
    <t>91 - (Tgl + 10 + 30)</t>
  </si>
  <si>
    <t>Ihtilaf</t>
  </si>
  <si>
    <t>92 - (Tgl + 8 + 60)</t>
  </si>
  <si>
    <t>Tgl +10</t>
  </si>
  <si>
    <t>Tgl + 9 + 30</t>
  </si>
  <si>
    <t>Tgl + 9 + 60</t>
  </si>
  <si>
    <t>90 - (Tgl + 7)</t>
  </si>
  <si>
    <t>91 - (Tgl + 7 + 30)</t>
  </si>
  <si>
    <t>92 - (Tgl + 7 + 60)</t>
  </si>
  <si>
    <t>Tgl + 6</t>
  </si>
  <si>
    <t>Tgl + 7 + 30</t>
  </si>
  <si>
    <t>Tgl + 7 + 60</t>
  </si>
  <si>
    <t>*ISILAH DATA DATA YANG DI TANDAI WARNA OREN*</t>
  </si>
  <si>
    <t>Tafaut/Selisih Buruj Masehi</t>
  </si>
  <si>
    <t>Tafaut/Selisih Buruj</t>
  </si>
  <si>
    <t>Derajat Matahari</t>
  </si>
  <si>
    <t>Tanggal + Selisih Buruj</t>
  </si>
  <si>
    <t>Meel Syamsi</t>
  </si>
  <si>
    <t>Jaeb/Bu'du Darojah</t>
  </si>
  <si>
    <t>=ASIN(SIN(G22*pi)*SIN(23.45*pi))/pi</t>
  </si>
  <si>
    <t>ASIN(SIN(CH10*pi)*SIN(23.45*pi))/pi</t>
  </si>
  <si>
    <t>ASIN(SIN(RADIANS(*SIN(RADIANS(23.45)))))</t>
  </si>
  <si>
    <t>ASIN(SIN(RADIANS(CH10*SIN(RADIANS(23.45)))))</t>
  </si>
  <si>
    <t>VU(CI,DATA,</t>
  </si>
  <si>
    <t>VU(CI,DATA,5)</t>
  </si>
  <si>
    <t>SIN(RADIANS(LT*SIN(RADIANS(Meel))))*60</t>
  </si>
  <si>
    <t>Bu'dul Qutr</t>
  </si>
  <si>
    <t>Asal Mutlaq</t>
  </si>
  <si>
    <t>Nisful Fudlah</t>
  </si>
  <si>
    <t>Nisfun Nahr</t>
  </si>
  <si>
    <t>Nisful Lael</t>
  </si>
  <si>
    <t>COS(RADIANS(LT))*COS(RADIANS(MEEL))*60</t>
  </si>
  <si>
    <t>SIN(RADIANS(LT*SIN(RADIANS(MEEL))))*60</t>
  </si>
  <si>
    <t>ASIN(TAN(RADIANS(LT))*TAN(RADIANS(MEEL)))*58</t>
  </si>
  <si>
    <t>ASIN(TAN(RADIANS(LT))*TAN(RADIANS(MEEL)))*60</t>
  </si>
  <si>
    <t>H/DMD/JMD</t>
  </si>
  <si>
    <t>180-Nisful Lael</t>
  </si>
  <si>
    <t>90-Nisful Fudlah</t>
  </si>
  <si>
    <t>Nisfun Nahr/Busur Siang</t>
  </si>
  <si>
    <t>Nisful Lael/Busur Malam</t>
  </si>
  <si>
    <t>Thul Syamsi/Tinggi Matahari</t>
  </si>
  <si>
    <t>PERHITUNGAN AWAL WAKTU SHOLAT METODE TAQRIBUL MAQSOD</t>
  </si>
  <si>
    <t>Nisfu Qousin Nahr/Busur Siang</t>
  </si>
  <si>
    <t>Nisful Qousil Lael/Busur Malam</t>
  </si>
  <si>
    <t>Tamam Qousin Nahr</t>
  </si>
  <si>
    <t>Tamam Qousil Lael</t>
  </si>
  <si>
    <t>SA'AH ZAWALIYAH</t>
  </si>
  <si>
    <t>SA'AH ZAWALIYAH / JAM ZAWALIYAH</t>
  </si>
  <si>
    <t>Nisfu Qousin Nahr*2</t>
  </si>
  <si>
    <t>Nisfu Qousil Lael*2</t>
  </si>
  <si>
    <t>Ikhtilaf / Ittifaq ?</t>
  </si>
  <si>
    <t>Irtipa</t>
  </si>
  <si>
    <t>Jam Zawaliyah Pagi</t>
  </si>
  <si>
    <t>Jam Zawaliyah Sore</t>
  </si>
  <si>
    <t>SA'AH GURUBIYAH / JAM GURUBIYAH</t>
  </si>
  <si>
    <t>Irtipa Syamsi</t>
  </si>
  <si>
    <t>Ikhtilap Atau Ittifaq ?</t>
  </si>
  <si>
    <t>Ihtilap Atau Ittifaq ?</t>
  </si>
  <si>
    <t>IRTIPA 30 DERAJAT</t>
  </si>
  <si>
    <t>Daerah Selatan Dan Buruj Selatan = Ittifaq,,, Dan Sebaliknya</t>
  </si>
  <si>
    <t>Irp</t>
  </si>
  <si>
    <t>Irtipa Zawaliyah 30 Derajat</t>
  </si>
  <si>
    <t>IF(G13="Ihtilaf",6-(ASIN((SIN(G32*pi)*60+(B24))/(B25))*180/PI())/15,6-(ASIN((SIN(G32*pi)*60-(B24))/(B25))*180/PI())/15)</t>
  </si>
  <si>
    <t>VU(CI5,DATA,5)</t>
  </si>
  <si>
    <t>IF(CH21="ihtilap",6-ASIN(SIN(RADIANS()))</t>
  </si>
  <si>
    <t>G12</t>
  </si>
  <si>
    <t>G32</t>
  </si>
  <si>
    <t>B24</t>
  </si>
  <si>
    <t>B25</t>
  </si>
  <si>
    <t>Budul Qutr</t>
  </si>
  <si>
    <t>IF(G13="Ihtilaf",6-(ASIN((SIN(RADIANS())*60+(B24))/(B25))*180/PI())/15,6-(ASIN((SIN(RADIANS(G32))*60-(B24))/(B25))*180/PI())/15)</t>
  </si>
  <si>
    <t>IF(Ittifaq="Ihtilaf",6-(ASIN((SIN(RADIANS(Irtipa))*60+(Budul Qutur))/(Asal Mutlaq))*180/PI())/15,6-(ASIN((SIN(RADIANS())*60-(B24))/(B25))*180/PI())/15)</t>
  </si>
  <si>
    <t>IF(Ittifaq="Ihtilaf",6-(ASIN((SIN(RADIANS(Irtipa))*60+(Budul Qutur))/(Asal Mutlaq))*180/PI())/15,6-(ASIN((SIN(RADIANS(Irtipa))*60-(Budul Qutur))/(Asal Mutlaq))*180/PI())/15)</t>
  </si>
  <si>
    <t>IF(G13="Ihtilaf",6-(ASIN((SIN(RADIANS(G32))*60+(B24))/(B25))*180/PI())/15,6-(ASIN((SIN(RADIANS(G32))*60-(B24))/(B25))*180/PI())/15)</t>
  </si>
  <si>
    <t>IF(Itifaq="Ihtilaf",6-(ASIN((SIN(RADIANS(Irtipa))*60+(budulqut))/(asalmutlaq))*180/PI())/15,6-(ASIN((SIN(RADIANS(irtipa))*60-(budulqutr))/(asalmutlaq))*180/PI())/15)</t>
  </si>
  <si>
    <t>IF(G13="Ihtilaf",6+(ASIN((SIN(G32*pi)*60+(B24))/(B25))*180/PI())/15,6+(ASIN((SIN(G32*pi)*60-(B24))/(B25))*180/PI())/15)</t>
  </si>
  <si>
    <t>SIN(CH10*SIN(23.45))</t>
  </si>
  <si>
    <t>SIN((LT*SIN(RADIANS(MEEL))))*60</t>
  </si>
  <si>
    <t>Lintang Tempat</t>
  </si>
  <si>
    <t>Sin(CC5*SIN(CH9))*60</t>
  </si>
  <si>
    <t>Sin(CC5*Sin(CH9))*60</t>
  </si>
  <si>
    <t>Sin(CH10*Sin(23.45))</t>
  </si>
  <si>
    <t>Cos(CC5))*COS(CH9))*60</t>
  </si>
  <si>
    <t>Cos(CC5))*Cos(CH9))*60</t>
  </si>
  <si>
    <t>TAN(CC5)*TAN(CH9)*60</t>
  </si>
  <si>
    <t>Cos(CC5)*Cos(CH9)*60</t>
  </si>
  <si>
    <t>Tan(CC5)*Tan(CH9)*60</t>
  </si>
  <si>
    <t>B S &amp; D S= Ittifaq , B U &amp; D S= Ihtilap</t>
  </si>
  <si>
    <t>6-Sin &amp; 6-Sin</t>
  </si>
  <si>
    <t>6+Sin &amp; 6+Sin</t>
  </si>
  <si>
    <t>6+Sin &amp; 6+Sin/15</t>
  </si>
  <si>
    <t>6-Sin &amp; 6-Sin/15</t>
  </si>
  <si>
    <t>IZ 30D</t>
  </si>
  <si>
    <t>SZ 30D</t>
  </si>
  <si>
    <t>Ihtilap</t>
  </si>
  <si>
    <t>Satu Arah</t>
  </si>
  <si>
    <t>Beda Arah</t>
  </si>
  <si>
    <t>30°00:00</t>
  </si>
  <si>
    <t>Jam Gurubiyah Pagi</t>
  </si>
  <si>
    <t>Jam Gurubiyah Sore</t>
  </si>
  <si>
    <t>Qous Nahr</t>
  </si>
  <si>
    <t>Qous Lael</t>
  </si>
  <si>
    <t>kalau ittifaq 90 -D = nisfu qousin nahar, kalau ihtilaf 90-D = nisfu qousul lail</t>
  </si>
  <si>
    <t>maret</t>
  </si>
  <si>
    <t>febuari</t>
  </si>
  <si>
    <t>IF(G13="Ihtilaf",6+((ASIN((SIN(G32*pi)*60+(B24))/(B25))*180/PI())/15-B26/60),6+((ASIN((SIN(G32*pi)*60-(B24))/(B25))*180/PI())/15-B26/60))</t>
  </si>
  <si>
    <t>if(ittifaq="ihtilap",6</t>
  </si>
  <si>
    <t>IF(Itifaq="Ihtilaf",6-((ASIN((SIN(RADIANS(Irtipa))*60+(budulqut))/(asalmutlaq))*180/PI())/15,6-(ASIN((SIN(RADIANS(irtipa))*60-(budulqutr))/(asalmutlaq))*180/PI())/15)</t>
  </si>
  <si>
    <t>if(itt="ihtilap",6</t>
  </si>
  <si>
    <t>if(itt="ihtilap",6+((ASIN((SIN((RADIANS(CH20)*60+(CH12))/((CH13))*180</t>
  </si>
  <si>
    <t>if(CH21="ihtilap",6+((ASIN((SIN((RADIANS(CH20)*60+(CH12))/((CH13))*180/PI())/5-CH14/60),6+((ASIN((SIN(RADIANS(CH20)))</t>
  </si>
  <si>
    <t>if(CH21="ihtilap",6+((ASIN((SIN((RADIANS(CH20)*60+(CH12))/((CH13))*180/PI())/15-CH14/60),6+((ASIN((SIN(RADIANS(CH20)*60-(CH12))/(CH13))*180/PI())/15-CH14/60))</t>
  </si>
  <si>
    <t>if(CH21="ihtilaf",6+((ASIN((SIN((RADIANS(CH20)*60+(CH12))/((CH13))*180/PI())/15-CH14/60),6+((ASIN((SIN(RADIANS(CH20)*60-(CH12))/(CH13))*180/PI())/15-CH14/60))</t>
  </si>
  <si>
    <t>IF(CH21="ihtilaf",6+((ASIN((SIN(RADIANS(CH20)*60+(CH12))/((CH13))*180/PI())/15-CH14/60),6+((ASIN((SIN(RADIANS(CH20)*60-(CH12))/(CH13))*180/PI())/15-CH14/60)))))</t>
  </si>
  <si>
    <t>IF(CH21="ihtilaf",6+((ASIN((SIN(RADIANS(CH20)*60+(CH12))/(CH13))*180/PI())/15-CH14/60),6+((ASIN((SIN(RADIANS(CH20)*60-(CH12))/(CH13))*180/PI())/15-CH14/60)))))</t>
  </si>
  <si>
    <t>IF(CH21="ihtilaf",6+((ASIN((SIN(RADIANS(CH20))*60+(CH12))/(CH13))*180/PI())/15-CH14/60),6+((ASIN((SIN(RADIANS(CH20)*60-(CH12))/(CH13))*180/PI())/15-CH14/60)))))</t>
  </si>
  <si>
    <t>IF(CH21="ihtilaf",6+((ASIN((SIN(RADIANS(CH20)))*60+(CH12))/(CH13))*180/PI())/15-CH14/60),6+((ASIN((SIN(RADIANS(CH20))*60-(CH12))/(CH13))*180/PI())/15-CH14/60)</t>
  </si>
  <si>
    <t>IF(CH21="ihtilaf",6+((ASIN((SIN(RADIANS(CH20))*60+(CH12))/(CH13))*180/PI())/15-CH14/60),6+((ASIN((SIN(RADIANS(CH20))*60-(CH12))/(CH13))*180/PI())/15-CH14/60)</t>
  </si>
  <si>
    <t>IF(CH21="ihtilaf",6+((ASIN((SIN(RADIANS(CH20))*60+(CH12))/(CH13))*180/PI())/15-CH14/60)),6+((ASIN((SIN(RADIANS(CH20))*60-(CH12))/(CH13))*180/PI())/15-CH14/60)</t>
  </si>
  <si>
    <t>IF(CH21="ihtilaf",6+((ASIN((SIN(RADIANS(CH20))*60+(CH12))/(CH13))*180/PI())/15-CH14/60)),6+((ASIN((SIN(RADIANS(CH20))*60-(CH12))/(CH13))*180/PI())/15-CH14/60))</t>
  </si>
  <si>
    <t>IF(CH21="Ihtilaf",6+(ASIN((SIN(RADIANS(CH20))*60+(CH12))/(CH13))*180/PI())/15,6+(ASIN((SIN(RADIANS(CH20))*60-(CH12))/(CH13))*180/PI())/15)</t>
  </si>
  <si>
    <t>IF(G13="Ihtilaf",6-((ASIN((SIN(G32*pi)*60+(B24))/(B25))*180/PI())/15+B26/60),6-((ASIN((SIN(G32*pi)*60-(B24))/(B25))*180/PI())/15-B26)/60)</t>
  </si>
  <si>
    <t>IF(It="Ihtilaf",6-((ASIN((SIN(ir*pi)*60+(Bq))/(Am))*180/PI())/15+Nf/60),6-((ASIN((SIN(irt*pi)*60-(Bq))/(Am))*180/PI())/15-Nf)/60)</t>
  </si>
  <si>
    <t>IF(CH21="Ihtilaf",6-((ASIN((SIN(CH20*pi)*60+(Bq))/(Am))*180/PI())/15+Nf/60),6-((ASIN((SIN(irt*pi)*60-(Bq))/(Am))*180/PI())/15-Nf)/60)</t>
  </si>
  <si>
    <t>IF(CH21="Ihtilaf",6-((ASIN((SIN(CH20*pi)*60+(CH12))/(CH13))*180/PI())/15+CH14/60),6-((ASIN((SIN(CH20*pi)*60-(CH12))/(CH13))*180/PI())/15-CH14)/60)</t>
  </si>
  <si>
    <t>IF(CH21="Ihtilaf",6+((ASIN((SIN(RADIANS(CH20))*60+(CH12))/(CH13))*180/PI())/15-CH14/60),6+((ASIN((SIN(RADIANS(CH20))*60-(CH12))/(CH13))*180/PI())/15-CH14)/60)</t>
  </si>
  <si>
    <t>IF(CH21="Ihtilaf",6-((ASIN((SIN(RADIANS(CH20))*60+(CH12))/(CH13))*180/PI())/15+CH14/60),6-((ASIN((SIN(RADIANS(CH20))*60-(CH12))/(CH13))*180/PI())/15-CH14)/60)</t>
  </si>
  <si>
    <t>IF(CH21="Ihtilaf",6+((ASIN((SIN(RADIANS(CH20))*60-(CH12))/(CH13))*180/PI())/15+CH14/60),6-((ASIN((SIN(RADIANS(CH20))*60-(CH12))/(CH13))*180/PI())/15-CH14)/60)</t>
  </si>
  <si>
    <t>IF(CH21="Ihtilaf",6+((ASIN((SIN(RADIANS(CH20))*60-(CH12))/(CH13))*180/PI())/15-CH14/60),6+((ASIN((SIN(RADIANS(CH20))*60-(CH12))/(CH13))*180/PI())/15-CH14)/60)</t>
  </si>
  <si>
    <t>IF(CH21="Ihtilaf",6-((ASIN((SIN(RADIANS(CH20))*60-(CH12))/(CH13))*180/PI())/15+CH14/60),6-((ASIN((SIN(RADIANS(CH20))*60-(CH12))/(CH13))*180/PI())/15-CH14)/60)</t>
  </si>
  <si>
    <t>IF(CH21="Ihtilaf",6-((ASIN((SIN(RADIANS(CH20))*60-(CH12))/(CH13))*180/PI())/15+CH14/60),6+((ASIN((SIN(RADIANS(CH20))*60-(CH12))/(CH13))*180/PI())/15-CH14)/60)</t>
  </si>
  <si>
    <t>IF(it="Ihtilaf",6+((ASIN((SIN(irt*pi)*60+(Bd))/(Am))*180/PI())/15-Nf/60),6+((ASIN((SIN(G32*pi)*60-(B24))/(B25))*180/PI())/15-B26/60))</t>
  </si>
  <si>
    <t>IF(it="Ihtilaf",6+((ASIN((SIN(irt)*60+(Bd))/(Am))*180/PI())/15-Nf/60),6+((ASIN((SIN(ir)*60-(bq))/(Am))*180/PI())/15-Nf/60))</t>
  </si>
  <si>
    <t>12-</t>
  </si>
  <si>
    <t>Irtipa Syarqi</t>
  </si>
  <si>
    <t>Irtipa Gorbi</t>
  </si>
  <si>
    <t>Anggaran Goyah Irtipa &amp; Irtipa Ashar</t>
  </si>
  <si>
    <t>ANGARAN GOYAH IRTIPA &amp; ISRTIPA ASHAR</t>
  </si>
  <si>
    <t>ANGARAN SA'AH GURUBIYAH / JAM GURUBIYAH</t>
  </si>
  <si>
    <t>ANGARAN SA'AH ZAWALIYAH / JAM ZAWALIYAH</t>
  </si>
  <si>
    <t>TAMAM GOYAH</t>
  </si>
  <si>
    <t>IF(it="Ihtilaf",90-Lt-Mel,90-ABS(Lt-Mel))</t>
  </si>
  <si>
    <t>Tamam Goyah</t>
  </si>
  <si>
    <t>Goyah Irtipa</t>
  </si>
  <si>
    <t>30°00:00:00</t>
  </si>
  <si>
    <t>Dzil</t>
  </si>
  <si>
    <t>Irtipa Ashar</t>
  </si>
  <si>
    <t>ANGGARAN AWAL WAKTU SHOLAT JAM ZAWALIYAH</t>
  </si>
  <si>
    <t>Daqoiq Tamkinyah</t>
  </si>
  <si>
    <t>Daqoiq Ihtiyat</t>
  </si>
  <si>
    <t>Daqoiq Tamkiniah</t>
  </si>
  <si>
    <t>Dzuhur</t>
  </si>
  <si>
    <t>Ashar</t>
  </si>
  <si>
    <t>Magrib</t>
  </si>
  <si>
    <t>Isya</t>
  </si>
  <si>
    <t>Subuh</t>
  </si>
  <si>
    <t>ANGARAN SA'AH ZAWALIYAH / JAM SETEMPAT</t>
  </si>
  <si>
    <t>ANGARAN SA'AH GURUBIYAH / JAM GURUBIYAH MAKKA</t>
  </si>
  <si>
    <t>ANGARAN SA'AH GURUBIYAH / JAM MAKKA</t>
  </si>
  <si>
    <t>ANGARAN SA'AH GURUBIYAH / JAM MAKAH</t>
  </si>
  <si>
    <t>Dzil Mabsuth</t>
  </si>
  <si>
    <t>Dzil Mankush</t>
  </si>
  <si>
    <t>60°</t>
  </si>
  <si>
    <t>00:04:00:00</t>
  </si>
  <si>
    <t>Mm:04</t>
  </si>
  <si>
    <t>Mm:02</t>
  </si>
  <si>
    <t>12+CA37</t>
  </si>
  <si>
    <t>12+DM</t>
  </si>
  <si>
    <t>IF(Ittifaq="Ihtilaf",ACOS((SIN(Radian IS)*60+BQ)/AM)/pi/15+Ihtiyat,ACOS((SIN(IS*pi)*60-BQ)/AM)/pi/15+Ihtiyat)</t>
  </si>
  <si>
    <t>IF(Ittifaq="Ihtilaf",ACOS((SIN(Radian IS)*60+BQ)/AM)/15+Ihtiyat,ACOS((SIN(IS)*60-BQ)/AM)/15+Ihtiyat)</t>
  </si>
  <si>
    <t>IF(Ittifaq="Ihtilaf",ACOS((SIN(Radian IS)*60+BQ)/AM)/15+Ihtiyat,ACOS((SIN(RadianIS)*60-BQ)/AM)/15+Ihtiyat)</t>
  </si>
  <si>
    <t>IF(CH21="Ihtilaf",ACOS((SIN(RADIANS(CH34))*60+CH12)/CH13)/15+Ihtiyat,ACOS((SIN(RadianIS)*60-CH38)/AM)/15+Ihtiyat)</t>
  </si>
  <si>
    <t>IF(CH21="Ihtilaf",ACOS((SIN(RADIANS(CH34))*60+CH12)/CH13)/15+Ihtiyat,ACOS((SIN(RadianIS)*60-CH38)/AM)/15+)</t>
  </si>
  <si>
    <t>IF(CH21="Ihtilaf",ACOS((SIN(RADIANS(CH34))*60+CH12)/CH13)/15+CH38,ACOS((SIN(RADIANS())*60-CH38)/CH13)/15+)</t>
  </si>
  <si>
    <t>IF(CH21="Ihtilaf",ACOS((SIN(RADIANS(CH34))*60+CH12)/CH13)/15+CH38,ACOS((SIN(RADIANS())*60-CH38)/CH13)/15+CH38)</t>
  </si>
  <si>
    <t>IF(CH21="Ihtilaf",ACOS((SIN(RADIANS(CH34))*60+CH12)/CH13)/15+CH38,ACOS((SIN(RADIANS(CH34))*60-CH38)/CH13)/15+CH38)</t>
  </si>
  <si>
    <t>BQ</t>
  </si>
  <si>
    <t>AM</t>
  </si>
  <si>
    <t>IS</t>
  </si>
  <si>
    <t>IT</t>
  </si>
  <si>
    <t>IH</t>
  </si>
  <si>
    <t>CH21</t>
  </si>
  <si>
    <t>CH34</t>
  </si>
  <si>
    <t>CH12</t>
  </si>
  <si>
    <t>CH13</t>
  </si>
  <si>
    <t>CH38</t>
  </si>
  <si>
    <t>IF(G13="Ihtilaf",ACOS((SIN(B46*pi)*60+B24)/B25)/pi/15+B51,ACOS((SIN(B46*pi)*60-B24)/B25)/pi/15+B51)</t>
  </si>
  <si>
    <t>G13</t>
  </si>
  <si>
    <t>B46</t>
  </si>
  <si>
    <t>B51</t>
  </si>
  <si>
    <t>IF(CH21="Ihtilaf",ACOS((SIN(RADIANS(CH34))*60+CH12)/CH13)/15+CH38,ACOS((SIN(RADIANS(CH34))*60-CH12)/CH13)/15+CH38)</t>
  </si>
  <si>
    <t>Imsak</t>
  </si>
  <si>
    <t>Terbita</t>
  </si>
  <si>
    <t>Terbit</t>
  </si>
  <si>
    <t>Dhuha</t>
  </si>
  <si>
    <t>IF(CH21="Ihtilaf",6+(CH16/15)-CH38-CH37,6-(CH16/15)-CH38-CH38-CH37)</t>
  </si>
  <si>
    <t>IF(CH21="Ihtilaf",6+(B26/15)-B51-B50,6-(B26/15)-B51-B50)</t>
  </si>
  <si>
    <t>IF(ittifaq="Ihtilaf",6+ASIN((SIN(RADIANS(4.5))*60+BQ)/Am)*180/PI()/15+B51,6+ASIN((SIN(RADIANS(4.5))*60-B24)/B25)*180/PI()/15+B51)</t>
  </si>
  <si>
    <t>IF(ittifaq="Ihtilaf",6+ASIN((SIN(RADIANS(4.5))*60+BQ)/Am)*180/PI()/15+Ihtiyat,6+ASIN((SIN(RADIANS(4.5))*60-BQ)/Am)*180/PI()/15+ihtiyat)</t>
  </si>
  <si>
    <t>Isyroq/Dhuha</t>
  </si>
  <si>
    <t>Dhuha Awal/Dhuha Tengah</t>
  </si>
  <si>
    <t>6-/6+*180/15</t>
  </si>
  <si>
    <t>6-(*180/PI+15/60)~6+(*180/PI-15/60)</t>
  </si>
  <si>
    <t>12-JGP</t>
  </si>
  <si>
    <t>6+JGS</t>
  </si>
  <si>
    <t>6-(*180/PI/15)~6+(*180/PI/15)</t>
  </si>
  <si>
    <t>LT-Meel</t>
  </si>
  <si>
    <t>Der</t>
  </si>
  <si>
    <t>Darjah Syamsi</t>
  </si>
  <si>
    <t>Nisfu Qousil Lael/Busur Malam</t>
  </si>
  <si>
    <t>Thul Syamsi</t>
  </si>
  <si>
    <t>Nisfu Qousin Nahr</t>
  </si>
  <si>
    <t>Nisfu Qousil Lael</t>
  </si>
  <si>
    <t>90-(LT-Meel)</t>
  </si>
  <si>
    <t>90-(LT-Meel)~90-ABS(LT-Meel)</t>
  </si>
  <si>
    <t>90-(LT-Meel),90-ABS(LT-Meel)</t>
  </si>
  <si>
    <t>6-(*180/PI/15),6+(*180/PI/15)</t>
  </si>
  <si>
    <t>7/TAN-GI</t>
  </si>
  <si>
    <t>7/TAN(GI)</t>
  </si>
  <si>
    <t>7+DM</t>
  </si>
  <si>
    <t>ATAN(7/CH33)*180/PI()</t>
  </si>
  <si>
    <t>ATAN(7/CH33)*180/PI</t>
  </si>
  <si>
    <t>ACOS*60-BQ-AM*180/PI</t>
  </si>
  <si>
    <t>6-NF/15,6+NF/15</t>
  </si>
  <si>
    <t>6+18 (-18)</t>
  </si>
  <si>
    <t>6-20 (20)</t>
  </si>
  <si>
    <t>6-20 (-20)</t>
  </si>
  <si>
    <t>Subuh-10/60</t>
  </si>
  <si>
    <t>6+Meel/15,6-Meel/15</t>
  </si>
  <si>
    <t>4°30"</t>
  </si>
  <si>
    <t>9°5"</t>
  </si>
  <si>
    <t>4°5"</t>
  </si>
  <si>
    <t>PERHITUNGAN ARAH QIBLAT</t>
  </si>
  <si>
    <t>ANGGARAN PERHITUNGAN ARAH QIBLAT</t>
  </si>
  <si>
    <t>PERHITUNGAN AWAL WAKTU SHOLAT JAM ZAWALIYAH</t>
  </si>
  <si>
    <t>PERHITUNGAN GOYAH IRTIPA &amp; ISRTIPA ASHAR</t>
  </si>
  <si>
    <t>PERHITUNGAN SA'AH ZAWALIYAH / JAM SETEMPAT</t>
  </si>
  <si>
    <t>Lintang Selatan / Utara?</t>
  </si>
  <si>
    <t>Lintang</t>
  </si>
  <si>
    <t>Sletan</t>
  </si>
  <si>
    <t>IF(lin="Selatan",(D20)*-1,D20)</t>
  </si>
  <si>
    <t xml:space="preserve">Selatan </t>
  </si>
  <si>
    <t>Lintang Selatan / Utara</t>
  </si>
  <si>
    <t>Simit Makkah</t>
  </si>
  <si>
    <t>Arah</t>
  </si>
  <si>
    <t>Arah Selatan/Utara</t>
  </si>
  <si>
    <t>Fadl</t>
  </si>
  <si>
    <t>Ka'bah</t>
  </si>
  <si>
    <t>BU</t>
  </si>
  <si>
    <t>UB</t>
  </si>
  <si>
    <t>Selisih Makah</t>
  </si>
  <si>
    <t>Makkah</t>
  </si>
  <si>
    <t>Mekah</t>
  </si>
  <si>
    <t>Makah</t>
  </si>
  <si>
    <t>Daerah Selatan/Utara</t>
  </si>
  <si>
    <t>Daerah Selatan/Utara ?</t>
  </si>
  <si>
    <t>agustus</t>
  </si>
  <si>
    <t>oktober</t>
  </si>
  <si>
    <t>desember</t>
  </si>
  <si>
    <t>januari</t>
  </si>
  <si>
    <t>april</t>
  </si>
  <si>
    <t>Tanggal + SB</t>
  </si>
  <si>
    <t>Vu(CI5,DATA,5)</t>
  </si>
  <si>
    <t>H/Dmd/Jmd</t>
  </si>
  <si>
    <t>Daqoiq Ihtiyat Tamkiniyah</t>
  </si>
  <si>
    <t>Daqoiq Tamkiniyah</t>
  </si>
  <si>
    <t>mai</t>
  </si>
  <si>
    <t>mei</t>
  </si>
  <si>
    <t>Penyusun: Alfaqier Abdul Ghofur Bin Syamsuddin As-sapataani At-tanjironjie Al-bantanie al indunisie</t>
  </si>
  <si>
    <t>25 Febuari 2024 M --- 15 Sya'ban 1445</t>
  </si>
  <si>
    <t>25 Febuari 2024 M --- 15 Sya'ban 1445 H</t>
  </si>
  <si>
    <t>Penyusun: Alfaqier Abdul Ghofur Bin Syamsuddin As-sapataani At-tanjironjie Al-bantanie</t>
  </si>
  <si>
    <t>utara</t>
  </si>
  <si>
    <t>selatan</t>
  </si>
  <si>
    <t xml:space="preserve">febuari </t>
  </si>
  <si>
    <t xml:space="preserve">Februari </t>
  </si>
  <si>
    <t>LT</t>
  </si>
  <si>
    <t>serang</t>
  </si>
  <si>
    <t>Lt</t>
  </si>
  <si>
    <t>BT</t>
  </si>
  <si>
    <t>IF(CH21="Ihtilaf",6+ASIN((SIN(RADIANS(18))*60-CH12)/CH13)*180/PI()/15+CH38,6+ASIN((SIN(RADIANS(18))*60+CH12)/CH13)*180/PI()/15+CH38)+'DATA 2'!W77</t>
  </si>
  <si>
    <t>IF(CH21="Ihtilaf",6+((ASIN((SIN(RADIANS(CH20))*60+(CH12))/(CH13))*180/PI())/15-CH14/60),6+((ASIN((SIN(RADIANS(CH20))*60-(CH12))/(CH13))*180/PI())/15-CH14/60))</t>
  </si>
  <si>
    <t>IF(E13="Ihtilaf",6+((ASIN((SIN(E32*pi)*60+(A24))/(A25))*180/PI())/15-A26/60),6+((ASIN((SIN(E32*pi)*60-(A24))/(A25))*180/PI())/15-A26/60))</t>
  </si>
  <si>
    <t>,6+((ASIN((SIN(RADIANS(CH20))*60-(CH12))/(CH13))*180/PI())/15-CH14/60))</t>
  </si>
  <si>
    <t>juni</t>
  </si>
  <si>
    <t>Meel Syamsi/Declinasi</t>
  </si>
  <si>
    <t>Mohon Dikoreksi Jika Ada Salah Perhitungan</t>
  </si>
  <si>
    <t>Mohon Dikoreksi Jika Ada Salah Dalam Perhitungan</t>
  </si>
  <si>
    <t>AWAL WAKTU SHOLAT</t>
  </si>
  <si>
    <t>Daerah</t>
  </si>
  <si>
    <t>LT &amp; BT</t>
  </si>
  <si>
    <t>DATA</t>
  </si>
  <si>
    <t xml:space="preserve">decimal </t>
  </si>
  <si>
    <t>Jmd</t>
  </si>
  <si>
    <t>Jm/Mnt/Dtk</t>
  </si>
  <si>
    <t xml:space="preserve">Perata Waktu </t>
  </si>
  <si>
    <t>Declinasi</t>
  </si>
  <si>
    <t xml:space="preserve">februari </t>
  </si>
  <si>
    <t>D/JMD</t>
  </si>
  <si>
    <t>juli</t>
  </si>
  <si>
    <t xml:space="preserve">Meel Syamsi/Declinasi </t>
  </si>
  <si>
    <t>Selisih</t>
  </si>
  <si>
    <t>Lintang Ka'bah</t>
  </si>
  <si>
    <t>Busur Ka'bah</t>
  </si>
  <si>
    <t xml:space="preserve">Lintang Ka'bah </t>
  </si>
  <si>
    <t>Utara / Selatan?</t>
  </si>
  <si>
    <t>JB</t>
  </si>
  <si>
    <t>SU</t>
  </si>
  <si>
    <t>Selisih Busur</t>
  </si>
  <si>
    <t>BU 90°</t>
  </si>
  <si>
    <t>B-U 90°</t>
  </si>
  <si>
    <t>U-B 90°</t>
  </si>
  <si>
    <t>S Plus S Min</t>
  </si>
  <si>
    <t>U Plus S Min</t>
  </si>
  <si>
    <t>Fadlit Thulen</t>
  </si>
  <si>
    <t>9°30"</t>
  </si>
  <si>
    <t>Penyusun: Al-faqier Abdul Ghofur Bin Syamsuddin As-sapataani At-tanjironjie Al-bantanie</t>
  </si>
  <si>
    <t>februari</t>
  </si>
  <si>
    <t>بسم الله الرحمن الرحيم</t>
  </si>
  <si>
    <t xml:space="preserve">الحمد لله </t>
  </si>
  <si>
    <t>الحمد لله رب العالمين والصلاة والسلام على أشرف الأنبياء والمرسلين وعلى آله وصحبه اجمعين</t>
  </si>
  <si>
    <t xml:space="preserve">فهذه تقريرات فى علم الحساب الإصطلاحى جمعتها لنفسى وللمستفيدين </t>
  </si>
  <si>
    <t xml:space="preserve">لأنتفع بها معهم مدة حياتى </t>
  </si>
  <si>
    <t>لأنتفع بها معهم مدة حياتى ونا أسأل الله تعالى أن ينفع بها بعد مماتى وأن يجعل فيها الإخلاص</t>
  </si>
  <si>
    <t xml:space="preserve">الحمد لله رب العالمين والصلاة والسلام على أشرف الأنبياء والمرسلين وعلى آله </t>
  </si>
  <si>
    <t xml:space="preserve">الحمد لله رب العالمين والصلاة والسلام على أشرف الأنبياء والمرسلين </t>
  </si>
  <si>
    <t>الحمد لله رب العالمين والصلاة والسلام على أشرف الأنبياء والمرسلين</t>
  </si>
  <si>
    <t xml:space="preserve"> وعلى آله وصحبه اجمعين</t>
  </si>
  <si>
    <t xml:space="preserve"> وعلى آله وصحبه اجمعين أما بعد فهذه تقريرات فى علم الحساب الإصطلاحى</t>
  </si>
  <si>
    <t xml:space="preserve"> وعلى آله وصحبه اجمعين (أما بعد) فهذه تقريرات فى علم الحساب الإصطلاحى</t>
  </si>
  <si>
    <t xml:space="preserve"> وعلى آله وصحبه اجمعين (أما بعد)</t>
  </si>
  <si>
    <t xml:space="preserve"> وعلى آله وصحبه اجمعين (أما بعد) ،فهذه تقريرات فى علم الحساب الإصطلاحى</t>
  </si>
  <si>
    <t xml:space="preserve"> وعلى آله وصحبه اجمعين (أما بعد)  فهذه تقريرات فى علم الحساب الإصطلاحى</t>
  </si>
  <si>
    <t>جمعتها لنفسى وللمستفيدين</t>
  </si>
  <si>
    <t>جمعتها لنفسى وللمستفيدين لأنتفع بها معهم مدة حياتى ونا أسأل الله تعالى أن ينفع بها</t>
  </si>
  <si>
    <t>لنفسى وللمستفيدين</t>
  </si>
  <si>
    <t>بعد مماتى وأن يجعل فيها الإخلاص</t>
  </si>
  <si>
    <t xml:space="preserve">بعد مماتى وأن يجعل فيها الإخلاص والقبول آمين وأرجو ممن أطلع على هذه تقريرات </t>
  </si>
  <si>
    <t>من أهل المعرفة أن يصلح ما هو متعين الخطأ إلى ما هو الحق</t>
  </si>
  <si>
    <t>من أهل المعرفة أن يصلح ما هو متعين الخطأ إلى ما هو الحق والصواب</t>
  </si>
  <si>
    <t>وله على ذلك من الله الأجر والثواب</t>
  </si>
  <si>
    <t>DAFTAR</t>
  </si>
  <si>
    <t>Hal</t>
  </si>
  <si>
    <t>Perhitungan Tahun Hijriyah</t>
  </si>
  <si>
    <t>Perhitungan Tahun Masehi</t>
  </si>
  <si>
    <t>Kalender Masehi</t>
  </si>
  <si>
    <t>Hisab Isthilahi Tahun Hijriah</t>
  </si>
  <si>
    <t>Hisab Isthilahi Bulan Hijriah</t>
  </si>
  <si>
    <t>Hisab Isthilahi Bulan Hijriah &amp; Hari Pasaran</t>
  </si>
  <si>
    <t>Kalender Hijriah</t>
  </si>
  <si>
    <t>Perhitungan Awal Waktu Sholat Metode Taqribul Maqsod</t>
  </si>
  <si>
    <t>Perhitungan Arah Qobilat</t>
  </si>
  <si>
    <t>L-W</t>
  </si>
  <si>
    <t>Z-AH</t>
  </si>
  <si>
    <t>AJ-AX</t>
  </si>
  <si>
    <t>AZ-BD</t>
  </si>
  <si>
    <t>BF-BL</t>
  </si>
  <si>
    <t>BN-CB</t>
  </si>
  <si>
    <t>CE-CS</t>
  </si>
  <si>
    <t>Sampul</t>
  </si>
  <si>
    <t>Pembukaan</t>
  </si>
  <si>
    <t>A</t>
  </si>
  <si>
    <t>C-I</t>
  </si>
  <si>
    <t>JOIN</t>
  </si>
  <si>
    <t>DAFTAR HALAMAN LEMBAR EXCEL</t>
  </si>
  <si>
    <t>DAFTAR KOLOM LEMBAR EXCEL</t>
  </si>
  <si>
    <t>Kol</t>
  </si>
  <si>
    <t xml:space="preserve">JOIN SOSIAL MEDIA </t>
  </si>
  <si>
    <t>Kirim pesan ke SBK di WhatsApp. https://wa.me/6285882499758</t>
  </si>
  <si>
    <t>https://wa.me/6285882499758</t>
  </si>
  <si>
    <t>Mohon Dikoreksi Jika Ada Kesalahan Dalam Perhitungan</t>
  </si>
  <si>
    <t>Bu'du Goer Muaddal * 0.0833</t>
  </si>
  <si>
    <t>Penutupan</t>
  </si>
  <si>
    <t>Catatan: Agar Hasil Akurat Ketahui Terlebih Dahulu Busur/Lintang Tempat Masing-Masing Daerah</t>
  </si>
  <si>
    <t>Catatan: Mohon Maaf Karna Kami Tidak Mendata Lintang Tempat Masing-Masing Daerah</t>
  </si>
  <si>
    <t>Jadi Agar Hasilnya Akurat Ketahui Terlebih Dahulu Lintang Tempatnya</t>
  </si>
  <si>
    <t>Untuk Arah Qiblat Ketahui Arah Pososinya Dari Dari Garis Katulistiwa</t>
  </si>
  <si>
    <t>Untuk Arah Qiblat Ketahui Arah Pososinya Dari Garis Katulistiwa</t>
  </si>
  <si>
    <t>(خاتمة)</t>
  </si>
  <si>
    <t>قد اختلف العلماء فى حد الرؤية بحسب ارتفاعه ومكثه فى الأفق فقال بعضهم</t>
  </si>
  <si>
    <t>اقله ان يكون ارتفاعه تسع درج إلا ثلث درج وقال بعضهم سبع درج</t>
  </si>
  <si>
    <t>اقله ان يكون ارتفاعه تسع درج إلا ثلث درج وقال بعضهم سبع  درج وقال بعضهم</t>
  </si>
  <si>
    <t xml:space="preserve">ست درج هذا ما عليه المتقدمون من الفلكين </t>
  </si>
  <si>
    <t>ست درج هذا ما عليه المتقدمون من الفلكين</t>
  </si>
  <si>
    <t>ست درج هذا ما عليه المتقدمون من الفلكين وأما المتأخرون منهم فقد استدركوا</t>
  </si>
  <si>
    <t>الإمكان من درجتين فما فوقهما كما ذكره الشيخ محمود فى نتيجته</t>
  </si>
  <si>
    <t>والله أعلم بالصواب واليه المرجع والمآب وصلى الله على سيدنا محمد</t>
  </si>
  <si>
    <t>وعلى آله وصحبه وسلم والحمد لله رب العالمين</t>
  </si>
  <si>
    <t>محمد وعلى آله وصحبه وسلم والحمد لله رب العالمين</t>
  </si>
  <si>
    <t xml:space="preserve">والله أعلم بالصواب واليه المرجع والمآب وصلى الله على سيدنا </t>
  </si>
  <si>
    <t>(تمت)</t>
  </si>
  <si>
    <t>جمعتها لنفسى وللمستفيدين لأنتفع بها معهم مدة حياتى وانا أسأل الله تعالى أن ينفع بها</t>
  </si>
  <si>
    <t>CU-DB</t>
  </si>
  <si>
    <t>PROGRAM LAINNYA</t>
  </si>
  <si>
    <t>Ling</t>
  </si>
  <si>
    <t xml:space="preserve">Mohon Maaf Atas Segala Kesalahan Dan Kekurangannya </t>
  </si>
  <si>
    <t xml:space="preserve">Dan Mohon Maaf Atas Segala Kesalahan Dan Kekurangannya </t>
  </si>
  <si>
    <t xml:space="preserve">Kebenaran Mutlaq Hanya Milik Allah </t>
  </si>
  <si>
    <t>Dan Mohon Maaf Jika Ada Kesalahan Kekeliruan Karna Itu Mutlaq Dari Kebodoh Saya Pribadi</t>
  </si>
  <si>
    <t>Jika Benar Itu Mutlaq Dari Allah Melalui Washilah Guru Guru Saya</t>
  </si>
  <si>
    <t>Jika Benar Itu Mutlaq Dari Allah Melalui Washilah Guru-Guru Saya</t>
  </si>
  <si>
    <t>Dan Mohon Maaf Jika Ada Kesalahan Kekeliruan</t>
  </si>
  <si>
    <t>Karna Itu Mutlaq Dari Kebodoh Saya Pribadi</t>
  </si>
  <si>
    <t>Karna Itu Mutlaq Dari Kebodohan Saya Pribadi</t>
  </si>
  <si>
    <t>Karna Itu Mutlaq Dari Kebodohan Saya</t>
  </si>
  <si>
    <t>Dan Mohon Maaf Jika Ada Kesalahan Atau Kekeliruan</t>
  </si>
  <si>
    <t>Al-faqier Abdul Ghofur Bin Syamsuddin As-sapataani At-tanjironjie Al-bantanie</t>
  </si>
  <si>
    <t>Penyusun</t>
  </si>
  <si>
    <t>Perhitungan Kalkulator Fx 603 P</t>
  </si>
  <si>
    <t>Penjelasan Rubu Mujayyab (Taqribul Maqsod)</t>
  </si>
  <si>
    <t>Rumus Perhitungan Bulan Qomariyah Kalkulator Fx 603 P</t>
  </si>
  <si>
    <t>Rumus Perhitungan Awal Waktu</t>
  </si>
  <si>
    <t>Rumus Perhitungan Awal Bulan Qomariyah Kalkulator Fx 603 P</t>
  </si>
  <si>
    <t>Rumus Perhitungan Awal Bulan Masehi Kalkulator Fx 603 P</t>
  </si>
  <si>
    <t>Rumus Perhitungan Awal Bulan Hijriah Kalkulator Fx 603 P</t>
  </si>
  <si>
    <t>Rumus Perhitungan Awal Waktu Sholat Fx 603 P</t>
  </si>
  <si>
    <t>Penjelasan Risalah Uula</t>
  </si>
  <si>
    <t>Penjelasan Risalah Stani</t>
  </si>
  <si>
    <t>Penjelasan Risalah Uula Kalkulator Fx 603 P</t>
  </si>
  <si>
    <t>Penjelasan Risalah Stani Kalkulator Fx 603 P</t>
  </si>
  <si>
    <t>Penjelasan Risalah Uula &amp; Rumusnya</t>
  </si>
  <si>
    <t>Penjelasan Risalah Stani &amp; Rumusnya</t>
  </si>
  <si>
    <t>Penjelasan Risalah Uula &amp; Cara Programnya</t>
  </si>
  <si>
    <t>Penjelasan Risalah Stani &amp; Cara Programnya</t>
  </si>
  <si>
    <t>Penjelasan Risalah Uula &amp; Cara Programnya Di Excel</t>
  </si>
  <si>
    <t>Penjelasan Risalah Stani &amp; Cara Programnya Di Excel</t>
  </si>
  <si>
    <t>DAFTAR PROGRAM LAINNYA</t>
  </si>
  <si>
    <t>Penjelasan Tahun H &amp; Cara Programnya + Cara membuat Program Kalender</t>
  </si>
  <si>
    <t>Penjelasan Tahun M &amp; Cara Programnya + Cara Membuat Program Kalender</t>
  </si>
  <si>
    <t>Perhitungan Arah Qiblat Kalkulator Fx 603 P</t>
  </si>
  <si>
    <t>Penjelasan Arah Qiblat + Cara Programnya</t>
  </si>
  <si>
    <t>Catata: Program Ini Khusus Untuk Privat</t>
  </si>
  <si>
    <t>Ihktilaf</t>
  </si>
  <si>
    <t>Ikhtilaf</t>
  </si>
  <si>
    <t>PERHITUNGAN ISRTIPA ASHAR</t>
  </si>
  <si>
    <t>Catatan: Program Ini Khusus Untuk Privat</t>
  </si>
  <si>
    <t>Penyusun:</t>
  </si>
  <si>
    <t>Catatan: Program Ini Khusus Untuk Privat/Langsung Bertatap Muka</t>
  </si>
  <si>
    <t>Penjelasan Tahun H &amp; Cara Programnya + Cara membuat Program Kalender H</t>
  </si>
  <si>
    <t>aceh barat daya</t>
  </si>
  <si>
    <t>Tahun Baru Masehi</t>
  </si>
  <si>
    <t>ANGARAN SA'AH GURUBIYAH</t>
  </si>
  <si>
    <t>PERHITUNGAN SA'AH ZAWALIYAH</t>
  </si>
  <si>
    <t>Jika Benar Itu Mutlaq Dari Allah Washilah Guru-Guru Saya</t>
  </si>
  <si>
    <t>Catatan: Untuk Perhitungan Sa'ah Zawaliyah Patokan Dhuhur Adalah 12:04 Sedangkan Menurut</t>
  </si>
  <si>
    <t>Catatan: Untuk Perhitungan Sa'ah Zawaliyah Patokan Dhuhur Adalah 12:04</t>
  </si>
  <si>
    <t>Sedangkan Dalam Perhitungan Ulugbeik Untuk Menentukan Waktu Dzuhur Adalah</t>
  </si>
  <si>
    <t>Dengan Mengetahui Waktu Istiwa Terlebih Dahulu. Program Ulugbeik Ada Di Program Yang Lain</t>
  </si>
  <si>
    <t>Dengan Mengetahui Waktu Istiwa Terlebih Dahulu. Cek Program Ulugbeik.!!!</t>
  </si>
  <si>
    <t>Dengan Terlebih Dahulu Mengetahui Waktu Istiwa Terlebih Dahulu. Cek Program Ulugbeik.!!!</t>
  </si>
  <si>
    <t>B-U 270°/90°</t>
  </si>
  <si>
    <t>U-B 270°/90°</t>
  </si>
  <si>
    <t>25 Febuari 2024 M  ---  15 Sya'ban 1445 H</t>
  </si>
  <si>
    <t>☆ 25 Febuari 2024 M  ~~~  15 Sya'ban 1445 H ☆</t>
  </si>
  <si>
    <t>☆ Al-faqier Abdul Ghofur Bin Syamsuddin As-sapataani At-tanjironjie Al-bantanie ☆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</si>
</sst>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0.000"/>
    <numFmt numFmtId="165" formatCode="0.0000"/>
    <numFmt numFmtId="1" formatCode="0"/>
    <numFmt numFmtId="2" formatCode="0.00"/>
    <numFmt numFmtId="3" formatCode="#,##0"/>
    <numFmt numFmtId="166" formatCode="0.00000"/>
  </numFmts>
  <fonts count="67">
    <font>
      <name val="Arial"/>
      <sz val="11"/>
    </font>
    <font>
      <name val="Arial"/>
      <sz val="11"/>
    </font>
    <font>
      <name val="Arial"/>
      <sz val="11"/>
    </font>
    <font>
      <name val="Arial"/>
      <sz val="11"/>
      <color rgb="FFFFFFFF"/>
    </font>
    <font>
      <name val="Arial"/>
      <b/>
      <i/>
      <sz val="11"/>
    </font>
    <font>
      <name val="Arial"/>
      <b/>
      <i/>
      <sz val="18"/>
    </font>
    <font>
      <name val="Arial"/>
      <b/>
      <i/>
      <sz val="16"/>
    </font>
    <font>
      <name val="Arial"/>
      <b/>
      <sz val="11"/>
      <color rgb="FFFFFFFF"/>
    </font>
    <font>
      <name val="Arial"/>
      <b/>
      <sz val="11"/>
    </font>
    <font>
      <name val="Arial"/>
      <b/>
      <sz val="16"/>
    </font>
    <font>
      <name val="Arial"/>
      <b/>
      <i/>
      <sz val="14"/>
    </font>
    <font>
      <name val="Arial"/>
      <b/>
      <i/>
      <sz val="12"/>
    </font>
    <font>
      <name val="Arial"/>
      <b/>
      <i/>
      <sz val="32"/>
    </font>
    <font>
      <name val="Arial"/>
      <b/>
      <i/>
      <sz val="12"/>
      <color rgb="FF000000"/>
    </font>
    <font>
      <name val="Arial"/>
      <b/>
      <sz val="12"/>
    </font>
    <font>
      <name val="Arial"/>
      <sz val="11"/>
    </font>
    <font>
      <name val="Arial"/>
      <i/>
      <sz val="11"/>
    </font>
    <font>
      <name val="Arial"/>
      <b/>
      <i/>
      <sz val="28"/>
    </font>
    <font>
      <name val="Arial"/>
      <b/>
      <i/>
      <sz val="20"/>
    </font>
    <font>
      <name val="Arial"/>
      <b/>
      <i/>
      <sz val="11"/>
      <color rgb="FFFFFFFF"/>
    </font>
    <font>
      <name val="Arial"/>
      <b/>
      <i/>
      <sz val="12"/>
      <color rgb="FFC00000"/>
    </font>
    <font>
      <name val="Arial"/>
      <b/>
      <i/>
      <sz val="12"/>
      <color rgb="FFBF0000"/>
    </font>
    <font>
      <name val="Arial"/>
      <b/>
      <i/>
      <sz val="24"/>
    </font>
    <font>
      <name val="Arial"/>
      <b/>
      <sz val="60"/>
      <color rgb="FF008000"/>
    </font>
    <font>
      <name val="Arial"/>
      <b/>
      <sz val="14"/>
    </font>
    <font>
      <name val="Arial"/>
      <sz val="12"/>
    </font>
    <font>
      <name val="Arial"/>
      <sz val="14"/>
    </font>
    <font>
      <name val="Arial"/>
      <i/>
      <sz val="12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charset val="134"/>
      <sz val="14"/>
    </font>
    <font>
      <name val="Arial"/>
      <b/>
      <charset val="134"/>
      <sz val="11"/>
    </font>
    <font>
      <name val="Arial"/>
      <b/>
      <charset val="134"/>
      <sz val="10"/>
    </font>
    <font>
      <name val="Arial"/>
      <b/>
      <i/>
      <charset val="134"/>
      <sz val="10"/>
    </font>
    <font>
      <name val="Arial"/>
      <b/>
      <charset val="134"/>
      <sz val="10"/>
    </font>
    <font>
      <name val="Arial"/>
      <sz val="11"/>
    </font>
    <font>
      <name val="Calibri"/>
      <sz val="11"/>
    </font>
    <font>
      <name val="Calibri"/>
      <b/>
      <sz val="11"/>
    </font>
    <font>
      <name val="Calibri"/>
      <b/>
      <charset val="134"/>
      <sz val="11"/>
      <color rgb="FF000000"/>
    </font>
    <font>
      <name val="Calibri"/>
      <charset val="134"/>
      <sz val="11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charset val="178"/>
      <sz val="10"/>
    </font>
    <font>
      <name val="Calibri"/>
      <charset val="134"/>
      <sz val="11"/>
      <color rgb="FF000000"/>
    </font>
    <font>
      <name val="Arial"/>
      <b/>
      <charset val="134"/>
      <sz val="10"/>
    </font>
    <font>
      <name val="Arial"/>
      <b/>
      <charset val="134"/>
      <sz val="10"/>
    </font>
    <font>
      <name val="Arial"/>
      <b/>
      <charset val="134"/>
      <sz val="1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Arial"/>
      <sz val="12"/>
    </font>
    <font>
      <name val="Arial"/>
      <sz val="11"/>
    </font>
    <font>
      <name val="Arial"/>
      <sz val="11"/>
    </font>
    <font>
      <name val="Times New Roman"/>
      <b/>
      <sz val="12"/>
      <color rgb="FF000000"/>
    </font>
    <font>
      <name val="Arial"/>
      <sz val="11"/>
    </font>
    <font>
      <name val="Arial"/>
      <b/>
      <sz val="1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0" xfId="0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" fillId="0" borderId="0" xfId="0" applyBorder="1">
      <alignment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5" fillId="0" borderId="0" xfId="0" applyBorder="1">
      <alignment vertical="center"/>
    </xf>
    <xf numFmtId="0" fontId="16" fillId="3" borderId="1" xfId="0" applyFont="1" applyFill="1" applyBorder="1">
      <alignment vertical="center"/>
    </xf>
    <xf numFmtId="164" fontId="15" fillId="0" borderId="0" xfId="0" applyNumberFormat="1" applyBorder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  <protection locked="0" hidden="0"/>
    </xf>
    <xf numFmtId="0" fontId="11" fillId="3" borderId="1" xfId="0" applyFont="1" applyFill="1" applyBorder="1" applyAlignment="1">
      <alignment horizontal="center" vertical="center"/>
      <protection locked="0" hidden="0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center" vertical="center"/>
      <protection locked="0" hidden="0"/>
    </xf>
    <xf numFmtId="0" fontId="19" fillId="2" borderId="0" xfId="0" applyFont="1" applyFill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2" fontId="8" fillId="2" borderId="0" xfId="0" applyNumberFormat="1" applyFont="1" applyFill="1" applyBorder="1">
      <alignment vertical="center"/>
    </xf>
    <xf numFmtId="164" fontId="20" fillId="3" borderId="1" xfId="0" applyNumberFormat="1" applyFont="1" applyFill="1" applyBorder="1" applyAlignment="1">
      <alignment horizontal="center" vertical="center"/>
      <protection locked="0" hidden="0"/>
    </xf>
    <xf numFmtId="0" fontId="21" fillId="3" borderId="1" xfId="0" applyFont="1" applyFill="1" applyBorder="1" applyAlignment="1">
      <alignment horizontal="center" vertical="center"/>
      <protection locked="0" hidden="0"/>
    </xf>
    <xf numFmtId="2" fontId="8" fillId="0" borderId="0" xfId="0" applyNumberFormat="1" applyFont="1" applyFill="1" applyBorder="1">
      <alignment vertical="center"/>
    </xf>
    <xf numFmtId="164" fontId="21" fillId="3" borderId="1" xfId="0" applyNumberFormat="1" applyFont="1" applyFill="1" applyBorder="1" applyAlignment="1">
      <alignment horizontal="center" vertical="center"/>
      <protection locked="0" hidden="0"/>
    </xf>
    <xf numFmtId="0" fontId="13" fillId="3" borderId="1" xfId="0" applyFont="1" applyFill="1" applyBorder="1" applyAlignment="1">
      <alignment horizontal="center" vertical="center"/>
      <protection locked="0" hidden="0"/>
    </xf>
    <xf numFmtId="0" fontId="10" fillId="3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  <protection locked="0" hidden="0"/>
    </xf>
    <xf numFmtId="0" fontId="4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  <protection locked="0" hidden="0"/>
    </xf>
    <xf numFmtId="165" fontId="8" fillId="0" borderId="0" xfId="0" applyNumberFormat="1" applyFont="1" applyFill="1" applyBorder="1">
      <alignment vertical="center"/>
    </xf>
    <xf numFmtId="0" fontId="2" fillId="2" borderId="0" xfId="0" applyFill="1" applyBorder="1">
      <alignment vertical="center"/>
    </xf>
    <xf numFmtId="0" fontId="13" fillId="3" borderId="1" xfId="0" applyFont="1" applyFill="1" applyBorder="1" applyAlignment="1">
      <alignment horizontal="left" vertical="center"/>
      <protection locked="1" hidden="1"/>
    </xf>
    <xf numFmtId="0" fontId="11" fillId="3" borderId="1" xfId="0" applyFont="1" applyFill="1" applyBorder="1" applyAlignment="1">
      <alignment horizontal="center" vertical="center"/>
      <protection locked="1" hidden="1"/>
    </xf>
    <xf numFmtId="0" fontId="19" fillId="2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  <protection locked="1" hidden="1"/>
    </xf>
    <xf numFmtId="164" fontId="8" fillId="0" borderId="0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>
      <alignment vertical="center"/>
    </xf>
    <xf numFmtId="0" fontId="26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5" fillId="0" borderId="0" xfId="0" applyFill="1" applyBorder="1">
      <alignment vertical="center"/>
    </xf>
    <xf numFmtId="0" fontId="11" fillId="3" borderId="1" xfId="0" applyFont="1" applyFill="1" applyBorder="1" applyAlignment="1">
      <alignment horizontal="left" vertical="center"/>
      <protection locked="1" hidden="1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right" vertical="center"/>
    </xf>
    <xf numFmtId="164" fontId="11" fillId="3" borderId="1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27" fillId="3" borderId="1" xfId="0" applyFont="1" applyFill="1" applyBorder="1">
      <alignment vertical="center"/>
    </xf>
    <xf numFmtId="0" fontId="28" fillId="2" borderId="0" xfId="0" applyFill="1" applyBorder="1">
      <alignment vertical="center"/>
    </xf>
    <xf numFmtId="0" fontId="14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16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29" fillId="5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30" fillId="0" borderId="0" xfId="0" applyBorder="1" applyAlignment="1">
      <alignment horizontal="center" vertical="center"/>
    </xf>
    <xf numFmtId="0" fontId="2" fillId="2" borderId="0" xfId="0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 vertical="center"/>
    </xf>
    <xf numFmtId="0" fontId="32" fillId="0" borderId="0" xfId="0" applyNumberFormat="1" applyFont="1" applyAlignment="1">
      <alignment horizontal="center" vertical="bottom"/>
    </xf>
    <xf numFmtId="0" fontId="33" fillId="0" borderId="0" xfId="0" applyNumberFormat="1" applyFont="1" applyAlignment="1">
      <alignment horizontal="center" vertical="bottom"/>
    </xf>
    <xf numFmtId="0" fontId="34" fillId="0" borderId="0" xfId="0" applyNumberFormat="1" applyFont="1" applyAlignment="1">
      <alignment vertical="bottom"/>
    </xf>
    <xf numFmtId="0" fontId="35" fillId="0" borderId="0" xfId="0" applyNumberFormat="1" applyFont="1" applyAlignment="1">
      <alignment vertical="bottom"/>
    </xf>
    <xf numFmtId="0" fontId="32" fillId="0" borderId="1" xfId="0" applyNumberFormat="1" applyFont="1" applyBorder="1" applyAlignment="1">
      <alignment horizontal="left" vertical="center" readingOrder="1"/>
    </xf>
    <xf numFmtId="0" fontId="36" fillId="0" borderId="1" xfId="0" applyNumberFormat="1" applyFont="1" applyBorder="1" applyAlignment="1">
      <alignment horizontal="left" vertical="center"/>
    </xf>
    <xf numFmtId="0" fontId="32" fillId="0" borderId="1" xfId="0" applyNumberFormat="1" applyFont="1" applyBorder="1" applyAlignment="1">
      <alignment horizontal="left" vertical="center"/>
    </xf>
    <xf numFmtId="0" fontId="33" fillId="0" borderId="1" xfId="0" applyNumberFormat="1" applyFont="1" applyBorder="1" applyAlignment="1">
      <alignment horizontal="center" vertical="center" readingOrder="1"/>
    </xf>
    <xf numFmtId="0" fontId="33" fillId="0" borderId="1" xfId="0" applyNumberFormat="1" applyFont="1" applyBorder="1" applyAlignment="1">
      <alignment horizontal="center" vertical="center"/>
    </xf>
    <xf numFmtId="0" fontId="37" fillId="0" borderId="0" xfId="0" applyNumberFormat="1" applyFont="1">
      <alignment vertical="center"/>
    </xf>
    <xf numFmtId="0" fontId="38" fillId="0" borderId="1" xfId="0" applyNumberFormat="1" applyFont="1" applyBorder="1" applyAlignment="1">
      <alignment horizontal="left" vertical="center"/>
    </xf>
    <xf numFmtId="164" fontId="39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center" vertical="center"/>
    </xf>
    <xf numFmtId="3" fontId="40" fillId="0" borderId="0" xfId="0" applyNumberFormat="1" applyFont="1">
      <alignment vertical="center"/>
    </xf>
    <xf numFmtId="164" fontId="38" fillId="0" borderId="1" xfId="0" applyNumberFormat="1" applyFont="1" applyBorder="1" applyAlignment="1">
      <alignment horizontal="center" vertical="center"/>
    </xf>
    <xf numFmtId="164" fontId="41" fillId="0" borderId="0" xfId="0" applyNumberFormat="1" applyFont="1" applyAlignment="1">
      <alignment vertical="bottom"/>
    </xf>
    <xf numFmtId="0" fontId="8" fillId="0" borderId="1" xfId="0" applyNumberFormat="1" applyFont="1" applyBorder="1" applyAlignment="1">
      <alignment horizontal="left" vertical="center"/>
    </xf>
    <xf numFmtId="0" fontId="33" fillId="0" borderId="0" xfId="0" applyNumberFormat="1" applyFont="1" applyBorder="1" applyAlignment="1">
      <alignment vertical="bottom"/>
    </xf>
    <xf numFmtId="0" fontId="33" fillId="0" borderId="1" xfId="0" applyNumberFormat="1" applyFont="1" applyBorder="1" applyAlignment="1">
      <alignment horizontal="right" vertical="bottom" readingOrder="1"/>
    </xf>
    <xf numFmtId="0" fontId="38" fillId="0" borderId="1" xfId="0" applyNumberFormat="1" applyFont="1" applyBorder="1">
      <alignment vertical="center"/>
    </xf>
    <xf numFmtId="0" fontId="42" fillId="0" borderId="0" xfId="0" applyNumberFormat="1" applyFont="1" applyAlignment="1">
      <alignment horizontal="center" vertical="bottom"/>
    </xf>
    <xf numFmtId="0" fontId="43" fillId="0" borderId="6" xfId="0" applyNumberFormat="1" applyFont="1" applyBorder="1" applyAlignment="1">
      <alignment vertical="bottom"/>
    </xf>
    <xf numFmtId="164" fontId="44" fillId="0" borderId="6" xfId="0" applyNumberFormat="1" applyFont="1" applyBorder="1" applyAlignment="1">
      <alignment vertical="bottom" readingOrder="1"/>
    </xf>
    <xf numFmtId="164" fontId="45" fillId="0" borderId="6" xfId="0" applyNumberFormat="1" applyFont="1" applyBorder="1" applyAlignment="1">
      <alignment vertical="bottom"/>
    </xf>
    <xf numFmtId="164" fontId="46" fillId="0" borderId="6" xfId="0" applyNumberFormat="1" applyFont="1" applyBorder="1" applyAlignment="1">
      <alignment vertical="bottom" readingOrder="2"/>
    </xf>
    <xf numFmtId="0" fontId="47" fillId="0" borderId="6" xfId="0" applyNumberFormat="1" applyFont="1" applyBorder="1" applyAlignment="1">
      <alignment vertical="bottom"/>
    </xf>
    <xf numFmtId="0" fontId="39" fillId="0" borderId="1" xfId="0" applyNumberFormat="1" applyFont="1" applyBorder="1" applyAlignment="1">
      <alignment vertical="bottom" readingOrder="1"/>
    </xf>
    <xf numFmtId="0" fontId="48" fillId="0" borderId="0" xfId="0" applyNumberFormat="1" applyFont="1" applyAlignment="1">
      <alignment horizontal="left" vertical="bottom"/>
    </xf>
    <xf numFmtId="164" fontId="39" fillId="0" borderId="1" xfId="0" applyNumberFormat="1" applyFont="1" applyBorder="1" applyAlignment="1">
      <alignment horizontal="right" vertical="bottom"/>
    </xf>
    <xf numFmtId="164" fontId="39" fillId="0" borderId="1" xfId="0" applyNumberFormat="1" applyFont="1" applyBorder="1" applyAlignment="1">
      <alignment vertical="bottom"/>
    </xf>
    <xf numFmtId="164" fontId="49" fillId="0" borderId="6" xfId="0" applyNumberFormat="1" applyFont="1" applyBorder="1" applyAlignment="1">
      <alignment vertical="bottom"/>
    </xf>
    <xf numFmtId="0" fontId="33" fillId="0" borderId="0" xfId="0" applyNumberFormat="1" applyFont="1" applyBorder="1" applyAlignment="1">
      <alignment horizontal="right" vertical="bottom"/>
    </xf>
    <xf numFmtId="0" fontId="8" fillId="0" borderId="1" xfId="0" applyFont="1" applyBorder="1" applyAlignment="1">
      <alignment horizontal="center" vertical="center"/>
    </xf>
    <xf numFmtId="0" fontId="37" fillId="0" borderId="0" xfId="0" applyNumberFormat="1" applyFont="1" applyBorder="1">
      <alignment vertical="center"/>
    </xf>
    <xf numFmtId="1" fontId="50" fillId="0" borderId="0" xfId="0" applyNumberFormat="1" applyFont="1" applyAlignment="1">
      <alignment vertical="bottom"/>
    </xf>
    <xf numFmtId="0" fontId="51" fillId="0" borderId="0" xfId="0" applyNumberFormat="1" applyFont="1" applyBorder="1" applyAlignment="1">
      <alignment vertical="bottom"/>
    </xf>
    <xf numFmtId="2" fontId="39" fillId="0" borderId="1" xfId="0" applyNumberFormat="1" applyFont="1" applyBorder="1" applyAlignment="1">
      <alignment horizontal="center" vertical="center"/>
    </xf>
    <xf numFmtId="0" fontId="52" fillId="0" borderId="0" xfId="0" applyNumberFormat="1" applyFont="1" applyAlignment="1">
      <alignment vertical="bottom"/>
    </xf>
    <xf numFmtId="164" fontId="53" fillId="0" borderId="0" xfId="0" applyNumberFormat="1" applyFont="1" applyAlignment="1">
      <alignment horizontal="left" vertical="bottom" readingOrder="2"/>
    </xf>
    <xf numFmtId="164" fontId="54" fillId="0" borderId="0" xfId="0" applyNumberFormat="1" applyFont="1" applyAlignment="1">
      <alignment vertical="bottom"/>
    </xf>
    <xf numFmtId="164" fontId="55" fillId="0" borderId="0" xfId="0" applyNumberFormat="1" applyFont="1" applyAlignment="1">
      <alignment horizontal="left" vertical="bottom"/>
    </xf>
    <xf numFmtId="0" fontId="56" fillId="0" borderId="7" xfId="0" applyNumberFormat="1" applyFont="1" applyBorder="1" applyAlignment="1">
      <alignment vertical="bottom"/>
    </xf>
    <xf numFmtId="164" fontId="57" fillId="0" borderId="8" xfId="0" applyNumberFormat="1" applyFont="1" applyBorder="1" applyAlignment="1">
      <alignment vertical="bottom"/>
    </xf>
    <xf numFmtId="164" fontId="58" fillId="0" borderId="6" xfId="0" applyNumberFormat="1" applyFont="1" applyBorder="1" applyAlignment="1">
      <alignment horizontal="center" vertical="bottom"/>
    </xf>
    <xf numFmtId="164" fontId="59" fillId="0" borderId="6" xfId="0" applyNumberFormat="1" applyFont="1" applyBorder="1" applyAlignment="1">
      <alignment horizontal="right" vertical="bottom"/>
    </xf>
    <xf numFmtId="0" fontId="60" fillId="0" borderId="6" xfId="0" applyNumberFormat="1" applyFont="1" applyBorder="1" applyAlignment="1">
      <alignment horizontal="center" vertical="bottom"/>
    </xf>
    <xf numFmtId="0" fontId="24" fillId="0" borderId="5" xfId="0" applyFont="1" applyBorder="1" applyAlignment="1">
      <alignment horizontal="center" vertical="center"/>
    </xf>
    <xf numFmtId="0" fontId="38" fillId="5" borderId="4" xfId="0" applyNumberFormat="1" applyFont="1" applyFill="1" applyBorder="1" applyAlignment="1">
      <alignment horizontal="left" vertical="center"/>
    </xf>
    <xf numFmtId="0" fontId="38" fillId="5" borderId="9" xfId="0" applyNumberFormat="1" applyFont="1" applyFill="1" applyBorder="1" applyAlignment="1">
      <alignment horizontal="left" vertical="center"/>
    </xf>
    <xf numFmtId="0" fontId="61" fillId="0" borderId="1" xfId="0" applyFont="1" applyBorder="1">
      <alignment vertical="center"/>
    </xf>
    <xf numFmtId="0" fontId="38" fillId="5" borderId="1" xfId="0" applyNumberFormat="1" applyFont="1" applyFill="1" applyBorder="1" applyAlignment="1">
      <alignment horizontal="left" vertical="center"/>
    </xf>
    <xf numFmtId="164" fontId="38" fillId="5" borderId="1" xfId="0" applyNumberFormat="1" applyFont="1" applyFill="1" applyBorder="1" applyAlignment="1">
      <alignment horizontal="left" vertical="center"/>
    </xf>
    <xf numFmtId="0" fontId="38" fillId="5" borderId="10" xfId="0" applyNumberFormat="1" applyFont="1" applyFill="1" applyBorder="1" applyAlignment="1">
      <alignment horizontal="left" vertical="center"/>
    </xf>
    <xf numFmtId="164" fontId="61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right" vertical="center"/>
    </xf>
    <xf numFmtId="0" fontId="8" fillId="5" borderId="1" xfId="0" applyNumberFormat="1" applyFont="1" applyFill="1" applyBorder="1" applyAlignment="1">
      <alignment horizontal="right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62" fillId="0" borderId="1" xfId="0" applyBorder="1">
      <alignment vertical="center"/>
    </xf>
    <xf numFmtId="164" fontId="63" fillId="0" borderId="1" xfId="0" applyNumberFormat="1" applyBorder="1">
      <alignment vertical="center"/>
    </xf>
    <xf numFmtId="164" fontId="8" fillId="5" borderId="1" xfId="0" applyNumberFormat="1" applyFont="1" applyFill="1" applyBorder="1" applyAlignment="1">
      <alignment horizontal="right" vertical="center"/>
    </xf>
    <xf numFmtId="0" fontId="62" fillId="0" borderId="10" xfId="0" applyBorder="1">
      <alignment vertical="center"/>
    </xf>
    <xf numFmtId="0" fontId="62" fillId="0" borderId="1" xfId="0" applyBorder="1" applyAlignment="1">
      <alignment horizontal="left" vertical="center"/>
    </xf>
    <xf numFmtId="0" fontId="62" fillId="0" borderId="10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62" fillId="0" borderId="1" xfId="0" applyNumberForma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NumberFormat="1" applyFont="1" applyFill="1" applyBorder="1">
      <alignment vertical="center"/>
    </xf>
    <xf numFmtId="164" fontId="8" fillId="0" borderId="1" xfId="0" applyNumberFormat="1" applyFont="1" applyFill="1" applyBorder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left" vertical="bottom"/>
    </xf>
    <xf numFmtId="0" fontId="8" fillId="0" borderId="2" xfId="0" applyFont="1" applyBorder="1">
      <alignment vertical="center"/>
    </xf>
    <xf numFmtId="0" fontId="64" fillId="0" borderId="1" xfId="0" applyNumberFormat="1" applyFont="1" applyBorder="1" applyAlignment="1">
      <alignment horizontal="center" vertical="center"/>
    </xf>
    <xf numFmtId="0" fontId="64" fillId="0" borderId="10" xfId="0" applyNumberFormat="1" applyFont="1" applyBorder="1" applyAlignment="1">
      <alignment horizontal="center" vertical="center"/>
    </xf>
    <xf numFmtId="0" fontId="64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left" vertical="center"/>
    </xf>
    <xf numFmtId="0" fontId="65" fillId="0" borderId="1" xfId="0" applyBorder="1" applyAlignment="1">
      <alignment horizontal="center" vertical="center"/>
    </xf>
    <xf numFmtId="164" fontId="65" fillId="0" borderId="1" xfId="0" applyNumberFormat="1" applyBorder="1" applyAlignment="1">
      <alignment horizontal="center" vertical="center"/>
    </xf>
    <xf numFmtId="0" fontId="38" fillId="5" borderId="11" xfId="0" applyNumberFormat="1" applyFont="1" applyFill="1" applyBorder="1" applyAlignment="1">
      <alignment horizontal="left" vertical="center"/>
    </xf>
    <xf numFmtId="0" fontId="8" fillId="5" borderId="2" xfId="0" applyNumberFormat="1" applyFont="1" applyFill="1" applyBorder="1" applyAlignment="1">
      <alignment horizontal="right" vertical="center"/>
    </xf>
    <xf numFmtId="0" fontId="38" fillId="5" borderId="10" xfId="0" applyNumberFormat="1" applyFont="1" applyFill="1" applyBorder="1" applyAlignment="1">
      <alignment horizontal="left" vertical="center"/>
    </xf>
    <xf numFmtId="0" fontId="8" fillId="0" borderId="10" xfId="0" applyFont="1" applyBorder="1">
      <alignment vertical="center"/>
    </xf>
    <xf numFmtId="0" fontId="25" fillId="0" borderId="1" xfId="0" applyFont="1" applyBorder="1">
      <alignment vertical="center"/>
    </xf>
    <xf numFmtId="0" fontId="8" fillId="5" borderId="0" xfId="0" applyNumberFormat="1" applyFont="1" applyFill="1" applyBorder="1" applyAlignment="1">
      <alignment horizontal="right" vertical="center"/>
    </xf>
    <xf numFmtId="1" fontId="8" fillId="5" borderId="1" xfId="0" applyNumberFormat="1" applyFont="1" applyFill="1" applyBorder="1" applyAlignment="1">
      <alignment horizontal="right" vertical="center"/>
    </xf>
    <xf numFmtId="164" fontId="8" fillId="0" borderId="3" xfId="0" applyNumberFormat="1" applyFont="1" applyBorder="1">
      <alignment vertical="center"/>
    </xf>
    <xf numFmtId="0" fontId="8" fillId="5" borderId="4" xfId="0" applyNumberFormat="1" applyFont="1" applyFill="1" applyBorder="1" applyAlignment="1">
      <alignment horizontal="right" vertical="center"/>
    </xf>
    <xf numFmtId="164" fontId="38" fillId="5" borderId="10" xfId="0" applyNumberFormat="1" applyFont="1" applyFill="1" applyBorder="1" applyAlignment="1">
      <alignment horizontal="left" vertical="center"/>
    </xf>
    <xf numFmtId="164" fontId="61" fillId="0" borderId="1" xfId="0" applyNumberFormat="1" applyFont="1" applyBorder="1">
      <alignment vertical="center"/>
    </xf>
    <xf numFmtId="164" fontId="25" fillId="0" borderId="1" xfId="0" applyNumberFormat="1" applyFont="1" applyBorder="1">
      <alignment vertical="center"/>
    </xf>
    <xf numFmtId="2" fontId="8" fillId="5" borderId="1" xfId="0" applyNumberFormat="1" applyFont="1" applyFill="1" applyBorder="1" applyAlignment="1">
      <alignment horizontal="right" vertical="center"/>
    </xf>
    <xf numFmtId="0" fontId="8" fillId="0" borderId="10" xfId="0" applyNumberFormat="1" applyFont="1" applyFill="1" applyBorder="1">
      <alignment vertical="center"/>
    </xf>
    <xf numFmtId="0" fontId="66" fillId="3" borderId="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5" fillId="3" borderId="0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fgColor indexed="0"/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www.wps.cn/officeDocument/2020/cellImage" Target="cellimages.xml"/><Relationship Id="rId20" Type="http://schemas.openxmlformats.org/officeDocument/2006/relationships/sharedStrings" Target="sharedStrings.xml"/><Relationship Id="rId21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hyperlink" Target="https://wa.me/6285882499758" TargetMode="External"/><Relationship Id="rId3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R103"/>
  <sheetViews>
    <sheetView tabSelected="1" workbookViewId="0" topLeftCell="J8" zoomScale="52">
      <selection activeCell="M8" sqref="M8"/>
    </sheetView>
  </sheetViews>
  <sheetFormatPr defaultRowHeight="30.0" defaultColWidth="10"/>
  <cols>
    <col min="1" max="1" customWidth="1" width="86.16016" style="1"/>
    <col min="2" max="2" customWidth="1" width="10.796875" style="2"/>
    <col min="3" max="3" customWidth="1" width="13.7109375" style="2"/>
    <col min="4" max="4" customWidth="1" width="13.7109375" style="2"/>
    <col min="5" max="5" customWidth="1" width="13.7109375" style="2"/>
    <col min="6" max="6" customWidth="1" width="13.7109375" style="2"/>
    <col min="7" max="7" customWidth="1" width="13.7109375" style="2"/>
    <col min="8" max="8" customWidth="1" width="13.7109375" style="2"/>
    <col min="9" max="9" customWidth="1" width="13.7109375" style="2"/>
    <col min="10" max="10" customWidth="1" width="10.0" style="0"/>
    <col min="11" max="11" hidden="1" customWidth="1" width="4.1992188" style="0"/>
    <col min="12" max="12" customWidth="1" width="12.625" style="0"/>
    <col min="13" max="13" customWidth="1" width="12.8515625" style="0"/>
    <col min="14" max="14" customWidth="1" bestFit="1" width="2.7109375" style="0"/>
    <col min="15" max="15" customWidth="1" width="12.832031" style="0"/>
    <col min="16" max="16" customWidth="1" width="2.7109375" style="0"/>
    <col min="17" max="17" customWidth="1" width="12.832031" style="0"/>
    <col min="18" max="18" customWidth="1" bestFit="1" width="2.7109375" style="0"/>
    <col min="19" max="19" customWidth="1" bestFit="1" width="12.7109375" style="0"/>
    <col min="20" max="20" customWidth="1" bestFit="1" width="2.7109375" style="0"/>
    <col min="21" max="21" customWidth="1" bestFit="1" width="12.7109375" style="0"/>
    <col min="22" max="22" customWidth="1" bestFit="1" width="2.7109375" style="0"/>
    <col min="23" max="23" customWidth="1" bestFit="1" width="12.832031" style="0"/>
    <col min="24" max="24" hidden="1" customWidth="1" bestFit="1" width="10.0" style="3"/>
    <col min="25" max="25" customWidth="1" bestFit="1" width="10.0" style="0"/>
    <col min="26" max="26" customWidth="1" bestFit="1" width="15.7109375" style="0"/>
    <col min="27" max="27" customWidth="1" width="10.0" style="0"/>
    <col min="28" max="28" customWidth="1" width="17.710938" style="0"/>
    <col min="29" max="29" customWidth="1" width="10.0" style="0"/>
    <col min="30" max="30" customWidth="1" width="16.710938" style="0"/>
    <col min="31" max="31" customWidth="1" width="10.0" style="0"/>
    <col min="32" max="32" customWidth="1" width="15.7109375" style="0"/>
    <col min="33" max="33" customWidth="1" width="10.0" style="0"/>
    <col min="34" max="34" customWidth="1" width="15.7109375" style="0"/>
    <col min="35" max="35" customWidth="1" width="10.0" style="0"/>
    <col min="36" max="36" customWidth="1" width="7.8320312" style="0"/>
    <col min="37" max="37" customWidth="1" width="7.8320312" style="0"/>
    <col min="38" max="38" customWidth="1" width="7.8320312" style="0"/>
    <col min="39" max="39" customWidth="1" width="7.8320312" style="0"/>
    <col min="40" max="40" customWidth="1" width="7.8320312" style="0"/>
    <col min="41" max="41" customWidth="1" bestFit="1" width="7.8320312" style="0"/>
    <col min="42" max="42" customWidth="1" bestFit="1" width="7.8320312" style="0"/>
    <col min="43" max="43" customWidth="1" width="3.5" style="0"/>
    <col min="44" max="44" customWidth="1" width="7.8320312" style="0"/>
    <col min="45" max="45" customWidth="1" width="7.8320312" style="0"/>
    <col min="46" max="46" customWidth="1" width="7.8320312" style="0"/>
    <col min="47" max="47" customWidth="1" bestFit="1" width="7.8320312" style="0"/>
    <col min="48" max="48" customWidth="1" bestFit="1" width="7.8320312" style="0"/>
    <col min="49" max="49" customWidth="1" width="7.8320312" style="0"/>
    <col min="50" max="50" customWidth="1" width="7.8320312" style="0"/>
    <col min="51" max="51" customWidth="1" width="10.0" style="0"/>
    <col min="52" max="52" customWidth="1" width="11.7109375" style="0"/>
    <col min="53" max="53" customWidth="1" width="11.7109375" style="0"/>
    <col min="54" max="54" customWidth="1" width="11.7109375" style="0"/>
    <col min="55" max="55" customWidth="1" bestFit="1" width="11.7109375" style="0"/>
    <col min="56" max="56" customWidth="1" bestFit="1" width="11.7109375" style="0"/>
    <col min="57" max="57" customWidth="1" width="10.0" style="0"/>
    <col min="58" max="58" customWidth="1" width="16.0" style="0"/>
    <col min="59" max="59" customWidth="1" width="16.0" style="0"/>
    <col min="60" max="60" customWidth="1" width="16.0" style="0"/>
    <col min="61" max="61" customWidth="1" width="16.0" style="0"/>
    <col min="62" max="62" customWidth="1" width="16.0" style="0"/>
    <col min="63" max="63" customWidth="1" width="16.0" style="0"/>
    <col min="64" max="64" customWidth="1" width="16.0" style="0"/>
    <col min="65" max="65" customWidth="1" width="10.0" style="0"/>
    <col min="66" max="66" customWidth="1" width="9.0" style="0"/>
    <col min="67" max="67" customWidth="1" width="9.0" style="0"/>
    <col min="68" max="68" customWidth="1" width="9.0" style="0"/>
    <col min="69" max="69" customWidth="1" width="9.0" style="0"/>
    <col min="70" max="70" customWidth="1" width="9.0" style="0"/>
    <col min="71" max="71" customWidth="1" bestFit="1" width="9.0" style="0"/>
    <col min="72" max="72" customWidth="1" bestFit="1" width="9.0" style="0"/>
    <col min="73" max="73" customWidth="1" width="3.0" style="0"/>
    <col min="74" max="74" customWidth="1" width="9.0" style="0"/>
    <col min="75" max="75" customWidth="1" width="9.0" style="0"/>
    <col min="76" max="76" customWidth="1" width="9.0" style="0"/>
    <col min="77" max="77" customWidth="1" width="9.0" style="0"/>
    <col min="78" max="78" customWidth="1" width="9.0" style="0"/>
    <col min="79" max="79" customWidth="1" width="9.0" style="0"/>
    <col min="80" max="80" customWidth="1" width="9.0" style="0"/>
    <col min="81" max="81" hidden="1" customWidth="1" width="1.5" style="0"/>
    <col min="82" max="82" customWidth="1" width="6.421875" style="0"/>
    <col min="83" max="83" customWidth="1" width="7.8320312" style="0"/>
    <col min="84" max="84" customWidth="1" width="7.8320312" style="0"/>
    <col min="85" max="85" customWidth="1" width="7.8320312" style="0"/>
    <col min="86" max="86" customWidth="1" width="7.8320312" style="0"/>
    <col min="87" max="87" customWidth="1" width="7.8320312" style="0"/>
    <col min="88" max="88" customWidth="1" width="7.8320312" style="0"/>
    <col min="89" max="89" customWidth="1" width="9.0" style="0"/>
    <col min="90" max="90" hidden="1" customWidth="1" bestFit="1" width="1.875" style="0"/>
    <col min="91" max="91" customWidth="1" bestFit="1" width="7.8320312" style="0"/>
    <col min="92" max="92" customWidth="1" bestFit="1" width="7.8320312" style="0"/>
    <col min="93" max="93" customWidth="1" bestFit="1" width="7.8320312" style="0"/>
    <col min="94" max="94" customWidth="1" bestFit="1" width="7.8320312" style="0"/>
    <col min="95" max="95" customWidth="1" bestFit="1" width="7.8320312" style="0"/>
    <col min="96" max="96" customWidth="1" bestFit="1" width="7.8320312" style="0"/>
    <col min="97" max="97" customWidth="1" bestFit="1" width="7.8320312" style="0"/>
    <col min="98" max="98" customWidth="1" bestFit="1" width="11.9921875" style="0"/>
    <col min="99" max="99" customWidth="1" width="11.832031" style="0"/>
    <col min="100" max="100" customWidth="1" width="11.832031" style="0"/>
    <col min="101" max="101" customWidth="1" width="11.832031" style="0"/>
    <col min="102" max="102" customWidth="1" width="11.832031" style="0"/>
    <col min="103" max="103" customWidth="1" width="11.832031" style="0"/>
    <col min="104" max="104" customWidth="1" width="11.832031" style="0"/>
    <col min="105" max="105" customWidth="1" width="11.832031" style="0"/>
    <col min="106" max="106" customWidth="1" width="11.832031" style="0"/>
  </cols>
  <sheetData>
    <row r="1" spans="8:8" ht="20.0" customHeight="1">
      <c r="A1" s="4"/>
      <c r="B1" s="5"/>
      <c r="C1" s="6" t="s">
        <v>5959</v>
      </c>
      <c r="D1" s="6"/>
      <c r="E1" s="6"/>
      <c r="F1" s="6"/>
      <c r="G1" s="6"/>
      <c r="H1" s="6"/>
      <c r="I1" s="6"/>
      <c r="K1" s="7" t="s">
        <v>2031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10" t="s">
        <v>1942</v>
      </c>
      <c r="AA1" s="10"/>
      <c r="AB1" s="10"/>
      <c r="AC1" s="10"/>
      <c r="AD1" s="10"/>
      <c r="AE1" s="10"/>
      <c r="AF1" s="10"/>
      <c r="AG1" s="10"/>
      <c r="AH1" s="10"/>
      <c r="AJ1" s="7" t="s">
        <v>2015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Z1" s="7" t="s">
        <v>2074</v>
      </c>
      <c r="BA1" s="7"/>
      <c r="BB1" s="7"/>
      <c r="BC1" s="7"/>
      <c r="BD1" s="7"/>
      <c r="BF1" s="7" t="s">
        <v>2173</v>
      </c>
      <c r="BG1" s="7"/>
      <c r="BH1" s="7"/>
      <c r="BI1" s="7"/>
      <c r="BJ1" s="7"/>
      <c r="BK1" s="7"/>
      <c r="BL1" s="7"/>
      <c r="BN1" s="11" t="s">
        <v>2261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E1" s="11" t="s">
        <v>5682</v>
      </c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U1" s="11" t="s">
        <v>6019</v>
      </c>
      <c r="CV1" s="11"/>
      <c r="CW1" s="11"/>
      <c r="CX1" s="11"/>
      <c r="CY1" s="11"/>
      <c r="CZ1" s="11"/>
      <c r="DA1" s="11"/>
      <c r="DB1" s="11"/>
    </row>
    <row r="2" spans="8:8" ht="20.0" customHeight="1">
      <c r="A2" s="4"/>
      <c r="B2" s="5"/>
      <c r="C2" s="6"/>
      <c r="D2" s="6"/>
      <c r="E2" s="6"/>
      <c r="F2" s="6"/>
      <c r="G2" s="6"/>
      <c r="H2" s="6"/>
      <c r="I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9"/>
      <c r="Z2" s="10"/>
      <c r="AA2" s="10"/>
      <c r="AB2" s="10"/>
      <c r="AC2" s="10"/>
      <c r="AD2" s="10"/>
      <c r="AE2" s="10"/>
      <c r="AF2" s="10"/>
      <c r="AG2" s="10"/>
      <c r="AH2" s="10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Z2" s="7"/>
      <c r="BA2" s="7"/>
      <c r="BB2" s="7"/>
      <c r="BC2" s="7"/>
      <c r="BD2" s="7"/>
      <c r="BF2" s="7"/>
      <c r="BG2" s="7"/>
      <c r="BH2" s="7"/>
      <c r="BI2" s="7"/>
      <c r="BJ2" s="7"/>
      <c r="BK2" s="7"/>
      <c r="BL2" s="7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U2" s="11"/>
      <c r="CV2" s="11"/>
      <c r="CW2" s="11"/>
      <c r="CX2" s="11"/>
      <c r="CY2" s="11"/>
      <c r="CZ2" s="11"/>
      <c r="DA2" s="11"/>
      <c r="DB2" s="11"/>
    </row>
    <row r="3" spans="8:8" ht="20.0" customHeight="1">
      <c r="A3" s="4"/>
      <c r="B3" s="5"/>
      <c r="C3" s="12" t="s">
        <v>5967</v>
      </c>
      <c r="D3" s="12"/>
      <c r="E3" s="12"/>
      <c r="F3" s="12"/>
      <c r="G3" s="12"/>
      <c r="H3" s="12"/>
      <c r="I3" s="12"/>
      <c r="K3" s="13" t="s">
        <v>4</v>
      </c>
      <c r="L3" s="13"/>
      <c r="M3" s="13"/>
      <c r="N3" s="13"/>
      <c r="O3" s="13" t="s">
        <v>5</v>
      </c>
      <c r="P3" s="13"/>
      <c r="Q3" s="13"/>
      <c r="R3" s="13"/>
      <c r="S3" s="13"/>
      <c r="T3" s="13"/>
      <c r="U3" s="13" t="s">
        <v>6</v>
      </c>
      <c r="V3" s="13"/>
      <c r="W3" s="13"/>
      <c r="X3" s="8"/>
      <c r="Y3" s="9"/>
      <c r="Z3" s="14"/>
      <c r="AA3" s="14"/>
      <c r="AB3" s="14"/>
      <c r="AC3" s="14"/>
      <c r="AD3" s="14"/>
      <c r="AE3" s="14"/>
      <c r="AF3" s="14"/>
      <c r="AG3" s="14"/>
      <c r="AH3" s="14"/>
      <c r="AJ3" s="13" t="s">
        <v>81</v>
      </c>
      <c r="AK3" s="13"/>
      <c r="AL3" s="13"/>
      <c r="AM3" s="13"/>
      <c r="AN3" s="13"/>
      <c r="AO3" s="13"/>
      <c r="AP3" s="13"/>
      <c r="AQ3" s="13"/>
      <c r="AR3" s="13" t="s">
        <v>2008</v>
      </c>
      <c r="AS3" s="13"/>
      <c r="AT3" s="13"/>
      <c r="AU3" s="13"/>
      <c r="AV3" s="13"/>
      <c r="AW3" s="13"/>
      <c r="AX3" s="13"/>
      <c r="AZ3" s="13"/>
      <c r="BA3" s="13"/>
      <c r="BB3" s="13"/>
      <c r="BC3" s="13"/>
      <c r="BD3" s="13"/>
      <c r="BF3" s="12"/>
      <c r="BG3" s="12"/>
      <c r="BH3" s="12" t="s">
        <v>2073</v>
      </c>
      <c r="BI3" s="12"/>
      <c r="BJ3" s="12"/>
      <c r="BK3" s="12"/>
      <c r="BL3" s="12"/>
      <c r="BN3" s="12" t="s">
        <v>1875</v>
      </c>
      <c r="BO3" s="12"/>
      <c r="BP3" s="12"/>
      <c r="BQ3" s="12"/>
      <c r="BR3" s="12"/>
      <c r="BS3" s="12"/>
      <c r="BT3" s="12"/>
      <c r="BU3" s="12"/>
      <c r="BV3" s="12" t="s">
        <v>1876</v>
      </c>
      <c r="BW3" s="12"/>
      <c r="BX3" s="12"/>
      <c r="BY3" s="12"/>
      <c r="BZ3" s="12"/>
      <c r="CA3" s="12"/>
      <c r="CB3" s="12"/>
      <c r="CE3" s="12" t="s">
        <v>5653</v>
      </c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U3" s="7" t="s">
        <v>6020</v>
      </c>
      <c r="CV3" s="7"/>
      <c r="CW3" s="7"/>
      <c r="CX3" s="7"/>
      <c r="CY3" s="7"/>
      <c r="CZ3" s="7"/>
      <c r="DA3" s="7"/>
      <c r="DB3" s="7"/>
    </row>
    <row r="4" spans="8:8" ht="22.0" customHeight="1">
      <c r="A4" s="4"/>
      <c r="B4" s="5"/>
      <c r="C4" s="12"/>
      <c r="D4" s="12"/>
      <c r="E4" s="12"/>
      <c r="F4" s="12"/>
      <c r="G4" s="12"/>
      <c r="H4" s="12"/>
      <c r="I4" s="12"/>
      <c r="K4" s="13" t="str">
        <f>VLOOKUP(O4,'DATA 2'!B3:F426,3)</f>
        <v>Cianjur</v>
      </c>
      <c r="L4" s="13"/>
      <c r="M4" s="13"/>
      <c r="N4" s="13"/>
      <c r="O4" s="13" t="s">
        <v>1844</v>
      </c>
      <c r="P4" s="13"/>
      <c r="Q4" s="13"/>
      <c r="R4" s="13"/>
      <c r="S4" s="13"/>
      <c r="T4" s="13"/>
      <c r="U4" s="13" t="str">
        <f>VLOOKUP(O4,'DATA 2'!B3:F426,2)</f>
        <v>Jawa Barat</v>
      </c>
      <c r="V4" s="13"/>
      <c r="W4" s="13"/>
      <c r="X4" s="8"/>
      <c r="Y4" s="9"/>
      <c r="Z4" s="15"/>
      <c r="AA4" s="15"/>
      <c r="AB4" s="15"/>
      <c r="AC4" s="15" t="s">
        <v>8</v>
      </c>
      <c r="AD4" s="16">
        <v>2025.0</v>
      </c>
      <c r="AE4" s="15" t="s">
        <v>8</v>
      </c>
      <c r="AF4" s="15"/>
      <c r="AG4" s="15"/>
      <c r="AH4" s="15"/>
      <c r="AJ4" s="17" t="str">
        <f>Z17</f>
        <v>Rabu</v>
      </c>
      <c r="AK4" s="13" t="str">
        <f>AB17</f>
        <v>Kamis</v>
      </c>
      <c r="AL4" s="13" t="str">
        <f>AD17</f>
        <v>Jumat</v>
      </c>
      <c r="AM4" s="13" t="str">
        <f>AF17</f>
        <v>Sabtu</v>
      </c>
      <c r="AN4" s="13" t="str">
        <f>AH17</f>
        <v>Minggu</v>
      </c>
      <c r="AO4" s="13" t="str">
        <f>AB19</f>
        <v>Senin</v>
      </c>
      <c r="AP4" s="13" t="str">
        <f>AF19</f>
        <v>Selasa</v>
      </c>
      <c r="AQ4" s="13"/>
      <c r="AR4" s="13" t="str">
        <f>AM4</f>
        <v>Sabtu</v>
      </c>
      <c r="AS4" s="13" t="str">
        <f>AN4</f>
        <v>Minggu</v>
      </c>
      <c r="AT4" s="13" t="str">
        <f>AO4</f>
        <v>Senin</v>
      </c>
      <c r="AU4" s="13" t="str">
        <f>AP4</f>
        <v>Selasa</v>
      </c>
      <c r="AV4" s="13" t="str">
        <f>AJ4</f>
        <v>Rabu</v>
      </c>
      <c r="AW4" s="13" t="str">
        <f>AK4</f>
        <v>Kamis</v>
      </c>
      <c r="AX4" s="13" t="str">
        <f>AL4</f>
        <v>Jumat</v>
      </c>
      <c r="AZ4" s="18">
        <v>1445.0</v>
      </c>
      <c r="BA4" s="13" t="s">
        <v>2048</v>
      </c>
      <c r="BB4" s="13"/>
      <c r="BC4" s="13"/>
      <c r="BD4" s="13"/>
      <c r="BF4" s="12">
        <v>1.0</v>
      </c>
      <c r="BG4" s="12">
        <v>2.0</v>
      </c>
      <c r="BH4" s="12">
        <v>3.0</v>
      </c>
      <c r="BI4" s="12">
        <v>4.0</v>
      </c>
      <c r="BJ4" s="12">
        <v>5.0</v>
      </c>
      <c r="BK4" s="12">
        <v>6.0</v>
      </c>
      <c r="BL4" s="12">
        <v>7.0</v>
      </c>
      <c r="BN4" s="13" t="str">
        <f>Lembar1!F54</f>
        <v>Rabu</v>
      </c>
      <c r="BO4" s="13" t="str">
        <f>VLOOKUP(BN4,'DATA 2'!L6:R12,2)</f>
        <v>Kamis</v>
      </c>
      <c r="BP4" s="13" t="str">
        <f>VLOOKUP(BN4,'DATA 2'!L6:R12,3)</f>
        <v>Jumat</v>
      </c>
      <c r="BQ4" s="13" t="str">
        <f>VLOOKUP(BN4,'DATA 2'!L6:R12,4)</f>
        <v>Sabtu</v>
      </c>
      <c r="BR4" s="13" t="str">
        <f>VLOOKUP(BN4,'DATA 2'!L6:R12,5)</f>
        <v>Minggu</v>
      </c>
      <c r="BS4" s="13" t="str">
        <f>VLOOKUP(BN4,'DATA 2'!L6:R12,6)</f>
        <v>Senin</v>
      </c>
      <c r="BT4" s="13" t="str">
        <f>VLOOKUP(BN4,'DATA 2'!L6:R12,7)</f>
        <v>Selasa</v>
      </c>
      <c r="BU4" s="13"/>
      <c r="BV4" s="13" t="str">
        <f>Lembar2!F54</f>
        <v>Jumat</v>
      </c>
      <c r="BW4" s="13" t="str">
        <f>VLOOKUP(BV4,'DATA 2'!L6:R12,2)</f>
        <v>Sabtu</v>
      </c>
      <c r="BX4" s="13" t="str">
        <f>VLOOKUP(BV4,'DATA 2'!L6:R12,3)</f>
        <v>Minggu</v>
      </c>
      <c r="BY4" s="13" t="str">
        <f>VLOOKUP(BV4,'DATA 2'!L6:R12,4)</f>
        <v>Senin</v>
      </c>
      <c r="BZ4" s="13" t="str">
        <f>VLOOKUP(BV4,'DATA 2'!L6:R12,5)</f>
        <v>Selasa</v>
      </c>
      <c r="CA4" s="13" t="str">
        <f>VLOOKUP(BV4,'DATA 2'!L6:R12,6)</f>
        <v>Rabu</v>
      </c>
      <c r="CB4" s="13" t="str">
        <f>VLOOKUP(BV4,'DATA 2'!L6:R12,7)</f>
        <v>Kamis</v>
      </c>
      <c r="CE4" s="19" t="s">
        <v>5634</v>
      </c>
      <c r="CF4" s="19"/>
      <c r="CG4" s="19"/>
      <c r="CH4" s="19" t="s">
        <v>2223</v>
      </c>
      <c r="CI4" s="19"/>
      <c r="CJ4" s="19"/>
      <c r="CK4" s="19" t="s">
        <v>5719</v>
      </c>
      <c r="CL4" s="19"/>
      <c r="CM4" s="19"/>
      <c r="CN4" s="19" t="s">
        <v>2222</v>
      </c>
      <c r="CO4" s="19"/>
      <c r="CP4" s="19"/>
      <c r="CQ4" s="19" t="s">
        <v>122</v>
      </c>
      <c r="CR4" s="19"/>
      <c r="CS4" s="19"/>
      <c r="CU4" s="7"/>
      <c r="CV4" s="7"/>
      <c r="CW4" s="7"/>
      <c r="CX4" s="7"/>
      <c r="CY4" s="7"/>
      <c r="CZ4" s="7"/>
      <c r="DA4" s="7"/>
      <c r="DB4" s="7"/>
    </row>
    <row r="5" spans="8:8" ht="20.0" customHeight="1">
      <c r="A5" s="20" t="s">
        <v>5608</v>
      </c>
      <c r="B5" s="21"/>
      <c r="C5" s="12" t="s">
        <v>5973</v>
      </c>
      <c r="D5" s="12"/>
      <c r="E5" s="12"/>
      <c r="F5" s="12"/>
      <c r="G5" s="12"/>
      <c r="H5" s="12"/>
      <c r="I5" s="12"/>
      <c r="K5" s="13"/>
      <c r="L5" s="13" t="s">
        <v>174</v>
      </c>
      <c r="M5" s="13"/>
      <c r="N5" s="13"/>
      <c r="O5" s="13" t="s">
        <v>20</v>
      </c>
      <c r="P5" s="13"/>
      <c r="Q5" s="13" t="s">
        <v>123</v>
      </c>
      <c r="R5" s="13"/>
      <c r="S5" s="13" t="s">
        <v>125</v>
      </c>
      <c r="T5" s="13"/>
      <c r="U5" s="13" t="s">
        <v>124</v>
      </c>
      <c r="V5" s="13"/>
      <c r="W5" s="13" t="s">
        <v>126</v>
      </c>
      <c r="X5" s="8"/>
      <c r="Y5" s="9"/>
      <c r="Z5" s="15" t="s">
        <v>1943</v>
      </c>
      <c r="AA5" s="15" t="s">
        <v>1944</v>
      </c>
      <c r="AB5" s="15" t="s">
        <v>1945</v>
      </c>
      <c r="AC5" s="15" t="s">
        <v>1946</v>
      </c>
      <c r="AD5" s="15" t="s">
        <v>1947</v>
      </c>
      <c r="AE5" s="15" t="s">
        <v>1948</v>
      </c>
      <c r="AF5" s="15" t="s">
        <v>1949</v>
      </c>
      <c r="AG5" s="15" t="s">
        <v>1950</v>
      </c>
      <c r="AH5" s="15"/>
      <c r="AJ5" s="13">
        <v>1.0</v>
      </c>
      <c r="AK5" s="22">
        <v>2.0</v>
      </c>
      <c r="AL5" s="13">
        <v>3.0</v>
      </c>
      <c r="AM5" s="13">
        <v>4.0</v>
      </c>
      <c r="AN5" s="13">
        <v>5.0</v>
      </c>
      <c r="AO5" s="13">
        <v>6.0</v>
      </c>
      <c r="AP5" s="13">
        <v>7.0</v>
      </c>
      <c r="AQ5" s="13"/>
      <c r="AR5" s="13">
        <v>1.0</v>
      </c>
      <c r="AS5" s="13">
        <v>2.0</v>
      </c>
      <c r="AT5" s="13">
        <v>3.0</v>
      </c>
      <c r="AU5" s="13">
        <v>4.0</v>
      </c>
      <c r="AV5" s="13">
        <v>5.0</v>
      </c>
      <c r="AW5" s="13">
        <v>6.0</v>
      </c>
      <c r="AX5" s="13">
        <v>7.0</v>
      </c>
      <c r="AZ5" s="13">
        <f>MOD(AZ4,8)</f>
        <v>5.0</v>
      </c>
      <c r="BA5" s="13">
        <f>INT(AZ4/8)</f>
        <v>180.0</v>
      </c>
      <c r="BB5" s="13"/>
      <c r="BC5" s="13"/>
      <c r="BD5" s="13"/>
      <c r="BF5" s="12" t="str">
        <f>BD15</f>
        <v>Selasa</v>
      </c>
      <c r="BG5" s="12" t="str">
        <f>VLOOKUP(BF5,'DATA 2'!L6:R12,2)</f>
        <v>Rabu</v>
      </c>
      <c r="BH5" s="12" t="str">
        <f>VLOOKUP(BF5,'DATA 2'!L6:R12,3)</f>
        <v>Kamis</v>
      </c>
      <c r="BI5" s="12" t="str">
        <f>VLOOKUP(BF5,'DATA 2'!L6:R12,4)</f>
        <v>Jumat</v>
      </c>
      <c r="BJ5" s="12" t="str">
        <f>VLOOKUP(BF5,'DATA 2'!L6:R12,5)</f>
        <v>Sabtu</v>
      </c>
      <c r="BK5" s="12" t="str">
        <f>VLOOKUP(BF5,'DATA 2'!L6:R12,6)</f>
        <v>Minggu</v>
      </c>
      <c r="BL5" s="12" t="str">
        <f>VLOOKUP(BF5,'DATA 2'!L6:R12,7)</f>
        <v>Senin</v>
      </c>
      <c r="BN5" s="13">
        <v>1.0</v>
      </c>
      <c r="BO5" s="13">
        <v>2.0</v>
      </c>
      <c r="BP5" s="13">
        <v>3.0</v>
      </c>
      <c r="BQ5" s="13">
        <v>4.0</v>
      </c>
      <c r="BR5" s="13">
        <v>5.0</v>
      </c>
      <c r="BS5" s="13">
        <v>6.0</v>
      </c>
      <c r="BT5" s="13">
        <v>7.0</v>
      </c>
      <c r="BU5" s="13"/>
      <c r="BV5" s="13">
        <v>1.0</v>
      </c>
      <c r="BW5" s="13">
        <v>2.0</v>
      </c>
      <c r="BX5" s="13">
        <v>3.0</v>
      </c>
      <c r="BY5" s="13">
        <v>4.0</v>
      </c>
      <c r="BZ5" s="13">
        <v>5.0</v>
      </c>
      <c r="CA5" s="13">
        <v>6.0</v>
      </c>
      <c r="CB5" s="13">
        <v>7.0</v>
      </c>
      <c r="CE5" s="19" t="s">
        <v>1828</v>
      </c>
      <c r="CF5" s="19"/>
      <c r="CG5" s="19"/>
      <c r="CH5" s="23">
        <f>VLOOKUP(CE5,'DATA 2'!B4:G426,4)</f>
        <v>106.633</v>
      </c>
      <c r="CI5" s="23"/>
      <c r="CJ5" s="23"/>
      <c r="CK5" s="24">
        <v>6.617</v>
      </c>
      <c r="CL5" s="24"/>
      <c r="CM5" s="24"/>
      <c r="CN5" s="23">
        <v>10.0</v>
      </c>
      <c r="CO5" s="23"/>
      <c r="CP5" s="23"/>
      <c r="CQ5" s="19" t="s">
        <v>5908</v>
      </c>
      <c r="CR5" s="19"/>
      <c r="CS5" s="19"/>
      <c r="CU5" s="7" t="s">
        <v>6022</v>
      </c>
      <c r="CV5" s="7"/>
      <c r="CW5" s="7"/>
      <c r="CX5" s="7"/>
      <c r="CY5" s="7"/>
      <c r="CZ5" s="7"/>
      <c r="DA5" s="7"/>
      <c r="DB5" s="7"/>
    </row>
    <row r="6" spans="8:8" ht="20.0" customHeight="1">
      <c r="A6" s="20"/>
      <c r="B6" s="21"/>
      <c r="C6" s="12"/>
      <c r="D6" s="12"/>
      <c r="E6" s="12"/>
      <c r="F6" s="12"/>
      <c r="G6" s="12"/>
      <c r="H6" s="12"/>
      <c r="I6" s="12"/>
      <c r="K6" s="13"/>
      <c r="L6" s="25" t="s">
        <v>121</v>
      </c>
      <c r="M6" s="26">
        <v>1440.0</v>
      </c>
      <c r="N6" s="13"/>
      <c r="O6" s="27">
        <f>VLOOKUP(M6,'DATA 1'!A6:K325,3)</f>
        <v>114.15</v>
      </c>
      <c r="P6" s="27"/>
      <c r="Q6" s="27">
        <f>VLOOKUP(M6,'DATA 1'!A6:K325,5)</f>
        <v>79.05</v>
      </c>
      <c r="R6" s="27"/>
      <c r="S6" s="27">
        <f>VLOOKUP(M6,'DATA 1'!A6:K325,7)</f>
        <v>200.4</v>
      </c>
      <c r="T6" s="27"/>
      <c r="U6" s="27">
        <f>VLOOKUP(M6,'DATA 1'!A6:K325,9)</f>
        <v>256.217</v>
      </c>
      <c r="V6" s="27"/>
      <c r="W6" s="27">
        <f>VLOOKUP(M6,'DATA 1'!A6:K325,11)</f>
        <v>97.833</v>
      </c>
      <c r="X6" s="28"/>
      <c r="Y6" s="9"/>
      <c r="Z6" s="15" t="s">
        <v>1951</v>
      </c>
      <c r="AA6" s="16">
        <f>AD4-1</f>
        <v>2024.0</v>
      </c>
      <c r="AB6" s="15" t="s">
        <v>1952</v>
      </c>
      <c r="AC6" s="16">
        <f>INT(AA6/400)*7</f>
        <v>35.0</v>
      </c>
      <c r="AD6" s="15" t="s">
        <v>1953</v>
      </c>
      <c r="AE6" s="16">
        <f>INT(AA6/400)*2</f>
        <v>10.0</v>
      </c>
      <c r="AF6" s="15" t="s">
        <v>1954</v>
      </c>
      <c r="AG6" s="16">
        <f>MOD(AD4,400)</f>
        <v>25.0</v>
      </c>
      <c r="AH6" s="15" t="str">
        <f>IF(AG6&lt;1,"Bisa Dibagi","Tidak Bisa Dibagi")</f>
        <v>Tidak Bisa Dibagi</v>
      </c>
      <c r="AJ6" s="29">
        <v>8.0</v>
      </c>
      <c r="AK6" s="13">
        <v>9.0</v>
      </c>
      <c r="AL6" s="13">
        <v>10.0</v>
      </c>
      <c r="AM6" s="13">
        <v>11.0</v>
      </c>
      <c r="AN6" s="13">
        <v>12.0</v>
      </c>
      <c r="AO6" s="13">
        <v>13.0</v>
      </c>
      <c r="AP6" s="13">
        <v>14.0</v>
      </c>
      <c r="AQ6" s="13"/>
      <c r="AR6" s="13">
        <v>8.0</v>
      </c>
      <c r="AS6" s="13">
        <v>9.0</v>
      </c>
      <c r="AT6" s="13">
        <v>10.0</v>
      </c>
      <c r="AU6" s="13">
        <v>11.0</v>
      </c>
      <c r="AV6" s="13">
        <v>12.0</v>
      </c>
      <c r="AW6" s="13">
        <v>13.0</v>
      </c>
      <c r="AX6" s="13">
        <v>14.0</v>
      </c>
      <c r="AZ6" s="13"/>
      <c r="BA6" s="13"/>
      <c r="BB6" s="13"/>
      <c r="BC6" s="13"/>
      <c r="BD6" s="13"/>
      <c r="BF6" s="12"/>
      <c r="BG6" s="12"/>
      <c r="BH6" s="12"/>
      <c r="BI6" s="12"/>
      <c r="BJ6" s="12"/>
      <c r="BK6" s="12"/>
      <c r="BL6" s="12"/>
      <c r="BN6" s="13">
        <v>8.0</v>
      </c>
      <c r="BO6" s="13">
        <v>9.0</v>
      </c>
      <c r="BP6" s="13">
        <v>10.0</v>
      </c>
      <c r="BQ6" s="13">
        <v>11.0</v>
      </c>
      <c r="BR6" s="13">
        <v>12.0</v>
      </c>
      <c r="BS6" s="13">
        <v>13.0</v>
      </c>
      <c r="BT6" s="13">
        <v>14.0</v>
      </c>
      <c r="BU6" s="13"/>
      <c r="BV6" s="13">
        <v>8.0</v>
      </c>
      <c r="BW6" s="13">
        <v>9.0</v>
      </c>
      <c r="BX6" s="13">
        <v>10.0</v>
      </c>
      <c r="BY6" s="13">
        <v>11.0</v>
      </c>
      <c r="BZ6" s="13">
        <v>12.0</v>
      </c>
      <c r="CA6" s="13">
        <v>13.0</v>
      </c>
      <c r="CB6" s="13">
        <v>14.0</v>
      </c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U6" s="7"/>
      <c r="CV6" s="7"/>
      <c r="CW6" s="7"/>
      <c r="CX6" s="7"/>
      <c r="CY6" s="7"/>
      <c r="CZ6" s="7"/>
      <c r="DA6" s="7"/>
      <c r="DB6" s="7"/>
    </row>
    <row r="7" spans="8:8" ht="22.0" customHeight="1">
      <c r="A7" s="20"/>
      <c r="B7" s="21"/>
      <c r="C7" s="12" t="s">
        <v>6032</v>
      </c>
      <c r="D7" s="12"/>
      <c r="E7" s="12"/>
      <c r="F7" s="12"/>
      <c r="G7" s="12"/>
      <c r="H7" s="12"/>
      <c r="I7" s="12"/>
      <c r="K7" s="13"/>
      <c r="L7" s="25" t="s">
        <v>121</v>
      </c>
      <c r="M7" s="26">
        <v>7.0</v>
      </c>
      <c r="N7" s="13"/>
      <c r="O7" s="27">
        <f>VLOOKUP(M7,'DATA 1'!M20:R30,2)</f>
        <v>61.65</v>
      </c>
      <c r="P7" s="27"/>
      <c r="Q7" s="31">
        <f>VLOOKUP(M7,'DATA 1'!M20:R30,3)</f>
        <v>56.35</v>
      </c>
      <c r="R7" s="31"/>
      <c r="S7" s="27">
        <f>VLOOKUP(M7,'DATA 1'!M20:R30,4)</f>
        <v>284.967</v>
      </c>
      <c r="T7" s="27"/>
      <c r="U7" s="27">
        <f>VLOOKUP(M7,'DATA 1'!M20:R30,5)</f>
        <v>8.6</v>
      </c>
      <c r="V7" s="27"/>
      <c r="W7" s="27">
        <f>VLOOKUP(M7,'DATA 1'!M20:R30,6)</f>
        <v>284.867</v>
      </c>
      <c r="X7" s="28"/>
      <c r="Y7" s="9"/>
      <c r="Z7" s="15" t="s">
        <v>1956</v>
      </c>
      <c r="AA7" s="16">
        <f>MOD(AA6,400)</f>
        <v>24.0</v>
      </c>
      <c r="AB7" s="15" t="s">
        <v>1957</v>
      </c>
      <c r="AC7" s="16">
        <f>INT(AA7/100)*5</f>
        <v>0.0</v>
      </c>
      <c r="AD7" s="15" t="s">
        <v>1958</v>
      </c>
      <c r="AE7" s="16">
        <f>INT(AA7/100)*4</f>
        <v>0.0</v>
      </c>
      <c r="AF7" s="15" t="s">
        <v>1959</v>
      </c>
      <c r="AG7" s="16">
        <f>MOD(AD4,100)</f>
        <v>25.0</v>
      </c>
      <c r="AH7" s="15" t="str">
        <f>IF(AG7&lt;1,"Bisa Dibagi","Tidak Bisa Dibagi")</f>
        <v>Tidak Bisa Dibagi</v>
      </c>
      <c r="AJ7" s="13">
        <v>15.0</v>
      </c>
      <c r="AK7" s="13">
        <v>16.0</v>
      </c>
      <c r="AL7" s="13">
        <v>17.0</v>
      </c>
      <c r="AM7" s="13">
        <v>18.0</v>
      </c>
      <c r="AN7" s="13">
        <v>19.0</v>
      </c>
      <c r="AO7" s="13">
        <v>20.0</v>
      </c>
      <c r="AP7" s="13">
        <v>21.0</v>
      </c>
      <c r="AQ7" s="13"/>
      <c r="AR7" s="13">
        <v>15.0</v>
      </c>
      <c r="AS7" s="13">
        <v>16.0</v>
      </c>
      <c r="AT7" s="13">
        <v>17.0</v>
      </c>
      <c r="AU7" s="13">
        <v>18.0</v>
      </c>
      <c r="AV7" s="13">
        <v>19.0</v>
      </c>
      <c r="AW7" s="13">
        <v>20.0</v>
      </c>
      <c r="AX7" s="13">
        <v>21.0</v>
      </c>
      <c r="AZ7" s="13" t="s">
        <v>121</v>
      </c>
      <c r="BA7" s="13">
        <f>AZ4</f>
        <v>1445.0</v>
      </c>
      <c r="BB7" s="13" t="s">
        <v>121</v>
      </c>
      <c r="BC7" s="13" t="str">
        <f>VLOOKUP(AZ5,'DATA 2'!U44:V52,2)</f>
        <v>Jim</v>
      </c>
      <c r="BD7" s="13"/>
      <c r="BF7" s="12"/>
      <c r="BG7" s="12">
        <v>1.0</v>
      </c>
      <c r="BH7" s="12">
        <v>2.0</v>
      </c>
      <c r="BI7" s="12">
        <v>3.0</v>
      </c>
      <c r="BJ7" s="12">
        <v>4.0</v>
      </c>
      <c r="BK7" s="12">
        <v>5.0</v>
      </c>
      <c r="BL7" s="12"/>
      <c r="BN7" s="13">
        <v>15.0</v>
      </c>
      <c r="BO7" s="13">
        <v>16.0</v>
      </c>
      <c r="BP7" s="13">
        <v>17.0</v>
      </c>
      <c r="BQ7" s="13">
        <v>18.0</v>
      </c>
      <c r="BR7" s="13">
        <v>19.0</v>
      </c>
      <c r="BS7" s="13">
        <v>20.0</v>
      </c>
      <c r="BT7" s="13">
        <v>21.0</v>
      </c>
      <c r="BU7" s="13"/>
      <c r="BV7" s="13">
        <v>15.0</v>
      </c>
      <c r="BW7" s="13">
        <v>16.0</v>
      </c>
      <c r="BX7" s="13">
        <v>17.0</v>
      </c>
      <c r="BY7" s="13">
        <v>18.0</v>
      </c>
      <c r="BZ7" s="13">
        <v>19.0</v>
      </c>
      <c r="CA7" s="13">
        <v>20.0</v>
      </c>
      <c r="CB7" s="13">
        <v>21.0</v>
      </c>
      <c r="CE7" s="32" t="s">
        <v>1933</v>
      </c>
      <c r="CF7" s="32"/>
      <c r="CG7" s="32"/>
      <c r="CH7" s="32"/>
      <c r="CI7" s="23" t="s">
        <v>1934</v>
      </c>
      <c r="CJ7" s="23"/>
      <c r="CK7" s="23"/>
      <c r="CL7" s="23"/>
      <c r="CM7" s="23"/>
      <c r="CN7" s="23"/>
      <c r="CO7" s="23"/>
      <c r="CP7" s="12" t="s">
        <v>1935</v>
      </c>
      <c r="CQ7" s="12"/>
      <c r="CR7" s="12" t="s">
        <v>5939</v>
      </c>
      <c r="CS7" s="12"/>
      <c r="CU7" s="7" t="s">
        <v>6025</v>
      </c>
      <c r="CV7" s="7"/>
      <c r="CW7" s="7"/>
      <c r="CX7" s="7"/>
      <c r="CY7" s="7"/>
      <c r="CZ7" s="7"/>
      <c r="DA7" s="7"/>
      <c r="DB7" s="7"/>
    </row>
    <row r="8" spans="8:8" ht="20.0" customHeight="1">
      <c r="A8" s="20"/>
      <c r="B8" s="21"/>
      <c r="C8" s="12"/>
      <c r="D8" s="12"/>
      <c r="E8" s="12"/>
      <c r="F8" s="12"/>
      <c r="G8" s="12"/>
      <c r="H8" s="12"/>
      <c r="I8" s="12"/>
      <c r="K8" s="13"/>
      <c r="L8" s="25" t="s">
        <v>122</v>
      </c>
      <c r="M8" s="26">
        <v>9.0</v>
      </c>
      <c r="N8" s="13"/>
      <c r="O8" s="27">
        <f>VLOOKUP(M8,'DATA 1'!N35:S46,2)</f>
        <v>89.133</v>
      </c>
      <c r="P8" s="27"/>
      <c r="Q8" s="27">
        <f>VLOOKUP(M8,'DATA 1'!N35:S46,3)</f>
        <v>214.7</v>
      </c>
      <c r="R8" s="27"/>
      <c r="S8" s="27">
        <f>VLOOKUP(M8,'DATA 1'!N35:S46,4)</f>
        <v>203.75</v>
      </c>
      <c r="T8" s="27"/>
      <c r="U8" s="27">
        <f>VLOOKUP(M8,'DATA 1'!N35:S46,5)</f>
        <v>180.717</v>
      </c>
      <c r="V8" s="27"/>
      <c r="W8" s="27">
        <f>VLOOKUP(M8,'DATA 1'!N35:S46,6)</f>
        <v>203.75</v>
      </c>
      <c r="X8" s="28"/>
      <c r="Y8" s="9"/>
      <c r="Z8" s="15" t="s">
        <v>1960</v>
      </c>
      <c r="AA8" s="16">
        <f>MOD(AA7,100)</f>
        <v>24.0</v>
      </c>
      <c r="AB8" s="15" t="s">
        <v>1961</v>
      </c>
      <c r="AC8" s="16">
        <f>INT(AA8/4)*5</f>
        <v>30.0</v>
      </c>
      <c r="AD8" s="15" t="s">
        <v>1962</v>
      </c>
      <c r="AE8" s="16">
        <f>INT(AA8/4)*1</f>
        <v>6.0</v>
      </c>
      <c r="AF8" s="15" t="s">
        <v>1963</v>
      </c>
      <c r="AG8" s="16">
        <f>MOD(AD4,4)</f>
        <v>1.0</v>
      </c>
      <c r="AH8" s="15" t="str">
        <f>IF(AG8&lt;1,"Bisa Dibagi","Tidak Bisa Dibagi")</f>
        <v>Tidak Bisa Dibagi</v>
      </c>
      <c r="AJ8" s="13">
        <v>22.0</v>
      </c>
      <c r="AK8" s="13">
        <v>23.0</v>
      </c>
      <c r="AL8" s="13">
        <v>24.0</v>
      </c>
      <c r="AM8" s="13">
        <v>25.0</v>
      </c>
      <c r="AN8" s="13">
        <v>26.0</v>
      </c>
      <c r="AO8" s="13">
        <v>27.0</v>
      </c>
      <c r="AP8" s="13">
        <v>28.0</v>
      </c>
      <c r="AQ8" s="13"/>
      <c r="AR8" s="13">
        <v>22.0</v>
      </c>
      <c r="AS8" s="13">
        <v>23.0</v>
      </c>
      <c r="AT8" s="13">
        <v>24.0</v>
      </c>
      <c r="AU8" s="13">
        <v>25.0</v>
      </c>
      <c r="AV8" s="13">
        <v>26.0</v>
      </c>
      <c r="AW8" s="13">
        <v>27.0</v>
      </c>
      <c r="AX8" s="13">
        <v>28.0</v>
      </c>
      <c r="AY8" s="33"/>
      <c r="AZ8" s="13"/>
      <c r="BA8" s="13"/>
      <c r="BB8" s="13"/>
      <c r="BC8" s="13"/>
      <c r="BD8" s="13"/>
      <c r="BF8" s="12"/>
      <c r="BG8" s="12" t="str">
        <f>BD22</f>
        <v>Kliwon</v>
      </c>
      <c r="BH8" s="12" t="str">
        <f>VLOOKUP(BG8,'DATA 2'!T6:X10,2)</f>
        <v>Legi</v>
      </c>
      <c r="BI8" s="12" t="str">
        <f>VLOOKUP(BG8,'DATA 2'!T6:X10,3)</f>
        <v>Pahing</v>
      </c>
      <c r="BJ8" s="12" t="str">
        <f>VLOOKUP(BG8,'DATA 2'!T6:X10,4)</f>
        <v>Pon</v>
      </c>
      <c r="BK8" s="12" t="str">
        <f>VLOOKUP(BG8,'DATA 2'!T6:X10,5)</f>
        <v>Wage</v>
      </c>
      <c r="BL8" s="12"/>
      <c r="BN8" s="13">
        <v>22.0</v>
      </c>
      <c r="BO8" s="13">
        <v>23.0</v>
      </c>
      <c r="BP8" s="13">
        <v>24.0</v>
      </c>
      <c r="BQ8" s="13">
        <v>25.0</v>
      </c>
      <c r="BR8" s="13">
        <v>26.0</v>
      </c>
      <c r="BS8" s="13">
        <v>27.0</v>
      </c>
      <c r="BT8" s="13">
        <v>28.0</v>
      </c>
      <c r="BU8" s="13"/>
      <c r="BV8" s="13">
        <v>22.0</v>
      </c>
      <c r="BW8" s="13">
        <v>23.0</v>
      </c>
      <c r="BX8" s="13">
        <v>24.0</v>
      </c>
      <c r="BY8" s="13">
        <v>25.0</v>
      </c>
      <c r="BZ8" s="13">
        <v>26.0</v>
      </c>
      <c r="CA8" s="13">
        <v>27.0</v>
      </c>
      <c r="CB8" s="13">
        <v>28.0</v>
      </c>
      <c r="CE8" s="32" t="s">
        <v>5655</v>
      </c>
      <c r="CF8" s="32"/>
      <c r="CG8" s="32"/>
      <c r="CH8" s="32"/>
      <c r="CI8" s="25" t="s">
        <v>166</v>
      </c>
      <c r="CJ8" s="25"/>
      <c r="CK8" s="25"/>
      <c r="CL8" s="25"/>
      <c r="CM8" s="25"/>
      <c r="CN8" s="25"/>
      <c r="CO8" s="25"/>
      <c r="CP8" s="13">
        <f>VLOOKUP(CQ5,'DATA 2'!L86:N97,3)</f>
        <v>9.0</v>
      </c>
      <c r="CQ8" s="13"/>
      <c r="CR8" s="13" t="str">
        <f>TEXT(ABS((CP8)/24),"[hh]°mm'ss")</f>
        <v>09°00'00</v>
      </c>
      <c r="CS8" s="13"/>
      <c r="CU8" s="7"/>
      <c r="CV8" s="7"/>
      <c r="CW8" s="7"/>
      <c r="CX8" s="7"/>
      <c r="CY8" s="7"/>
      <c r="CZ8" s="7"/>
      <c r="DA8" s="7"/>
      <c r="DB8" s="7"/>
    </row>
    <row r="9" spans="8:8" ht="20.0" customHeight="1">
      <c r="A9" s="20" t="s">
        <v>5609</v>
      </c>
      <c r="B9" s="21"/>
      <c r="C9" s="12" t="s">
        <v>5978</v>
      </c>
      <c r="D9" s="12"/>
      <c r="E9" s="12"/>
      <c r="F9" s="12"/>
      <c r="G9" s="12"/>
      <c r="H9" s="12"/>
      <c r="I9" s="12"/>
      <c r="K9" s="13"/>
      <c r="L9" s="25" t="s">
        <v>119</v>
      </c>
      <c r="M9" s="13" t="s">
        <v>120</v>
      </c>
      <c r="N9" s="13"/>
      <c r="O9" s="13">
        <f>MOD(O6+O7+O8,168)</f>
        <v>96.93299999999999</v>
      </c>
      <c r="P9" s="13"/>
      <c r="Q9" s="13">
        <f>MOD(Q6+Q7+Q8,360)</f>
        <v>350.1</v>
      </c>
      <c r="R9" s="13"/>
      <c r="S9" s="27">
        <f>MOD(S6+S7+S8,360)</f>
        <v>329.11699999999996</v>
      </c>
      <c r="T9" s="27"/>
      <c r="U9" s="27">
        <f>MOD(U6+U8+U7,360)</f>
        <v>85.53399999999999</v>
      </c>
      <c r="V9" s="27"/>
      <c r="W9" s="27">
        <f>MOD(W6+W7+W8,360)</f>
        <v>226.45000000000005</v>
      </c>
      <c r="X9" s="28"/>
      <c r="Y9" s="9"/>
      <c r="Z9" s="15" t="s">
        <v>1964</v>
      </c>
      <c r="AA9" s="16">
        <f>MOD(AA8,4)</f>
        <v>0.0</v>
      </c>
      <c r="AB9" s="15" t="s">
        <v>1965</v>
      </c>
      <c r="AC9" s="16">
        <f>AA9+2</f>
        <v>2.0</v>
      </c>
      <c r="AD9" s="15" t="s">
        <v>1966</v>
      </c>
      <c r="AE9" s="16">
        <f>AA9*5</f>
        <v>0.0</v>
      </c>
      <c r="AF9" s="15"/>
      <c r="AG9" s="16"/>
      <c r="AH9" s="15"/>
      <c r="AJ9" s="13">
        <v>29.0</v>
      </c>
      <c r="AK9" s="13">
        <v>30.0</v>
      </c>
      <c r="AL9" s="13">
        <v>31.0</v>
      </c>
      <c r="AM9" s="13"/>
      <c r="AN9" s="13"/>
      <c r="AO9" s="13"/>
      <c r="AP9" s="13"/>
      <c r="AQ9" s="13"/>
      <c r="AR9" s="13" t="str">
        <f>IF(AH26&gt;28,"29",IF(AH26&lt;29,"1"))</f>
        <v>1</v>
      </c>
      <c r="AS9" s="13"/>
      <c r="AT9" s="13"/>
      <c r="AU9" s="13"/>
      <c r="AV9" s="13"/>
      <c r="AW9" s="13"/>
      <c r="AX9" s="13"/>
      <c r="AY9" s="33"/>
      <c r="AZ9" s="13">
        <f>AZ4-1</f>
        <v>1444.0</v>
      </c>
      <c r="BA9" s="13">
        <f>INT(AZ9/30)</f>
        <v>48.0</v>
      </c>
      <c r="BB9" s="13" t="s">
        <v>2065</v>
      </c>
      <c r="BC9" s="13">
        <f>BA9*5</f>
        <v>240.0</v>
      </c>
      <c r="BD9" s="13"/>
      <c r="BF9" s="12"/>
      <c r="BG9" s="12"/>
      <c r="BH9" s="12"/>
      <c r="BI9" s="12"/>
      <c r="BJ9" s="12"/>
      <c r="BK9" s="12"/>
      <c r="BL9" s="12"/>
      <c r="BN9" s="13">
        <v>29.0</v>
      </c>
      <c r="BO9" s="13">
        <v>30.0</v>
      </c>
      <c r="BP9" s="13"/>
      <c r="BQ9" s="13"/>
      <c r="BR9" s="13"/>
      <c r="BS9" s="13"/>
      <c r="BT9" s="13"/>
      <c r="BU9" s="13"/>
      <c r="BV9" s="13">
        <v>29.0</v>
      </c>
      <c r="BW9" s="13">
        <v>30.0</v>
      </c>
      <c r="BX9" s="13"/>
      <c r="BY9" s="13"/>
      <c r="BZ9" s="13"/>
      <c r="CA9" s="13"/>
      <c r="CB9" s="13"/>
      <c r="CE9" s="32" t="s">
        <v>5851</v>
      </c>
      <c r="CF9" s="32"/>
      <c r="CG9" s="32"/>
      <c r="CH9" s="32"/>
      <c r="CI9" s="25" t="s">
        <v>5902</v>
      </c>
      <c r="CJ9" s="25"/>
      <c r="CK9" s="25"/>
      <c r="CL9" s="25"/>
      <c r="CM9" s="25"/>
      <c r="CN9" s="25"/>
      <c r="CO9" s="25"/>
      <c r="CP9" s="13">
        <f>CN5+CP8</f>
        <v>19.0</v>
      </c>
      <c r="CQ9" s="13"/>
      <c r="CR9" s="13" t="str">
        <f>TEXT(ABS((CP9)/24),"[hh]°mm'ss")</f>
        <v>19°00'00</v>
      </c>
      <c r="CS9" s="13"/>
      <c r="CU9" s="7" t="s">
        <v>6026</v>
      </c>
      <c r="CV9" s="7"/>
      <c r="CW9" s="7"/>
      <c r="CX9" s="7"/>
      <c r="CY9" s="7"/>
      <c r="CZ9" s="7"/>
      <c r="DA9" s="7"/>
      <c r="DB9" s="7"/>
    </row>
    <row r="10" spans="8:8" ht="20.0" customHeight="1">
      <c r="A10" s="20"/>
      <c r="B10" s="21"/>
      <c r="C10" s="12"/>
      <c r="D10" s="12"/>
      <c r="E10" s="12"/>
      <c r="F10" s="12"/>
      <c r="G10" s="12"/>
      <c r="H10" s="12"/>
      <c r="I10" s="12"/>
      <c r="K10" s="13"/>
      <c r="L10" s="25">
        <f>IF(M8=1,M6+M7+1,M6+M7)</f>
        <v>1447.0</v>
      </c>
      <c r="M10" s="13" t="str">
        <f>VLOOKUP(M8,'DATA 1'!T19:V30,3)</f>
        <v>Romadhon</v>
      </c>
      <c r="N10" s="13" t="s">
        <v>1937</v>
      </c>
      <c r="O10" s="13"/>
      <c r="P10" s="13" t="s">
        <v>1937</v>
      </c>
      <c r="Q10" s="13"/>
      <c r="R10" s="13" t="s">
        <v>1937</v>
      </c>
      <c r="S10" s="27"/>
      <c r="T10" s="27" t="s">
        <v>1937</v>
      </c>
      <c r="U10" s="27"/>
      <c r="V10" s="27" t="s">
        <v>1938</v>
      </c>
      <c r="W10" s="27"/>
      <c r="X10" s="28"/>
      <c r="Y10" s="9"/>
      <c r="Z10" s="15"/>
      <c r="AA10" s="15"/>
      <c r="AB10" s="15" t="s">
        <v>2179</v>
      </c>
      <c r="AC10" s="16">
        <f>SUM(AC6:AC9)</f>
        <v>67.0</v>
      </c>
      <c r="AD10" s="15" t="s">
        <v>2023</v>
      </c>
      <c r="AE10" s="16">
        <f>SUM(AE6:AE9)+2</f>
        <v>18.0</v>
      </c>
      <c r="AF10" s="15"/>
      <c r="AG10" s="15"/>
      <c r="AH10" s="15"/>
      <c r="AJ10" s="13" t="s">
        <v>87</v>
      </c>
      <c r="AK10" s="13"/>
      <c r="AL10" s="13"/>
      <c r="AM10" s="13"/>
      <c r="AN10" s="13"/>
      <c r="AO10" s="13"/>
      <c r="AP10" s="13"/>
      <c r="AQ10" s="13"/>
      <c r="AR10" s="13" t="s">
        <v>52</v>
      </c>
      <c r="AS10" s="13"/>
      <c r="AT10" s="13"/>
      <c r="AU10" s="13"/>
      <c r="AV10" s="13"/>
      <c r="AW10" s="13"/>
      <c r="AX10" s="13"/>
      <c r="AZ10" s="13">
        <f>MOD(AZ9,30)</f>
        <v>4.0</v>
      </c>
      <c r="BA10" s="13" t="s">
        <v>2066</v>
      </c>
      <c r="BB10" s="13">
        <f>VLOOKUP(AZ10,'DATA 2'!Q44:T75,4)</f>
        <v>1.0</v>
      </c>
      <c r="BC10" s="13">
        <f>BB10*5</f>
        <v>5.0</v>
      </c>
      <c r="BD10" s="13"/>
      <c r="BF10" s="12"/>
      <c r="BG10" s="12"/>
      <c r="BH10" s="12" t="s">
        <v>2075</v>
      </c>
      <c r="BI10" s="12"/>
      <c r="BJ10" s="12"/>
      <c r="BK10" s="12"/>
      <c r="BL10" s="12"/>
      <c r="BN10" s="13" t="str">
        <f>Lembar3!C10</f>
        <v>Robiul Awal</v>
      </c>
      <c r="BO10" s="13"/>
      <c r="BP10" s="13"/>
      <c r="BQ10" s="13"/>
      <c r="BR10" s="13"/>
      <c r="BS10" s="13"/>
      <c r="BT10" s="13"/>
      <c r="BU10" s="13"/>
      <c r="BV10" s="13" t="str">
        <f>Lembar4!C10</f>
        <v>Robiust Stani</v>
      </c>
      <c r="BW10" s="13"/>
      <c r="BX10" s="13"/>
      <c r="BY10" s="13"/>
      <c r="BZ10" s="13"/>
      <c r="CA10" s="13"/>
      <c r="CB10" s="13"/>
      <c r="CE10" s="32" t="s">
        <v>5849</v>
      </c>
      <c r="CF10" s="32"/>
      <c r="CG10" s="32"/>
      <c r="CH10" s="32"/>
      <c r="CI10" s="25" t="s">
        <v>5903</v>
      </c>
      <c r="CJ10" s="25"/>
      <c r="CK10" s="25"/>
      <c r="CL10" s="25"/>
      <c r="CM10" s="25"/>
      <c r="CN10" s="25"/>
      <c r="CO10" s="25"/>
      <c r="CP10" s="34">
        <f>VLOOKUP(CQ5,'DATA 2'!L86:P97,5)</f>
        <v>41.0</v>
      </c>
      <c r="CQ10" s="13"/>
      <c r="CR10" s="13" t="str">
        <f>TEXT(ABS((CP10)/24),"[hh]°mm'ss")</f>
        <v>41°00'00</v>
      </c>
      <c r="CS10" s="13"/>
      <c r="CT10" s="35"/>
      <c r="CU10" s="7"/>
      <c r="CV10" s="7"/>
      <c r="CW10" s="7"/>
      <c r="CX10" s="7"/>
      <c r="CY10" s="7"/>
      <c r="CZ10" s="7"/>
      <c r="DA10" s="7"/>
      <c r="DB10" s="7"/>
    </row>
    <row r="11" spans="8:8" ht="20.0" customHeight="1">
      <c r="A11" s="20"/>
      <c r="B11" s="21"/>
      <c r="C11" s="12" t="s">
        <v>5980</v>
      </c>
      <c r="D11" s="12"/>
      <c r="E11" s="12"/>
      <c r="F11" s="12"/>
      <c r="G11" s="12"/>
      <c r="H11" s="12"/>
      <c r="I11" s="12"/>
      <c r="K11" s="13"/>
      <c r="L11" s="25">
        <f>INT(L10/30)</f>
        <v>48.0</v>
      </c>
      <c r="M11" s="26">
        <f>MOD(L10,30)</f>
        <v>7.0</v>
      </c>
      <c r="N11" s="13">
        <f>(O6-MOD(O6,24))/24</f>
        <v>4.0</v>
      </c>
      <c r="O11" s="13" t="str">
        <f>TEXT(O6/24,"hh:mm:ss")</f>
        <v>18:09:00</v>
      </c>
      <c r="P11" s="13">
        <f>(Q6-MOD(Q6,30))/30</f>
        <v>2.0</v>
      </c>
      <c r="Q11" s="13" t="str">
        <f>TEXT((Q6-(P11*30))/24,"hh:mm:ss")</f>
        <v>19:03:00</v>
      </c>
      <c r="R11" s="13">
        <f>(S6-MOD(S6,30))/30</f>
        <v>6.0</v>
      </c>
      <c r="S11" s="13" t="str">
        <f>TEXT((S6-(R11*30))/24,"hh:mm:ss")</f>
        <v>20:24:00</v>
      </c>
      <c r="T11" s="13">
        <f>(U6-MOD(U6,30))/30</f>
        <v>8.0</v>
      </c>
      <c r="U11" s="13" t="str">
        <f>TEXT((U6-(T11*24))/24,"hh:mm:ss")</f>
        <v>16:13:01</v>
      </c>
      <c r="V11" s="13">
        <f>(W6-MOD(W6,30))/30</f>
        <v>3.0</v>
      </c>
      <c r="W11" s="13" t="str">
        <f>TEXT((W6-(V11*30))/24,"hh:mm:ss")</f>
        <v>07:49:59</v>
      </c>
      <c r="X11" s="8"/>
      <c r="Y11" s="9"/>
      <c r="Z11" s="15"/>
      <c r="AA11" s="15"/>
      <c r="AB11" s="15" t="s">
        <v>1969</v>
      </c>
      <c r="AC11" s="16">
        <f>MOD(AC10,7)</f>
        <v>4.0</v>
      </c>
      <c r="AD11" s="15"/>
      <c r="AE11" s="16">
        <f>MOD(AE10,5)</f>
        <v>3.0</v>
      </c>
      <c r="AF11" s="15"/>
      <c r="AG11" s="15"/>
      <c r="AH11" s="15"/>
      <c r="AJ11" s="13" t="str">
        <f>AR4</f>
        <v>Sabtu</v>
      </c>
      <c r="AK11" s="13" t="str">
        <f>AS4</f>
        <v>Minggu</v>
      </c>
      <c r="AL11" s="13" t="str">
        <f>AT4</f>
        <v>Senin</v>
      </c>
      <c r="AM11" s="13" t="str">
        <f>AU4</f>
        <v>Selasa</v>
      </c>
      <c r="AN11" s="13" t="str">
        <f>AV4</f>
        <v>Rabu</v>
      </c>
      <c r="AO11" s="13" t="str">
        <f>AW4</f>
        <v>Kamis</v>
      </c>
      <c r="AP11" s="13" t="str">
        <f>AX4</f>
        <v>Jumat</v>
      </c>
      <c r="AQ11" s="13"/>
      <c r="AR11" s="13" t="str">
        <f>AM11</f>
        <v>Selasa</v>
      </c>
      <c r="AS11" s="13" t="str">
        <f>AN11</f>
        <v>Rabu</v>
      </c>
      <c r="AT11" s="13" t="str">
        <f>AO11</f>
        <v>Kamis</v>
      </c>
      <c r="AU11" s="13" t="str">
        <f>AP11</f>
        <v>Jumat</v>
      </c>
      <c r="AV11" s="13" t="str">
        <f>AJ11</f>
        <v>Sabtu</v>
      </c>
      <c r="AW11" s="13" t="str">
        <f>AK11</f>
        <v>Minggu</v>
      </c>
      <c r="AX11" s="13" t="str">
        <f>AL11</f>
        <v>Senin</v>
      </c>
      <c r="AZ11" s="13"/>
      <c r="BA11" s="13" t="s">
        <v>2067</v>
      </c>
      <c r="BB11" s="13">
        <f>VLOOKUP(AZ10,'DATA 2'!Q44:W74,7)</f>
        <v>3.0</v>
      </c>
      <c r="BC11" s="13">
        <f>BB11*4</f>
        <v>12.0</v>
      </c>
      <c r="BD11" s="13"/>
      <c r="BF11" s="36"/>
      <c r="BG11" s="36"/>
      <c r="BH11" s="36"/>
      <c r="BI11" s="36"/>
      <c r="BJ11" s="36"/>
      <c r="BK11" s="36"/>
      <c r="BL11" s="36"/>
      <c r="BN11" s="13" t="str">
        <f>Lembar3!F54</f>
        <v>Sabtu</v>
      </c>
      <c r="BO11" s="13" t="str">
        <f>VLOOKUP(BN11,'DATA 2'!L6:R12,2)</f>
        <v>Minggu</v>
      </c>
      <c r="BP11" s="13" t="str">
        <f>VLOOKUP(BN11,'DATA 2'!L6:R12,3)</f>
        <v>Senin</v>
      </c>
      <c r="BQ11" s="13" t="str">
        <f>VLOOKUP(BN11,'DATA 2'!L6:R12,4)</f>
        <v>Selasa</v>
      </c>
      <c r="BR11" s="13" t="str">
        <f>VLOOKUP(BN11,'DATA 2'!L6:R12,5)</f>
        <v>Rabu</v>
      </c>
      <c r="BS11" s="13" t="str">
        <f>VLOOKUP(BN11,'DATA 2'!L6:R12,6)</f>
        <v>Kamis</v>
      </c>
      <c r="BT11" s="13" t="str">
        <f>VLOOKUP(BN11,'DATA 2'!L6:R12,7)</f>
        <v>Jumat</v>
      </c>
      <c r="BU11" s="13"/>
      <c r="BV11" s="13" t="str">
        <f>Lembar4!F54</f>
        <v>Senin</v>
      </c>
      <c r="BW11" s="13" t="str">
        <f>VLOOKUP(BV11,'DATA 2'!L6:R12,2)</f>
        <v>Selasa</v>
      </c>
      <c r="BX11" s="13" t="str">
        <f>VLOOKUP(BV11,'DATA 2'!L6:R12,3)</f>
        <v>Rabu</v>
      </c>
      <c r="BY11" s="13" t="str">
        <f>VLOOKUP(BV11,'DATA 2'!L6:R12,4)</f>
        <v>Kamis</v>
      </c>
      <c r="BZ11" s="13" t="str">
        <f>VLOOKUP(BV11,'DATA 2'!L6:R12,5)</f>
        <v>Jumat</v>
      </c>
      <c r="CA11" s="13" t="str">
        <f>VLOOKUP(BV11,'DATA 2'!L6:R12,6)</f>
        <v>Sabtu</v>
      </c>
      <c r="CB11" s="13" t="str">
        <f>VLOOKUP(BV11,'DATA 2'!L6:R12,7)</f>
        <v>Minggu</v>
      </c>
      <c r="CE11" s="32" t="s">
        <v>5941</v>
      </c>
      <c r="CF11" s="32"/>
      <c r="CG11" s="32"/>
      <c r="CH11" s="32"/>
      <c r="CI11" s="25" t="s">
        <v>5722</v>
      </c>
      <c r="CJ11" s="25"/>
      <c r="CK11" s="25"/>
      <c r="CL11" s="25"/>
      <c r="CM11" s="25"/>
      <c r="CN11" s="25"/>
      <c r="CO11" s="25"/>
      <c r="CP11" s="27">
        <f>ASIN(SIN(RADIANS(CP10*SIN(RADIANS(23.45)))))*180/PI()</f>
        <v>16.315893883612024</v>
      </c>
      <c r="CQ11" s="27"/>
      <c r="CR11" s="13" t="str">
        <f>TEXT(ABS((CP11)/24),"[hh]°mm'ss")</f>
        <v>16°18'57</v>
      </c>
      <c r="CS11" s="13"/>
      <c r="CT11" s="37"/>
      <c r="CU11" s="7" t="s">
        <v>6030</v>
      </c>
      <c r="CV11" s="7"/>
      <c r="CW11" s="7"/>
      <c r="CX11" s="7"/>
      <c r="CY11" s="7"/>
      <c r="CZ11" s="7"/>
      <c r="DA11" s="7"/>
      <c r="DB11" s="7"/>
    </row>
    <row r="12" spans="8:8" ht="20.0" customHeight="1">
      <c r="A12" s="20"/>
      <c r="B12" s="21"/>
      <c r="C12" s="12"/>
      <c r="D12" s="12"/>
      <c r="E12" s="12"/>
      <c r="F12" s="12"/>
      <c r="G12" s="12"/>
      <c r="H12" s="12"/>
      <c r="I12" s="12"/>
      <c r="K12" s="13"/>
      <c r="L12" s="25" t="s">
        <v>2039</v>
      </c>
      <c r="M12" s="26" t="str">
        <f>VLOOKUP(M11,'DATA 2'!Q44:S74,2)</f>
        <v>Kabisah</v>
      </c>
      <c r="N12" s="13">
        <f>(O7-MOD(O7,24))/24</f>
        <v>2.0</v>
      </c>
      <c r="O12" s="13" t="str">
        <f>TEXT(O7/24,"hh:mm:ss")</f>
        <v>13:39:00</v>
      </c>
      <c r="P12" s="13">
        <f>(Q7-MOD(Q7,30))/30</f>
        <v>1.0</v>
      </c>
      <c r="Q12" s="13" t="str">
        <f>TEXT((Q7-(P12*30))/24,"hh:mm:ss")</f>
        <v>02:21:00</v>
      </c>
      <c r="R12" s="13">
        <f>(S7-MOD(S7,30))/30</f>
        <v>9.0</v>
      </c>
      <c r="S12" s="13" t="str">
        <f>TEXT((S7-(R12*30))/24,"hh:mm:ss")</f>
        <v>14:58:01</v>
      </c>
      <c r="T12" s="13">
        <f>(U7-MOD(U7,30))/30</f>
        <v>0.0</v>
      </c>
      <c r="U12" s="13" t="str">
        <f>TEXT((U7-(T12*24))/24,"hh:mm:ss")</f>
        <v>08:36:00</v>
      </c>
      <c r="V12" s="13">
        <f>(W7-MOD(W7,30))/30</f>
        <v>9.0</v>
      </c>
      <c r="W12" s="13" t="str">
        <f>TEXT((W7-(V12*30))/24,"hh:mm:ss")</f>
        <v>14:52:01</v>
      </c>
      <c r="X12" s="8"/>
      <c r="Y12" s="9"/>
      <c r="Z12" s="15"/>
      <c r="AA12" s="15"/>
      <c r="AB12" s="15"/>
      <c r="AC12" s="15"/>
      <c r="AD12" s="15"/>
      <c r="AE12" s="15"/>
      <c r="AF12" s="15"/>
      <c r="AG12" s="15"/>
      <c r="AH12" s="15"/>
      <c r="AJ12" s="13" t="str">
        <f>IF(AH26&gt;28,"29",IF(AH26&lt;29,"1"))</f>
        <v>1</v>
      </c>
      <c r="AK12" s="13" t="str">
        <f>IF(AH26&gt;28,"1",IF(AH26&lt;29,"2"))</f>
        <v>2</v>
      </c>
      <c r="AL12" s="13" t="str">
        <f>IF(AH26&gt;28,"2",IF(AH26&lt;29,"3"))</f>
        <v>3</v>
      </c>
      <c r="AM12" s="13" t="str">
        <f>IF(AH26&gt;28,"3",IF(AH26&lt;29,"4"))</f>
        <v>4</v>
      </c>
      <c r="AN12" s="13" t="str">
        <f>IF(AH26&gt;28,"4",IF(AH26&lt;29,"5"))</f>
        <v>5</v>
      </c>
      <c r="AO12" s="13" t="str">
        <f>IF(AH26&gt;28,"5",IF(AH26&lt;29,"6"))</f>
        <v>6</v>
      </c>
      <c r="AP12" s="13" t="str">
        <f>IF(AH26&gt;28,"6",IF(AH26&lt;29,"7"))</f>
        <v>7</v>
      </c>
      <c r="AQ12" s="13"/>
      <c r="AR12" s="13" t="str">
        <f>IF(AH26&gt;28,"31",IF(AH26&lt;29,"1"))</f>
        <v>1</v>
      </c>
      <c r="AS12" s="13" t="str">
        <f>IF(AH26&gt;28,"1",IF(AH26&lt;29,"2"))</f>
        <v>2</v>
      </c>
      <c r="AT12" s="13" t="str">
        <f>IF(AH26&gt;28,"2",IF(AH26&lt;29,"3"))</f>
        <v>3</v>
      </c>
      <c r="AU12" s="13" t="str">
        <f>IF(AH26&gt;28,"3",IF(AH26&lt;29,"4"))</f>
        <v>4</v>
      </c>
      <c r="AV12" s="13" t="str">
        <f>IF(AH26&gt;28,"4",IF(AH26&lt;29,"5"))</f>
        <v>5</v>
      </c>
      <c r="AW12" s="13" t="str">
        <f>IF(AH26&gt;28,"5",IF(AH26&lt;29,"6"))</f>
        <v>6</v>
      </c>
      <c r="AX12" s="13" t="str">
        <f>IF(AH26&gt;28,"6",IF(AH26&lt;29,"7"))</f>
        <v>7</v>
      </c>
      <c r="AZ12" s="13"/>
      <c r="BA12" s="13"/>
      <c r="BB12" s="13"/>
      <c r="BC12" s="13">
        <f>BC9+BC10+BC11+5</f>
        <v>262.0</v>
      </c>
      <c r="BD12" s="13">
        <f>INT(BC12/7)</f>
        <v>37.0</v>
      </c>
      <c r="BF12" s="12" t="s">
        <v>2079</v>
      </c>
      <c r="BG12" s="12" t="s">
        <v>122</v>
      </c>
      <c r="BH12" s="12" t="s">
        <v>2076</v>
      </c>
      <c r="BI12" s="12" t="s">
        <v>2077</v>
      </c>
      <c r="BJ12" s="12" t="s">
        <v>2078</v>
      </c>
      <c r="BK12" s="12" t="s">
        <v>2061</v>
      </c>
      <c r="BL12" s="12" t="s">
        <v>2043</v>
      </c>
      <c r="BN12" s="13">
        <v>1.0</v>
      </c>
      <c r="BO12" s="13">
        <v>2.0</v>
      </c>
      <c r="BP12" s="13">
        <v>3.0</v>
      </c>
      <c r="BQ12" s="13">
        <v>4.0</v>
      </c>
      <c r="BR12" s="13">
        <v>5.0</v>
      </c>
      <c r="BS12" s="13">
        <v>6.0</v>
      </c>
      <c r="BT12" s="13">
        <v>7.0</v>
      </c>
      <c r="BU12" s="13"/>
      <c r="BV12" s="13">
        <v>1.0</v>
      </c>
      <c r="BW12" s="13">
        <v>2.0</v>
      </c>
      <c r="BX12" s="13">
        <v>3.0</v>
      </c>
      <c r="BY12" s="13">
        <v>4.0</v>
      </c>
      <c r="BZ12" s="13">
        <v>5.0</v>
      </c>
      <c r="CA12" s="13">
        <v>6.0</v>
      </c>
      <c r="CB12" s="13">
        <v>7.0</v>
      </c>
      <c r="CE12" s="32" t="s">
        <v>5667</v>
      </c>
      <c r="CF12" s="32"/>
      <c r="CG12" s="32"/>
      <c r="CH12" s="32"/>
      <c r="CI12" s="25" t="s">
        <v>5721</v>
      </c>
      <c r="CJ12" s="25"/>
      <c r="CK12" s="25"/>
      <c r="CL12" s="25"/>
      <c r="CM12" s="25"/>
      <c r="CN12" s="25"/>
      <c r="CO12" s="25"/>
      <c r="CP12" s="27">
        <f>SIN(RADIANS(CK5*SIN(RADIANS(CP11))))*60</f>
        <v>1.946328914198226</v>
      </c>
      <c r="CQ12" s="27"/>
      <c r="CR12" s="13" t="str">
        <f>TEXT(ABS((CP12)/24),"[hh]°mm'ss")</f>
        <v>01°56'47</v>
      </c>
      <c r="CS12" s="13"/>
      <c r="CU12" s="7"/>
      <c r="CV12" s="7"/>
      <c r="CW12" s="7"/>
      <c r="CX12" s="7"/>
      <c r="CY12" s="7"/>
      <c r="CZ12" s="7"/>
      <c r="DA12" s="7"/>
      <c r="DB12" s="7"/>
    </row>
    <row r="13" spans="8:8" ht="20.0" customHeight="1">
      <c r="A13" s="20"/>
      <c r="B13" s="21"/>
      <c r="C13" s="12" t="s">
        <v>5981</v>
      </c>
      <c r="D13" s="12"/>
      <c r="E13" s="12"/>
      <c r="F13" s="12"/>
      <c r="G13" s="12"/>
      <c r="H13" s="12"/>
      <c r="I13" s="12"/>
      <c r="K13" s="13"/>
      <c r="L13" s="25" t="s">
        <v>2281</v>
      </c>
      <c r="M13" s="13">
        <f>VLOOKUP(M11,'DATA 2'!Q44:S74,3)</f>
        <v>355.0</v>
      </c>
      <c r="N13" s="13">
        <f>(O8-MOD(O8,24))/24</f>
        <v>3.0</v>
      </c>
      <c r="O13" s="13" t="str">
        <f>TEXT(O8/24,"hh:mm:ss")</f>
        <v>17:07:59</v>
      </c>
      <c r="P13" s="13">
        <f>(Q8-MOD(Q8,30))/30</f>
        <v>7.0</v>
      </c>
      <c r="Q13" s="13" t="str">
        <f>TEXT((Q8-(P13*30))/24,"hh:mm:ss")</f>
        <v>04:42:00</v>
      </c>
      <c r="R13" s="13">
        <f>(S8-MOD(S8,30))/30</f>
        <v>6.0</v>
      </c>
      <c r="S13" s="13" t="str">
        <f>TEXT((S8-(R13*30))/24,"hh:mm:ss")</f>
        <v>23:45:00</v>
      </c>
      <c r="T13" s="13">
        <f>(U8-MOD(U8,30))/30</f>
        <v>6.0</v>
      </c>
      <c r="U13" s="13" t="str">
        <f>TEXT((U8-(T13*24))/24,"hh:mm:ss")</f>
        <v>12:43:01</v>
      </c>
      <c r="V13" s="13">
        <f>(W8-MOD(W8,30))/30</f>
        <v>6.0</v>
      </c>
      <c r="W13" s="13" t="str">
        <f>TEXT((W8-(V13*30))/24,"hh:mm:ss")</f>
        <v>23:45:00</v>
      </c>
      <c r="X13" s="8"/>
      <c r="Y13" s="9"/>
      <c r="Z13" s="38" t="s">
        <v>1970</v>
      </c>
      <c r="AA13" s="38"/>
      <c r="AB13" s="15">
        <f>AD4</f>
        <v>2025.0</v>
      </c>
      <c r="AC13" s="15"/>
      <c r="AD13" s="15"/>
      <c r="AE13" s="15"/>
      <c r="AF13" s="15"/>
      <c r="AG13" s="15"/>
      <c r="AH13" s="15"/>
      <c r="AJ13" s="13" t="str">
        <f>IF(AH26&gt;28,"7",IF(AH26&lt;29,"8"))</f>
        <v>8</v>
      </c>
      <c r="AK13" s="13" t="str">
        <f>IF(AH26&gt;28,"8",IF(AH26&lt;29,"9"))</f>
        <v>9</v>
      </c>
      <c r="AL13" s="13" t="str">
        <f>IF(AH26&gt;28,"9",IF(AH26&lt;29,"10"))</f>
        <v>10</v>
      </c>
      <c r="AM13" s="13" t="str">
        <f>IF(AH26&gt;28,"10",IF(AH26&lt;29,"11"))</f>
        <v>11</v>
      </c>
      <c r="AN13" s="13" t="str">
        <f>IF(AH26&gt;28,"11",IF(AH26&lt;29,"12"))</f>
        <v>12</v>
      </c>
      <c r="AO13" s="13" t="str">
        <f>IF(AH26&gt;28,"12",IF(AH26&lt;29,"13"))</f>
        <v>13</v>
      </c>
      <c r="AP13" s="13" t="str">
        <f>IF(AH26&gt;28,"13",IF(AH26&lt;29,"14"))</f>
        <v>14</v>
      </c>
      <c r="AQ13" s="13"/>
      <c r="AR13" s="13" t="str">
        <f>IF(AH26&gt;28,"7",IF(AH26&lt;29,"8"))</f>
        <v>8</v>
      </c>
      <c r="AS13" s="13" t="str">
        <f>IF(AH26&gt;28,"8",IF(AH26&lt;29,"9"))</f>
        <v>9</v>
      </c>
      <c r="AT13" s="13" t="str">
        <f>IF(AH26&gt;28,"9",IF(AH26&lt;29,"10"))</f>
        <v>10</v>
      </c>
      <c r="AU13" s="13" t="str">
        <f>IF(AH26&gt;28,"10",IF(AH26&lt;29,"11"))</f>
        <v>11</v>
      </c>
      <c r="AV13" s="13" t="str">
        <f>IF(AH26&gt;28,"11",IF(AH26&lt;29,"12"))</f>
        <v>12</v>
      </c>
      <c r="AW13" s="13" t="str">
        <f>IF(AH26&gt;28,"12",IF(AH26&lt;29,"13"))</f>
        <v>13</v>
      </c>
      <c r="AX13" s="13" t="str">
        <f>IF(AH26&gt;28,"13",IF(AH26&lt;29,"14"))</f>
        <v>14</v>
      </c>
      <c r="AZ13" s="13"/>
      <c r="BA13" s="13"/>
      <c r="BB13" s="13"/>
      <c r="BC13" s="13">
        <f>MOD(BC12,7)</f>
        <v>3.0</v>
      </c>
      <c r="BD13" s="13"/>
      <c r="BF13" s="12">
        <v>1.0</v>
      </c>
      <c r="BG13" s="12" t="s">
        <v>1875</v>
      </c>
      <c r="BH13" s="12">
        <v>1.0</v>
      </c>
      <c r="BI13" s="12" t="str">
        <f>BD15</f>
        <v>Selasa</v>
      </c>
      <c r="BJ13" s="12">
        <v>1.0</v>
      </c>
      <c r="BK13" s="12" t="str">
        <f>BD22</f>
        <v>Kliwon</v>
      </c>
      <c r="BL13" s="12">
        <v>30.0</v>
      </c>
      <c r="BN13" s="13">
        <v>8.0</v>
      </c>
      <c r="BO13" s="13">
        <v>9.0</v>
      </c>
      <c r="BP13" s="13">
        <v>10.0</v>
      </c>
      <c r="BQ13" s="13">
        <v>11.0</v>
      </c>
      <c r="BR13" s="13">
        <v>12.0</v>
      </c>
      <c r="BS13" s="13">
        <v>13.0</v>
      </c>
      <c r="BT13" s="13">
        <v>14.0</v>
      </c>
      <c r="BU13" s="13"/>
      <c r="BV13" s="13">
        <v>8.0</v>
      </c>
      <c r="BW13" s="13">
        <v>9.0</v>
      </c>
      <c r="BX13" s="13">
        <v>10.0</v>
      </c>
      <c r="BY13" s="13">
        <v>11.0</v>
      </c>
      <c r="BZ13" s="13">
        <v>12.0</v>
      </c>
      <c r="CA13" s="13">
        <v>13.0</v>
      </c>
      <c r="CB13" s="13">
        <v>14.0</v>
      </c>
      <c r="CE13" s="32" t="s">
        <v>5668</v>
      </c>
      <c r="CF13" s="32"/>
      <c r="CG13" s="32"/>
      <c r="CH13" s="32"/>
      <c r="CI13" s="25" t="s">
        <v>5726</v>
      </c>
      <c r="CJ13" s="25"/>
      <c r="CK13" s="25"/>
      <c r="CL13" s="25"/>
      <c r="CM13" s="25"/>
      <c r="CN13" s="25"/>
      <c r="CO13" s="25"/>
      <c r="CP13" s="27">
        <f>COS(RADIANS(CK5))*COS(RADIANS(CP11))*60</f>
        <v>57.20005730416376</v>
      </c>
      <c r="CQ13" s="27"/>
      <c r="CR13" s="13" t="str">
        <f>TEXT(ABS((CP13)/24),"[hh]°mm'ss")</f>
        <v>57°12'00</v>
      </c>
      <c r="CS13" s="13"/>
      <c r="CU13" s="7" t="s">
        <v>6029</v>
      </c>
      <c r="CV13" s="7"/>
      <c r="CW13" s="7"/>
      <c r="CX13" s="7"/>
      <c r="CY13" s="7"/>
      <c r="CZ13" s="7"/>
      <c r="DA13" s="7"/>
      <c r="DB13" s="7"/>
    </row>
    <row r="14" spans="8:8" ht="20.0" customHeight="1">
      <c r="A14" s="20"/>
      <c r="B14" s="21"/>
      <c r="C14" s="12"/>
      <c r="D14" s="12"/>
      <c r="E14" s="12"/>
      <c r="F14" s="12"/>
      <c r="G14" s="12"/>
      <c r="H14" s="12"/>
      <c r="I14" s="12"/>
      <c r="K14" s="13"/>
      <c r="L14" s="39" t="s">
        <v>2045</v>
      </c>
      <c r="M14" s="27" t="s">
        <v>2044</v>
      </c>
      <c r="N14" s="13">
        <f>(O9-MOD(O9,24))/24</f>
        <v>4.0</v>
      </c>
      <c r="O14" s="13" t="str">
        <f>TEXT(O9/24,"hh:mm:ss")</f>
        <v>00:55:59</v>
      </c>
      <c r="P14" s="13">
        <f>(Q9-MOD(Q9,30))/30</f>
        <v>11.0</v>
      </c>
      <c r="Q14" s="13" t="str">
        <f>TEXT((Q9-(P14*30))/24,"hh:mm:ss")</f>
        <v>20:06:00</v>
      </c>
      <c r="R14" s="13">
        <f>(S9-MOD(S9,30))/30</f>
        <v>10.0</v>
      </c>
      <c r="S14" s="13" t="str">
        <f>TEXT((S9-(R14*30))/24,"hh:mm:ss")</f>
        <v>05:07:01</v>
      </c>
      <c r="T14" s="13">
        <f>(U9-MOD(U9,30))/30</f>
        <v>2.0</v>
      </c>
      <c r="U14" s="13" t="str">
        <f>TEXT((U9-(T14*24))/24,"hh:mm:ss")</f>
        <v>13:32:02</v>
      </c>
      <c r="V14" s="13">
        <f>(W9-MOD(W9,30))/30</f>
        <v>7.0</v>
      </c>
      <c r="W14" s="13" t="str">
        <f>TEXT((W9-(V14*30))/24,"hh:mm:ss")</f>
        <v>16:27:00</v>
      </c>
      <c r="X14" s="8"/>
      <c r="Y14" s="9"/>
      <c r="Z14" s="38" t="s">
        <v>1971</v>
      </c>
      <c r="AA14" s="38"/>
      <c r="AB14" s="15" t="str">
        <f>VLOOKUP(AC11,'DATA 2'!L36:M43,2)</f>
        <v>Rabu</v>
      </c>
      <c r="AC14" s="15"/>
      <c r="AD14" s="15" t="str">
        <f>VLOOKUP(AE11,'DATA 2'!L36:R41,3)</f>
        <v>Pon</v>
      </c>
      <c r="AE14" s="15" t="s">
        <v>1973</v>
      </c>
      <c r="AF14" s="15"/>
      <c r="AG14" s="15"/>
      <c r="AH14" s="15" t="str">
        <f>IF(((MOD(AD4,4)=0)*((MOD(AD4,100)&lt;&gt;0)+(MOD(AD4,400)=0))=1),"Tahun Kabisah","Tahun Basitoh")</f>
        <v>Tahun Basitoh</v>
      </c>
      <c r="AJ14" s="13" t="str">
        <f>IF(AH26&gt;28,"14",IF(AH26&lt;29,"15"))</f>
        <v>15</v>
      </c>
      <c r="AK14" s="13" t="str">
        <f>IF(AH26&gt;28,"15",IF(AH26&lt;29,"16"))</f>
        <v>16</v>
      </c>
      <c r="AL14" s="13" t="str">
        <f>IF(AH26&gt;28,"16",IF(AH26&lt;29,"17"))</f>
        <v>17</v>
      </c>
      <c r="AM14" s="13" t="str">
        <f>IF(AH26&gt;28,"17",IF(AH26&lt;29,"18"))</f>
        <v>18</v>
      </c>
      <c r="AN14" s="13" t="str">
        <f>IF(AH26&gt;28,"18",IF(AH26&lt;29,"19"))</f>
        <v>19</v>
      </c>
      <c r="AO14" s="13" t="str">
        <f>IF(AH26&gt;28,"19",IF(AH26&lt;29,"20"))</f>
        <v>20</v>
      </c>
      <c r="AP14" s="13" t="str">
        <f>IF(AH26&gt;28,"20",IF(AH26&lt;29,"21"))</f>
        <v>21</v>
      </c>
      <c r="AQ14" s="13"/>
      <c r="AR14" s="13" t="str">
        <f>IF(AH26&gt;28,"14",IF(AH26&lt;29,"15"))</f>
        <v>15</v>
      </c>
      <c r="AS14" s="13" t="str">
        <f>IF(AH26&gt;28,"15",IF(AH26&lt;29,"16"))</f>
        <v>16</v>
      </c>
      <c r="AT14" s="13" t="str">
        <f>IF(AH26&gt;28,"16",IF(AH26&lt;29,"17"))</f>
        <v>17</v>
      </c>
      <c r="AU14" s="13" t="str">
        <f>IF(AH26&gt;28,"17",IF(AH26&lt;29,"18"))</f>
        <v>18</v>
      </c>
      <c r="AV14" s="13" t="str">
        <f>IF(AH26&gt;28,"18",IF(AH26&lt;29,"19"))</f>
        <v>19</v>
      </c>
      <c r="AW14" s="13" t="str">
        <f>IF(AH26&gt;28,"19",IF(AH26&lt;29,"20"))</f>
        <v>20</v>
      </c>
      <c r="AX14" s="13" t="str">
        <f>IF(AH26&gt;28,"20",IF(AH26&lt;29,"21"))</f>
        <v>21</v>
      </c>
      <c r="AZ14" s="13"/>
      <c r="BA14" s="13"/>
      <c r="BB14" s="13"/>
      <c r="BC14" s="36"/>
      <c r="BD14" s="36"/>
      <c r="BF14" s="12">
        <v>2.0</v>
      </c>
      <c r="BG14" s="12" t="s">
        <v>1876</v>
      </c>
      <c r="BH14" s="12">
        <v>3.0</v>
      </c>
      <c r="BI14" s="12" t="str">
        <f>VLOOKUP(BI13,'DATA 2'!L6:R12,3)</f>
        <v>Kamis</v>
      </c>
      <c r="BJ14" s="12">
        <v>1.0</v>
      </c>
      <c r="BK14" s="12" t="str">
        <f>VLOOKUP(BK13,'DATA 2'!T6:X10,1)</f>
        <v>Kliwon</v>
      </c>
      <c r="BL14" s="12">
        <v>29.0</v>
      </c>
      <c r="BN14" s="13">
        <v>15.0</v>
      </c>
      <c r="BO14" s="13">
        <v>16.0</v>
      </c>
      <c r="BP14" s="13">
        <v>17.0</v>
      </c>
      <c r="BQ14" s="13">
        <v>18.0</v>
      </c>
      <c r="BR14" s="13">
        <v>19.0</v>
      </c>
      <c r="BS14" s="13">
        <v>20.0</v>
      </c>
      <c r="BT14" s="13">
        <v>21.0</v>
      </c>
      <c r="BU14" s="13"/>
      <c r="BV14" s="13">
        <v>15.0</v>
      </c>
      <c r="BW14" s="13">
        <v>16.0</v>
      </c>
      <c r="BX14" s="13">
        <v>17.0</v>
      </c>
      <c r="BY14" s="13">
        <v>18.0</v>
      </c>
      <c r="BZ14" s="13">
        <v>19.0</v>
      </c>
      <c r="CA14" s="13">
        <v>20.0</v>
      </c>
      <c r="CB14" s="13">
        <v>21.0</v>
      </c>
      <c r="CE14" s="32" t="s">
        <v>5669</v>
      </c>
      <c r="CF14" s="32"/>
      <c r="CG14" s="32"/>
      <c r="CH14" s="32"/>
      <c r="CI14" s="25" t="s">
        <v>5727</v>
      </c>
      <c r="CJ14" s="25"/>
      <c r="CK14" s="25"/>
      <c r="CL14" s="25"/>
      <c r="CM14" s="25"/>
      <c r="CN14" s="25"/>
      <c r="CO14" s="25"/>
      <c r="CP14" s="27">
        <f>ASIN(TAN(RADIANS(CK5))*TAN(RADIANS(CP11)))*60</f>
        <v>2.0378155840827685</v>
      </c>
      <c r="CQ14" s="27"/>
      <c r="CR14" s="13" t="str">
        <f>TEXT(ABS((CP14)/24),"[hh]°mm'ss")</f>
        <v>02°02'16</v>
      </c>
      <c r="CS14" s="13"/>
      <c r="CU14" s="7"/>
      <c r="CV14" s="7"/>
      <c r="CW14" s="7"/>
      <c r="CX14" s="7"/>
      <c r="CY14" s="7"/>
      <c r="CZ14" s="7"/>
      <c r="DA14" s="7"/>
      <c r="DB14" s="7"/>
    </row>
    <row r="15" spans="8:8" ht="25.0" customHeight="1">
      <c r="A15" s="40"/>
      <c r="B15" s="41"/>
      <c r="C15" s="12" t="s">
        <v>6006</v>
      </c>
      <c r="D15" s="12"/>
      <c r="E15" s="12"/>
      <c r="F15" s="12"/>
      <c r="G15" s="12"/>
      <c r="H15" s="12"/>
      <c r="I15" s="12"/>
      <c r="K15" s="13"/>
      <c r="L15" s="27" t="s">
        <v>5557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8"/>
      <c r="Y15" s="9"/>
      <c r="Z15" s="15"/>
      <c r="AA15" s="15"/>
      <c r="AB15" s="16" t="s">
        <v>1975</v>
      </c>
      <c r="AC15" s="16"/>
      <c r="AD15" s="16"/>
      <c r="AE15" s="16"/>
      <c r="AF15" s="16"/>
      <c r="AG15" s="15"/>
      <c r="AH15" s="15"/>
      <c r="AJ15" s="13" t="str">
        <f>IF(AH26&gt;28,"21",IF(AH26&lt;29,"22"))</f>
        <v>22</v>
      </c>
      <c r="AK15" s="13" t="str">
        <f>IF(AH26&gt;28,"22",IF(AH26&lt;29,"23"))</f>
        <v>23</v>
      </c>
      <c r="AL15" s="13" t="str">
        <f>IF(AH26&gt;28,"23",IF(AH26&lt;29,"24"))</f>
        <v>24</v>
      </c>
      <c r="AM15" s="13" t="str">
        <f>IF(AH26&gt;28,"24",IF(AH26&lt;29,"25"))</f>
        <v>25</v>
      </c>
      <c r="AN15" s="13" t="str">
        <f>IF(AH26&gt;28,"25",IF(AH26&lt;29,"26"))</f>
        <v>26</v>
      </c>
      <c r="AO15" s="13" t="str">
        <f>IF(AH26&gt;28,"26",IF(AH26&lt;29,"27"))</f>
        <v>27</v>
      </c>
      <c r="AP15" s="13" t="str">
        <f>IF(AH26&gt;28,"27",IF(AH26&lt;29,"28"))</f>
        <v>28</v>
      </c>
      <c r="AQ15" s="13"/>
      <c r="AR15" s="13" t="str">
        <f>IF(AH26&gt;28,"21",IF(AH26&lt;29,"22"))</f>
        <v>22</v>
      </c>
      <c r="AS15" s="13" t="str">
        <f>IF(AH26&gt;28,"22",IF(AH26&lt;29,"23"))</f>
        <v>23</v>
      </c>
      <c r="AT15" s="13" t="str">
        <f>IF(AH26&gt;28,"23",IF(AH26&lt;29,"24"))</f>
        <v>24</v>
      </c>
      <c r="AU15" s="13" t="str">
        <f>IF(AH26&gt;28,"24",IF(AH26&lt;29,"25"))</f>
        <v>25</v>
      </c>
      <c r="AV15" s="13" t="str">
        <f>IF(AH26&gt;28,"25",IF(AH26&lt;29,"26"))</f>
        <v>26</v>
      </c>
      <c r="AW15" s="13" t="str">
        <f>IF(AH26&gt;28,"26",IF(AH26&lt;29,"27"))</f>
        <v>27</v>
      </c>
      <c r="AX15" s="13" t="str">
        <f>IF(AH26&gt;28,"27",IF(AH26&lt;29,"28"))</f>
        <v>28</v>
      </c>
      <c r="AZ15" s="13" t="s">
        <v>121</v>
      </c>
      <c r="BA15" s="13">
        <f>AZ4</f>
        <v>1445.0</v>
      </c>
      <c r="BB15" s="13" t="s">
        <v>2029</v>
      </c>
      <c r="BC15" s="13"/>
      <c r="BD15" s="13" t="str">
        <f>VLOOKUP(BC13,'DATA 2'!L36:M43,2)</f>
        <v>Selasa</v>
      </c>
      <c r="BF15" s="12">
        <v>3.0</v>
      </c>
      <c r="BG15" s="12" t="s">
        <v>1887</v>
      </c>
      <c r="BH15" s="12">
        <v>4.0</v>
      </c>
      <c r="BI15" s="12" t="str">
        <f>VLOOKUP(BI13,'DATA 2'!L6:R12,4)</f>
        <v>Jumat</v>
      </c>
      <c r="BJ15" s="12">
        <v>5.0</v>
      </c>
      <c r="BK15" s="12" t="str">
        <f>VLOOKUP(BK13,'DATA 2'!T6:X10,5)</f>
        <v>Wage</v>
      </c>
      <c r="BL15" s="12">
        <v>30.0</v>
      </c>
      <c r="BN15" s="13">
        <v>22.0</v>
      </c>
      <c r="BO15" s="13">
        <v>23.0</v>
      </c>
      <c r="BP15" s="13">
        <v>24.0</v>
      </c>
      <c r="BQ15" s="13">
        <v>25.0</v>
      </c>
      <c r="BR15" s="13">
        <v>26.0</v>
      </c>
      <c r="BS15" s="13">
        <v>27.0</v>
      </c>
      <c r="BT15" s="13">
        <v>28.0</v>
      </c>
      <c r="BU15" s="13"/>
      <c r="BV15" s="13">
        <v>22.0</v>
      </c>
      <c r="BW15" s="13">
        <v>23.0</v>
      </c>
      <c r="BX15" s="13">
        <v>24.0</v>
      </c>
      <c r="BY15" s="13">
        <v>25.0</v>
      </c>
      <c r="BZ15" s="13">
        <v>26.0</v>
      </c>
      <c r="CA15" s="13">
        <v>27.0</v>
      </c>
      <c r="CB15" s="13">
        <v>28.0</v>
      </c>
      <c r="CE15" s="32" t="s">
        <v>5852</v>
      </c>
      <c r="CF15" s="32"/>
      <c r="CG15" s="32"/>
      <c r="CH15" s="32"/>
      <c r="CI15" s="25" t="s">
        <v>5677</v>
      </c>
      <c r="CJ15" s="25"/>
      <c r="CK15" s="25"/>
      <c r="CL15" s="25"/>
      <c r="CM15" s="25"/>
      <c r="CN15" s="25"/>
      <c r="CO15" s="25"/>
      <c r="CP15" s="27">
        <f>180-CP16</f>
        <v>92.0378155840828</v>
      </c>
      <c r="CQ15" s="27"/>
      <c r="CR15" s="13" t="str">
        <f>TEXT(ABS((CP15)/24),"[hh]°mm'ss")</f>
        <v>92°02'16</v>
      </c>
      <c r="CS15" s="13"/>
      <c r="CU15" s="42" t="s">
        <v>6031</v>
      </c>
      <c r="CV15" s="42"/>
      <c r="CW15" s="42"/>
      <c r="CX15" s="42"/>
      <c r="CY15" s="42"/>
      <c r="CZ15" s="42"/>
      <c r="DA15" s="42"/>
      <c r="DB15" s="42"/>
    </row>
    <row r="16" spans="8:8" ht="20.0" customHeight="1">
      <c r="A16" s="40"/>
      <c r="B16" s="41"/>
      <c r="C16" s="12"/>
      <c r="D16" s="12"/>
      <c r="E16" s="12"/>
      <c r="F16" s="12"/>
      <c r="G16" s="12"/>
      <c r="H16" s="12"/>
      <c r="I16" s="12"/>
      <c r="K16" s="13"/>
      <c r="L16" s="43" t="s">
        <v>1933</v>
      </c>
      <c r="M16" s="43"/>
      <c r="N16" s="43"/>
      <c r="O16" s="43"/>
      <c r="P16" s="43" t="s">
        <v>1934</v>
      </c>
      <c r="Q16" s="43"/>
      <c r="R16" s="43"/>
      <c r="S16" s="43"/>
      <c r="T16" s="43"/>
      <c r="U16" s="44" t="s">
        <v>1935</v>
      </c>
      <c r="V16" s="43" t="s">
        <v>1940</v>
      </c>
      <c r="W16" s="43"/>
      <c r="X16" s="8"/>
      <c r="Y16" s="9"/>
      <c r="Z16" s="15">
        <v>1.0</v>
      </c>
      <c r="AA16" s="15"/>
      <c r="AB16" s="15">
        <v>2.0</v>
      </c>
      <c r="AC16" s="15"/>
      <c r="AD16" s="15">
        <v>3.0</v>
      </c>
      <c r="AE16" s="15"/>
      <c r="AF16" s="15">
        <v>4.0</v>
      </c>
      <c r="AG16" s="15"/>
      <c r="AH16" s="15">
        <v>5.0</v>
      </c>
      <c r="AJ16" s="13" t="str">
        <f>IF(AH26&gt;28,"28",IF(AH26&lt;29,"29"))</f>
        <v>29</v>
      </c>
      <c r="AK16" s="13" t="str">
        <f>IF(AH26&gt;28,"29",IF(AH26&lt;29,"30"))</f>
        <v>30</v>
      </c>
      <c r="AL16" s="13" t="str">
        <f>IF(AH26&gt;28,"29",IF(AH26&lt;29,"31"))</f>
        <v>31</v>
      </c>
      <c r="AM16" s="13" t="str">
        <f>IF(AH26&gt;28,"31",IF(AH26&lt;29,"1"))</f>
        <v>1</v>
      </c>
      <c r="AN16" s="13"/>
      <c r="AO16" s="13"/>
      <c r="AP16" s="13"/>
      <c r="AQ16" s="13"/>
      <c r="AR16" s="13" t="str">
        <f>IF(AH26&gt;28,"28",IF(AH26&lt;29,"29"))</f>
        <v>29</v>
      </c>
      <c r="AS16" s="13" t="str">
        <f>IF(AH26&gt;28,"29",IF(AH26&lt;29,"30"))</f>
        <v>30</v>
      </c>
      <c r="AT16" s="13" t="str">
        <f>IF(AH26&gt;28,"30",IF(AH26&lt;29,"1"))</f>
        <v>1</v>
      </c>
      <c r="AU16" s="13"/>
      <c r="AV16" s="13"/>
      <c r="AW16" s="13"/>
      <c r="AX16" s="13"/>
      <c r="AZ16" s="13"/>
      <c r="BA16" s="13"/>
      <c r="BB16" s="13"/>
      <c r="BC16" s="13"/>
      <c r="BD16" s="13"/>
      <c r="BF16" s="12">
        <v>4.0</v>
      </c>
      <c r="BG16" s="12" t="s">
        <v>2057</v>
      </c>
      <c r="BH16" s="12">
        <v>6.0</v>
      </c>
      <c r="BI16" s="12" t="str">
        <f>VLOOKUP(BI13,'DATA 2'!L6:R12,6)</f>
        <v>Minggu</v>
      </c>
      <c r="BJ16" s="12">
        <v>5.0</v>
      </c>
      <c r="BK16" s="12" t="str">
        <f>VLOOKUP(BK13,'DATA 2'!T6:X10,5)</f>
        <v>Wage</v>
      </c>
      <c r="BL16" s="12">
        <v>29.0</v>
      </c>
      <c r="BN16" s="13">
        <v>29.0</v>
      </c>
      <c r="BO16" s="13">
        <v>30.0</v>
      </c>
      <c r="BP16" s="13"/>
      <c r="BQ16" s="13"/>
      <c r="BR16" s="13"/>
      <c r="BS16" s="13"/>
      <c r="BT16" s="13"/>
      <c r="BU16" s="13"/>
      <c r="BV16" s="13">
        <v>29.0</v>
      </c>
      <c r="BW16" s="13">
        <v>30.0</v>
      </c>
      <c r="BX16" s="13"/>
      <c r="BY16" s="13"/>
      <c r="BZ16" s="13"/>
      <c r="CA16" s="13"/>
      <c r="CB16" s="13"/>
      <c r="CE16" s="32" t="s">
        <v>5853</v>
      </c>
      <c r="CF16" s="32"/>
      <c r="CG16" s="32"/>
      <c r="CH16" s="32"/>
      <c r="CI16" s="25" t="s">
        <v>5678</v>
      </c>
      <c r="CJ16" s="25"/>
      <c r="CK16" s="25"/>
      <c r="CL16" s="25"/>
      <c r="CM16" s="25"/>
      <c r="CN16" s="25"/>
      <c r="CO16" s="25"/>
      <c r="CP16" s="27">
        <f>90-CP14</f>
        <v>87.96218441591724</v>
      </c>
      <c r="CQ16" s="27"/>
      <c r="CR16" s="13" t="str">
        <f>TEXT(ABS((CP16)/24),"[hh]°mm'ss")</f>
        <v>87°57'44</v>
      </c>
      <c r="CS16" s="13"/>
      <c r="CU16" s="42"/>
      <c r="CV16" s="42"/>
      <c r="CW16" s="42"/>
      <c r="CX16" s="42"/>
      <c r="CY16" s="42"/>
      <c r="CZ16" s="42"/>
      <c r="DA16" s="42"/>
      <c r="DB16" s="42"/>
    </row>
    <row r="17" spans="8:8" ht="20.0" customHeight="1">
      <c r="A17" s="40"/>
      <c r="B17" s="41"/>
      <c r="C17" s="45" t="s">
        <v>2079</v>
      </c>
      <c r="D17" s="46" t="s">
        <v>1933</v>
      </c>
      <c r="E17" s="46"/>
      <c r="F17" s="46"/>
      <c r="G17" s="46"/>
      <c r="H17" s="46"/>
      <c r="I17" s="45" t="s">
        <v>6007</v>
      </c>
      <c r="K17" s="13"/>
      <c r="L17" s="43" t="s">
        <v>128</v>
      </c>
      <c r="M17" s="43"/>
      <c r="N17" s="43"/>
      <c r="O17" s="43"/>
      <c r="P17" s="43" t="s">
        <v>166</v>
      </c>
      <c r="Q17" s="43"/>
      <c r="R17" s="43"/>
      <c r="S17" s="43"/>
      <c r="T17" s="43"/>
      <c r="U17" s="47">
        <f>VLOOKUP(ROUND(U9,0),'DATA 1'!T54:U414,2)</f>
        <v>0.067</v>
      </c>
      <c r="V17" s="44">
        <f>(U17-MOD(U17,30))/30</f>
        <v>0.0</v>
      </c>
      <c r="W17" s="44" t="str">
        <f>TEXT(U17/24,"hh:mm:ss")</f>
        <v>00:04:01</v>
      </c>
      <c r="X17" s="48"/>
      <c r="Y17" s="9"/>
      <c r="Z17" s="16" t="str">
        <f>AB14</f>
        <v>Rabu</v>
      </c>
      <c r="AA17" s="15"/>
      <c r="AB17" s="16" t="str">
        <f>VLOOKUP(Z17,'DATA 2'!L6:R12,2)</f>
        <v>Kamis</v>
      </c>
      <c r="AC17" s="15"/>
      <c r="AD17" s="16" t="str">
        <f>VLOOKUP(Z17,'DATA 2'!L6:R12,3)</f>
        <v>Jumat</v>
      </c>
      <c r="AE17" s="15"/>
      <c r="AF17" s="16" t="str">
        <f>VLOOKUP(Z17,'DATA 2'!L6:R12,4)</f>
        <v>Sabtu</v>
      </c>
      <c r="AG17" s="15"/>
      <c r="AH17" s="16" t="str">
        <f>VLOOKUP(Z17,'DATA 2'!L6:R12,5)</f>
        <v>Minggu</v>
      </c>
      <c r="AJ17" s="13" t="s">
        <v>56</v>
      </c>
      <c r="AK17" s="13"/>
      <c r="AL17" s="13"/>
      <c r="AM17" s="13"/>
      <c r="AN17" s="13"/>
      <c r="AO17" s="13"/>
      <c r="AP17" s="13"/>
      <c r="AQ17" s="13"/>
      <c r="AR17" s="13" t="s">
        <v>59</v>
      </c>
      <c r="AS17" s="13"/>
      <c r="AT17" s="13"/>
      <c r="AU17" s="13"/>
      <c r="AV17" s="13"/>
      <c r="AW17" s="13"/>
      <c r="AX17" s="13"/>
      <c r="AZ17" s="13">
        <f>AZ4-1</f>
        <v>1444.0</v>
      </c>
      <c r="BA17" s="13">
        <f>INT(AZ17/30)</f>
        <v>48.0</v>
      </c>
      <c r="BB17" s="13" t="s">
        <v>2069</v>
      </c>
      <c r="BC17" s="13">
        <f>BA17*1</f>
        <v>48.0</v>
      </c>
      <c r="BD17" s="13"/>
      <c r="BF17" s="12">
        <v>5.0</v>
      </c>
      <c r="BG17" s="12" t="s">
        <v>1879</v>
      </c>
      <c r="BH17" s="12">
        <v>7.0</v>
      </c>
      <c r="BI17" s="12" t="str">
        <f>VLOOKUP(BI13,'DATA 2'!L6:R12,7)</f>
        <v>Senin</v>
      </c>
      <c r="BJ17" s="12">
        <v>4.0</v>
      </c>
      <c r="BK17" s="12" t="str">
        <f>VLOOKUP(BK13,'DATA 2'!T6:X10,4)</f>
        <v>Pon</v>
      </c>
      <c r="BL17" s="12">
        <v>30.0</v>
      </c>
      <c r="BN17" s="13" t="s">
        <v>1879</v>
      </c>
      <c r="BO17" s="13"/>
      <c r="BP17" s="13"/>
      <c r="BQ17" s="13"/>
      <c r="BR17" s="13"/>
      <c r="BS17" s="13"/>
      <c r="BT17" s="13"/>
      <c r="BU17" s="13"/>
      <c r="BV17" s="13" t="s">
        <v>2058</v>
      </c>
      <c r="BW17" s="13"/>
      <c r="BX17" s="13"/>
      <c r="BY17" s="13"/>
      <c r="BZ17" s="13"/>
      <c r="CA17" s="13"/>
      <c r="CB17" s="13"/>
      <c r="CE17" s="32" t="s">
        <v>5685</v>
      </c>
      <c r="CF17" s="32"/>
      <c r="CG17" s="32"/>
      <c r="CH17" s="32"/>
      <c r="CI17" s="25" t="s">
        <v>5689</v>
      </c>
      <c r="CJ17" s="25"/>
      <c r="CK17" s="25"/>
      <c r="CL17" s="25"/>
      <c r="CM17" s="25"/>
      <c r="CN17" s="25"/>
      <c r="CO17" s="25"/>
      <c r="CP17" s="27">
        <f>CP15*2</f>
        <v>184.0756311681656</v>
      </c>
      <c r="CQ17" s="27"/>
      <c r="CR17" s="13" t="str">
        <f>TEXT(ABS((CP17)/24),"[hh]°mm'ss")</f>
        <v>184°04'32</v>
      </c>
      <c r="CS17" s="13"/>
      <c r="CU17" s="32"/>
      <c r="CV17" s="32"/>
      <c r="CW17" s="32"/>
      <c r="CX17" s="32"/>
      <c r="CY17" s="32"/>
      <c r="CZ17" s="32"/>
      <c r="DA17" s="32"/>
      <c r="DB17" s="32"/>
    </row>
    <row r="18" spans="8:8" ht="20.0" customHeight="1">
      <c r="A18" s="40" t="s">
        <v>5610</v>
      </c>
      <c r="B18" s="41"/>
      <c r="C18" s="45">
        <v>1.0</v>
      </c>
      <c r="D18" s="46" t="s">
        <v>6000</v>
      </c>
      <c r="E18" s="46"/>
      <c r="F18" s="46"/>
      <c r="G18" s="46"/>
      <c r="H18" s="46"/>
      <c r="I18" s="45" t="s">
        <v>6002</v>
      </c>
      <c r="J18" s="41"/>
      <c r="K18" s="13"/>
      <c r="L18" s="43" t="s">
        <v>129</v>
      </c>
      <c r="M18" s="43"/>
      <c r="N18" s="43"/>
      <c r="O18" s="43"/>
      <c r="P18" s="43" t="s">
        <v>166</v>
      </c>
      <c r="Q18" s="43"/>
      <c r="R18" s="43"/>
      <c r="S18" s="43"/>
      <c r="T18" s="43"/>
      <c r="U18" s="44">
        <f>VLOOKUP(ROUND(W9,0),'DATA 1'!W54:X415,2)</f>
        <v>0.5</v>
      </c>
      <c r="V18" s="44">
        <f>(U18-MOD(U18,30))/30</f>
        <v>0.0</v>
      </c>
      <c r="W18" s="44" t="str">
        <f>TEXT(U18/24,"hh:mm:ss")</f>
        <v>00:30:00</v>
      </c>
      <c r="X18" s="48"/>
      <c r="Y18" s="9"/>
      <c r="Z18" s="15"/>
      <c r="AA18" s="15"/>
      <c r="AB18" s="15">
        <v>6.0</v>
      </c>
      <c r="AC18" s="15"/>
      <c r="AD18" s="15"/>
      <c r="AE18" s="15"/>
      <c r="AF18" s="15">
        <v>7.0</v>
      </c>
      <c r="AG18" s="15"/>
      <c r="AH18" s="15"/>
      <c r="AJ18" s="13" t="str">
        <f>AT11</f>
        <v>Kamis</v>
      </c>
      <c r="AK18" s="13" t="str">
        <f>AU11</f>
        <v>Jumat</v>
      </c>
      <c r="AL18" s="13" t="str">
        <f>AV11</f>
        <v>Sabtu</v>
      </c>
      <c r="AM18" s="13" t="str">
        <f>AW11</f>
        <v>Minggu</v>
      </c>
      <c r="AN18" s="13" t="str">
        <f>AX11</f>
        <v>Senin</v>
      </c>
      <c r="AO18" s="13" t="str">
        <f>AR11</f>
        <v>Selasa</v>
      </c>
      <c r="AP18" s="13" t="str">
        <f>AS11</f>
        <v>Rabu</v>
      </c>
      <c r="AQ18" s="13"/>
      <c r="AR18" s="13" t="str">
        <f>AM18</f>
        <v>Minggu</v>
      </c>
      <c r="AS18" s="13" t="str">
        <f>AN18</f>
        <v>Senin</v>
      </c>
      <c r="AT18" s="13" t="str">
        <f>AO18</f>
        <v>Selasa</v>
      </c>
      <c r="AU18" s="13" t="str">
        <f>AP18</f>
        <v>Rabu</v>
      </c>
      <c r="AV18" s="13" t="str">
        <f>AJ18</f>
        <v>Kamis</v>
      </c>
      <c r="AW18" s="13" t="str">
        <f>AK18</f>
        <v>Jumat</v>
      </c>
      <c r="AX18" s="13" t="str">
        <f>AL18</f>
        <v>Sabtu</v>
      </c>
      <c r="AZ18" s="13">
        <f>MOD(AZ17,30)</f>
        <v>4.0</v>
      </c>
      <c r="BA18" s="13" t="s">
        <v>2067</v>
      </c>
      <c r="BB18" s="13">
        <f>VLOOKUP(AZ18,'DATA 2'!Q44:W74,7)</f>
        <v>3.0</v>
      </c>
      <c r="BC18" s="13">
        <f>BB18*4</f>
        <v>12.0</v>
      </c>
      <c r="BD18" s="13"/>
      <c r="BF18" s="12">
        <v>6.0</v>
      </c>
      <c r="BG18" s="12" t="s">
        <v>2058</v>
      </c>
      <c r="BH18" s="12">
        <v>2.0</v>
      </c>
      <c r="BI18" s="12" t="str">
        <f>VLOOKUP(BI13,'DATA 2'!L6:R12,2)</f>
        <v>Rabu</v>
      </c>
      <c r="BJ18" s="12">
        <v>4.0</v>
      </c>
      <c r="BK18" s="12" t="str">
        <f>VLOOKUP(BK13,'DATA 2'!T6:X10,4)</f>
        <v>Pon</v>
      </c>
      <c r="BL18" s="12">
        <v>29.0</v>
      </c>
      <c r="BN18" s="13" t="str">
        <f>Lembar5!F54</f>
        <v>Rabu</v>
      </c>
      <c r="BO18" s="13" t="str">
        <f>VLOOKUP(BN18,'DATA 2'!L6:R12,2)</f>
        <v>Kamis</v>
      </c>
      <c r="BP18" s="13" t="str">
        <f>VLOOKUP(BN18,'DATA 2'!L6:R12,3)</f>
        <v>Jumat</v>
      </c>
      <c r="BQ18" s="13" t="str">
        <f>VLOOKUP(BN18,'DATA 2'!L6:R12,4)</f>
        <v>Sabtu</v>
      </c>
      <c r="BR18" s="13" t="str">
        <f>VLOOKUP(BN18,'DATA 2'!L6:R12,5)</f>
        <v>Minggu</v>
      </c>
      <c r="BS18" s="13" t="str">
        <f>VLOOKUP(BN18,'DATA 2'!L6:R12,6)</f>
        <v>Senin</v>
      </c>
      <c r="BT18" s="13" t="str">
        <f>VLOOKUP(BN18,'DATA 2'!L6:R12,7)</f>
        <v>Selasa</v>
      </c>
      <c r="BU18" s="13"/>
      <c r="BV18" s="13" t="str">
        <f>Lembar6!F54</f>
        <v>Kamis</v>
      </c>
      <c r="BW18" s="13" t="str">
        <f>VLOOKUP(BV18,'DATA 2'!L6:R12,2)</f>
        <v>Jumat</v>
      </c>
      <c r="BX18" s="13" t="str">
        <f>VLOOKUP(BV18,'DATA 2'!L6:R12,3)</f>
        <v>Sabtu</v>
      </c>
      <c r="BY18" s="13" t="str">
        <f>VLOOKUP(BV18,'DATA 2'!L6:R12,4)</f>
        <v>minggu</v>
      </c>
      <c r="BZ18" s="13" t="str">
        <f>VLOOKUP(BV18,'DATA 2'!L6:R12,5)</f>
        <v>Senin</v>
      </c>
      <c r="CA18" s="13" t="str">
        <f>VLOOKUP(BV18,'DATA 2'!L6:R12,6)</f>
        <v>Selasa</v>
      </c>
      <c r="CB18" s="13" t="str">
        <f>VLOOKUP(BV18,'DATA 2'!L6:R12,7)</f>
        <v>Rabu</v>
      </c>
      <c r="CE18" s="32" t="s">
        <v>5686</v>
      </c>
      <c r="CF18" s="32"/>
      <c r="CG18" s="32"/>
      <c r="CH18" s="32"/>
      <c r="CI18" s="25" t="s">
        <v>5690</v>
      </c>
      <c r="CJ18" s="25"/>
      <c r="CK18" s="25"/>
      <c r="CL18" s="25"/>
      <c r="CM18" s="25"/>
      <c r="CN18" s="25"/>
      <c r="CO18" s="25"/>
      <c r="CP18" s="27">
        <f>CP16*2</f>
        <v>175.92436883183447</v>
      </c>
      <c r="CQ18" s="27"/>
      <c r="CR18" s="13" t="str">
        <f>TEXT(ABS((CP18)/24),"[hh]°mm'ss")</f>
        <v>175°55'28</v>
      </c>
      <c r="CS18" s="13"/>
      <c r="CU18" s="32"/>
      <c r="CV18" s="32"/>
      <c r="CW18" s="32"/>
      <c r="CX18" s="32"/>
      <c r="CY18" s="32"/>
      <c r="CZ18" s="32"/>
      <c r="DA18" s="32"/>
      <c r="DB18" s="32"/>
    </row>
    <row r="19" spans="8:8" ht="20.0" customHeight="1">
      <c r="A19" s="40"/>
      <c r="B19" s="41"/>
      <c r="C19" s="45">
        <v>2.0</v>
      </c>
      <c r="D19" s="46" t="s">
        <v>6001</v>
      </c>
      <c r="E19" s="46"/>
      <c r="F19" s="46"/>
      <c r="G19" s="46"/>
      <c r="H19" s="46"/>
      <c r="I19" s="45" t="s">
        <v>6003</v>
      </c>
      <c r="J19" s="41"/>
      <c r="K19" s="13"/>
      <c r="L19" s="43" t="s">
        <v>144</v>
      </c>
      <c r="M19" s="43"/>
      <c r="N19" s="43"/>
      <c r="O19" s="43"/>
      <c r="P19" s="43" t="s">
        <v>171</v>
      </c>
      <c r="Q19" s="43"/>
      <c r="R19" s="43"/>
      <c r="S19" s="43"/>
      <c r="T19" s="43"/>
      <c r="U19" s="44">
        <f>U17+U18</f>
        <v>0.567</v>
      </c>
      <c r="V19" s="44">
        <f>(U19-MOD(U19,30))/30</f>
        <v>0.0</v>
      </c>
      <c r="W19" s="44" t="str">
        <f>TEXT(U19/24,"hh:mm:ss")</f>
        <v>00:34:01</v>
      </c>
      <c r="X19" s="48"/>
      <c r="Y19" s="9"/>
      <c r="Z19" s="15"/>
      <c r="AA19" s="15"/>
      <c r="AB19" s="16" t="str">
        <f>VLOOKUP(Z17,'DATA 2'!L6:R12,6)</f>
        <v>Senin</v>
      </c>
      <c r="AC19" s="15"/>
      <c r="AD19" s="15"/>
      <c r="AE19" s="15"/>
      <c r="AF19" s="16" t="str">
        <f>VLOOKUP(Z17,'DATA 2'!L6:R12,7)</f>
        <v>Selasa</v>
      </c>
      <c r="AG19" s="15"/>
      <c r="AH19" s="15"/>
      <c r="AJ19" s="13" t="str">
        <f>IF(AH26&gt;28,"30",IF(AH26&lt;29,"1"))</f>
        <v>1</v>
      </c>
      <c r="AK19" s="13" t="str">
        <f>IF(AH26&gt;28,"1",IF(AH26&lt;29,"2"))</f>
        <v>2</v>
      </c>
      <c r="AL19" s="13" t="str">
        <f>IF(AH26&gt;28,"2",IF(AH26&lt;29,"3"))</f>
        <v>3</v>
      </c>
      <c r="AM19" s="13" t="str">
        <f>IF(AH26&gt;28,"3",IF(AH26&lt;29,"4"))</f>
        <v>4</v>
      </c>
      <c r="AN19" s="13" t="str">
        <f>IF(AH26&gt;28,"4",IF(AH26&lt;29,"5"))</f>
        <v>5</v>
      </c>
      <c r="AO19" s="13" t="str">
        <f>IF(AH26&gt;28,"5",IF(AH26&lt;29,"6"))</f>
        <v>6</v>
      </c>
      <c r="AP19" s="13" t="str">
        <f>IF(AH26&gt;28,"6",IF(AH26&lt;29,"7"))</f>
        <v>7</v>
      </c>
      <c r="AQ19" s="13"/>
      <c r="AR19" s="13" t="str">
        <f>IF(AH26&gt;28,"31",IF(AH26&lt;29,"1"))</f>
        <v>1</v>
      </c>
      <c r="AS19" s="13" t="str">
        <f>IF(AH26&gt;28,"1",IF(AH26&lt;29,"2"))</f>
        <v>2</v>
      </c>
      <c r="AT19" s="13" t="str">
        <f>IF(AH26&gt;28,"2",IF(AH26&lt;29,"3"))</f>
        <v>3</v>
      </c>
      <c r="AU19" s="13" t="str">
        <f>IF(AH26&gt;28,"3",IF(AH26&lt;29,"4"))</f>
        <v>4</v>
      </c>
      <c r="AV19" s="13" t="str">
        <f>IF(AH26&gt;28,"4",IF(AH26&lt;29,"5"))</f>
        <v>5</v>
      </c>
      <c r="AW19" s="13" t="str">
        <f>IF(AH26&gt;28,"5",IF(AH26&lt;29,"6"))</f>
        <v>6</v>
      </c>
      <c r="AX19" s="13" t="str">
        <f>IF(AH26&gt;28,"6",IF(AH26&lt;29,"7"))</f>
        <v>7</v>
      </c>
      <c r="AZ19" s="13"/>
      <c r="BA19" s="13"/>
      <c r="BB19" s="13"/>
      <c r="BC19" s="13">
        <f>BC17+BC18</f>
        <v>60.0</v>
      </c>
      <c r="BD19" s="13">
        <f>INT(BC19/5)</f>
        <v>12.0</v>
      </c>
      <c r="BF19" s="12">
        <v>7.0</v>
      </c>
      <c r="BG19" s="12" t="s">
        <v>1881</v>
      </c>
      <c r="BH19" s="12">
        <v>3.0</v>
      </c>
      <c r="BI19" s="12" t="str">
        <f>VLOOKUP(BI13,'DATA 2'!L6:R12,3)</f>
        <v>Kamis</v>
      </c>
      <c r="BJ19" s="12">
        <v>3.0</v>
      </c>
      <c r="BK19" s="12" t="str">
        <f>VLOOKUP(BK13,'DATA 2'!T6:X10,3)</f>
        <v>Pahing</v>
      </c>
      <c r="BL19" s="12">
        <v>30.0</v>
      </c>
      <c r="BN19" s="13" t="str">
        <f>IF(BL26&gt;28,"30",IF(BL26&lt;29,"1"))</f>
        <v>1</v>
      </c>
      <c r="BO19" s="13" t="str">
        <f>IF(BL26&gt;28,"1",IF(BL26&lt;29,"2"))</f>
        <v>2</v>
      </c>
      <c r="BP19" s="13" t="str">
        <f>IF(BL26&gt;28,"2",IF(BL26&lt;29,"3"))</f>
        <v>3</v>
      </c>
      <c r="BQ19" s="13" t="str">
        <f>IF(BL26&gt;28,"3",IF(BL26&lt;29,"4"))</f>
        <v>4</v>
      </c>
      <c r="BR19" s="13" t="str">
        <f>IF(BL26&gt;28,"4",IF(BL26&lt;29,"5"))</f>
        <v>5</v>
      </c>
      <c r="BS19" s="13" t="str">
        <f>IF(BL26&gt;28,"5",IF(BL26&lt;29,"6"))</f>
        <v>6</v>
      </c>
      <c r="BT19" s="13" t="str">
        <f>IF(BL26&gt;28,"6",IF(BL26&lt;29,"7"))</f>
        <v>7</v>
      </c>
      <c r="BU19" s="13"/>
      <c r="BV19" s="13" t="str">
        <f>IF(BL26&gt;28,"31",IF(BL26&lt;29,"1"))</f>
        <v>1</v>
      </c>
      <c r="BW19" s="13" t="str">
        <f>IF(BL26&gt;28,"1",IF(BL26&lt;29,"2"))</f>
        <v>2</v>
      </c>
      <c r="BX19" s="13" t="str">
        <f>IF(BL26&gt;28,"2",IF(BL26&lt;29,"3"))</f>
        <v>3</v>
      </c>
      <c r="BY19" s="13" t="str">
        <f>IF(BL26&gt;28,"3",IF(BL26&lt;29,"4"))</f>
        <v>4</v>
      </c>
      <c r="BZ19" s="13" t="str">
        <f>IF(BL26&gt;28,"4",IF(BL26&lt;29,"5"))</f>
        <v>5</v>
      </c>
      <c r="CA19" s="13" t="str">
        <f>IF(BL26&gt;28,"5",IF(BL26&lt;29,"6"))</f>
        <v>6</v>
      </c>
      <c r="CB19" s="13" t="str">
        <f>IF(BL26&gt;28,"6",IF(BL26&lt;29,"7"))</f>
        <v>7</v>
      </c>
      <c r="CE19" s="12" t="s">
        <v>6083</v>
      </c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U19" s="32"/>
      <c r="CV19" s="32"/>
      <c r="CW19" s="32"/>
      <c r="CX19" s="32"/>
      <c r="CY19" s="32"/>
      <c r="CZ19" s="32"/>
      <c r="DA19" s="32"/>
      <c r="DB19" s="32"/>
    </row>
    <row r="20" spans="8:8" ht="20.0" customHeight="1">
      <c r="A20" s="40"/>
      <c r="B20" s="41"/>
      <c r="C20" s="45">
        <v>3.0</v>
      </c>
      <c r="D20" s="46" t="s">
        <v>5984</v>
      </c>
      <c r="E20" s="46"/>
      <c r="F20" s="46"/>
      <c r="G20" s="46"/>
      <c r="H20" s="46"/>
      <c r="I20" s="45" t="s">
        <v>5993</v>
      </c>
      <c r="J20" s="41"/>
      <c r="K20" s="13"/>
      <c r="L20" s="43" t="s">
        <v>146</v>
      </c>
      <c r="M20" s="43"/>
      <c r="N20" s="43"/>
      <c r="O20" s="43"/>
      <c r="P20" s="43" t="s">
        <v>6012</v>
      </c>
      <c r="Q20" s="43"/>
      <c r="R20" s="43"/>
      <c r="S20" s="43"/>
      <c r="T20" s="43"/>
      <c r="U20" s="47">
        <f>U19*0.08333</f>
        <v>0.047248109999999996</v>
      </c>
      <c r="V20" s="44">
        <f>(U20-MOD(U20,30))/30</f>
        <v>0.0</v>
      </c>
      <c r="W20" s="44" t="str">
        <f>TEXT(U20/24,"hh:mm:ss")</f>
        <v>00:02:50</v>
      </c>
      <c r="X20" s="48"/>
      <c r="Y20" s="9"/>
      <c r="Z20" s="16"/>
      <c r="AA20" s="16"/>
      <c r="AB20" s="16" t="s">
        <v>1977</v>
      </c>
      <c r="AC20" s="16"/>
      <c r="AD20" s="16"/>
      <c r="AE20" s="16"/>
      <c r="AF20" s="16"/>
      <c r="AG20" s="16"/>
      <c r="AH20" s="16"/>
      <c r="AJ20" s="13" t="str">
        <f>IF(AH26&gt;28,"7",IF(AH26&lt;29,"8"))</f>
        <v>8</v>
      </c>
      <c r="AK20" s="13" t="str">
        <f>IF(AH26&gt;28,"8",IF(AH26&lt;29,"9"))</f>
        <v>9</v>
      </c>
      <c r="AL20" s="13" t="str">
        <f>IF(AH26&gt;28,"9",IF(AH26&lt;29,"10"))</f>
        <v>10</v>
      </c>
      <c r="AM20" s="13" t="str">
        <f>IF(AH26&gt;28,"10",IF(AH26&lt;29,"11"))</f>
        <v>11</v>
      </c>
      <c r="AN20" s="13" t="str">
        <f>IF(AH26&gt;28,"11",IF(AH26&lt;29,"12"))</f>
        <v>12</v>
      </c>
      <c r="AO20" s="13" t="str">
        <f>IF(AH26&gt;28,"12",IF(AH26&lt;29,"13"))</f>
        <v>13</v>
      </c>
      <c r="AP20" s="13" t="str">
        <f>IF(AH26&gt;28,"13",IF(AH26&lt;29,"14"))</f>
        <v>14</v>
      </c>
      <c r="AQ20" s="13"/>
      <c r="AR20" s="13" t="str">
        <f>IF(AH26&gt;28,"7",IF(AH26&lt;29,"8"))</f>
        <v>8</v>
      </c>
      <c r="AS20" s="13" t="str">
        <f>IF(AH26&gt;28,"8",IF(AH26&lt;29,"9"))</f>
        <v>9</v>
      </c>
      <c r="AT20" s="13" t="str">
        <f>IF(AH26&gt;28,"9",IF(AH26&lt;29,"10"))</f>
        <v>10</v>
      </c>
      <c r="AU20" s="13" t="str">
        <f>IF(AH26&gt;28,"10",IF(AH26&lt;29,"11"))</f>
        <v>11</v>
      </c>
      <c r="AV20" s="13" t="str">
        <f>IF(AH26&gt;28,"11",IF(AH26&lt;29,"12"))</f>
        <v>12</v>
      </c>
      <c r="AW20" s="13" t="str">
        <f>IF(AH26&gt;28,"12",IF(AH26&lt;29,"13"))</f>
        <v>13</v>
      </c>
      <c r="AX20" s="13" t="str">
        <f>IF(AH26&gt;28,"13",IF(AH26&lt;29,"14"))</f>
        <v>14</v>
      </c>
      <c r="AZ20" s="13"/>
      <c r="BA20" s="13"/>
      <c r="BB20" s="13"/>
      <c r="BC20" s="13">
        <f>MOD(BC19,5)</f>
        <v>0.0</v>
      </c>
      <c r="BD20" s="13"/>
      <c r="BF20" s="12">
        <v>8.0</v>
      </c>
      <c r="BG20" s="12" t="s">
        <v>1882</v>
      </c>
      <c r="BH20" s="12">
        <v>5.0</v>
      </c>
      <c r="BI20" s="12" t="str">
        <f>VLOOKUP(BI13,'DATA 2'!L6:R12,5)</f>
        <v>Sabtu</v>
      </c>
      <c r="BJ20" s="12">
        <v>3.0</v>
      </c>
      <c r="BK20" s="12" t="str">
        <f>VLOOKUP(BK13,'DATA 2'!T6:X10,3)</f>
        <v>Pahing</v>
      </c>
      <c r="BL20" s="12">
        <v>29.0</v>
      </c>
      <c r="BN20" s="13" t="str">
        <f>IF(BL26&gt;28,"7",IF(BL26&lt;29,"8"))</f>
        <v>8</v>
      </c>
      <c r="BO20" s="13" t="str">
        <f>IF(BL26&gt;28,"8",IF(BL26&lt;29,"9"))</f>
        <v>9</v>
      </c>
      <c r="BP20" s="13" t="str">
        <f>IF(BL26&gt;28,"9",IF(BL26&lt;29,"10"))</f>
        <v>10</v>
      </c>
      <c r="BQ20" s="13" t="str">
        <f>IF(BL26&gt;28,"10",IF(BL26&lt;29,"11"))</f>
        <v>11</v>
      </c>
      <c r="BR20" s="13" t="str">
        <f>IF(BL26&gt;28,"11",IF(BL26&lt;29,"12"))</f>
        <v>12</v>
      </c>
      <c r="BS20" s="13" t="str">
        <f>IF(BL26&gt;28,"12",IF(BL26&lt;29,"13"))</f>
        <v>13</v>
      </c>
      <c r="BT20" s="13" t="str">
        <f>IF(BL26&gt;28,"13",IF(BL26&lt;29,"14"))</f>
        <v>14</v>
      </c>
      <c r="BU20" s="13"/>
      <c r="BV20" s="13" t="str">
        <f>IF(BL26&gt;28,"7",IF(BL26&lt;29,"8"))</f>
        <v>8</v>
      </c>
      <c r="BW20" s="13" t="str">
        <f>IF(BL26&gt;28,"8",IF(BL26&lt;29,"9"))</f>
        <v>9</v>
      </c>
      <c r="BX20" s="13" t="str">
        <f>IF(BL26&gt;28,"9",IF(BL26&lt;29,"10"))</f>
        <v>10</v>
      </c>
      <c r="BY20" s="13" t="str">
        <f>IF(BL26&gt;28,"10",IF(BL26&lt;29,"11"))</f>
        <v>11</v>
      </c>
      <c r="BZ20" s="13" t="str">
        <f>IF(BL26&gt;28,"11",IF(BL26&lt;29,"12"))</f>
        <v>12</v>
      </c>
      <c r="CA20" s="13" t="str">
        <f>IF(BL26&gt;28,"12",IF(BL26&lt;29,"13"))</f>
        <v>13</v>
      </c>
      <c r="CB20" s="13" t="str">
        <f>IF(BL26&gt;28,"13",IF(BL26&lt;29,"14"))</f>
        <v>14</v>
      </c>
      <c r="CE20" s="32" t="s">
        <v>5692</v>
      </c>
      <c r="CF20" s="32"/>
      <c r="CG20" s="32"/>
      <c r="CH20" s="32"/>
      <c r="CI20" s="25" t="s">
        <v>5734</v>
      </c>
      <c r="CJ20" s="25"/>
      <c r="CK20" s="25"/>
      <c r="CL20" s="25"/>
      <c r="CM20" s="25"/>
      <c r="CN20" s="25"/>
      <c r="CO20" s="25"/>
      <c r="CP20" s="49">
        <v>30.0</v>
      </c>
      <c r="CQ20" s="49"/>
      <c r="CR20" s="13" t="str">
        <f>TEXT(ABS((CP20)/24),"[hh]°mm'ss")</f>
        <v>30°00'00</v>
      </c>
      <c r="CS20" s="13"/>
      <c r="CU20" s="32"/>
      <c r="CV20" s="32"/>
      <c r="CW20" s="32"/>
      <c r="CX20" s="32"/>
      <c r="CY20" s="32"/>
      <c r="CZ20" s="32"/>
      <c r="DA20" s="32"/>
      <c r="DB20" s="32"/>
    </row>
    <row r="21" spans="8:8" ht="20.0" customHeight="1">
      <c r="A21" s="40"/>
      <c r="B21" s="41"/>
      <c r="C21" s="45">
        <v>4.0</v>
      </c>
      <c r="D21" s="46" t="s">
        <v>5985</v>
      </c>
      <c r="E21" s="46"/>
      <c r="F21" s="46"/>
      <c r="G21" s="46"/>
      <c r="H21" s="46"/>
      <c r="I21" s="45" t="s">
        <v>5994</v>
      </c>
      <c r="J21" s="41"/>
      <c r="K21" s="13"/>
      <c r="L21" s="43" t="s">
        <v>175</v>
      </c>
      <c r="M21" s="43"/>
      <c r="N21" s="43"/>
      <c r="O21" s="43"/>
      <c r="P21" s="43" t="s">
        <v>170</v>
      </c>
      <c r="Q21" s="43"/>
      <c r="R21" s="43"/>
      <c r="S21" s="43"/>
      <c r="T21" s="43"/>
      <c r="U21" s="47">
        <f>U20+U18</f>
        <v>0.54724811</v>
      </c>
      <c r="V21" s="44">
        <f>(U21-MOD(U21,30))/30</f>
        <v>0.0</v>
      </c>
      <c r="W21" s="44" t="str">
        <f>TEXT(U21/24,"hh:mm:ss")</f>
        <v>00:32:50</v>
      </c>
      <c r="X21" s="48"/>
      <c r="Y21" s="9"/>
      <c r="Z21" s="15">
        <v>1.0</v>
      </c>
      <c r="AA21" s="15"/>
      <c r="AB21" s="15">
        <v>2.0</v>
      </c>
      <c r="AC21" s="15"/>
      <c r="AD21" s="15">
        <v>3.0</v>
      </c>
      <c r="AE21" s="15"/>
      <c r="AF21" s="15">
        <v>4.0</v>
      </c>
      <c r="AG21" s="15"/>
      <c r="AH21" s="15">
        <v>5.0</v>
      </c>
      <c r="AJ21" s="13" t="str">
        <f>IF(AH26&gt;28,"14",IF(AH26&lt;29,"15"))</f>
        <v>15</v>
      </c>
      <c r="AK21" s="13" t="str">
        <f>IF(AH26&gt;28,"15",IF(AH26&lt;29,"16"))</f>
        <v>16</v>
      </c>
      <c r="AL21" s="13" t="str">
        <f>IF(AH26&gt;28,"16",IF(AH26&lt;29,"17"))</f>
        <v>17</v>
      </c>
      <c r="AM21" s="13" t="str">
        <f>IF(AH26&gt;28,"17",IF(AH26&lt;29,"18"))</f>
        <v>18</v>
      </c>
      <c r="AN21" s="13" t="str">
        <f>IF(AH26&gt;28,"18",IF(AH26&lt;29,"19"))</f>
        <v>19</v>
      </c>
      <c r="AO21" s="13" t="str">
        <f>IF(AH26&gt;28,"19",IF(AH26&lt;29,"20"))</f>
        <v>20</v>
      </c>
      <c r="AP21" s="13" t="str">
        <f>IF(AH26&gt;28,"20",IF(AH26&lt;29,"21"))</f>
        <v>21</v>
      </c>
      <c r="AQ21" s="13"/>
      <c r="AR21" s="13" t="str">
        <f>IF(AH26&gt;28,"14",IF(AH26&lt;29,"15"))</f>
        <v>15</v>
      </c>
      <c r="AS21" s="13" t="str">
        <f>IF(AH26&gt;28,"15",IF(AH26&lt;29,"16"))</f>
        <v>16</v>
      </c>
      <c r="AT21" s="13" t="str">
        <f>IF(AH26&gt;28,"16",IF(AH26&lt;29,"17"))</f>
        <v>17</v>
      </c>
      <c r="AU21" s="13" t="str">
        <f>IF(AH26&gt;28,"17",IF(AH26&lt;29,"18"))</f>
        <v>18</v>
      </c>
      <c r="AV21" s="13" t="str">
        <f>IF(AH26&gt;28,"18",IF(AH26&lt;29,"19"))</f>
        <v>19</v>
      </c>
      <c r="AW21" s="13" t="str">
        <f>IF(AH26&gt;28,"19",IF(AH26&lt;29,"20"))</f>
        <v>20</v>
      </c>
      <c r="AX21" s="13" t="str">
        <f>IF(AH26&gt;28,"20",IF(AH26&lt;29,"21"))</f>
        <v>21</v>
      </c>
      <c r="AZ21" s="13"/>
      <c r="BA21" s="13"/>
      <c r="BB21" s="13"/>
      <c r="BC21" s="13"/>
      <c r="BD21" s="13"/>
      <c r="BF21" s="12">
        <v>9.0</v>
      </c>
      <c r="BG21" s="12" t="s">
        <v>1883</v>
      </c>
      <c r="BH21" s="12">
        <v>6.0</v>
      </c>
      <c r="BI21" s="12" t="str">
        <f>VLOOKUP(BI13,'DATA 2'!L6:R12,6)</f>
        <v>Minggu</v>
      </c>
      <c r="BJ21" s="12">
        <v>2.0</v>
      </c>
      <c r="BK21" s="12" t="str">
        <f>VLOOKUP(BK13,'DATA 2'!T6:X10,2)</f>
        <v>Legi</v>
      </c>
      <c r="BL21" s="12">
        <v>30.0</v>
      </c>
      <c r="BN21" s="13" t="str">
        <f>IF(BL26&gt;28,"14",IF(BL26&lt;29,"15"))</f>
        <v>15</v>
      </c>
      <c r="BO21" s="13" t="str">
        <f>IF(BL26&gt;28,"15",IF(BL26&lt;29,"16"))</f>
        <v>16</v>
      </c>
      <c r="BP21" s="13" t="str">
        <f>IF(BL26&gt;28,"16",IF(BL26&lt;29,"17"))</f>
        <v>17</v>
      </c>
      <c r="BQ21" s="13" t="str">
        <f>IF(BL26&gt;28,"17",IF(BL26&lt;29,"18"))</f>
        <v>18</v>
      </c>
      <c r="BR21" s="13" t="str">
        <f>IF(BL26&gt;28,"18",IF(BL26&lt;29,"19"))</f>
        <v>19</v>
      </c>
      <c r="BS21" s="13" t="str">
        <f>IF(BL26&gt;28,"19",IF(BL26&lt;29,"20"))</f>
        <v>20</v>
      </c>
      <c r="BT21" s="13" t="str">
        <f>IF(BL26&gt;28,"20",IF(BL26&lt;29,"21"))</f>
        <v>21</v>
      </c>
      <c r="BU21" s="13"/>
      <c r="BV21" s="13" t="str">
        <f>IF(BL26&gt;28,"14",IF(BL26&lt;29,"15"))</f>
        <v>15</v>
      </c>
      <c r="BW21" s="13" t="str">
        <f>IF(BL26&gt;28,"15",IF(BL26&lt;29,"16"))</f>
        <v>16</v>
      </c>
      <c r="BX21" s="13" t="str">
        <f>IF(BL26&gt;28,"16",IF(BL26&lt;29,"17"))</f>
        <v>17</v>
      </c>
      <c r="BY21" s="13" t="str">
        <f>IF(BL26&gt;28,"17",IF(BL26&lt;29,"18"))</f>
        <v>18</v>
      </c>
      <c r="BZ21" s="13" t="str">
        <f>IF(BL26&gt;28,"18",IF(BL26&lt;29,"19"))</f>
        <v>19</v>
      </c>
      <c r="CA21" s="13" t="str">
        <f>IF(BL26&gt;28,"19",IF(BL26&lt;29,"20"))</f>
        <v>20</v>
      </c>
      <c r="CB21" s="13" t="str">
        <f>IF(BL26&gt;28,"20",IF(BL26&lt;29,"21"))</f>
        <v>21</v>
      </c>
      <c r="CD21" s="50"/>
      <c r="CE21" s="32" t="s">
        <v>5698</v>
      </c>
      <c r="CF21" s="32"/>
      <c r="CG21" s="32"/>
      <c r="CH21" s="32"/>
      <c r="CI21" s="25" t="s">
        <v>5728</v>
      </c>
      <c r="CJ21" s="25"/>
      <c r="CK21" s="25"/>
      <c r="CL21" s="25"/>
      <c r="CM21" s="25"/>
      <c r="CN21" s="25"/>
      <c r="CO21" s="25"/>
      <c r="CP21" s="27" t="str">
        <f>VLOOKUP(CQ5,'DATA 2'!L86:Q97,6)</f>
        <v>Ikhtilaf</v>
      </c>
      <c r="CQ21" s="27"/>
      <c r="CR21" s="13" t="str">
        <f>VLOOKUP(CP21,'DATA 2'!R77:S78,2)</f>
        <v>Beda Arah</v>
      </c>
      <c r="CS21" s="13"/>
      <c r="CT21" s="35"/>
      <c r="CU21" s="32"/>
      <c r="CV21" s="32"/>
      <c r="CW21" s="32"/>
      <c r="CX21" s="32"/>
      <c r="CY21" s="32"/>
      <c r="CZ21" s="32"/>
      <c r="DA21" s="32"/>
      <c r="DB21" s="32"/>
    </row>
    <row r="22" spans="8:8" ht="20.0" customHeight="1">
      <c r="A22" s="40"/>
      <c r="B22" s="41"/>
      <c r="C22" s="45">
        <v>5.0</v>
      </c>
      <c r="D22" s="46" t="s">
        <v>5986</v>
      </c>
      <c r="E22" s="46"/>
      <c r="F22" s="46"/>
      <c r="G22" s="46"/>
      <c r="H22" s="46"/>
      <c r="I22" s="45" t="s">
        <v>5995</v>
      </c>
      <c r="J22" s="41"/>
      <c r="K22" s="13"/>
      <c r="L22" s="43" t="s">
        <v>149</v>
      </c>
      <c r="M22" s="43"/>
      <c r="N22" s="43"/>
      <c r="O22" s="43"/>
      <c r="P22" s="43" t="s">
        <v>195</v>
      </c>
      <c r="Q22" s="43"/>
      <c r="R22" s="43"/>
      <c r="S22" s="43"/>
      <c r="T22" s="43"/>
      <c r="U22" s="47">
        <f>S9-U21</f>
        <v>328.56975189</v>
      </c>
      <c r="V22" s="44">
        <f>(U22-MOD(U22,30))/30</f>
        <v>10.0</v>
      </c>
      <c r="W22" s="44" t="str">
        <f>TEXT(U22/24,"hh:mm:ss")</f>
        <v>16:34:11</v>
      </c>
      <c r="X22" s="48"/>
      <c r="Y22" s="9"/>
      <c r="Z22" s="16" t="str">
        <f>AD14</f>
        <v>Pon</v>
      </c>
      <c r="AA22" s="15"/>
      <c r="AB22" s="16" t="str">
        <f>VLOOKUP(Z22,'DATA 2'!N37:R41,2)</f>
        <v>Wage</v>
      </c>
      <c r="AC22" s="15"/>
      <c r="AD22" s="16" t="str">
        <f>VLOOKUP(Z22,'DATA 2'!N37:R41,3)</f>
        <v>Kliwon</v>
      </c>
      <c r="AE22" s="15"/>
      <c r="AF22" s="16" t="str">
        <f>VLOOKUP(Z22,'DATA 2'!N37:R41,4)</f>
        <v>Legi</v>
      </c>
      <c r="AG22" s="15"/>
      <c r="AH22" s="16" t="str">
        <f>VLOOKUP(Z22,'DATA 2'!N37:R41,5)</f>
        <v>Pahing</v>
      </c>
      <c r="AJ22" s="13" t="str">
        <f>IF(AH26&gt;28,"21",IF(AH26&lt;29,"22"))</f>
        <v>22</v>
      </c>
      <c r="AK22" s="13" t="str">
        <f>IF(AH26&gt;28,"22",IF(AH26&lt;29,"23"))</f>
        <v>23</v>
      </c>
      <c r="AL22" s="13" t="str">
        <f>IF(AH26&gt;28,"23",IF(AH26&lt;29,"24"))</f>
        <v>24</v>
      </c>
      <c r="AM22" s="13" t="str">
        <f>IF(AH26&gt;28,"24",IF(AH26&lt;29,"25"))</f>
        <v>25</v>
      </c>
      <c r="AN22" s="13" t="str">
        <f>IF(AH26&gt;28,"25",IF(AH26&lt;29,"26"))</f>
        <v>26</v>
      </c>
      <c r="AO22" s="13" t="str">
        <f>IF(AH26&gt;28,"26",IF(AH26&lt;29,"27"))</f>
        <v>27</v>
      </c>
      <c r="AP22" s="13" t="str">
        <f>IF(AH26&gt;28,"27",IF(AH26&lt;29,"28"))</f>
        <v>28</v>
      </c>
      <c r="AQ22" s="13"/>
      <c r="AR22" s="13" t="str">
        <f>IF(AH26&gt;28,"21",IF(AH26&lt;29,"22"))</f>
        <v>22</v>
      </c>
      <c r="AS22" s="13" t="str">
        <f>IF(AH26&gt;28,"22",IF(AH26&lt;29,"23"))</f>
        <v>23</v>
      </c>
      <c r="AT22" s="13" t="str">
        <f>IF(AH26&gt;28,"23",IF(AH26&lt;29,"24"))</f>
        <v>24</v>
      </c>
      <c r="AU22" s="13" t="str">
        <f>IF(AH26&gt;28,"24",IF(AH26&lt;29,"25"))</f>
        <v>25</v>
      </c>
      <c r="AV22" s="13" t="str">
        <f>IF(AH26&gt;28,"25",IF(AH26&lt;29,"26"))</f>
        <v>26</v>
      </c>
      <c r="AW22" s="13" t="str">
        <f>IF(AH26&gt;28,"26",IF(AH26&lt;29,"27"))</f>
        <v>27</v>
      </c>
      <c r="AX22" s="13" t="str">
        <f>IF(AH26&gt;28,"27",IF(AH26&lt;29,"28"))</f>
        <v>28</v>
      </c>
      <c r="AZ22" s="13" t="s">
        <v>121</v>
      </c>
      <c r="BA22" s="13">
        <f>AZ4</f>
        <v>1445.0</v>
      </c>
      <c r="BB22" s="13" t="s">
        <v>2072</v>
      </c>
      <c r="BC22" s="13"/>
      <c r="BD22" s="13" t="str">
        <f>VLOOKUP(BC20,'DATA 2'!L36:N41,3)</f>
        <v>Kliwon</v>
      </c>
      <c r="BF22" s="12">
        <v>10.0</v>
      </c>
      <c r="BG22" s="12" t="s">
        <v>1884</v>
      </c>
      <c r="BH22" s="12">
        <v>1.0</v>
      </c>
      <c r="BI22" s="12" t="str">
        <f>VLOOKUP(BI13,'DATA 2'!L6:R12,1)</f>
        <v>Selasa</v>
      </c>
      <c r="BJ22" s="12">
        <v>2.0</v>
      </c>
      <c r="BK22" s="12" t="str">
        <f>VLOOKUP(BK13,'DATA 2'!T6:X10,2)</f>
        <v>Legi</v>
      </c>
      <c r="BL22" s="12">
        <v>29.0</v>
      </c>
      <c r="BN22" s="13" t="str">
        <f>IF(BL26&gt;28,"21",IF(BL26&lt;29,"22"))</f>
        <v>22</v>
      </c>
      <c r="BO22" s="13" t="str">
        <f>IF(BL26&gt;28,"22",IF(BL26&lt;29,"23"))</f>
        <v>23</v>
      </c>
      <c r="BP22" s="13" t="str">
        <f>IF(BL26&gt;28,"23",IF(BL26&lt;29,"24"))</f>
        <v>24</v>
      </c>
      <c r="BQ22" s="13" t="str">
        <f>IF(BL26&gt;28,"24",IF(BL26&lt;29,"25"))</f>
        <v>25</v>
      </c>
      <c r="BR22" s="13" t="str">
        <f>IF(BL26&gt;28,"25",IF(BL26&lt;29,"26"))</f>
        <v>26</v>
      </c>
      <c r="BS22" s="13" t="str">
        <f>IF(BL26&gt;28,"26",IF(BL26&lt;29,"27"))</f>
        <v>27</v>
      </c>
      <c r="BT22" s="13" t="str">
        <f>IF(BL26&gt;28,"27",IF(BL26&lt;29,"28"))</f>
        <v>28</v>
      </c>
      <c r="BU22" s="13"/>
      <c r="BV22" s="13" t="str">
        <f>IF(BL26&gt;28,"21",IF(BL26&lt;29,"22"))</f>
        <v>22</v>
      </c>
      <c r="BW22" s="13" t="str">
        <f>IF(BL26&gt;28,"22",IF(BL26&lt;29,"23"))</f>
        <v>23</v>
      </c>
      <c r="BX22" s="13" t="str">
        <f>IF(BL26&gt;28,"23",IF(BL26&lt;29,"24"))</f>
        <v>24</v>
      </c>
      <c r="BY22" s="13" t="str">
        <f>IF(BL26&gt;28,"24",IF(BL26&lt;29,"25"))</f>
        <v>25</v>
      </c>
      <c r="BZ22" s="13" t="str">
        <f>IF(BL26&gt;28,"25",IF(BL26&lt;29,"26"))</f>
        <v>26</v>
      </c>
      <c r="CA22" s="13" t="str">
        <f>IF(BL26&gt;28,"26",IF(BL26&lt;29,"27"))</f>
        <v>27</v>
      </c>
      <c r="CB22" s="13" t="str">
        <f>IF(BL26&gt;28,"27",IF(BL26&lt;29,"28"))</f>
        <v>28</v>
      </c>
      <c r="CE22" s="32" t="s">
        <v>5693</v>
      </c>
      <c r="CF22" s="32"/>
      <c r="CG22" s="32"/>
      <c r="CH22" s="32"/>
      <c r="CI22" s="25" t="s">
        <v>5731</v>
      </c>
      <c r="CJ22" s="25"/>
      <c r="CK22" s="25"/>
      <c r="CL22" s="25"/>
      <c r="CM22" s="25"/>
      <c r="CN22" s="25"/>
      <c r="CO22" s="25"/>
      <c r="CP22" s="27">
        <f>IF(CP21="Ikhtilaf",6+(ASIN((SIN(RADIANS(CP20))*60+(CP12))/(CP13))*180/PI())/15,6+(ASIN((SIN(RADIANS(CP20))*60-(CP12))/(CP13))*180/PI())/15)</f>
        <v>8.263482874701372</v>
      </c>
      <c r="CQ22" s="27"/>
      <c r="CR22" s="13" t="str">
        <f>TEXT(ABS((CP22)/24),"[hh]°mm'ss")</f>
        <v>08°15'49</v>
      </c>
      <c r="CS22" s="13"/>
      <c r="CU22" s="32"/>
      <c r="CV22" s="32"/>
      <c r="CW22" s="32"/>
      <c r="CX22" s="32"/>
      <c r="CY22" s="32"/>
      <c r="CZ22" s="32"/>
      <c r="DA22" s="32"/>
      <c r="DB22" s="32"/>
    </row>
    <row r="23" spans="8:8" ht="20.0" customHeight="1">
      <c r="A23" s="51" t="s">
        <v>5625</v>
      </c>
      <c r="B23" s="52"/>
      <c r="C23" s="45">
        <v>6.0</v>
      </c>
      <c r="D23" s="46" t="s">
        <v>5987</v>
      </c>
      <c r="E23" s="46"/>
      <c r="F23" s="46"/>
      <c r="G23" s="46"/>
      <c r="H23" s="46"/>
      <c r="I23" s="45" t="s">
        <v>5996</v>
      </c>
      <c r="J23" s="53"/>
      <c r="K23" s="13"/>
      <c r="L23" s="43" t="s">
        <v>155</v>
      </c>
      <c r="M23" s="43"/>
      <c r="N23" s="43"/>
      <c r="O23" s="43"/>
      <c r="P23" s="43" t="s">
        <v>166</v>
      </c>
      <c r="Q23" s="43"/>
      <c r="R23" s="43"/>
      <c r="S23" s="43"/>
      <c r="T23" s="43"/>
      <c r="U23" s="44" t="str">
        <f>VLOOKUP(V22,'DATA 1'!W19:Y31,2)</f>
        <v>Ad-Dalwu</v>
      </c>
      <c r="V23" s="44">
        <f>V22</f>
        <v>10.0</v>
      </c>
      <c r="W23" s="44" t="str">
        <f>VLOOKUP(V23,'DATA 1'!W19:Y31,3)</f>
        <v>Februari</v>
      </c>
      <c r="X23" s="48"/>
      <c r="Y23" s="9"/>
      <c r="Z23" s="15"/>
      <c r="AA23" s="15"/>
      <c r="AB23" s="15"/>
      <c r="AC23" s="15"/>
      <c r="AD23" s="15"/>
      <c r="AE23" s="15"/>
      <c r="AF23" s="15"/>
      <c r="AG23" s="15"/>
      <c r="AH23" s="15"/>
      <c r="AJ23" s="13" t="str">
        <f>IF(AH26&gt;28,"28",IF(AH26&lt;29,"29"))</f>
        <v>29</v>
      </c>
      <c r="AK23" s="13" t="str">
        <f>IF(AH26&gt;28,"29",IF(AH26&lt;29,"30"))</f>
        <v>30</v>
      </c>
      <c r="AL23" s="13" t="str">
        <f>IF(AH26&gt;28,"30",IF(AH26&lt;29,"31"))</f>
        <v>31</v>
      </c>
      <c r="AM23" s="13" t="str">
        <f>IF(AH26&gt;28,"31",IF(AH26&lt;29,"1"))</f>
        <v>1</v>
      </c>
      <c r="AN23" s="13"/>
      <c r="AO23" s="13"/>
      <c r="AP23" s="13"/>
      <c r="AQ23" s="13"/>
      <c r="AR23" s="13" t="str">
        <f>IF(AH26&gt;28,"28",IF(AH26&lt;29,"29"))</f>
        <v>29</v>
      </c>
      <c r="AS23" s="13" t="str">
        <f>IF(AH26&gt;28,"29",IF(AH26&lt;29,"30"))</f>
        <v>30</v>
      </c>
      <c r="AT23" s="13" t="str">
        <f>IF(AH26&gt;28,"30",IF(AH26&lt;29,"1"))</f>
        <v>1</v>
      </c>
      <c r="AU23" s="13"/>
      <c r="AV23" s="13"/>
      <c r="AW23" s="13"/>
      <c r="AX23" s="13"/>
      <c r="AZ23" s="13"/>
      <c r="BA23" s="13"/>
      <c r="BB23" s="13"/>
      <c r="BC23" s="13"/>
      <c r="BD23" s="13"/>
      <c r="BF23" s="12">
        <v>11.0</v>
      </c>
      <c r="BG23" s="12" t="s">
        <v>1886</v>
      </c>
      <c r="BH23" s="12">
        <v>2.0</v>
      </c>
      <c r="BI23" s="12" t="str">
        <f>VLOOKUP(BI13,'DATA 2'!L6:R12,2)</f>
        <v>Rabu</v>
      </c>
      <c r="BJ23" s="12">
        <v>1.0</v>
      </c>
      <c r="BK23" s="12" t="str">
        <f>VLOOKUP(BK13,'DATA 2'!T6:X10,1)</f>
        <v>Kliwon</v>
      </c>
      <c r="BL23" s="12">
        <v>30.0</v>
      </c>
      <c r="BN23" s="13" t="str">
        <f>IF(BL26&gt;28,"28",IF(BL26&lt;29,"29"))</f>
        <v>29</v>
      </c>
      <c r="BO23" s="13" t="str">
        <f>IF(BL26&gt;28,"29",IF(BL26&lt;29,"30"))</f>
        <v>30</v>
      </c>
      <c r="BP23" s="13"/>
      <c r="BQ23" s="13"/>
      <c r="BR23" s="13"/>
      <c r="BS23" s="13"/>
      <c r="BT23" s="13"/>
      <c r="BU23" s="13"/>
      <c r="BV23" s="13" t="str">
        <f>IF(BL26&gt;28,"28",IF(BL26&lt;29,"29"))</f>
        <v>29</v>
      </c>
      <c r="BW23" s="13" t="str">
        <f>IF(BL26&gt;28,"29",IF(BL26&lt;29,"30"))</f>
        <v>30</v>
      </c>
      <c r="BX23" s="13"/>
      <c r="BY23" s="13"/>
      <c r="BZ23" s="13"/>
      <c r="CA23" s="13"/>
      <c r="CB23" s="13"/>
      <c r="CE23" s="32" t="s">
        <v>5694</v>
      </c>
      <c r="CF23" s="32"/>
      <c r="CG23" s="32"/>
      <c r="CH23" s="32"/>
      <c r="CI23" s="25" t="s">
        <v>5732</v>
      </c>
      <c r="CJ23" s="25"/>
      <c r="CK23" s="25"/>
      <c r="CL23" s="25"/>
      <c r="CM23" s="25"/>
      <c r="CN23" s="25"/>
      <c r="CO23" s="25"/>
      <c r="CP23" s="27">
        <f>IF(CP21="Ikhtilaf",6+(ASIN((SIN(RADIANS(CP20))*60+(CP12))/(CP13))*180/PI())/15,6-(ASIN((SIN(RADIANS(CP20))*60-(CP12))/(CP13))*180/PI())/15)</f>
        <v>8.263482874701372</v>
      </c>
      <c r="CQ23" s="27"/>
      <c r="CR23" s="13" t="str">
        <f>TEXT(ABS((CP23)/24),"[hh]°mm'ss")</f>
        <v>08°15'49</v>
      </c>
      <c r="CS23" s="13"/>
      <c r="CU23" s="32"/>
      <c r="CV23" s="32"/>
      <c r="CW23" s="32"/>
      <c r="CX23" s="32"/>
      <c r="CY23" s="32"/>
      <c r="CZ23" s="32"/>
      <c r="DA23" s="32"/>
      <c r="DB23" s="32"/>
    </row>
    <row r="24" spans="8:8" ht="20.0" customHeight="1">
      <c r="A24" s="51"/>
      <c r="B24" s="52"/>
      <c r="C24" s="45">
        <v>7.0</v>
      </c>
      <c r="D24" s="46" t="s">
        <v>5989</v>
      </c>
      <c r="E24" s="46"/>
      <c r="F24" s="46"/>
      <c r="G24" s="46"/>
      <c r="H24" s="46"/>
      <c r="I24" s="45" t="s">
        <v>5997</v>
      </c>
      <c r="K24" s="13"/>
      <c r="L24" s="43" t="s">
        <v>179</v>
      </c>
      <c r="M24" s="43"/>
      <c r="N24" s="43"/>
      <c r="O24" s="43"/>
      <c r="P24" s="43" t="s">
        <v>166</v>
      </c>
      <c r="Q24" s="43"/>
      <c r="R24" s="43"/>
      <c r="S24" s="43"/>
      <c r="T24" s="43"/>
      <c r="U24" s="44" t="str">
        <f>VLOOKUP(V22,'DATA 1'!W19:AA31,5)</f>
        <v>Al-Janub</v>
      </c>
      <c r="V24" s="44"/>
      <c r="W24" s="44" t="str">
        <f>VLOOKUP(U24,'DATA 1'!AA19:AB31,2)</f>
        <v>Selatan</v>
      </c>
      <c r="X24" s="48"/>
      <c r="Y24" s="9"/>
      <c r="Z24" s="15" t="s">
        <v>8</v>
      </c>
      <c r="AA24" s="15" t="s">
        <v>1982</v>
      </c>
      <c r="AB24" s="15" t="s">
        <v>9</v>
      </c>
      <c r="AC24" s="15" t="s">
        <v>1983</v>
      </c>
      <c r="AD24" s="15" t="s">
        <v>1984</v>
      </c>
      <c r="AE24" s="15" t="s">
        <v>1985</v>
      </c>
      <c r="AF24" s="15" t="s">
        <v>1986</v>
      </c>
      <c r="AG24" s="15" t="s">
        <v>1982</v>
      </c>
      <c r="AH24" s="15" t="s">
        <v>1987</v>
      </c>
      <c r="AJ24" s="13" t="s">
        <v>62</v>
      </c>
      <c r="AK24" s="13"/>
      <c r="AL24" s="13"/>
      <c r="AM24" s="13"/>
      <c r="AN24" s="13"/>
      <c r="AO24" s="13"/>
      <c r="AP24" s="13"/>
      <c r="AQ24" s="13"/>
      <c r="AR24" s="13" t="s">
        <v>65</v>
      </c>
      <c r="AS24" s="13"/>
      <c r="AT24" s="13"/>
      <c r="AU24" s="13"/>
      <c r="AV24" s="13"/>
      <c r="AW24" s="13"/>
      <c r="AX24" s="13"/>
      <c r="AZ24" s="13">
        <f>AZ4</f>
        <v>1445.0</v>
      </c>
      <c r="BA24" s="13">
        <f>INT(AZ24/30)</f>
        <v>48.0</v>
      </c>
      <c r="BB24" s="13"/>
      <c r="BC24" s="13"/>
      <c r="BD24" s="13"/>
      <c r="BF24" s="12">
        <v>12.0</v>
      </c>
      <c r="BG24" s="12" t="s">
        <v>1885</v>
      </c>
      <c r="BH24" s="12">
        <v>4.0</v>
      </c>
      <c r="BI24" s="12" t="str">
        <f>VLOOKUP(BI13,'DATA 2'!L6:R12,4)</f>
        <v>Jumat</v>
      </c>
      <c r="BJ24" s="12">
        <v>1.0</v>
      </c>
      <c r="BK24" s="12" t="str">
        <f>VLOOKUP(BK13,'DATA 2'!T6:X10,1)</f>
        <v>Kliwon</v>
      </c>
      <c r="BL24" s="12">
        <f>VLOOKUP(BC27,'DATA 2'!Z6:AB7,2)</f>
        <v>30.0</v>
      </c>
      <c r="BN24" s="13" t="s">
        <v>1881</v>
      </c>
      <c r="BO24" s="13"/>
      <c r="BP24" s="13"/>
      <c r="BQ24" s="13"/>
      <c r="BR24" s="13"/>
      <c r="BS24" s="13"/>
      <c r="BT24" s="13"/>
      <c r="BU24" s="13"/>
      <c r="BV24" s="13" t="s">
        <v>1882</v>
      </c>
      <c r="BW24" s="13"/>
      <c r="BX24" s="13"/>
      <c r="BY24" s="13"/>
      <c r="BZ24" s="13"/>
      <c r="CA24" s="13"/>
      <c r="CB24" s="13"/>
      <c r="CE24" s="12" t="s">
        <v>6082</v>
      </c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35"/>
      <c r="CU24" s="32"/>
      <c r="CV24" s="32"/>
      <c r="CW24" s="32"/>
      <c r="CX24" s="32"/>
      <c r="CY24" s="32"/>
      <c r="CZ24" s="32"/>
      <c r="DA24" s="32"/>
      <c r="DB24" s="32"/>
    </row>
    <row r="25" spans="8:8" ht="20.0" customHeight="1">
      <c r="A25" s="51" t="s">
        <v>5624</v>
      </c>
      <c r="B25" s="52"/>
      <c r="C25" s="45">
        <v>8.0</v>
      </c>
      <c r="D25" s="46" t="s">
        <v>5990</v>
      </c>
      <c r="E25" s="46"/>
      <c r="F25" s="46"/>
      <c r="G25" s="46"/>
      <c r="H25" s="46"/>
      <c r="I25" s="45" t="s">
        <v>5998</v>
      </c>
      <c r="K25" s="13"/>
      <c r="L25" s="43" t="s">
        <v>150</v>
      </c>
      <c r="M25" s="43"/>
      <c r="N25" s="43"/>
      <c r="O25" s="43"/>
      <c r="P25" s="43" t="s">
        <v>166</v>
      </c>
      <c r="Q25" s="43"/>
      <c r="R25" s="43"/>
      <c r="S25" s="43"/>
      <c r="T25" s="43"/>
      <c r="U25" s="47">
        <f>VLOOKUP(ROUND(U22,0),'DATA 1'!Q54:R414,2)</f>
        <v>0.0</v>
      </c>
      <c r="V25" s="44">
        <f>(U25-MOD(U25,30))/30</f>
        <v>0.0</v>
      </c>
      <c r="W25" s="44" t="str">
        <f>TEXT(U25/24,"hh:mm:ss")</f>
        <v>00:00:00</v>
      </c>
      <c r="X25" s="48"/>
      <c r="Y25" s="9"/>
      <c r="Z25" s="15" t="str">
        <f>AH14</f>
        <v>Tahun Basitoh</v>
      </c>
      <c r="AA25" s="15"/>
      <c r="AB25" s="15" t="s">
        <v>81</v>
      </c>
      <c r="AC25" s="15">
        <f>VLOOKUP(Z25,'DATA 2'!L15:R16,4)</f>
        <v>1.0</v>
      </c>
      <c r="AD25" s="15" t="str">
        <f>AB14</f>
        <v>Rabu</v>
      </c>
      <c r="AE25" s="15">
        <v>1.0</v>
      </c>
      <c r="AF25" s="15" t="str">
        <f>AD14</f>
        <v>Pon</v>
      </c>
      <c r="AG25" s="15"/>
      <c r="AH25" s="15">
        <v>31.0</v>
      </c>
      <c r="AJ25" s="13" t="str">
        <f>AT18</f>
        <v>Selasa</v>
      </c>
      <c r="AK25" s="13" t="str">
        <f>AU18</f>
        <v>Rabu</v>
      </c>
      <c r="AL25" s="13" t="str">
        <f>AV18</f>
        <v>Kamis</v>
      </c>
      <c r="AM25" s="13" t="str">
        <f>AW18</f>
        <v>Jumat</v>
      </c>
      <c r="AN25" s="13" t="str">
        <f>AX18</f>
        <v>Sabtu</v>
      </c>
      <c r="AO25" s="13" t="str">
        <f>AR18</f>
        <v>Minggu</v>
      </c>
      <c r="AP25" s="13" t="str">
        <f>AS18</f>
        <v>Senin</v>
      </c>
      <c r="AQ25" s="13"/>
      <c r="AR25" s="13" t="str">
        <f>AM25</f>
        <v>Jumat</v>
      </c>
      <c r="AS25" s="13" t="str">
        <f>AN25</f>
        <v>Sabtu</v>
      </c>
      <c r="AT25" s="13" t="str">
        <f>AO25</f>
        <v>Minggu</v>
      </c>
      <c r="AU25" s="13" t="str">
        <f>AP25</f>
        <v>Senin</v>
      </c>
      <c r="AV25" s="13" t="str">
        <f>AJ25</f>
        <v>Selasa</v>
      </c>
      <c r="AW25" s="13" t="str">
        <f>AK25</f>
        <v>Rabu</v>
      </c>
      <c r="AX25" s="13" t="str">
        <f>AL25</f>
        <v>Kamis</v>
      </c>
      <c r="AZ25" s="13">
        <f>MOD(AZ24,30)</f>
        <v>5.0</v>
      </c>
      <c r="BA25" s="13"/>
      <c r="BB25" s="13"/>
      <c r="BC25" s="13"/>
      <c r="BD25" s="13"/>
      <c r="BF25" s="12"/>
      <c r="BG25" s="12"/>
      <c r="BH25" s="36"/>
      <c r="BI25" s="12"/>
      <c r="BJ25" s="12"/>
      <c r="BK25" s="12"/>
      <c r="BL25" s="12"/>
      <c r="BN25" s="13" t="str">
        <f>Lembar7!F54</f>
        <v>Sabtu</v>
      </c>
      <c r="BO25" s="13" t="str">
        <f>VLOOKUP(BN25,'DATA 2'!L6:R12,2)</f>
        <v>Minggu</v>
      </c>
      <c r="BP25" s="13" t="str">
        <f>VLOOKUP(BN25,'DATA 2'!L6:R12,3)</f>
        <v>Senin</v>
      </c>
      <c r="BQ25" s="13" t="str">
        <f>VLOOKUP(BN25,'DATA 2'!L6:R12,4)</f>
        <v>Selasa</v>
      </c>
      <c r="BR25" s="13" t="str">
        <f>VLOOKUP(BN25,'DATA 2'!L6:R12,5)</f>
        <v>Rabu</v>
      </c>
      <c r="BS25" s="13" t="str">
        <f>VLOOKUP(BN25,'DATA 2'!L6:R12,6)</f>
        <v>Kamis</v>
      </c>
      <c r="BT25" s="13" t="str">
        <f>VLOOKUP(BN25,'DATA 2'!L6:R12,7)</f>
        <v>Jumat</v>
      </c>
      <c r="BU25" s="13"/>
      <c r="BV25" s="13" t="str">
        <f>Lembar8!F54</f>
        <v>Minggu</v>
      </c>
      <c r="BW25" s="13" t="str">
        <f>VLOOKUP(BV25,'DATA 2'!L6:R12,2)</f>
        <v>Senin</v>
      </c>
      <c r="BX25" s="13" t="str">
        <f>VLOOKUP(BV25,'DATA 2'!L6:R12,3)</f>
        <v>Selasa</v>
      </c>
      <c r="BY25" s="13" t="str">
        <f>VLOOKUP(BV25,'DATA 2'!L6:R12,4)</f>
        <v>Rabu</v>
      </c>
      <c r="BZ25" s="13" t="str">
        <f>VLOOKUP(BV25,'DATA 2'!L6:R12,5)</f>
        <v>Kamis</v>
      </c>
      <c r="CA25" s="13" t="str">
        <f>VLOOKUP(BV25,'DATA 2'!L6:R12,6)</f>
        <v>Jumat</v>
      </c>
      <c r="CB25" s="13" t="str">
        <f>VLOOKUP(BV25,'DATA 2'!L6:R12,7)</f>
        <v>Sabtu</v>
      </c>
      <c r="CE25" s="32" t="s">
        <v>5739</v>
      </c>
      <c r="CF25" s="32"/>
      <c r="CG25" s="32"/>
      <c r="CH25" s="32"/>
      <c r="CI25" s="25" t="s">
        <v>5857</v>
      </c>
      <c r="CJ25" s="25"/>
      <c r="CK25" s="25"/>
      <c r="CL25" s="25"/>
      <c r="CM25" s="25"/>
      <c r="CN25" s="25"/>
      <c r="CO25" s="25"/>
      <c r="CP25" s="27">
        <f>IF(CP21="Ikhtilaf",6+((ASIN((SIN(DEGREES(CP20))*60+(CP12))/(CP13))*180/PI())/15-CP14/60),6+((ASIN((SIN(RADIANS(CP20))*60-(CP12))/(CP13))*180/PI())/15-CP14/60))</f>
        <v>4.411630307593399</v>
      </c>
      <c r="CQ25" s="27"/>
      <c r="CR25" s="13" t="str">
        <f>TEXT(ABS((CP25)/24),"[hh]°mm'ss")</f>
        <v>04°24'42</v>
      </c>
      <c r="CS25" s="13"/>
      <c r="CT25" s="35"/>
      <c r="CU25" s="32"/>
      <c r="CV25" s="32"/>
      <c r="CW25" s="32"/>
      <c r="CX25" s="32"/>
      <c r="CY25" s="32"/>
      <c r="CZ25" s="32"/>
      <c r="DA25" s="32"/>
      <c r="DB25" s="32"/>
    </row>
    <row r="26" spans="8:8" ht="20.0" customHeight="1">
      <c r="A26" s="51"/>
      <c r="B26" s="52"/>
      <c r="C26" s="45">
        <v>9.0</v>
      </c>
      <c r="D26" s="46" t="s">
        <v>5991</v>
      </c>
      <c r="E26" s="46"/>
      <c r="F26" s="46"/>
      <c r="G26" s="46"/>
      <c r="H26" s="46"/>
      <c r="I26" s="45" t="s">
        <v>5999</v>
      </c>
      <c r="K26" s="13"/>
      <c r="L26" s="43" t="s">
        <v>139</v>
      </c>
      <c r="M26" s="43"/>
      <c r="N26" s="43"/>
      <c r="O26" s="43"/>
      <c r="P26" s="43" t="s">
        <v>196</v>
      </c>
      <c r="Q26" s="43"/>
      <c r="R26" s="43"/>
      <c r="S26" s="43"/>
      <c r="T26" s="43"/>
      <c r="U26" s="47">
        <f>U19-U25</f>
        <v>0.567</v>
      </c>
      <c r="V26" s="44">
        <f>(U26-MOD(U26,30))/30</f>
        <v>0.0</v>
      </c>
      <c r="W26" s="44" t="str">
        <f>TEXT(U26/24,"hh:mm:ss")</f>
        <v>00:34:01</v>
      </c>
      <c r="X26" s="48"/>
      <c r="Y26" s="9"/>
      <c r="Z26" s="15" t="str">
        <f>AH14</f>
        <v>Tahun Basitoh</v>
      </c>
      <c r="AA26" s="15"/>
      <c r="AB26" s="15" t="s">
        <v>2008</v>
      </c>
      <c r="AC26" s="15">
        <f>VLOOKUP(Z25,'DATA 2'!L18:Q19,4)</f>
        <v>4.0</v>
      </c>
      <c r="AD26" s="15" t="str">
        <f>VLOOKUP(AD25,'DATA 2'!L6:R12,AC26)</f>
        <v>Sabtu</v>
      </c>
      <c r="AE26" s="15">
        <f>VLOOKUP(AH14,'DATA 2'!L18:P19,5)</f>
        <v>2.0</v>
      </c>
      <c r="AF26" s="15" t="str">
        <f>VLOOKUP(AF25,'DATA 2'!N37:R41,AE26)</f>
        <v>Wage</v>
      </c>
      <c r="AG26" s="15"/>
      <c r="AH26" s="15">
        <f>VLOOKUP(AH14,'DATA 2'!L18:N19,3)</f>
        <v>28.0</v>
      </c>
      <c r="AJ26" s="13" t="str">
        <f>IF(AH26&gt;28,"30",IF(AH26&lt;29,"1"))</f>
        <v>1</v>
      </c>
      <c r="AK26" s="13" t="str">
        <f>IF(AH26&gt;28,"1",IF(AH26&lt;29,"2"))</f>
        <v>2</v>
      </c>
      <c r="AL26" s="13" t="str">
        <f>IF(AH26&gt;28,"2",IF(AH26&lt;29,"3"))</f>
        <v>3</v>
      </c>
      <c r="AM26" s="13" t="str">
        <f>IF(AH26&gt;28,"3",IF(AH26&lt;29,"4"))</f>
        <v>4</v>
      </c>
      <c r="AN26" s="13" t="str">
        <f>IF(AH26&gt;28,"4",IF(AH26&lt;29,"5"))</f>
        <v>5</v>
      </c>
      <c r="AO26" s="13" t="str">
        <f>IF(AH26&gt;28,"5",IF(AH26&lt;29,"6"))</f>
        <v>6</v>
      </c>
      <c r="AP26" s="13" t="str">
        <f>IF(AH26&gt;28,"6",IF(AH26&lt;29,"7"))</f>
        <v>7</v>
      </c>
      <c r="AQ26" s="13"/>
      <c r="AR26" s="13" t="str">
        <f>IF(AH26&gt;28,"31",IF(AH26&lt;29,"1"))</f>
        <v>1</v>
      </c>
      <c r="AS26" s="13" t="str">
        <f>IF(AH26&gt;28,"1",IF(AH26&lt;29,"2"))</f>
        <v>2</v>
      </c>
      <c r="AT26" s="13" t="str">
        <f>IF(AH26&gt;28,"2",IF(AH26&lt;29,"3"))</f>
        <v>3</v>
      </c>
      <c r="AU26" s="13" t="str">
        <f>IF(AH26&gt;28,"3",IF(AH26&lt;29,"4"))</f>
        <v>4</v>
      </c>
      <c r="AV26" s="13" t="str">
        <f>IF(AH26&gt;28,"4",IF(AH26&lt;29,"5"))</f>
        <v>5</v>
      </c>
      <c r="AW26" s="13" t="str">
        <f>IF(AH26&gt;28,"5",IF(AH26&lt;29,"6"))</f>
        <v>6</v>
      </c>
      <c r="AX26" s="13" t="str">
        <f>IF(AH26&gt;28,"6",IF(AH26&lt;29,"7"))</f>
        <v>7</v>
      </c>
      <c r="AZ26" s="13"/>
      <c r="BA26" s="13"/>
      <c r="BB26" s="13"/>
      <c r="BC26" s="13"/>
      <c r="BD26" s="13"/>
      <c r="BF26" s="12"/>
      <c r="BG26" s="12"/>
      <c r="BH26" s="12"/>
      <c r="BI26" s="12"/>
      <c r="BJ26" s="12"/>
      <c r="BK26" s="12"/>
      <c r="BL26" s="12"/>
      <c r="BN26" s="13" t="str">
        <f>IF(BL26&gt;28,"30",IF(BL26&lt;29,"1"))</f>
        <v>1</v>
      </c>
      <c r="BO26" s="13" t="str">
        <f>IF(BL26&gt;28,"1",IF(BL26&lt;29,"2"))</f>
        <v>2</v>
      </c>
      <c r="BP26" s="13" t="str">
        <f>IF(BL26&gt;28,"2",IF(BL26&lt;29,"3"))</f>
        <v>3</v>
      </c>
      <c r="BQ26" s="13" t="str">
        <f>IF(BL26&gt;28,"3",IF(BL26&lt;29,"4"))</f>
        <v>4</v>
      </c>
      <c r="BR26" s="13" t="str">
        <f>IF(BL26&gt;28,"4",IF(BL26&lt;29,"5"))</f>
        <v>5</v>
      </c>
      <c r="BS26" s="13" t="str">
        <f>IF(BL26&gt;28,"5",IF(BL26&lt;29,"6"))</f>
        <v>6</v>
      </c>
      <c r="BT26" s="13" t="str">
        <f>IF(BL26&gt;28,"6",IF(BL26&lt;29,"7"))</f>
        <v>7</v>
      </c>
      <c r="BU26" s="13"/>
      <c r="BV26" s="13" t="str">
        <f>IF(BL26&gt;28,"31",IF(BL26&lt;29,"1"))</f>
        <v>1</v>
      </c>
      <c r="BW26" s="13" t="str">
        <f>IF(BL26&gt;28,"1",IF(BL26&lt;29,"2"))</f>
        <v>2</v>
      </c>
      <c r="BX26" s="13" t="str">
        <f>IF(BL26&gt;28,"2",IF(BL26&lt;29,"3"))</f>
        <v>3</v>
      </c>
      <c r="BY26" s="13" t="str">
        <f>IF(BL26&gt;28,"3",IF(BL26&lt;29,"4"))</f>
        <v>4</v>
      </c>
      <c r="BZ26" s="13" t="str">
        <f>IF(BL26&gt;28,"4",IF(BL26&lt;29,"5"))</f>
        <v>5</v>
      </c>
      <c r="CA26" s="13" t="str">
        <f>IF(BL26&gt;28,"5",IF(BL26&lt;29,"6"))</f>
        <v>6</v>
      </c>
      <c r="CB26" s="13" t="str">
        <f>IF(BL26&gt;28,"6",IF(BL26&lt;29,"7"))</f>
        <v>7</v>
      </c>
      <c r="CE26" s="32" t="s">
        <v>5740</v>
      </c>
      <c r="CF26" s="32"/>
      <c r="CG26" s="32"/>
      <c r="CH26" s="32"/>
      <c r="CI26" s="25" t="s">
        <v>5843</v>
      </c>
      <c r="CJ26" s="25"/>
      <c r="CK26" s="25"/>
      <c r="CL26" s="25"/>
      <c r="CM26" s="25"/>
      <c r="CN26" s="25"/>
      <c r="CO26" s="25"/>
      <c r="CP26" s="27">
        <f>IF(CP21="Ikhtilaf",6-((ASIN((SIN(RADIANS(CP20))*60-(CP12))/(CP13))*180/PI())/15+CP14/60),6-((ASIN((SIN(RADIANS(CP20))*60-(CP12))/(CP13))*180/PI())/15-CP14)/60)</f>
        <v>4.00803297057785</v>
      </c>
      <c r="CQ26" s="27"/>
      <c r="CR26" s="13" t="str">
        <f>TEXT(ABS((CP26)/24),"[hh]°mm'ss")</f>
        <v>04°00'29</v>
      </c>
      <c r="CS26" s="13"/>
      <c r="CU26" s="32"/>
      <c r="CV26" s="32"/>
      <c r="CW26" s="32"/>
      <c r="CX26" s="32"/>
      <c r="CY26" s="32"/>
      <c r="CZ26" s="32"/>
      <c r="DA26" s="32"/>
      <c r="DB26" s="32"/>
    </row>
    <row r="27" spans="8:8" ht="20.0" customHeight="1">
      <c r="A27" s="51" t="s">
        <v>5626</v>
      </c>
      <c r="B27" s="52"/>
      <c r="C27" s="45">
        <v>10.0</v>
      </c>
      <c r="D27" s="46" t="s">
        <v>5992</v>
      </c>
      <c r="E27" s="46"/>
      <c r="F27" s="46"/>
      <c r="G27" s="46"/>
      <c r="H27" s="46"/>
      <c r="I27" s="45" t="s">
        <v>5999</v>
      </c>
      <c r="K27" s="13"/>
      <c r="L27" s="43" t="s">
        <v>141</v>
      </c>
      <c r="M27" s="43"/>
      <c r="N27" s="43"/>
      <c r="O27" s="43"/>
      <c r="P27" s="43" t="s">
        <v>197</v>
      </c>
      <c r="Q27" s="43"/>
      <c r="R27" s="43"/>
      <c r="S27" s="43"/>
      <c r="T27" s="43"/>
      <c r="U27" s="47">
        <f>U22-U26</f>
        <v>328.00275189</v>
      </c>
      <c r="V27" s="44">
        <f>(U27-MOD(U27,30))/30</f>
        <v>10.0</v>
      </c>
      <c r="W27" s="44" t="str">
        <f>TEXT(U27/24,"hh:mm:ss")</f>
        <v>16:00:10</v>
      </c>
      <c r="X27" s="48"/>
      <c r="Y27" s="9"/>
      <c r="Z27" s="15" t="str">
        <f>AH14</f>
        <v>Tahun Basitoh</v>
      </c>
      <c r="AA27" s="15"/>
      <c r="AB27" s="15" t="s">
        <v>87</v>
      </c>
      <c r="AC27" s="15">
        <f>VLOOKUP(Z25,'DATA 2'!L21:O23,4)</f>
        <v>4.0</v>
      </c>
      <c r="AD27" s="15" t="str">
        <f>VLOOKUP(AD25,'DATA 2'!L6:R12,AC27)</f>
        <v>Sabtu</v>
      </c>
      <c r="AE27" s="15">
        <f>VLOOKUP(AH14,'DATA 2'!L21:P22,5)</f>
        <v>5.0</v>
      </c>
      <c r="AF27" s="15" t="str">
        <f>VLOOKUP(AF25,'DATA 2'!N37:R41,AE27)</f>
        <v>Pahing</v>
      </c>
      <c r="AG27" s="15"/>
      <c r="AH27" s="15">
        <v>31.0</v>
      </c>
      <c r="AJ27" s="13" t="str">
        <f>IF(AH26&gt;28,"7",IF(AH26&lt;29,"8"))</f>
        <v>8</v>
      </c>
      <c r="AK27" s="13" t="str">
        <f>IF(AH26&gt;28,"8",IF(AH26&lt;29,"9"))</f>
        <v>9</v>
      </c>
      <c r="AL27" s="13" t="str">
        <f>IF(AH26&gt;28,"9",IF(AH26&lt;29,"10"))</f>
        <v>10</v>
      </c>
      <c r="AM27" s="13" t="str">
        <f>IF(AH26&gt;28,"10",IF(AH26&lt;29,"11"))</f>
        <v>11</v>
      </c>
      <c r="AN27" s="13" t="str">
        <f>IF(AH26&gt;28,"11",IF(AH26&lt;29,"12"))</f>
        <v>12</v>
      </c>
      <c r="AO27" s="13" t="str">
        <f>IF(AH26&gt;28,"12",IF(AH26&lt;29,"13"))</f>
        <v>13</v>
      </c>
      <c r="AP27" s="13" t="str">
        <f>IF(AH26&gt;28,"13",IF(AH26&lt;29,"14"))</f>
        <v>14</v>
      </c>
      <c r="AQ27" s="13"/>
      <c r="AR27" s="13" t="str">
        <f>IF(AH26&gt;28,"7",IF(AH26&lt;29,"8"))</f>
        <v>8</v>
      </c>
      <c r="AS27" s="13" t="str">
        <f>IF(AH26&gt;28,"8",IF(AH26&lt;29,"9"))</f>
        <v>9</v>
      </c>
      <c r="AT27" s="13" t="str">
        <f>IF(AH26&gt;28,"9",IF(AH26&lt;29,"10"))</f>
        <v>10</v>
      </c>
      <c r="AU27" s="13" t="str">
        <f>IF(AH26&gt;28,"10",IF(AH26&lt;29,"11"))</f>
        <v>11</v>
      </c>
      <c r="AV27" s="13" t="str">
        <f>IF(AH26&gt;28,"11",IF(AH26&lt;29,"12"))</f>
        <v>12</v>
      </c>
      <c r="AW27" s="13" t="str">
        <f>IF(AH26&gt;28,"12",IF(AH26&lt;29,"13"))</f>
        <v>13</v>
      </c>
      <c r="AX27" s="13" t="str">
        <f>IF(AH26&gt;28,"13",IF(AH26&lt;29,"14"))</f>
        <v>14</v>
      </c>
      <c r="AZ27" s="13" t="s">
        <v>121</v>
      </c>
      <c r="BA27" s="13">
        <f>AZ4</f>
        <v>1445.0</v>
      </c>
      <c r="BB27" s="13" t="s">
        <v>121</v>
      </c>
      <c r="BC27" s="13" t="str">
        <f>VLOOKUP(AZ25,'DATA 2'!Q44:R74,2)</f>
        <v>Kabisah</v>
      </c>
      <c r="BD27" s="13"/>
      <c r="BF27" s="12"/>
      <c r="BG27" s="12"/>
      <c r="BH27" s="12"/>
      <c r="BI27" s="12"/>
      <c r="BJ27" s="12"/>
      <c r="BK27" s="12"/>
      <c r="BL27" s="12"/>
      <c r="BN27" s="13" t="str">
        <f>IF(BL26&gt;28,"7",IF(BL26&lt;29,"8"))</f>
        <v>8</v>
      </c>
      <c r="BO27" s="13" t="str">
        <f>IF(BL26&gt;28,"8",IF(BL26&lt;29,"9"))</f>
        <v>9</v>
      </c>
      <c r="BP27" s="13" t="str">
        <f>IF(BL26&gt;28,"9",IF(BL26&lt;29,"10"))</f>
        <v>10</v>
      </c>
      <c r="BQ27" s="13" t="str">
        <f>IF(BL26&gt;28,"10",IF(BL26&lt;29,"11"))</f>
        <v>11</v>
      </c>
      <c r="BR27" s="13" t="str">
        <f>IF(BL26&gt;28,"11",IF(BL26&lt;29,"12"))</f>
        <v>12</v>
      </c>
      <c r="BS27" s="13" t="str">
        <f>IF(BL26&gt;28,"12",IF(BL26&lt;29,"13"))</f>
        <v>13</v>
      </c>
      <c r="BT27" s="13" t="str">
        <f>IF(BL26&gt;28,"13",IF(BL26&lt;29,"14"))</f>
        <v>14</v>
      </c>
      <c r="BU27" s="13"/>
      <c r="BV27" s="13" t="str">
        <f>IF(BL26&gt;28,"7",IF(BL26&lt;29,"8"))</f>
        <v>8</v>
      </c>
      <c r="BW27" s="13" t="str">
        <f>IF(BL26&gt;28,"8",IF(BL26&lt;29,"9"))</f>
        <v>9</v>
      </c>
      <c r="BX27" s="13" t="str">
        <f>IF(BL26&gt;28,"9",IF(BL26&lt;29,"10"))</f>
        <v>10</v>
      </c>
      <c r="BY27" s="13" t="str">
        <f>IF(BL26&gt;28,"10",IF(BL26&lt;29,"11"))</f>
        <v>11</v>
      </c>
      <c r="BZ27" s="13" t="str">
        <f>IF(BL26&gt;28,"11",IF(BL26&lt;29,"12"))</f>
        <v>12</v>
      </c>
      <c r="CA27" s="13" t="str">
        <f>IF(BL26&gt;28,"12",IF(BL26&lt;29,"13"))</f>
        <v>13</v>
      </c>
      <c r="CB27" s="13" t="str">
        <f>IF(BL26&gt;28,"13",IF(BL26&lt;29,"14"))</f>
        <v>14</v>
      </c>
      <c r="CE27" s="32" t="s">
        <v>5775</v>
      </c>
      <c r="CF27" s="32"/>
      <c r="CG27" s="32"/>
      <c r="CH27" s="32"/>
      <c r="CI27" s="25" t="s">
        <v>5844</v>
      </c>
      <c r="CJ27" s="25"/>
      <c r="CK27" s="25"/>
      <c r="CL27" s="25"/>
      <c r="CM27" s="25"/>
      <c r="CN27" s="25"/>
      <c r="CO27" s="25"/>
      <c r="CP27" s="27">
        <f>12-CP25</f>
        <v>7.5883696924066</v>
      </c>
      <c r="CQ27" s="27"/>
      <c r="CR27" s="13" t="str">
        <f>TEXT(ABS((CP27)/24),"[hh]°mm'ss")</f>
        <v>07°35'18</v>
      </c>
      <c r="CS27" s="13"/>
      <c r="CU27" s="32"/>
      <c r="CV27" s="32"/>
      <c r="CW27" s="32"/>
      <c r="CX27" s="32"/>
      <c r="CY27" s="32"/>
      <c r="CZ27" s="32"/>
      <c r="DA27" s="32"/>
      <c r="DB27" s="32"/>
    </row>
    <row r="28" spans="8:8" ht="20.0" customHeight="1">
      <c r="A28" s="51"/>
      <c r="B28" s="52"/>
      <c r="C28" s="45">
        <v>11.0</v>
      </c>
      <c r="D28" s="25" t="s">
        <v>6013</v>
      </c>
      <c r="E28" s="25"/>
      <c r="F28" s="25"/>
      <c r="G28" s="25"/>
      <c r="H28" s="25"/>
      <c r="I28" s="45" t="s">
        <v>6033</v>
      </c>
      <c r="K28" s="13"/>
      <c r="L28" s="43" t="s">
        <v>199</v>
      </c>
      <c r="M28" s="43"/>
      <c r="N28" s="43"/>
      <c r="O28" s="43"/>
      <c r="P28" s="43" t="s">
        <v>166</v>
      </c>
      <c r="Q28" s="43"/>
      <c r="R28" s="43"/>
      <c r="S28" s="43"/>
      <c r="T28" s="43"/>
      <c r="U28" s="47">
        <f>VLOOKUP(ROUND(U9,0),'DATA 1'!N54:O414,2)</f>
        <v>2.067</v>
      </c>
      <c r="V28" s="44">
        <f>(U28-MOD(U28,30))/30</f>
        <v>0.0</v>
      </c>
      <c r="W28" s="44" t="str">
        <f>TEXT(U28/24,"hh:mm:ss")</f>
        <v>02:04:01</v>
      </c>
      <c r="X28" s="48"/>
      <c r="Y28" s="9"/>
      <c r="Z28" s="15" t="str">
        <f>AH14</f>
        <v>Tahun Basitoh</v>
      </c>
      <c r="AA28" s="15"/>
      <c r="AB28" s="15" t="s">
        <v>52</v>
      </c>
      <c r="AC28" s="15">
        <f>VLOOKUP(Z25,'DATA 2'!L24:P25,4)</f>
        <v>7.0</v>
      </c>
      <c r="AD28" s="15" t="str">
        <f>VLOOKUP(AD25,'DATA 2'!L6:R12,AC28)</f>
        <v>Selasa</v>
      </c>
      <c r="AE28" s="15">
        <f>VLOOKUP(AH14,'DATA 2'!L24:P25,5)</f>
        <v>1.0</v>
      </c>
      <c r="AF28" s="15" t="str">
        <f>VLOOKUP(AF25,'DATA 2'!N37:R41,AE28)</f>
        <v>Pon</v>
      </c>
      <c r="AG28" s="15"/>
      <c r="AH28" s="15">
        <v>30.0</v>
      </c>
      <c r="AJ28" s="13" t="str">
        <f>IF(AH26&gt;28,"14",IF(AH26&lt;29,"15"))</f>
        <v>15</v>
      </c>
      <c r="AK28" s="13" t="str">
        <f>IF(AH26&gt;28,"15",IF(AH26&lt;29,"16"))</f>
        <v>16</v>
      </c>
      <c r="AL28" s="13" t="str">
        <f>IF(AH26&gt;28,"16",IF(AH26&lt;29,"17"))</f>
        <v>17</v>
      </c>
      <c r="AM28" s="13" t="str">
        <f>IF(AH26&gt;28,"17",IF(AH26&lt;29,"18"))</f>
        <v>18</v>
      </c>
      <c r="AN28" s="13" t="str">
        <f>IF(AH26&gt;28,"18",IF(AH26&lt;29,"19"))</f>
        <v>19</v>
      </c>
      <c r="AO28" s="13" t="str">
        <f>IF(AH26&gt;28,"19",IF(AH26&lt;29,"20"))</f>
        <v>20</v>
      </c>
      <c r="AP28" s="13" t="str">
        <f>IF(AH26&gt;28,"20",IF(AH26&lt;29,"21"))</f>
        <v>21</v>
      </c>
      <c r="AQ28" s="13"/>
      <c r="AR28" s="13" t="str">
        <f>IF(AH26&gt;28,"14",IF(AH26&lt;29,"15"))</f>
        <v>15</v>
      </c>
      <c r="AS28" s="13" t="str">
        <f>IF(AH26&gt;28,"15",IF(AH26&lt;29,"16"))</f>
        <v>16</v>
      </c>
      <c r="AT28" s="13" t="str">
        <f>IF(AH26&gt;28,"16",IF(AH26&lt;29,"17"))</f>
        <v>17</v>
      </c>
      <c r="AU28" s="13" t="str">
        <f>IF(AH26&gt;28,"17",IF(AH26&lt;29,"18"))</f>
        <v>18</v>
      </c>
      <c r="AV28" s="13" t="str">
        <f>IF(AH26&gt;28,"18",IF(AH26&lt;29,"19"))</f>
        <v>19</v>
      </c>
      <c r="AW28" s="13" t="str">
        <f>IF(AH26&gt;28,"19",IF(AH26&lt;29,"20"))</f>
        <v>20</v>
      </c>
      <c r="AX28" s="13" t="str">
        <f>IF(AH26&gt;28,"20",IF(AH26&lt;29,"21"))</f>
        <v>21</v>
      </c>
      <c r="AZ28" s="13"/>
      <c r="BA28" s="13"/>
      <c r="BB28" s="13"/>
      <c r="BC28" s="13"/>
      <c r="BD28" s="13"/>
      <c r="BF28" s="12"/>
      <c r="BG28" s="12"/>
      <c r="BH28" s="12"/>
      <c r="BI28" s="12"/>
      <c r="BJ28" s="12"/>
      <c r="BK28" s="12"/>
      <c r="BL28" s="12"/>
      <c r="BN28" s="13" t="str">
        <f>IF(BL26&gt;28,"14",IF(BL26&lt;29,"15"))</f>
        <v>15</v>
      </c>
      <c r="BO28" s="13" t="str">
        <f>IF(BL26&gt;28,"15",IF(BL26&lt;29,"16"))</f>
        <v>16</v>
      </c>
      <c r="BP28" s="13" t="str">
        <f>IF(BL26&gt;28,"16",IF(BL26&lt;29,"17"))</f>
        <v>17</v>
      </c>
      <c r="BQ28" s="13" t="str">
        <f>IF(BL26&gt;28,"17",IF(BL26&lt;29,"18"))</f>
        <v>18</v>
      </c>
      <c r="BR28" s="13" t="str">
        <f>IF(BL26&gt;28,"18",IF(BL26&lt;29,"19"))</f>
        <v>19</v>
      </c>
      <c r="BS28" s="13" t="str">
        <f>IF(BL26&gt;28,"19",IF(BL26&lt;29,"20"))</f>
        <v>20</v>
      </c>
      <c r="BT28" s="13" t="str">
        <f>IF(BL26&gt;28,"20",IF(BL26&lt;29,"21"))</f>
        <v>21</v>
      </c>
      <c r="BU28" s="13"/>
      <c r="BV28" s="13" t="str">
        <f>IF(BL26&gt;28,"14",IF(BL26&lt;29,"15"))</f>
        <v>15</v>
      </c>
      <c r="BW28" s="13" t="str">
        <f>IF(BL26&gt;28,"15",IF(BL26&lt;29,"16"))</f>
        <v>16</v>
      </c>
      <c r="BX28" s="13" t="str">
        <f>IF(BL26&gt;28,"16",IF(BL26&lt;29,"17"))</f>
        <v>17</v>
      </c>
      <c r="BY28" s="13" t="str">
        <f>IF(BL26&gt;28,"17",IF(BL26&lt;29,"18"))</f>
        <v>18</v>
      </c>
      <c r="BZ28" s="13" t="str">
        <f>IF(BL26&gt;28,"18",IF(BL26&lt;29,"19"))</f>
        <v>19</v>
      </c>
      <c r="CA28" s="13" t="str">
        <f>IF(BL26&gt;28,"19",IF(BL26&lt;29,"20"))</f>
        <v>20</v>
      </c>
      <c r="CB28" s="13" t="str">
        <f>IF(BL26&gt;28,"20",IF(BL26&lt;29,"21"))</f>
        <v>21</v>
      </c>
      <c r="CE28" s="32" t="s">
        <v>5776</v>
      </c>
      <c r="CF28" s="32"/>
      <c r="CG28" s="32"/>
      <c r="CH28" s="32"/>
      <c r="CI28" s="25" t="s">
        <v>5845</v>
      </c>
      <c r="CJ28" s="25"/>
      <c r="CK28" s="25"/>
      <c r="CL28" s="25"/>
      <c r="CM28" s="25"/>
      <c r="CN28" s="25"/>
      <c r="CO28" s="25"/>
      <c r="CP28" s="27">
        <f>CP26+6</f>
        <v>10.008032970577851</v>
      </c>
      <c r="CQ28" s="27"/>
      <c r="CR28" s="13" t="str">
        <f>TEXT(ABS((CP28)/24),"[hh]°mm'ss")</f>
        <v>10°00'29</v>
      </c>
      <c r="CS28" s="13"/>
      <c r="CT28"/>
      <c r="CU28" s="32"/>
      <c r="CV28" s="32"/>
      <c r="CW28" s="32"/>
      <c r="CX28" s="32"/>
      <c r="CY28" s="32"/>
      <c r="CZ28" s="32"/>
      <c r="DA28" s="32"/>
      <c r="DB28" s="32"/>
    </row>
    <row r="29" spans="8:8" ht="20.0" customHeight="1">
      <c r="A29" s="51"/>
      <c r="B29" s="52"/>
      <c r="C29" s="12" t="s">
        <v>6067</v>
      </c>
      <c r="D29" s="12"/>
      <c r="E29" s="12"/>
      <c r="F29" s="12"/>
      <c r="G29" s="12"/>
      <c r="H29" s="12"/>
      <c r="I29" s="12"/>
      <c r="K29" s="13"/>
      <c r="L29" s="43" t="s">
        <v>151</v>
      </c>
      <c r="M29" s="43"/>
      <c r="N29" s="43"/>
      <c r="O29" s="43"/>
      <c r="P29" s="43" t="s">
        <v>200</v>
      </c>
      <c r="Q29" s="43"/>
      <c r="R29" s="43"/>
      <c r="S29" s="43"/>
      <c r="T29" s="43"/>
      <c r="U29" s="47">
        <f>U26*U28</f>
        <v>1.171989</v>
      </c>
      <c r="V29" s="44">
        <f>(U29-MOD(U29,30))/30</f>
        <v>0.0</v>
      </c>
      <c r="W29" s="44" t="str">
        <f>TEXT(U29/24,"hh:mm:ss")</f>
        <v>01:10:19</v>
      </c>
      <c r="X29" s="48"/>
      <c r="Y29" s="9"/>
      <c r="Z29" s="15" t="str">
        <f>Z28</f>
        <v>Tahun Basitoh</v>
      </c>
      <c r="AA29" s="15"/>
      <c r="AB29" s="15" t="s">
        <v>56</v>
      </c>
      <c r="AC29" s="15">
        <f>VLOOKUP(Z25,'DATA 2'!L27:P28,4)</f>
        <v>2.0</v>
      </c>
      <c r="AD29" s="15" t="str">
        <f>VLOOKUP(AD25,'DATA 2'!L6:R12,AC29)</f>
        <v>Kamis</v>
      </c>
      <c r="AE29" s="15">
        <f>VLOOKUP(AH14,'DATA 2'!L27:P28,5)</f>
        <v>1.0</v>
      </c>
      <c r="AF29" s="15" t="str">
        <f>VLOOKUP(AF25,'DATA 2'!N37:R41,AE29)</f>
        <v>Pon</v>
      </c>
      <c r="AG29" s="15"/>
      <c r="AH29" s="15">
        <v>31.0</v>
      </c>
      <c r="AJ29" s="13" t="str">
        <f>IF(AH26&gt;28,"21",IF(AH26&lt;29,"22"))</f>
        <v>22</v>
      </c>
      <c r="AK29" s="13" t="str">
        <f>IF(AH26&gt;28,"22",IF(AH26&lt;29,"23"))</f>
        <v>23</v>
      </c>
      <c r="AL29" s="13" t="str">
        <f>IF(AH26&gt;28,"23",IF(AH26&lt;29,"24"))</f>
        <v>24</v>
      </c>
      <c r="AM29" s="13" t="str">
        <f>IF(AH26&gt;28,"24",IF(AH26&lt;29,"25"))</f>
        <v>25</v>
      </c>
      <c r="AN29" s="13" t="str">
        <f>IF(AH26&gt;28,"25",IF(AH26&lt;29,"26"))</f>
        <v>26</v>
      </c>
      <c r="AO29" s="13" t="str">
        <f>IF(AH26&gt;28,"26",IF(AH26&lt;29,"27"))</f>
        <v>27</v>
      </c>
      <c r="AP29" s="13" t="str">
        <f>IF(AH26&gt;28,"27",IF(AH26&lt;29,"28"))</f>
        <v>28</v>
      </c>
      <c r="AQ29" s="13"/>
      <c r="AR29" s="13" t="str">
        <f>IF(AH26&gt;28,"21",IF(AH26&lt;29,"22"))</f>
        <v>22</v>
      </c>
      <c r="AS29" s="13" t="str">
        <f>IF(AH26&gt;28,"22",IF(AH26&lt;29,"23"))</f>
        <v>23</v>
      </c>
      <c r="AT29" s="13" t="str">
        <f>IF(AH26&gt;28,"23",IF(AH26&lt;29,"224"))</f>
        <v>224</v>
      </c>
      <c r="AU29" s="13" t="str">
        <f>IF(AH26&gt;28,"24",IF(AH26&lt;29,"25"))</f>
        <v>25</v>
      </c>
      <c r="AV29" s="13" t="str">
        <f>IF(AH26&gt;28,"25",IF(AH26&lt;29,"26"))</f>
        <v>26</v>
      </c>
      <c r="AW29" s="13" t="str">
        <f>IF(AH26&gt;28,"26",IF(AH26&lt;29,"27"))</f>
        <v>27</v>
      </c>
      <c r="AX29" s="13" t="str">
        <f>IF(AH26&gt;28,"27",IF(AH26&lt;29,"28"))</f>
        <v>28</v>
      </c>
      <c r="AZ29" s="54"/>
      <c r="BA29" s="54"/>
      <c r="BB29" s="54"/>
      <c r="BC29" s="54"/>
      <c r="BD29" s="54"/>
      <c r="BF29" s="12"/>
      <c r="BG29" s="12"/>
      <c r="BH29" s="12"/>
      <c r="BI29" s="12"/>
      <c r="BJ29" s="12"/>
      <c r="BK29" s="12"/>
      <c r="BL29" s="12"/>
      <c r="BN29" s="13" t="str">
        <f>IF(BL26&gt;28,"21",IF(BL26&lt;29,"22"))</f>
        <v>22</v>
      </c>
      <c r="BO29" s="13" t="str">
        <f>IF(BL26&gt;28,"22",IF(BL26&lt;29,"23"))</f>
        <v>23</v>
      </c>
      <c r="BP29" s="13" t="str">
        <f>IF(BL26&gt;28,"23",IF(BL26&lt;29,"24"))</f>
        <v>24</v>
      </c>
      <c r="BQ29" s="13" t="str">
        <f>IF(BL26&gt;28,"24",IF(BL26&lt;29,"25"))</f>
        <v>25</v>
      </c>
      <c r="BR29" s="13" t="str">
        <f>IF(BL26&gt;28,"25",IF(BL26&lt;29,"26"))</f>
        <v>26</v>
      </c>
      <c r="BS29" s="13" t="str">
        <f>IF(BL26&gt;28,"26",IF(BL26&lt;29,"27"))</f>
        <v>27</v>
      </c>
      <c r="BT29" s="13" t="str">
        <f>IF(BL26&gt;28,"27",IF(BL26&lt;29,"28"))</f>
        <v>28</v>
      </c>
      <c r="BU29" s="13"/>
      <c r="BV29" s="13" t="str">
        <f>IF(BL26&gt;28,"21",IF(BL26&lt;29,"22"))</f>
        <v>22</v>
      </c>
      <c r="BW29" s="13" t="str">
        <f>IF(BL26&gt;28,"22",IF(BL26&lt;29,"23"))</f>
        <v>23</v>
      </c>
      <c r="BX29" s="13">
        <v>24.0</v>
      </c>
      <c r="BY29" s="13" t="str">
        <f>IF(BL26&gt;28,"24",IF(BL26&lt;29,"25"))</f>
        <v>25</v>
      </c>
      <c r="BZ29" s="13" t="str">
        <f>IF(BL26&gt;28,"25",IF(BL26&lt;29,"26"))</f>
        <v>26</v>
      </c>
      <c r="CA29" s="13" t="str">
        <f>IF(BL26&gt;28,"26",IF(BL26&lt;29,"27"))</f>
        <v>27</v>
      </c>
      <c r="CB29" s="13" t="str">
        <f>IF(BL26&gt;28,"27",IF(BL26&lt;29,"28"))</f>
        <v>28</v>
      </c>
      <c r="CE29" s="55" t="s">
        <v>6075</v>
      </c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U29" s="32"/>
      <c r="CV29" s="32"/>
      <c r="CW29" s="32"/>
      <c r="CX29" s="32"/>
      <c r="CY29" s="32"/>
      <c r="CZ29" s="32"/>
      <c r="DA29" s="32"/>
      <c r="DB29" s="32"/>
    </row>
    <row r="30" spans="8:8" ht="20.0" customHeight="1">
      <c r="A30" s="4"/>
      <c r="B30" s="5"/>
      <c r="C30" s="12"/>
      <c r="D30" s="12"/>
      <c r="E30" s="12"/>
      <c r="F30" s="12"/>
      <c r="G30" s="12"/>
      <c r="H30" s="12"/>
      <c r="I30" s="12"/>
      <c r="K30" s="13"/>
      <c r="L30" s="43" t="s">
        <v>152</v>
      </c>
      <c r="M30" s="43"/>
      <c r="N30" s="43"/>
      <c r="O30" s="43"/>
      <c r="P30" s="43" t="s">
        <v>202</v>
      </c>
      <c r="Q30" s="43"/>
      <c r="R30" s="43"/>
      <c r="S30" s="43"/>
      <c r="T30" s="43"/>
      <c r="U30" s="47">
        <f>IF(O9-U29&lt;0,(O9-U29)+168,O9-U29)</f>
        <v>95.761011</v>
      </c>
      <c r="V30" s="44">
        <f>(U30-MOD(U30,30))/30</f>
        <v>3.0</v>
      </c>
      <c r="W30" s="44" t="str">
        <f>TEXT(U30/24,"hh:mm:ss")</f>
        <v>23:45:40</v>
      </c>
      <c r="X30" s="48"/>
      <c r="Y30" s="9"/>
      <c r="Z30" s="15" t="str">
        <f>Z28</f>
        <v>Tahun Basitoh</v>
      </c>
      <c r="AA30" s="15"/>
      <c r="AB30" s="15" t="s">
        <v>59</v>
      </c>
      <c r="AC30" s="15">
        <f>VLOOKUP(Z25,'DATA 2'!L30:P31,4)</f>
        <v>5.0</v>
      </c>
      <c r="AD30" s="15" t="str">
        <f>VLOOKUP(AD25,'DATA 2'!L6:R12,AC30)</f>
        <v>Minggu</v>
      </c>
      <c r="AE30" s="15">
        <f>VLOOKUP(AH14,'DATA 2'!L30:P31,5)</f>
        <v>2.0</v>
      </c>
      <c r="AF30" s="15" t="str">
        <f>VLOOKUP(AF25,'DATA 2'!N37:R41,AE30)</f>
        <v>Wage</v>
      </c>
      <c r="AG30" s="15"/>
      <c r="AH30" s="15">
        <v>30.0</v>
      </c>
      <c r="AJ30" s="13" t="str">
        <f>IF(AH26&gt;28,"28",IF(AH26&lt;29,"29"))</f>
        <v>29</v>
      </c>
      <c r="AK30" s="13" t="str">
        <f>IF(AH26&gt;28,"29",IF(AH26&lt;29,"30"))</f>
        <v>30</v>
      </c>
      <c r="AL30" s="13" t="str">
        <f>IF(AH26&gt;28,"30",IF(AH26&lt;29,"31"))</f>
        <v>31</v>
      </c>
      <c r="AM30" s="13" t="str">
        <f>IF(AH26&gt;28,"31",IF(AH26&lt;29,"1"))</f>
        <v>1</v>
      </c>
      <c r="AN30" s="13"/>
      <c r="AO30" s="13"/>
      <c r="AP30" s="13"/>
      <c r="AQ30" s="13"/>
      <c r="AR30" s="13" t="str">
        <f>IF(AH26&gt;28,"28",IF(AH26&lt;29,"29"))</f>
        <v>29</v>
      </c>
      <c r="AS30" s="13" t="str">
        <f>IF(AH26&gt;28,"29",IF(AH26&lt;29,"30"))</f>
        <v>30</v>
      </c>
      <c r="AT30" s="13" t="str">
        <f>IF(AH26&gt;28,"30",IF(AH26&lt;29,"31"))</f>
        <v>31</v>
      </c>
      <c r="AU30" s="13" t="str">
        <f>IF(AH26&gt;28,"31",IF(AH26&lt;29,"1"))</f>
        <v>1</v>
      </c>
      <c r="AV30" s="13"/>
      <c r="AW30" s="13"/>
      <c r="AX30" s="13"/>
      <c r="AZ30" s="54"/>
      <c r="BA30" s="54"/>
      <c r="BB30" s="54"/>
      <c r="BC30" s="54"/>
      <c r="BD30" s="54"/>
      <c r="BF30" s="12"/>
      <c r="BG30" s="12"/>
      <c r="BH30" s="12"/>
      <c r="BI30" s="12"/>
      <c r="BJ30" s="12"/>
      <c r="BK30" s="12"/>
      <c r="BL30" s="12"/>
      <c r="BN30" s="13" t="str">
        <f>IF(BL26&gt;28,"28",IF(BL26&lt;29,"29"))</f>
        <v>29</v>
      </c>
      <c r="BO30" s="13" t="str">
        <f>IF(BL26&gt;28,"29",IF(BL26&lt;29,"30"))</f>
        <v>30</v>
      </c>
      <c r="BP30" s="13"/>
      <c r="BQ30" s="13"/>
      <c r="BR30" s="13"/>
      <c r="BS30" s="13"/>
      <c r="BT30" s="13"/>
      <c r="BU30" s="13"/>
      <c r="BV30" s="13" t="str">
        <f>IF(BL26&gt;28,"28",IF(BL26&lt;29,"29"))</f>
        <v>29</v>
      </c>
      <c r="BW30" s="13" t="str">
        <f>IF(BL26&gt;28,"29",IF(BL26&lt;29,"30"))</f>
        <v>30</v>
      </c>
      <c r="BX30" s="13"/>
      <c r="BY30" s="13"/>
      <c r="BZ30" s="13"/>
      <c r="CA30" s="13"/>
      <c r="CB30" s="13"/>
      <c r="CE30" s="32" t="s">
        <v>5783</v>
      </c>
      <c r="CF30" s="32"/>
      <c r="CG30" s="32"/>
      <c r="CH30" s="32"/>
      <c r="CI30" s="25" t="s">
        <v>5847</v>
      </c>
      <c r="CJ30" s="25"/>
      <c r="CK30" s="25"/>
      <c r="CL30" s="25"/>
      <c r="CM30" s="25"/>
      <c r="CN30" s="25"/>
      <c r="CO30" s="25"/>
      <c r="CP30" s="27">
        <f>ABS(CK5-CP11)</f>
        <v>9.698893883612023</v>
      </c>
      <c r="CQ30" s="27"/>
      <c r="CR30" s="13" t="str">
        <f>TEXT(ABS((CP30)/24),"[hh]°mm'ss")</f>
        <v>09°41'56</v>
      </c>
      <c r="CS30" s="13"/>
      <c r="CT30" s="56"/>
      <c r="CU30" s="32"/>
      <c r="CV30" s="32"/>
      <c r="CW30" s="32"/>
      <c r="CX30" s="32"/>
      <c r="CY30" s="32"/>
      <c r="CZ30" s="32"/>
      <c r="DA30" s="32"/>
      <c r="DB30" s="32"/>
    </row>
    <row r="31" spans="8:8" ht="20.0" customHeight="1">
      <c r="A31" s="4"/>
      <c r="B31" s="5"/>
      <c r="C31" s="45" t="s">
        <v>2079</v>
      </c>
      <c r="D31" s="46" t="s">
        <v>1933</v>
      </c>
      <c r="E31" s="46"/>
      <c r="F31" s="46"/>
      <c r="G31" s="46"/>
      <c r="H31" s="46"/>
      <c r="I31" s="46"/>
      <c r="K31" s="13"/>
      <c r="L31" s="43" t="s">
        <v>203</v>
      </c>
      <c r="M31" s="43"/>
      <c r="N31" s="43"/>
      <c r="O31" s="43"/>
      <c r="P31" s="43" t="s">
        <v>166</v>
      </c>
      <c r="Q31" s="43"/>
      <c r="R31" s="43"/>
      <c r="S31" s="43"/>
      <c r="T31" s="43"/>
      <c r="U31" s="57">
        <f>VLOOKUP(O4,'DATA 2'!B4:F426,4)</f>
        <v>107.133</v>
      </c>
      <c r="V31" s="44">
        <f>(U31-MOD(U31,30))/30</f>
        <v>3.0</v>
      </c>
      <c r="W31" s="58" t="str">
        <f>TEXT(U31/24,"hh:mm:ss")</f>
        <v>11:07:59</v>
      </c>
      <c r="X31" s="48"/>
      <c r="Y31" s="9"/>
      <c r="Z31" s="15" t="str">
        <f>Z30</f>
        <v>Tahun Basitoh</v>
      </c>
      <c r="AA31" s="15"/>
      <c r="AB31" s="15" t="s">
        <v>62</v>
      </c>
      <c r="AC31" s="15">
        <f>VLOOKUP(Z25,'DATA 2'!L33:P34,4)</f>
        <v>7.0</v>
      </c>
      <c r="AD31" s="15" t="str">
        <f>VLOOKUP(AD25,'DATA 2'!L6:R12,AC31)</f>
        <v>Selasa</v>
      </c>
      <c r="AE31" s="15">
        <f>VLOOKUP(AH14,'DATA 2'!L33:P34,5)</f>
        <v>2.0</v>
      </c>
      <c r="AF31" s="15" t="str">
        <f>VLOOKUP(AF25,'DATA 2'!N37:R41,AE31)</f>
        <v>Wage</v>
      </c>
      <c r="AG31" s="15"/>
      <c r="AH31" s="15">
        <v>31.0</v>
      </c>
      <c r="AJ31" s="13" t="s">
        <v>68</v>
      </c>
      <c r="AK31" s="13"/>
      <c r="AL31" s="13"/>
      <c r="AM31" s="13"/>
      <c r="AN31" s="13"/>
      <c r="AO31" s="13"/>
      <c r="AP31" s="13"/>
      <c r="AQ31" s="13"/>
      <c r="AR31" s="13" t="s">
        <v>71</v>
      </c>
      <c r="AS31" s="13"/>
      <c r="AT31" s="13"/>
      <c r="AU31" s="13"/>
      <c r="AV31" s="13"/>
      <c r="AW31" s="13"/>
      <c r="AX31" s="13"/>
      <c r="AZ31" s="54"/>
      <c r="BA31" s="54"/>
      <c r="BB31" s="54"/>
      <c r="BC31" s="54"/>
      <c r="BD31" s="54"/>
      <c r="BF31" s="12"/>
      <c r="BG31" s="12"/>
      <c r="BH31" s="12"/>
      <c r="BI31" s="12"/>
      <c r="BJ31" s="12"/>
      <c r="BK31" s="12"/>
      <c r="BL31" s="12"/>
      <c r="BN31" s="13" t="s">
        <v>1883</v>
      </c>
      <c r="BO31" s="13"/>
      <c r="BP31" s="13"/>
      <c r="BQ31" s="13"/>
      <c r="BR31" s="13"/>
      <c r="BS31" s="13"/>
      <c r="BT31" s="13"/>
      <c r="BU31" s="13"/>
      <c r="BV31" s="13" t="s">
        <v>1884</v>
      </c>
      <c r="BW31" s="13"/>
      <c r="BX31" s="13"/>
      <c r="BY31" s="13"/>
      <c r="BZ31" s="13"/>
      <c r="CA31" s="13"/>
      <c r="CB31" s="13"/>
      <c r="CE31" s="32" t="s">
        <v>5784</v>
      </c>
      <c r="CF31" s="32"/>
      <c r="CG31" s="32"/>
      <c r="CH31" s="32"/>
      <c r="CI31" s="25" t="s">
        <v>5856</v>
      </c>
      <c r="CJ31" s="25"/>
      <c r="CK31" s="25"/>
      <c r="CL31" s="25"/>
      <c r="CM31" s="25"/>
      <c r="CN31" s="25"/>
      <c r="CO31" s="25"/>
      <c r="CP31" s="27">
        <f>IF(CP21="Ikhtilaf",90-CK5-CP11,90-ABS(CK5-CP11))</f>
        <v>67.06710611638798</v>
      </c>
      <c r="CQ31" s="27"/>
      <c r="CR31" s="13" t="str">
        <f>TEXT(ABS((CP31)/24),"[hh]°mm'ss")</f>
        <v>67°04'02</v>
      </c>
      <c r="CS31" s="13"/>
      <c r="CT31" s="59"/>
      <c r="CU31" s="32"/>
      <c r="CV31" s="32"/>
      <c r="CW31" s="32"/>
      <c r="CX31" s="32"/>
      <c r="CY31" s="32"/>
      <c r="CZ31" s="32"/>
      <c r="DA31" s="32"/>
      <c r="DB31" s="32"/>
    </row>
    <row r="32" spans="8:8" ht="20.0" customHeight="1">
      <c r="A32" s="4"/>
      <c r="B32" s="5"/>
      <c r="C32" s="45">
        <v>1.0</v>
      </c>
      <c r="D32" s="46" t="s">
        <v>6055</v>
      </c>
      <c r="E32" s="46"/>
      <c r="F32" s="46"/>
      <c r="G32" s="46"/>
      <c r="H32" s="46"/>
      <c r="I32" s="46"/>
      <c r="K32" s="13"/>
      <c r="L32" s="43" t="s">
        <v>1823</v>
      </c>
      <c r="M32" s="43"/>
      <c r="N32" s="43"/>
      <c r="O32" s="43"/>
      <c r="P32" s="43" t="s">
        <v>1854</v>
      </c>
      <c r="Q32" s="43"/>
      <c r="R32" s="43"/>
      <c r="S32" s="43"/>
      <c r="T32" s="43"/>
      <c r="U32" s="60">
        <f>ABS(106.817-U31)/15</f>
        <v>0.021066666666666834</v>
      </c>
      <c r="V32" s="44"/>
      <c r="W32" s="58" t="str">
        <f>TEXT(U32/24,"hh:mm:ss")</f>
        <v>00:01:16</v>
      </c>
      <c r="X32" s="48"/>
      <c r="Y32" s="9"/>
      <c r="Z32" s="15" t="str">
        <f>Z30</f>
        <v>Tahun Basitoh</v>
      </c>
      <c r="AA32" s="15"/>
      <c r="AB32" s="15" t="s">
        <v>65</v>
      </c>
      <c r="AC32" s="15">
        <f>VLOOKUP(Z25,'DATA 2'!S15:Y16,4)</f>
        <v>3.0</v>
      </c>
      <c r="AD32" s="15" t="str">
        <f>VLOOKUP(AD25,'DATA 2'!L6:R12,AC32)</f>
        <v>Jumat</v>
      </c>
      <c r="AE32" s="15">
        <f>VLOOKUP(AH14,'DATA 2'!S15:W17,5)</f>
        <v>3.0</v>
      </c>
      <c r="AF32" s="15" t="str">
        <f>VLOOKUP(AF25,'DATA 2'!N37:R41,AE32)</f>
        <v>Kliwon</v>
      </c>
      <c r="AG32" s="15"/>
      <c r="AH32" s="15">
        <v>31.0</v>
      </c>
      <c r="AJ32" s="13" t="str">
        <f>AU25</f>
        <v>Senin</v>
      </c>
      <c r="AK32" s="13" t="str">
        <f>AV25</f>
        <v>Selasa</v>
      </c>
      <c r="AL32" s="13" t="str">
        <f>AW25</f>
        <v>Rabu</v>
      </c>
      <c r="AM32" s="13" t="str">
        <f>AX25</f>
        <v>Kamis</v>
      </c>
      <c r="AN32" s="13" t="str">
        <f>AR25</f>
        <v>Jumat</v>
      </c>
      <c r="AO32" s="13" t="str">
        <f>AS25</f>
        <v>Sabtu</v>
      </c>
      <c r="AP32" s="13" t="str">
        <f>AT25</f>
        <v>Minggu</v>
      </c>
      <c r="AQ32" s="13"/>
      <c r="AR32" s="13" t="str">
        <f>AL32</f>
        <v>Rabu</v>
      </c>
      <c r="AS32" s="13" t="str">
        <f>AM32</f>
        <v>Kamis</v>
      </c>
      <c r="AT32" s="13" t="str">
        <f>AN32</f>
        <v>Jumat</v>
      </c>
      <c r="AU32" s="13" t="str">
        <f>AO32</f>
        <v>Sabtu</v>
      </c>
      <c r="AV32" s="13" t="str">
        <f>AP32</f>
        <v>Minggu</v>
      </c>
      <c r="AW32" s="13" t="str">
        <f>AJ32</f>
        <v>Senin</v>
      </c>
      <c r="AX32" s="13" t="str">
        <f>AK32</f>
        <v>Selasa</v>
      </c>
      <c r="AZ32" s="54"/>
      <c r="BA32" s="54"/>
      <c r="BB32" s="54"/>
      <c r="BC32" s="54"/>
      <c r="BD32" s="54"/>
      <c r="BF32" s="12"/>
      <c r="BG32" s="12"/>
      <c r="BH32" s="12"/>
      <c r="BI32" s="12"/>
      <c r="BJ32" s="12"/>
      <c r="BK32" s="12"/>
      <c r="BL32" s="12"/>
      <c r="BN32" s="13" t="str">
        <f>Lembar9!F54</f>
        <v>Selasa</v>
      </c>
      <c r="BO32" s="13" t="str">
        <f>VLOOKUP(BN32,'DATA 2'!L6:R12,2)</f>
        <v>Rabu</v>
      </c>
      <c r="BP32" s="13" t="str">
        <f>VLOOKUP(BN32,'DATA 2'!L6:R12,3)</f>
        <v>Kamis</v>
      </c>
      <c r="BQ32" s="13" t="str">
        <f>VLOOKUP(BN32,'DATA 2'!L6:R12,4)</f>
        <v>Jumat</v>
      </c>
      <c r="BR32" s="13" t="str">
        <f>VLOOKUP(BN32,'DATA 2'!L6:R12,5)</f>
        <v>Sabtu</v>
      </c>
      <c r="BS32" s="13" t="str">
        <f>VLOOKUP(BN32,'DATA 2'!L6:R12,6)</f>
        <v>Minggu</v>
      </c>
      <c r="BT32" s="13" t="str">
        <f>VLOOKUP(BN32,'DATA 2'!L6:R12,7)</f>
        <v>Senin</v>
      </c>
      <c r="BU32" s="13"/>
      <c r="BV32" s="13" t="str">
        <f>Lembar10!F54</f>
        <v>Rabu</v>
      </c>
      <c r="BW32" s="13" t="str">
        <f>VLOOKUP(BV32,'DATA 2'!L6:R12,2)</f>
        <v>Kamis</v>
      </c>
      <c r="BX32" s="13" t="str">
        <f>VLOOKUP(BV32,'DATA 2'!L6:R12,3)</f>
        <v>Jumat</v>
      </c>
      <c r="BY32" s="13" t="str">
        <f>VLOOKUP(BV32,'DATA 2'!L6:R12,4)</f>
        <v>Sabtu</v>
      </c>
      <c r="BZ32" s="13" t="str">
        <f>VLOOKUP(BV32,'DATA 2'!L6:R12,5)</f>
        <v>Minggu</v>
      </c>
      <c r="CA32" s="13" t="str">
        <f>VLOOKUP(BV32,'DATA 2'!L6:R12,6)</f>
        <v>Senin</v>
      </c>
      <c r="CB32" s="13" t="str">
        <f>VLOOKUP(BV32,'DATA 2'!L6:R12,7)</f>
        <v>Selasa</v>
      </c>
      <c r="CE32" s="32" t="s">
        <v>5801</v>
      </c>
      <c r="CF32" s="32"/>
      <c r="CG32" s="32"/>
      <c r="CH32" s="32"/>
      <c r="CI32" s="25" t="s">
        <v>5859</v>
      </c>
      <c r="CJ32" s="25"/>
      <c r="CK32" s="25"/>
      <c r="CL32" s="25"/>
      <c r="CM32" s="25"/>
      <c r="CN32" s="25"/>
      <c r="CO32" s="25"/>
      <c r="CP32" s="27">
        <f>7/TAN(RADIANS(CP31))</f>
        <v>2.961652751204799</v>
      </c>
      <c r="CQ32" s="27"/>
      <c r="CR32" s="13" t="str">
        <f>TEXT(ABS((CP32)/24),"[hh]°mm'ss")</f>
        <v>02°57'42</v>
      </c>
      <c r="CS32" s="13"/>
      <c r="CT32" s="59"/>
      <c r="CU32" s="32"/>
      <c r="CV32" s="32"/>
      <c r="CW32" s="32"/>
      <c r="CX32" s="32"/>
      <c r="CY32" s="32"/>
      <c r="CZ32" s="32"/>
      <c r="DA32" s="32"/>
      <c r="DB32" s="32"/>
    </row>
    <row r="33" spans="8:8" ht="20.0" customHeight="1">
      <c r="A33" s="4"/>
      <c r="B33" s="5"/>
      <c r="C33" s="45">
        <v>2.0</v>
      </c>
      <c r="D33" s="46" t="s">
        <v>6054</v>
      </c>
      <c r="E33" s="46"/>
      <c r="F33" s="46"/>
      <c r="G33" s="46"/>
      <c r="H33" s="46"/>
      <c r="I33" s="46"/>
      <c r="K33" s="13"/>
      <c r="L33" s="43" t="s">
        <v>1856</v>
      </c>
      <c r="M33" s="43"/>
      <c r="N33" s="43"/>
      <c r="O33" s="43"/>
      <c r="P33" s="43" t="s">
        <v>2283</v>
      </c>
      <c r="Q33" s="43"/>
      <c r="R33" s="43"/>
      <c r="S33" s="43"/>
      <c r="T33" s="43"/>
      <c r="U33" s="47">
        <f>U30-U32+1</f>
        <v>96.7399443333333</v>
      </c>
      <c r="V33" s="44">
        <f>(U33-MOD(U33,30))/30</f>
        <v>3.0</v>
      </c>
      <c r="W33" s="44" t="str">
        <f>TEXT(U33/24,"hh:mm:ss")</f>
        <v>00:44:24</v>
      </c>
      <c r="X33" s="48"/>
      <c r="Y33" s="9"/>
      <c r="Z33" s="15" t="str">
        <f>Z31</f>
        <v>Tahun Basitoh</v>
      </c>
      <c r="AA33" s="15"/>
      <c r="AB33" s="15" t="s">
        <v>68</v>
      </c>
      <c r="AC33" s="15">
        <f>VLOOKUP(Z25,'DATA 2'!S18:Y19,4)</f>
        <v>6.0</v>
      </c>
      <c r="AD33" s="15" t="str">
        <f>VLOOKUP(AD25,'DATA 2'!L6:R12,AC33)</f>
        <v>Senin</v>
      </c>
      <c r="AE33" s="15">
        <f>VLOOKUP(AH14,'DATA 2'!S18:W19,5)</f>
        <v>4.0</v>
      </c>
      <c r="AF33" s="15" t="str">
        <f>VLOOKUP(AF25,'DATA 2'!N37:R41,AE33)</f>
        <v>Legi</v>
      </c>
      <c r="AG33" s="15"/>
      <c r="AH33" s="15">
        <v>30.0</v>
      </c>
      <c r="AJ33" s="13" t="str">
        <f>IF(AH26&gt;28,"31",IF(AH26&lt;29,"1"))</f>
        <v>1</v>
      </c>
      <c r="AK33" s="13" t="str">
        <f>IF(AH26&gt;28,"1",IF(AH26&lt;29,"2"))</f>
        <v>2</v>
      </c>
      <c r="AL33" s="13" t="str">
        <f>IF(AH26&gt;28,"2",IF(AH26&lt;29,"3"))</f>
        <v>3</v>
      </c>
      <c r="AM33" s="13" t="str">
        <f>IF(AH26&gt;28,"3",IF(AH26&lt;29,"4"))</f>
        <v>4</v>
      </c>
      <c r="AN33" s="13" t="str">
        <f>IF(AH26&gt;28,"4",IF(AH26&lt;29,"5"))</f>
        <v>5</v>
      </c>
      <c r="AO33" s="13" t="str">
        <f>IF(AH26&gt;28,"5",IF(AH26&lt;29,"6"))</f>
        <v>6</v>
      </c>
      <c r="AP33" s="13" t="str">
        <f>IF(AH26&gt;28,"6",IF(AH26&lt;29,"7"))</f>
        <v>7</v>
      </c>
      <c r="AQ33" s="13"/>
      <c r="AR33" s="13" t="str">
        <f>IF(AH26&gt;28,"30",IF(AH26&lt;29,"1"))</f>
        <v>1</v>
      </c>
      <c r="AS33" s="13" t="str">
        <f>IF(AH26&gt;28,"1",IF(AH26&lt;29,"2"))</f>
        <v>2</v>
      </c>
      <c r="AT33" s="13" t="str">
        <f>IF(AH26&gt;28,"2",IF(AH26&lt;29,"3"))</f>
        <v>3</v>
      </c>
      <c r="AU33" s="13" t="str">
        <f>IF(AH26&gt;28,"3",IF(AH26&lt;29,"4"))</f>
        <v>4</v>
      </c>
      <c r="AV33" s="13" t="str">
        <f>IF(AH26&gt;28,"4",IF(AH26&lt;29,"5"))</f>
        <v>5</v>
      </c>
      <c r="AW33" s="13" t="str">
        <f>IF(AH26&gt;28,"5",IF(AH26&lt;29,"6"))</f>
        <v>6</v>
      </c>
      <c r="AX33" s="13" t="str">
        <f>IF(AH26&gt;28,"6",IF(AH26&lt;29,"7"))</f>
        <v>7</v>
      </c>
      <c r="AZ33" s="54"/>
      <c r="BA33" s="54"/>
      <c r="BB33" s="54"/>
      <c r="BC33" s="54"/>
      <c r="BD33" s="54"/>
      <c r="BF33" s="12"/>
      <c r="BG33" s="12"/>
      <c r="BH33" s="12"/>
      <c r="BI33" s="12"/>
      <c r="BJ33" s="12"/>
      <c r="BK33" s="12"/>
      <c r="BL33" s="12"/>
      <c r="BN33" s="13" t="str">
        <f>IF(BL26&gt;28,"31",IF(BL26&lt;29,"1"))</f>
        <v>1</v>
      </c>
      <c r="BO33" s="13" t="str">
        <f>IF(BL26&gt;28,"1",IF(BL26&lt;29,"2"))</f>
        <v>2</v>
      </c>
      <c r="BP33" s="13" t="str">
        <f>IF(BL26&gt;28,"2",IF(BL26&lt;29,"3"))</f>
        <v>3</v>
      </c>
      <c r="BQ33" s="13" t="str">
        <f>IF(BL26&gt;28,"3",IF(BL26&lt;29,"4"))</f>
        <v>4</v>
      </c>
      <c r="BR33" s="13" t="str">
        <f>IF(BL26&gt;28,"4",IF(BL26&lt;29,"5"))</f>
        <v>5</v>
      </c>
      <c r="BS33" s="13" t="str">
        <f>IF(BL26&gt;28,"5",IF(BL26&lt;29,"6"))</f>
        <v>6</v>
      </c>
      <c r="BT33" s="13" t="str">
        <f>IF(BL26&gt;28,"6",IF(BL26&lt;29,"7"))</f>
        <v>7</v>
      </c>
      <c r="BU33" s="13"/>
      <c r="BV33" s="13" t="str">
        <f>IF(BL26&gt;28,"30",IF(BL26&lt;29,"1"))</f>
        <v>1</v>
      </c>
      <c r="BW33" s="13" t="str">
        <f>IF(BL26&gt;28,"1",IF(BL26&lt;29,"2"))</f>
        <v>2</v>
      </c>
      <c r="BX33" s="13" t="str">
        <f>IF(BL26&gt;28,"2",IF(BL26&lt;29,"3"))</f>
        <v>3</v>
      </c>
      <c r="BY33" s="13" t="str">
        <f>IF(BL26&gt;28,"3",IF(BL26&lt;29,"4"))</f>
        <v>4</v>
      </c>
      <c r="BZ33" s="13" t="str">
        <f>IF(BL26&gt;28,"4",IF(BL26&lt;29,"5"))</f>
        <v>5</v>
      </c>
      <c r="CA33" s="13" t="str">
        <f>IF(BL26&gt;28,"5",IF(BL26&lt;29,"6"))</f>
        <v>6</v>
      </c>
      <c r="CB33" s="13" t="str">
        <f>IF(BL26&gt;28,"6",IF(BL26&lt;29,"7"))</f>
        <v>7</v>
      </c>
      <c r="CE33" s="32" t="s">
        <v>5802</v>
      </c>
      <c r="CF33" s="32"/>
      <c r="CG33" s="32"/>
      <c r="CH33" s="32"/>
      <c r="CI33" s="25" t="s">
        <v>5860</v>
      </c>
      <c r="CJ33" s="25"/>
      <c r="CK33" s="25"/>
      <c r="CL33" s="25"/>
      <c r="CM33" s="25"/>
      <c r="CN33" s="25"/>
      <c r="CO33" s="25"/>
      <c r="CP33" s="27">
        <f>7+CP32</f>
        <v>9.9616527512048</v>
      </c>
      <c r="CQ33" s="27"/>
      <c r="CR33" s="13" t="str">
        <f>TEXT(ABS((CP33)/24),"[hh]°mm'ss")</f>
        <v>09°57'42</v>
      </c>
      <c r="CS33" s="13"/>
      <c r="CT33" s="59"/>
      <c r="CU33" s="32"/>
      <c r="CV33" s="32"/>
      <c r="CW33" s="32"/>
      <c r="CX33" s="32"/>
      <c r="CY33" s="32"/>
      <c r="CZ33" s="32"/>
      <c r="DA33" s="32"/>
      <c r="DB33" s="32"/>
    </row>
    <row r="34" spans="8:8" ht="20.0" customHeight="1">
      <c r="A34" s="4"/>
      <c r="B34" s="5"/>
      <c r="C34" s="45">
        <v>3.0</v>
      </c>
      <c r="D34" s="46" t="s">
        <v>6056</v>
      </c>
      <c r="E34" s="46"/>
      <c r="F34" s="46"/>
      <c r="G34" s="46"/>
      <c r="H34" s="46"/>
      <c r="I34" s="46"/>
      <c r="K34" s="13"/>
      <c r="L34" s="43" t="s">
        <v>154</v>
      </c>
      <c r="M34" s="43"/>
      <c r="N34" s="43"/>
      <c r="O34" s="43"/>
      <c r="P34" s="43" t="s">
        <v>1864</v>
      </c>
      <c r="Q34" s="43"/>
      <c r="R34" s="43"/>
      <c r="S34" s="43"/>
      <c r="T34" s="43"/>
      <c r="U34" s="61" t="str">
        <f>VLOOKUP(V34,'DATA 1'!U34:V41,2)</f>
        <v>Al-Arbaa</v>
      </c>
      <c r="V34" s="61">
        <f>INT(INT(U33)/24)</f>
        <v>4.0</v>
      </c>
      <c r="W34" s="61" t="str">
        <f>VLOOKUP(U34,'DATA 1'!V34:W41,2)</f>
        <v>Rabu</v>
      </c>
      <c r="X34" s="48"/>
      <c r="Y34" s="9"/>
      <c r="Z34" s="15" t="str">
        <f>Z33</f>
        <v>Tahun Basitoh</v>
      </c>
      <c r="AA34" s="15"/>
      <c r="AB34" s="15" t="s">
        <v>71</v>
      </c>
      <c r="AC34" s="15">
        <f>VLOOKUP(Z25,'DATA 2'!S21:Y22,4)</f>
        <v>1.0</v>
      </c>
      <c r="AD34" s="15" t="str">
        <f>VLOOKUP(AD25,'DATA 2'!L6:R12,AC34)</f>
        <v>Rabu</v>
      </c>
      <c r="AE34" s="15">
        <f>VLOOKUP(AH14,'DATA 2'!S20:W22,5)</f>
        <v>4.0</v>
      </c>
      <c r="AF34" s="15" t="str">
        <f>VLOOKUP(AF25,'DATA 2'!N37:R41,AE34)</f>
        <v>Legi</v>
      </c>
      <c r="AG34" s="15"/>
      <c r="AH34" s="15">
        <v>31.0</v>
      </c>
      <c r="AJ34" s="13" t="str">
        <f>IF(AH26&gt;28,"7",IF(AH26&lt;29,"8"))</f>
        <v>8</v>
      </c>
      <c r="AK34" s="13" t="str">
        <f>IF(AH26&gt;28,"8",IF(AH26&lt;29,"9"))</f>
        <v>9</v>
      </c>
      <c r="AL34" s="13" t="str">
        <f>IF(AH26&gt;28,"9",IF(AH26&lt;29,"10"))</f>
        <v>10</v>
      </c>
      <c r="AM34" s="13" t="str">
        <f>IF(AH26&gt;28,"10",IF(AH26&lt;29,"11"))</f>
        <v>11</v>
      </c>
      <c r="AN34" s="13" t="str">
        <f>IF(AH26&gt;28,"11",IF(AH26&lt;29,"12"))</f>
        <v>12</v>
      </c>
      <c r="AO34" s="13" t="str">
        <f>IF(AH26&gt;28,"12",IF(AH26&lt;29,"13"))</f>
        <v>13</v>
      </c>
      <c r="AP34" s="13" t="str">
        <f>IF(AH26&gt;28,"13",IF(AH26&lt;29,"14"))</f>
        <v>14</v>
      </c>
      <c r="AQ34" s="13"/>
      <c r="AR34" s="13" t="str">
        <f>IF(AH26&gt;28,"7",IF(AH26&lt;29,"8"))</f>
        <v>8</v>
      </c>
      <c r="AS34" s="13" t="str">
        <f>IF(AH26&gt;28,"8",IF(AH26&lt;29,"9"))</f>
        <v>9</v>
      </c>
      <c r="AT34" s="13" t="str">
        <f>IF(AH26&gt;28,"9",IF(AH26&lt;29,"10"))</f>
        <v>10</v>
      </c>
      <c r="AU34" s="13" t="str">
        <f>IF(AH26&gt;28,"10",IF(AH26&lt;29,"11"))</f>
        <v>11</v>
      </c>
      <c r="AV34" s="13" t="str">
        <f>IF(AH26&gt;28,"11",IF(AH26&lt;29,"12"))</f>
        <v>12</v>
      </c>
      <c r="AW34" s="13" t="str">
        <f>IF(AH26&gt;28,"12",IF(AH26&lt;29,"13"))</f>
        <v>13</v>
      </c>
      <c r="AX34" s="13" t="str">
        <f>IF(AH26&gt;28,"13",IF(AH26&lt;29,"14"))</f>
        <v>14</v>
      </c>
      <c r="AZ34" s="54"/>
      <c r="BA34" s="54"/>
      <c r="BB34" s="54"/>
      <c r="BC34" s="54"/>
      <c r="BD34" s="54"/>
      <c r="BF34" s="62"/>
      <c r="BG34" s="62"/>
      <c r="BH34" s="62"/>
      <c r="BI34" s="62"/>
      <c r="BJ34" s="62"/>
      <c r="BK34" s="62"/>
      <c r="BL34" s="62"/>
      <c r="BN34" s="13" t="str">
        <f>IF(BL26&gt;28,"7",IF(BL26&lt;29,"8"))</f>
        <v>8</v>
      </c>
      <c r="BO34" s="13" t="str">
        <f>IF(BL26&gt;28,"8",IF(BL26&lt;29,"9"))</f>
        <v>9</v>
      </c>
      <c r="BP34" s="13" t="str">
        <f>IF(BL26&gt;28,"9",IF(BL26&lt;29,"10"))</f>
        <v>10</v>
      </c>
      <c r="BQ34" s="13" t="str">
        <f>IF(BL26&gt;28,"10",IF(BL26&lt;29,"11"))</f>
        <v>11</v>
      </c>
      <c r="BR34" s="13" t="str">
        <f>IF(BL26&gt;28,"11",IF(BL26&lt;29,"12"))</f>
        <v>12</v>
      </c>
      <c r="BS34" s="13" t="str">
        <f>IF(BL26&gt;28,"12",IF(BL26&lt;29,"13"))</f>
        <v>13</v>
      </c>
      <c r="BT34" s="13" t="str">
        <f>IF(BL26&gt;28,"13",IF(BL26&lt;29,"14"))</f>
        <v>14</v>
      </c>
      <c r="BU34" s="13"/>
      <c r="BV34" s="13" t="str">
        <f>IF(BL26&gt;28,"7",IF(BL26&lt;29,"8"))</f>
        <v>8</v>
      </c>
      <c r="BW34" s="13" t="str">
        <f>IF(BL26&gt;28,"8",IF(BL26&lt;29,"9"))</f>
        <v>9</v>
      </c>
      <c r="BX34" s="13" t="str">
        <f>IF(BL26&gt;28,"9",IF(BL26&lt;29,"10"))</f>
        <v>10</v>
      </c>
      <c r="BY34" s="13" t="str">
        <f>IF(BL26&gt;28,"10",IF(BL26&lt;29,"11"))</f>
        <v>11</v>
      </c>
      <c r="BZ34" s="13" t="str">
        <f>IF(BL26&gt;28,"11",IF(BL26&lt;29,"12"))</f>
        <v>12</v>
      </c>
      <c r="CA34" s="13" t="str">
        <f>IF(BL26&gt;28,"12",IF(BL26&lt;29,"13"))</f>
        <v>13</v>
      </c>
      <c r="CB34" s="13" t="str">
        <f>IF(BL26&gt;28,"13",IF(BL26&lt;29,"14"))</f>
        <v>14</v>
      </c>
      <c r="CE34" s="32" t="s">
        <v>5787</v>
      </c>
      <c r="CF34" s="32"/>
      <c r="CG34" s="32"/>
      <c r="CH34" s="32"/>
      <c r="CI34" s="25" t="s">
        <v>5862</v>
      </c>
      <c r="CJ34" s="25"/>
      <c r="CK34" s="25"/>
      <c r="CL34" s="25"/>
      <c r="CM34" s="25"/>
      <c r="CN34" s="25"/>
      <c r="CO34" s="25"/>
      <c r="CP34" s="27">
        <f>ATAN(7/CP33)*180/PI()</f>
        <v>35.09550755703696</v>
      </c>
      <c r="CQ34" s="27"/>
      <c r="CR34" s="13" t="str">
        <f>TEXT(ABS((CP34)/24),"[hh]°mm'ss")</f>
        <v>35°05'44</v>
      </c>
      <c r="CS34" s="13"/>
      <c r="CT34" s="59"/>
      <c r="CU34" s="32"/>
      <c r="CV34" s="32"/>
      <c r="CW34" s="32"/>
      <c r="CX34" s="32"/>
      <c r="CY34" s="32"/>
      <c r="CZ34" s="32"/>
      <c r="DA34" s="32"/>
      <c r="DB34" s="32"/>
    </row>
    <row r="35" spans="8:8" ht="20.0" customHeight="1">
      <c r="A35" s="63"/>
      <c r="B35" s="64"/>
      <c r="C35" s="45">
        <v>4.0</v>
      </c>
      <c r="D35" s="46" t="s">
        <v>6050</v>
      </c>
      <c r="E35" s="46"/>
      <c r="F35" s="46"/>
      <c r="G35" s="46"/>
      <c r="H35" s="46"/>
      <c r="I35" s="46"/>
      <c r="K35" s="13"/>
      <c r="L35" s="43" t="s">
        <v>1893</v>
      </c>
      <c r="M35" s="43"/>
      <c r="N35" s="43"/>
      <c r="O35" s="43"/>
      <c r="P35" s="43" t="s">
        <v>1891</v>
      </c>
      <c r="Q35" s="43"/>
      <c r="R35" s="43"/>
      <c r="S35" s="43"/>
      <c r="T35" s="43"/>
      <c r="U35" s="65">
        <f>MOD(U33,24)</f>
        <v>0.7399443333332982</v>
      </c>
      <c r="V35" s="61"/>
      <c r="W35" s="61" t="str">
        <f>TEXT(U35/24,"hh:mm:ss")</f>
        <v>00:44:24</v>
      </c>
      <c r="X35" s="48"/>
      <c r="Y35" s="9"/>
      <c r="Z35" s="15" t="str">
        <f>Z34</f>
        <v>Tahun Basitoh</v>
      </c>
      <c r="AA35" s="15"/>
      <c r="AB35" s="15" t="s">
        <v>2009</v>
      </c>
      <c r="AC35" s="15">
        <f>VLOOKUP(Z25,'DATA 2'!S24:Y25,4)</f>
        <v>4.0</v>
      </c>
      <c r="AD35" s="15" t="str">
        <f>VLOOKUP(AD25,'DATA 2'!L6:R12,AC35)</f>
        <v>Sabtu</v>
      </c>
      <c r="AE35" s="15">
        <f>VLOOKUP(AH14,'DATA 2'!S24:W25,5)</f>
        <v>5.0</v>
      </c>
      <c r="AF35" s="15" t="str">
        <f>VLOOKUP(AF25,'DATA 2'!N37:R41,AE35)</f>
        <v>Pahing</v>
      </c>
      <c r="AG35" s="15"/>
      <c r="AH35" s="15">
        <v>30.0</v>
      </c>
      <c r="AJ35" s="13" t="str">
        <f>IF(AH26&gt;28,"14",IF(AH26&lt;29,"15"))</f>
        <v>15</v>
      </c>
      <c r="AK35" s="13" t="str">
        <f>IF(AH26&gt;28,"15",IF(AH26&lt;29,"16"))</f>
        <v>16</v>
      </c>
      <c r="AL35" s="13" t="str">
        <f>IF(AH26&gt;28,"16",IF(AH26&lt;29,"17"))</f>
        <v>17</v>
      </c>
      <c r="AM35" s="13" t="str">
        <f>IF(AH26&gt;28,"17",IF(AH26&lt;29,"18"))</f>
        <v>18</v>
      </c>
      <c r="AN35" s="13" t="str">
        <f>IF(AH26&gt;28,"18",IF(AH26&lt;29,"19"))</f>
        <v>19</v>
      </c>
      <c r="AO35" s="13" t="str">
        <f>IF(AH26&gt;28,"19",IF(AH26&lt;29,"20"))</f>
        <v>20</v>
      </c>
      <c r="AP35" s="13" t="str">
        <f>IF(AH26&gt;28,"20",IF(AH26&lt;29,"21"))</f>
        <v>21</v>
      </c>
      <c r="AQ35" s="13"/>
      <c r="AR35" s="13" t="str">
        <f>IF(AH26&gt;28,"14",IF(AH26&lt;29,"15"))</f>
        <v>15</v>
      </c>
      <c r="AS35" s="13" t="str">
        <f>IF(AH26&gt;28,"15",IF(AH26&lt;29,"16"))</f>
        <v>16</v>
      </c>
      <c r="AT35" s="13" t="str">
        <f>IF(AH26&gt;28,"16",IF(AH26&lt;29,"17"))</f>
        <v>17</v>
      </c>
      <c r="AU35" s="13" t="str">
        <f>IF(AH26&gt;28,"17",IF(AH26&lt;29,"18"))</f>
        <v>18</v>
      </c>
      <c r="AV35" s="13" t="str">
        <f>IF(AH26&gt;28,"18",IF(AH26&lt;29,"19"))</f>
        <v>19</v>
      </c>
      <c r="AW35" s="13" t="str">
        <f>IF(AH26&gt;28,"19",IF(AH26&lt;29,"20"))</f>
        <v>20</v>
      </c>
      <c r="AX35" s="13" t="str">
        <f>IF(AH26&gt;28,"20",IF(AH26&lt;29,"21"))</f>
        <v>21</v>
      </c>
      <c r="AZ35" s="54"/>
      <c r="BA35" s="54"/>
      <c r="BB35" s="54"/>
      <c r="BC35" s="54"/>
      <c r="BD35" s="54"/>
      <c r="BF35" s="25"/>
      <c r="BG35" s="25"/>
      <c r="BH35" s="25"/>
      <c r="BI35" s="25"/>
      <c r="BJ35" s="25"/>
      <c r="BK35" s="25"/>
      <c r="BL35" s="25"/>
      <c r="BN35" s="13" t="str">
        <f>IF(BL26&gt;28,"14",IF(BL26&lt;29,"15"))</f>
        <v>15</v>
      </c>
      <c r="BO35" s="13" t="str">
        <f>IF(BL26&gt;28,"15",IF(BL26&lt;29,"16"))</f>
        <v>16</v>
      </c>
      <c r="BP35" s="13" t="str">
        <f>IF(BL26&gt;28,"16",IF(BL26&lt;29,"17"))</f>
        <v>17</v>
      </c>
      <c r="BQ35" s="13" t="str">
        <f>IF(BL26&gt;28,"17",IF(BL26&lt;29,"18"))</f>
        <v>18</v>
      </c>
      <c r="BR35" s="13" t="str">
        <f>IF(BL26&gt;28,"18",IF(BL26&lt;29,"19"))</f>
        <v>19</v>
      </c>
      <c r="BS35" s="13" t="str">
        <f>IF(BL26&gt;28,"19",IF(BL26&lt;29,"20"))</f>
        <v>20</v>
      </c>
      <c r="BT35" s="13" t="str">
        <f>IF(BL26&gt;28,"20",IF(BL26&lt;29,"21"))</f>
        <v>21</v>
      </c>
      <c r="BU35" s="13"/>
      <c r="BV35" s="13" t="str">
        <f>IF(BL26&gt;28,"14",IF(BL26&lt;29,"15"))</f>
        <v>15</v>
      </c>
      <c r="BW35" s="13" t="str">
        <f>IF(BL26&gt;28,"15",IF(BL26&lt;29,"16"))</f>
        <v>16</v>
      </c>
      <c r="BX35" s="13" t="str">
        <f>IF(BL26&gt;28,"16",IF(BL26&lt;29,"17"))</f>
        <v>17</v>
      </c>
      <c r="BY35" s="13" t="str">
        <f>IF(BL26&gt;28,"17",IF(BL26&lt;29,"18"))</f>
        <v>18</v>
      </c>
      <c r="BZ35" s="13" t="str">
        <f>IF(BL26&gt;28,"18",IF(BL26&lt;29,"19"))</f>
        <v>19</v>
      </c>
      <c r="CA35" s="13" t="str">
        <f>IF(BL26&gt;28,"19",IF(BL26&lt;29,"20"))</f>
        <v>20</v>
      </c>
      <c r="CB35" s="13" t="str">
        <f>IF(BL26&gt;28,"20",IF(BL26&lt;29,"21"))</f>
        <v>21</v>
      </c>
      <c r="CE35" s="12" t="s">
        <v>5875</v>
      </c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59"/>
      <c r="CU35" s="12" t="s">
        <v>6084</v>
      </c>
      <c r="CV35" s="12"/>
      <c r="CW35" s="12"/>
      <c r="CX35" s="12"/>
      <c r="CY35" s="12"/>
      <c r="CZ35" s="12"/>
      <c r="DA35" s="12"/>
      <c r="DB35" s="12"/>
    </row>
    <row r="36" spans="8:8" ht="20.0" hidden="1" customHeight="1">
      <c r="A36" s="63"/>
      <c r="B36" s="64"/>
      <c r="C36" s="45"/>
      <c r="D36" s="46" t="s">
        <v>5987</v>
      </c>
      <c r="E36" s="46"/>
      <c r="F36" s="46"/>
      <c r="G36" s="46"/>
      <c r="H36" s="46"/>
      <c r="I36" s="46" t="s">
        <v>5999</v>
      </c>
      <c r="K36" s="13"/>
      <c r="L36" s="43" t="s">
        <v>157</v>
      </c>
      <c r="M36" s="43"/>
      <c r="N36" s="43"/>
      <c r="O36" s="43"/>
      <c r="P36" s="43"/>
      <c r="Q36" s="43"/>
      <c r="R36" s="43"/>
      <c r="S36" s="43"/>
      <c r="T36" s="43"/>
      <c r="U36" s="61"/>
      <c r="V36" s="61"/>
      <c r="W36" s="61"/>
      <c r="X36" s="48"/>
      <c r="Y36" s="9"/>
      <c r="Z36" s="15" t="str">
        <f>Z34</f>
        <v>Tahun Basitoh</v>
      </c>
      <c r="AA36" s="15"/>
      <c r="AB36" s="15" t="s">
        <v>78</v>
      </c>
      <c r="AC36" s="15">
        <f>VLOOKUP(Z25,'DATA 2'!S27:Y28,4)</f>
        <v>6.0</v>
      </c>
      <c r="AD36" s="15" t="str">
        <f>VLOOKUP(AD25,'DATA 2'!L6:R12,AC36)</f>
        <v>Senin</v>
      </c>
      <c r="AE36" s="15">
        <f>VLOOKUP(AH14,'DATA 2'!S27:W28,5)</f>
        <v>5.0</v>
      </c>
      <c r="AF36" s="15" t="str">
        <f>VLOOKUP(AF25,'DATA 2'!N37:R41,AE36)</f>
        <v>Pahing</v>
      </c>
      <c r="AG36" s="15"/>
      <c r="AH36" s="15">
        <v>31.0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Z36" s="54"/>
      <c r="BA36" s="54"/>
      <c r="BB36" s="54"/>
      <c r="BC36" s="54"/>
      <c r="BD36" s="54"/>
      <c r="BF36" s="25"/>
      <c r="BG36" s="25"/>
      <c r="BH36" s="25"/>
      <c r="BI36" s="25"/>
      <c r="BJ36" s="25"/>
      <c r="BK36" s="25"/>
      <c r="BL36" s="25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E36" s="32"/>
      <c r="CF36" s="32"/>
      <c r="CG36" s="32"/>
      <c r="CH36" s="32"/>
      <c r="CI36" s="25"/>
      <c r="CJ36" s="25"/>
      <c r="CK36" s="25"/>
      <c r="CL36" s="25"/>
      <c r="CM36" s="25"/>
      <c r="CN36" s="25"/>
      <c r="CO36" s="25"/>
      <c r="CP36" s="27"/>
      <c r="CQ36" s="27"/>
      <c r="CR36" s="13"/>
      <c r="CS36" s="13"/>
      <c r="CT36" s="59"/>
      <c r="CU36" s="12"/>
      <c r="CV36" s="12"/>
      <c r="CW36" s="12"/>
      <c r="CX36" s="12"/>
      <c r="CY36" s="12"/>
      <c r="CZ36" s="12"/>
      <c r="DA36" s="12"/>
      <c r="DB36" s="12"/>
    </row>
    <row r="37" spans="8:8" ht="20.0" customHeight="1">
      <c r="A37" s="63"/>
      <c r="B37" s="64"/>
      <c r="C37" s="45">
        <v>5.0</v>
      </c>
      <c r="D37" s="46" t="s">
        <v>6065</v>
      </c>
      <c r="E37" s="46"/>
      <c r="F37" s="46"/>
      <c r="G37" s="46"/>
      <c r="H37" s="46"/>
      <c r="I37" s="46"/>
      <c r="K37" s="13"/>
      <c r="L37" s="43" t="s">
        <v>1894</v>
      </c>
      <c r="M37" s="43"/>
      <c r="N37" s="43"/>
      <c r="O37" s="43"/>
      <c r="P37" s="43" t="s">
        <v>1892</v>
      </c>
      <c r="Q37" s="43"/>
      <c r="R37" s="43"/>
      <c r="S37" s="43"/>
      <c r="T37" s="43"/>
      <c r="U37" s="65">
        <f>IF(U35&lt;6,U35+6,IF(U35&lt;18,U35-6,IF(U35-18&lt;1,(U35-18)+12,U35-18)))</f>
        <v>6.739944333333298</v>
      </c>
      <c r="V37" s="61"/>
      <c r="W37" s="61" t="str">
        <f>TEXT(U37/24,"hh:mm:ss")</f>
        <v>06:44:24</v>
      </c>
      <c r="X37" s="48"/>
      <c r="Y37" s="9"/>
      <c r="Z37" s="66" t="str">
        <f>Z36</f>
        <v>Tahun Basitoh</v>
      </c>
      <c r="AA37" s="66"/>
      <c r="AB37" s="66" t="str">
        <f>AB36</f>
        <v>Desember</v>
      </c>
      <c r="AC37" s="66">
        <f>AC36</f>
        <v>6.0</v>
      </c>
      <c r="AD37" s="66" t="str">
        <f>AD36</f>
        <v>Senin</v>
      </c>
      <c r="AE37" s="66">
        <f>AE36</f>
        <v>5.0</v>
      </c>
      <c r="AF37" s="66" t="str">
        <f>AF36</f>
        <v>Pahing</v>
      </c>
      <c r="AG37" s="66"/>
      <c r="AH37" s="66">
        <f>AH36</f>
        <v>31.0</v>
      </c>
      <c r="AJ37" s="13" t="str">
        <f>IF(AH26&gt;28,"21",IF(AH26&lt;29,"22"))</f>
        <v>22</v>
      </c>
      <c r="AK37" s="13" t="str">
        <f>IF(AH26&gt;28,"22",IF(AH26&lt;29,"23"))</f>
        <v>23</v>
      </c>
      <c r="AL37" s="13" t="str">
        <f>IF(AH26&gt;28,"23",IF(AH26&lt;29,"24"))</f>
        <v>24</v>
      </c>
      <c r="AM37" s="13" t="str">
        <f>IF(AH26&gt;28,"24",IF(AH26&lt;29,"25"))</f>
        <v>25</v>
      </c>
      <c r="AN37" s="13" t="str">
        <f>IF(AH26&gt;28,"25",IF(AH26&lt;29,"26"))</f>
        <v>26</v>
      </c>
      <c r="AO37" s="13" t="str">
        <f>IF(AH26&gt;28,"26",IF(AH26&lt;29,"27"))</f>
        <v>27</v>
      </c>
      <c r="AP37" s="13" t="str">
        <f>IF(AH26&gt;28,"27",IF(AH26&lt;29,"28"))</f>
        <v>28</v>
      </c>
      <c r="AQ37" s="13"/>
      <c r="AR37" s="13" t="str">
        <f>IF(AH26&gt;28,"21",IF(AH26&lt;29,"22"))</f>
        <v>22</v>
      </c>
      <c r="AS37" s="13" t="str">
        <f>IF(AH26&gt;28,"22",IF(AH26&lt;29,"23"))</f>
        <v>23</v>
      </c>
      <c r="AT37" s="13" t="str">
        <f>IF(AH26&gt;28,"23",IF(AH26&lt;29,"24"))</f>
        <v>24</v>
      </c>
      <c r="AU37" s="13" t="str">
        <f>IF(AH26&gt;28,"24",IF(AH26&lt;29,"25"))</f>
        <v>25</v>
      </c>
      <c r="AV37" s="13" t="str">
        <f>IF(AH26&gt;28,"25",IF(AH26&lt;29,"26"))</f>
        <v>26</v>
      </c>
      <c r="AW37" s="13" t="str">
        <f>IF(AH26&gt;28,"26",IF(AH26&lt;29,"27"))</f>
        <v>27</v>
      </c>
      <c r="AX37" s="13" t="str">
        <f>IF(AH26&gt;28,"27",IF(AH26&lt;29,"28"))</f>
        <v>28</v>
      </c>
      <c r="AZ37" s="54"/>
      <c r="BA37" s="54"/>
      <c r="BB37" s="54"/>
      <c r="BC37" s="54"/>
      <c r="BD37" s="54"/>
      <c r="BF37" s="25"/>
      <c r="BG37" s="25"/>
      <c r="BH37" s="25"/>
      <c r="BI37" s="25"/>
      <c r="BJ37" s="25"/>
      <c r="BK37" s="25"/>
      <c r="BL37" s="25"/>
      <c r="BN37" s="13" t="str">
        <f>IF(BL26&gt;28,"21",IF(BL26&lt;29,"22"))</f>
        <v>22</v>
      </c>
      <c r="BO37" s="13" t="str">
        <f>IF(BL26&gt;28,"22",IF(BL26&lt;29,"23"))</f>
        <v>23</v>
      </c>
      <c r="BP37" s="13" t="str">
        <f>IF(BL26&gt;28,"23",IF(BL26&lt;29,"24"))</f>
        <v>24</v>
      </c>
      <c r="BQ37" s="13" t="str">
        <f>IF(BL26&gt;28,"24",IF(BL26&lt;29,"25"))</f>
        <v>25</v>
      </c>
      <c r="BR37" s="13" t="str">
        <f>IF(BL26&gt;28,"25",IF(BL26&lt;29,"26"))</f>
        <v>26</v>
      </c>
      <c r="BS37" s="13" t="str">
        <f>IF(BL26&gt;28,"26",IF(BL26&lt;29,"27"))</f>
        <v>27</v>
      </c>
      <c r="BT37" s="13" t="str">
        <f>IF(BL26&gt;28,"27",IF(BL26&lt;29,"28"))</f>
        <v>28</v>
      </c>
      <c r="BU37" s="13"/>
      <c r="BV37" s="13" t="str">
        <f>IF(BL26&gt;28,"21",IF(BL26&lt;29,"22"))</f>
        <v>22</v>
      </c>
      <c r="BW37" s="13" t="str">
        <f>IF(BL26&gt;28,"22",IF(BL26&lt;29,"23"))</f>
        <v>23</v>
      </c>
      <c r="BX37" s="13" t="str">
        <f>IF(BL26&gt;28,"23",IF(BL26&lt;29,"24"))</f>
        <v>24</v>
      </c>
      <c r="BY37" s="13" t="str">
        <f>IF(BL26&gt;28,"24",IF(BL26&lt;29,"25"))</f>
        <v>25</v>
      </c>
      <c r="BZ37" s="13" t="str">
        <f>IF(BL26&gt;28,"25",IF(BL26&lt;29,"26"))</f>
        <v>26</v>
      </c>
      <c r="CA37" s="13" t="str">
        <f>IF(BL26&gt;28,"26",IF(BL26&lt;29,"27"))</f>
        <v>27</v>
      </c>
      <c r="CB37" s="13" t="str">
        <f>IF(BL26&gt;28,"27",IF(BL26&lt;29,"28"))</f>
        <v>28</v>
      </c>
      <c r="CE37" s="32" t="s">
        <v>5906</v>
      </c>
      <c r="CF37" s="32"/>
      <c r="CG37" s="32"/>
      <c r="CH37" s="32"/>
      <c r="CI37" s="25" t="s">
        <v>5805</v>
      </c>
      <c r="CJ37" s="25"/>
      <c r="CK37" s="25"/>
      <c r="CL37" s="25"/>
      <c r="CM37" s="25"/>
      <c r="CN37" s="25"/>
      <c r="CO37" s="25"/>
      <c r="CP37" s="27">
        <v>0.06666666666666667</v>
      </c>
      <c r="CQ37" s="27"/>
      <c r="CR37" s="13" t="str">
        <f>TRUNC(CP37)&amp;":"&amp;ROUNDUP((CP37-TRUNC(CP37))*60, )</f>
        <v>0:4</v>
      </c>
      <c r="CS37" s="13"/>
      <c r="CT37" s="59"/>
      <c r="CU37" s="12"/>
      <c r="CV37" s="12"/>
      <c r="CW37" s="12"/>
      <c r="CX37" s="12"/>
      <c r="CY37" s="12"/>
      <c r="CZ37" s="12"/>
      <c r="DA37" s="12"/>
      <c r="DB37" s="12"/>
    </row>
    <row r="38" spans="8:8" ht="20.0" customHeight="1">
      <c r="A38" s="63"/>
      <c r="B38" s="64"/>
      <c r="C38" s="45">
        <v>6.0</v>
      </c>
      <c r="D38" s="46" t="s">
        <v>6066</v>
      </c>
      <c r="E38" s="46"/>
      <c r="F38" s="46"/>
      <c r="G38" s="46"/>
      <c r="H38" s="46"/>
      <c r="I38" s="46"/>
      <c r="K38" s="13"/>
      <c r="L38" s="43" t="s">
        <v>158</v>
      </c>
      <c r="M38" s="43"/>
      <c r="N38" s="43"/>
      <c r="O38" s="43"/>
      <c r="P38" s="43" t="s">
        <v>1895</v>
      </c>
      <c r="Q38" s="43"/>
      <c r="R38" s="43"/>
      <c r="S38" s="43"/>
      <c r="T38" s="43"/>
      <c r="U38" s="65">
        <f>24-U35</f>
        <v>23.2600556666667</v>
      </c>
      <c r="V38" s="61"/>
      <c r="W38" s="61" t="str">
        <f>TEXT(U38/24,"hh:mm:ss")</f>
        <v>23:15:36</v>
      </c>
      <c r="X38" s="48"/>
      <c r="Y38" s="9"/>
      <c r="Z38" s="36"/>
      <c r="AA38" s="36"/>
      <c r="AB38" s="36"/>
      <c r="AC38" s="36"/>
      <c r="AD38" s="36"/>
      <c r="AE38" s="36"/>
      <c r="AF38" s="36"/>
      <c r="AG38" s="36"/>
      <c r="AH38" s="36"/>
      <c r="AJ38" s="13" t="str">
        <f>IF(AH26&gt;28,"28",IF(AH26&lt;29,"29"))</f>
        <v>29</v>
      </c>
      <c r="AK38" s="13" t="str">
        <f>IF(AH26&gt;28,"29",IF(AH26&lt;29,"30"))</f>
        <v>30</v>
      </c>
      <c r="AL38" s="13" t="str">
        <f>IF(AH26&gt;28,"30",IF(AH26&lt;29,"1"))</f>
        <v>1</v>
      </c>
      <c r="AM38" s="13"/>
      <c r="AN38" s="13"/>
      <c r="AO38" s="13"/>
      <c r="AP38" s="13"/>
      <c r="AQ38" s="13"/>
      <c r="AR38" s="13" t="str">
        <f>IF(AH26&gt;28,"28",IF(AH26&lt;29,"29"))</f>
        <v>29</v>
      </c>
      <c r="AS38" s="13" t="str">
        <f>IF(AH26&gt;28,"29",IF(AH26&lt;29,"30"))</f>
        <v>30</v>
      </c>
      <c r="AT38" s="13" t="str">
        <f>IF(AH26&gt;28,"30",IF(AH26&lt;29,"31"))</f>
        <v>31</v>
      </c>
      <c r="AU38" s="13" t="str">
        <f>IF(AH26&gt;28,"31",IF(AH26&lt;29,"1"))</f>
        <v>1</v>
      </c>
      <c r="AV38" s="13"/>
      <c r="AW38" s="13"/>
      <c r="AX38" s="13"/>
      <c r="AZ38" s="54"/>
      <c r="BA38" s="54"/>
      <c r="BB38" s="54"/>
      <c r="BC38" s="54"/>
      <c r="BD38" s="54"/>
      <c r="BF38" s="25"/>
      <c r="BG38" s="25"/>
      <c r="BH38" s="25"/>
      <c r="BI38" s="25"/>
      <c r="BJ38" s="25"/>
      <c r="BK38" s="25"/>
      <c r="BL38" s="25"/>
      <c r="BN38" s="13" t="str">
        <f>IF(BL26&gt;28,"28",IF(BL26&lt;29,"29"))</f>
        <v>29</v>
      </c>
      <c r="BO38" s="13" t="str">
        <f>IF(BL26&gt;28,"29",IF(BL26&lt;29,"30"))</f>
        <v>30</v>
      </c>
      <c r="BP38" s="13"/>
      <c r="BQ38" s="13"/>
      <c r="BR38" s="13"/>
      <c r="BS38" s="13"/>
      <c r="BT38" s="13"/>
      <c r="BU38" s="13"/>
      <c r="BV38" s="13" t="str">
        <f>IF(BL26&gt;28,"28",IF(BL26&lt;29,"29"))</f>
        <v>29</v>
      </c>
      <c r="BW38" s="13">
        <v>30.0</v>
      </c>
      <c r="BX38" s="13"/>
      <c r="BY38" s="13"/>
      <c r="BZ38" s="13"/>
      <c r="CA38" s="13"/>
      <c r="CB38" s="13"/>
      <c r="CE38" s="32" t="s">
        <v>5905</v>
      </c>
      <c r="CF38" s="32"/>
      <c r="CG38" s="32"/>
      <c r="CH38" s="32"/>
      <c r="CI38" s="25" t="s">
        <v>5806</v>
      </c>
      <c r="CJ38" s="25"/>
      <c r="CK38" s="25"/>
      <c r="CL38" s="25"/>
      <c r="CM38" s="25"/>
      <c r="CN38" s="25"/>
      <c r="CO38" s="25"/>
      <c r="CP38" s="27">
        <v>0.03333333333333333</v>
      </c>
      <c r="CQ38" s="27"/>
      <c r="CR38" s="13" t="str">
        <f>TRUNC(CP38)&amp;":"&amp;ROUNDUP((CP38-TRUNC(CP38))*60, )</f>
        <v>0:2</v>
      </c>
      <c r="CS38" s="13"/>
      <c r="CT38" s="59"/>
      <c r="CU38" s="12" t="s">
        <v>6046</v>
      </c>
      <c r="CV38" s="12"/>
      <c r="CW38" s="12"/>
      <c r="CX38" s="12"/>
      <c r="CY38" s="12"/>
      <c r="CZ38" s="12"/>
      <c r="DA38" s="12"/>
      <c r="DB38" s="12"/>
    </row>
    <row r="39" spans="8:8" ht="20.0" customHeight="1">
      <c r="A39" s="67"/>
      <c r="B39" s="68"/>
      <c r="C39" s="45">
        <v>7.0</v>
      </c>
      <c r="D39" s="46" t="s">
        <v>6068</v>
      </c>
      <c r="E39" s="46"/>
      <c r="F39" s="46"/>
      <c r="G39" s="46"/>
      <c r="H39" s="46"/>
      <c r="I39" s="46"/>
      <c r="K39" s="13"/>
      <c r="L39" s="43" t="s">
        <v>1909</v>
      </c>
      <c r="M39" s="43"/>
      <c r="N39" s="43"/>
      <c r="O39" s="43"/>
      <c r="P39" s="43" t="s">
        <v>1898</v>
      </c>
      <c r="Q39" s="43"/>
      <c r="R39" s="43"/>
      <c r="S39" s="43"/>
      <c r="T39" s="43"/>
      <c r="U39" s="65">
        <f>U38/2</f>
        <v>11.63002783333335</v>
      </c>
      <c r="V39" s="61"/>
      <c r="W39" s="61" t="str">
        <f>TEXT(U39/24,"hh:mm:ss")</f>
        <v>11:37:48</v>
      </c>
      <c r="X39" s="48"/>
      <c r="Y39" s="9"/>
      <c r="Z39" s="36"/>
      <c r="AA39" s="36"/>
      <c r="AB39" s="36"/>
      <c r="AC39" s="36"/>
      <c r="AD39" s="36"/>
      <c r="AE39" s="36"/>
      <c r="AF39" s="36"/>
      <c r="AG39" s="36"/>
      <c r="AH39" s="36"/>
      <c r="AJ39" s="54" t="s">
        <v>2009</v>
      </c>
      <c r="AK39" s="54"/>
      <c r="AL39" s="54"/>
      <c r="AM39" s="54"/>
      <c r="AN39" s="54"/>
      <c r="AO39" s="54"/>
      <c r="AP39" s="54"/>
      <c r="AQ39" s="54"/>
      <c r="AR39" s="54" t="s">
        <v>78</v>
      </c>
      <c r="AS39" s="54"/>
      <c r="AT39" s="54"/>
      <c r="AU39" s="54"/>
      <c r="AV39" s="54"/>
      <c r="AW39" s="54"/>
      <c r="AX39" s="54"/>
      <c r="AZ39" s="69"/>
      <c r="BA39" s="69"/>
      <c r="BB39" s="69"/>
      <c r="BC39" s="69"/>
      <c r="BD39" s="69"/>
      <c r="BF39" s="25"/>
      <c r="BG39" s="25"/>
      <c r="BH39" s="25"/>
      <c r="BI39" s="25"/>
      <c r="BJ39" s="25"/>
      <c r="BK39" s="25"/>
      <c r="BL39" s="25"/>
      <c r="BN39" s="13" t="s">
        <v>2262</v>
      </c>
      <c r="BO39" s="13"/>
      <c r="BP39" s="13"/>
      <c r="BQ39" s="13"/>
      <c r="BR39" s="13"/>
      <c r="BS39" s="13"/>
      <c r="BT39" s="13"/>
      <c r="BU39" s="13"/>
      <c r="BV39" s="13" t="s">
        <v>2263</v>
      </c>
      <c r="BW39" s="13"/>
      <c r="BX39" s="13"/>
      <c r="BY39" s="13"/>
      <c r="BZ39" s="13"/>
      <c r="CA39" s="13"/>
      <c r="CB39" s="13"/>
      <c r="CE39" s="32" t="s">
        <v>5792</v>
      </c>
      <c r="CF39" s="32"/>
      <c r="CG39" s="32"/>
      <c r="CH39" s="32"/>
      <c r="CI39" s="25" t="s">
        <v>5808</v>
      </c>
      <c r="CJ39" s="25"/>
      <c r="CK39" s="25"/>
      <c r="CL39" s="25"/>
      <c r="CM39" s="25"/>
      <c r="CN39" s="25"/>
      <c r="CO39" s="25"/>
      <c r="CP39" s="27">
        <f>12+4/60</f>
        <v>12.066666666666666</v>
      </c>
      <c r="CQ39" s="27"/>
      <c r="CR39" s="13" t="str">
        <f>TRUNC(CP39)&amp;":"&amp;ROUNDUP((CP39-TRUNC(CP39))*60, )</f>
        <v>12:4</v>
      </c>
      <c r="CS39" s="13"/>
      <c r="CT39" s="59"/>
      <c r="CU39" s="12"/>
      <c r="CV39" s="12"/>
      <c r="CW39" s="12"/>
      <c r="CX39" s="12"/>
      <c r="CY39" s="12"/>
      <c r="CZ39" s="12"/>
      <c r="DA39" s="12"/>
      <c r="DB39" s="12"/>
    </row>
    <row r="40" spans="8:8" ht="20.0" customHeight="1">
      <c r="A40" s="67"/>
      <c r="B40" s="68"/>
      <c r="C40" s="45">
        <v>8.0</v>
      </c>
      <c r="D40" s="46" t="s">
        <v>6069</v>
      </c>
      <c r="E40" s="46"/>
      <c r="F40" s="46"/>
      <c r="G40" s="46"/>
      <c r="H40" s="46"/>
      <c r="I40" s="46"/>
      <c r="K40" s="13"/>
      <c r="L40" s="43" t="s">
        <v>161</v>
      </c>
      <c r="M40" s="43"/>
      <c r="N40" s="43"/>
      <c r="O40" s="43"/>
      <c r="P40" s="43" t="s">
        <v>1899</v>
      </c>
      <c r="Q40" s="43"/>
      <c r="R40" s="43"/>
      <c r="S40" s="43"/>
      <c r="T40" s="43"/>
      <c r="U40" s="47">
        <f>U39*0.0667</f>
        <v>0.7757228564833345</v>
      </c>
      <c r="V40" s="44"/>
      <c r="W40" s="44" t="str">
        <f>TEXT(U40/24,"hh:mm:ss")</f>
        <v>00:46:33</v>
      </c>
      <c r="X40" s="48"/>
      <c r="Y40" s="9"/>
      <c r="Z40" s="36"/>
      <c r="AA40" s="36"/>
      <c r="AB40" s="36"/>
      <c r="AC40" s="36"/>
      <c r="AD40" s="36"/>
      <c r="AE40" s="36"/>
      <c r="AF40" s="36"/>
      <c r="AG40" s="36"/>
      <c r="AH40" s="36"/>
      <c r="AJ40" s="13" t="str">
        <f>AU32</f>
        <v>Sabtu</v>
      </c>
      <c r="AK40" s="13" t="str">
        <f>AV32</f>
        <v>Minggu</v>
      </c>
      <c r="AL40" s="13" t="str">
        <f>AW32</f>
        <v>Senin</v>
      </c>
      <c r="AM40" s="13" t="str">
        <f>AX32</f>
        <v>Selasa</v>
      </c>
      <c r="AN40" s="13" t="str">
        <f>AR32</f>
        <v>Rabu</v>
      </c>
      <c r="AO40" s="13" t="str">
        <f>AS32</f>
        <v>Kamis</v>
      </c>
      <c r="AP40" s="13" t="str">
        <f>AT32</f>
        <v>Jumat</v>
      </c>
      <c r="AQ40" s="13"/>
      <c r="AR40" s="13" t="str">
        <f>AL40</f>
        <v>Senin</v>
      </c>
      <c r="AS40" s="13" t="str">
        <f>AM40</f>
        <v>Selasa</v>
      </c>
      <c r="AT40" s="13" t="str">
        <f>AN40</f>
        <v>Rabu</v>
      </c>
      <c r="AU40" s="13" t="str">
        <f>AO40</f>
        <v>Kamis</v>
      </c>
      <c r="AV40" s="13" t="str">
        <f>AP40</f>
        <v>Jumat</v>
      </c>
      <c r="AW40" s="13" t="str">
        <f>AJ40</f>
        <v>Sabtu</v>
      </c>
      <c r="AX40" s="13" t="str">
        <f>AK40</f>
        <v>Minggu</v>
      </c>
      <c r="AZ40" s="69"/>
      <c r="BA40" s="69"/>
      <c r="BB40" s="69"/>
      <c r="BC40" s="69"/>
      <c r="BD40" s="69"/>
      <c r="BF40" s="25"/>
      <c r="BG40" s="25"/>
      <c r="BH40" s="25"/>
      <c r="BI40" s="25"/>
      <c r="BJ40" s="25"/>
      <c r="BK40" s="25"/>
      <c r="BL40" s="25"/>
      <c r="BN40" s="13" t="str">
        <f>Lembar11!F54</f>
        <v>Kamis</v>
      </c>
      <c r="BO40" s="13" t="str">
        <f>VLOOKUP(BN40,'DATA 2'!L6:R12,2)</f>
        <v>Jumat</v>
      </c>
      <c r="BP40" s="13" t="str">
        <f>VLOOKUP(BN40,'DATA 2'!L6:R12,3)</f>
        <v>Sabtu</v>
      </c>
      <c r="BQ40" s="13" t="str">
        <f>VLOOKUP(BN40,'DATA 2'!L6:R12,4)</f>
        <v>minggu</v>
      </c>
      <c r="BR40" s="13" t="str">
        <f>VLOOKUP(BN40,'DATA 2'!L6:R12,5)</f>
        <v>Senin</v>
      </c>
      <c r="BS40" s="13" t="str">
        <f>VLOOKUP(BN40,'DATA 2'!L6:R12,6)</f>
        <v>Selasa</v>
      </c>
      <c r="BT40" s="13" t="str">
        <f>VLOOKUP(BN40,'DATA 2'!L6:R12,7)</f>
        <v>Rabu</v>
      </c>
      <c r="BU40" s="13"/>
      <c r="BV40" s="13" t="str">
        <f>Lembar12!F54</f>
        <v>Sabtu</v>
      </c>
      <c r="BW40" s="13" t="str">
        <f>VLOOKUP(BV40,'DATA 2'!L6:R12,2)</f>
        <v>Minggu</v>
      </c>
      <c r="BX40" s="13" t="str">
        <f>VLOOKUP(BV40,'DATA 2'!L6:R12,3)</f>
        <v>Senin</v>
      </c>
      <c r="BY40" s="13" t="str">
        <f>VLOOKUP(BV40,'DATA 2'!L6:R12,4)</f>
        <v>Selasa</v>
      </c>
      <c r="BZ40" s="13" t="str">
        <f>VLOOKUP(BV40,'DATA 2'!L6:R12,5)</f>
        <v>Rabu</v>
      </c>
      <c r="CA40" s="13" t="str">
        <f>VLOOKUP(BV40,'DATA 2'!L6:R12,6)</f>
        <v>Kamis</v>
      </c>
      <c r="CB40" s="13" t="str">
        <f>VLOOKUP(BV40,'DATA 2'!L6:R12,7)</f>
        <v>Jumat</v>
      </c>
      <c r="CE40" s="32" t="s">
        <v>5793</v>
      </c>
      <c r="CF40" s="32"/>
      <c r="CG40" s="32"/>
      <c r="CH40" s="32"/>
      <c r="CI40" s="25" t="s">
        <v>5863</v>
      </c>
      <c r="CJ40" s="25"/>
      <c r="CK40" s="25"/>
      <c r="CL40" s="25"/>
      <c r="CM40" s="25"/>
      <c r="CN40" s="25"/>
      <c r="CO40" s="25"/>
      <c r="CP40" s="27">
        <f>IF(CP21="Ikhtilaf",ACOS((SIN(RADIANS(CP34))*60+CP12)/CP13)*180/PI()/15+CP38,ACOS((SIN(RADIANS(CP34))*60-CP12)/CP13)*180/PI()/15+CP38)+CP37+CP38</f>
        <v>3.4948838765373833</v>
      </c>
      <c r="CQ40" s="27"/>
      <c r="CR40" s="13" t="str">
        <f>TRUNC(CP40)&amp;":"&amp;ROUNDUP((CP40-TRUNC(CP40))*60, )</f>
        <v>3:30</v>
      </c>
      <c r="CS40" s="13"/>
      <c r="CT40" s="59"/>
      <c r="CU40" s="12" t="s">
        <v>6045</v>
      </c>
      <c r="CV40" s="12"/>
      <c r="CW40" s="12"/>
      <c r="CX40" s="12"/>
      <c r="CY40" s="12"/>
      <c r="CZ40" s="12"/>
      <c r="DA40" s="12"/>
      <c r="DB40" s="12"/>
    </row>
    <row r="41" spans="8:8" ht="20.0" customHeight="1">
      <c r="A41" s="63" t="s">
        <v>5620</v>
      </c>
      <c r="B41" s="64"/>
      <c r="C41" s="45">
        <v>9.0</v>
      </c>
      <c r="D41" s="46" t="s">
        <v>6070</v>
      </c>
      <c r="E41" s="46"/>
      <c r="F41" s="46"/>
      <c r="G41" s="46"/>
      <c r="H41" s="46"/>
      <c r="I41" s="46"/>
      <c r="J41" s="68"/>
      <c r="K41" s="13"/>
      <c r="L41" s="43" t="s">
        <v>162</v>
      </c>
      <c r="M41" s="43"/>
      <c r="N41" s="43"/>
      <c r="O41" s="43"/>
      <c r="P41" s="43" t="s">
        <v>166</v>
      </c>
      <c r="Q41" s="43"/>
      <c r="R41" s="43"/>
      <c r="S41" s="43"/>
      <c r="T41" s="43"/>
      <c r="U41" s="44">
        <f>VLOOKUP(ROUND(Q9,0),'DATA 2'!I5:J366,2)</f>
        <v>1.617</v>
      </c>
      <c r="V41" s="44"/>
      <c r="W41" s="44" t="str">
        <f>TEXT(U41/24,"hh:mm:ss")</f>
        <v>01:37:01</v>
      </c>
      <c r="X41" s="48"/>
      <c r="Y41" s="9"/>
      <c r="Z41" s="36"/>
      <c r="AA41" s="36"/>
      <c r="AB41" s="36"/>
      <c r="AC41" s="36"/>
      <c r="AD41" s="36"/>
      <c r="AE41" s="36"/>
      <c r="AF41" s="36"/>
      <c r="AG41" s="36"/>
      <c r="AH41" s="36"/>
      <c r="AJ41" s="13" t="str">
        <f>IF(AH26&gt;28,"31",IF(AH26&lt;29,"1"))</f>
        <v>1</v>
      </c>
      <c r="AK41" s="13" t="str">
        <f>IF(AH26&gt;28,"1",IF(AH26&lt;29,"2"))</f>
        <v>2</v>
      </c>
      <c r="AL41" s="13" t="str">
        <f>IF(AH26&gt;28,"2",IF(AH26&lt;29,"3"))</f>
        <v>3</v>
      </c>
      <c r="AM41" s="13" t="str">
        <f>IF(AH26&gt;28,"3",IF(AH26&lt;29,"4"))</f>
        <v>4</v>
      </c>
      <c r="AN41" s="13" t="str">
        <f>IF(AH26&gt;28,"4",IF(AH26&lt;29,"5"))</f>
        <v>5</v>
      </c>
      <c r="AO41" s="13" t="str">
        <f>IF(AH26&gt;28,"5",IF(AH26&lt;29,"6"))</f>
        <v>6</v>
      </c>
      <c r="AP41" s="13" t="str">
        <f>IF(AH26&gt;28,"6",IF(AH26&lt;29,"7"))</f>
        <v>7</v>
      </c>
      <c r="AQ41" s="13"/>
      <c r="AR41" s="13" t="str">
        <f>IF(AH26&gt;28,"30",IF(AH26&lt;29,"1"))</f>
        <v>1</v>
      </c>
      <c r="AS41" s="13" t="str">
        <f>IF(AH26&gt;28,"1",IF(AH26&lt;29,"2"))</f>
        <v>2</v>
      </c>
      <c r="AT41" s="13" t="str">
        <f>IF(AH26&gt;28,"2",IF(AH26&lt;29,"3"))</f>
        <v>3</v>
      </c>
      <c r="AU41" s="13" t="str">
        <f>IF(AH26&gt;28,"3",IF(AH26&lt;29,"4"))</f>
        <v>4</v>
      </c>
      <c r="AV41" s="13" t="str">
        <f>IF(AH26&gt;28,"4",IF(AH26&lt;29,"5"))</f>
        <v>5</v>
      </c>
      <c r="AW41" s="13" t="str">
        <f>IF(AH26&gt;28,"5",IF(AH26&lt;29,"6"))</f>
        <v>6</v>
      </c>
      <c r="AX41" s="13" t="str">
        <f>IF(AH26&gt;28,"6",IF(AH26&lt;29,"7"))</f>
        <v>7</v>
      </c>
      <c r="AZ41" s="69"/>
      <c r="BA41" s="69"/>
      <c r="BB41" s="69"/>
      <c r="BC41" s="69"/>
      <c r="BD41" s="69"/>
      <c r="BF41" s="25"/>
      <c r="BG41" s="25"/>
      <c r="BH41" s="25"/>
      <c r="BI41" s="25"/>
      <c r="BJ41" s="25"/>
      <c r="BK41" s="25"/>
      <c r="BL41" s="25"/>
      <c r="BN41" s="13" t="str">
        <f>IF(BL26&gt;28,"31",IF(BL26&lt;29,"1"))</f>
        <v>1</v>
      </c>
      <c r="BO41" s="13" t="str">
        <f>IF(BL26&gt;28,"1",IF(BL26&lt;29,"2"))</f>
        <v>2</v>
      </c>
      <c r="BP41" s="13" t="str">
        <f>IF(BL26&gt;28,"2",IF(BL26&lt;29,"3"))</f>
        <v>3</v>
      </c>
      <c r="BQ41" s="13" t="str">
        <f>IF(BL26&gt;28,"3",IF(BL26&lt;29,"4"))</f>
        <v>4</v>
      </c>
      <c r="BR41" s="13" t="str">
        <f>IF(BL26&gt;28,"4",IF(BL26&lt;29,"5"))</f>
        <v>5</v>
      </c>
      <c r="BS41" s="13" t="str">
        <f>IF(BL26&gt;28,"5",IF(BL26&lt;29,"6"))</f>
        <v>6</v>
      </c>
      <c r="BT41" s="13" t="str">
        <f>IF(BL26&gt;28,"6",IF(BL26&lt;29,"7"))</f>
        <v>7</v>
      </c>
      <c r="BU41" s="13"/>
      <c r="BV41" s="13" t="str">
        <f>IF(BL26&gt;28,"30",IF(BL26&lt;29,"1"))</f>
        <v>1</v>
      </c>
      <c r="BW41" s="13" t="str">
        <f>IF(BL26&gt;28,"1",IF(BL26&lt;29,"2"))</f>
        <v>2</v>
      </c>
      <c r="BX41" s="13" t="str">
        <f>IF(BL26&gt;28,"2",IF(BL26&lt;29,"3"))</f>
        <v>3</v>
      </c>
      <c r="BY41" s="13" t="str">
        <f>IF(BL26&gt;28,"3",IF(BL26&lt;29,"4"))</f>
        <v>4</v>
      </c>
      <c r="BZ41" s="13" t="str">
        <f>IF(BL26&gt;28,"4",IF(BL26&lt;29,"5"))</f>
        <v>5</v>
      </c>
      <c r="CA41" s="13" t="str">
        <f>IF(BL26&gt;28,"5",IF(BL26&lt;29,"6"))</f>
        <v>6</v>
      </c>
      <c r="CB41" s="13" t="str">
        <f>IF(BL26&gt;28,"6",IF(BL26&lt;29,"7"))</f>
        <v>7</v>
      </c>
      <c r="CE41" s="32" t="s">
        <v>5794</v>
      </c>
      <c r="CF41" s="32"/>
      <c r="CG41" s="32"/>
      <c r="CH41" s="32"/>
      <c r="CI41" s="25" t="s">
        <v>5864</v>
      </c>
      <c r="CJ41" s="25"/>
      <c r="CK41" s="25"/>
      <c r="CL41" s="25"/>
      <c r="CM41" s="25"/>
      <c r="CN41" s="25"/>
      <c r="CO41" s="25"/>
      <c r="CP41" s="27">
        <f>IF(CP21="Ikhtilaf",6-(CP14/15)+CP38+CP37,6+(CP14/15)+CP38+CP37)+CP37+CP38</f>
        <v>6.064145627727814</v>
      </c>
      <c r="CQ41" s="27"/>
      <c r="CR41" s="13" t="str">
        <f>TRUNC(CP41)&amp;":"&amp;ROUNDUP((CP41-TRUNC(CP41))*60, )</f>
        <v>6:4</v>
      </c>
      <c r="CS41" s="13"/>
      <c r="CT41" s="70"/>
      <c r="CU41" s="12"/>
      <c r="CV41" s="12"/>
      <c r="CW41" s="12"/>
      <c r="CX41" s="12"/>
      <c r="CY41" s="12"/>
      <c r="CZ41" s="12"/>
      <c r="DA41" s="12"/>
      <c r="DB41" s="12"/>
    </row>
    <row r="42" spans="8:8" ht="20.0" customHeight="1">
      <c r="A42" s="63"/>
      <c r="B42" s="64"/>
      <c r="C42" s="45">
        <v>10.0</v>
      </c>
      <c r="D42" s="46" t="s">
        <v>6071</v>
      </c>
      <c r="E42" s="46"/>
      <c r="F42" s="46"/>
      <c r="G42" s="46"/>
      <c r="H42" s="46"/>
      <c r="I42" s="46"/>
      <c r="J42" s="68"/>
      <c r="K42" s="13"/>
      <c r="L42" s="43" t="s">
        <v>163</v>
      </c>
      <c r="M42" s="43"/>
      <c r="N42" s="43"/>
      <c r="O42" s="43"/>
      <c r="P42" s="43" t="s">
        <v>1900</v>
      </c>
      <c r="Q42" s="43"/>
      <c r="R42" s="43"/>
      <c r="S42" s="43"/>
      <c r="T42" s="43"/>
      <c r="U42" s="47">
        <f>U40+U41</f>
        <v>2.392722856483335</v>
      </c>
      <c r="V42" s="44"/>
      <c r="W42" s="44" t="str">
        <f>TEXT(U42/24,"hh:mm:ss")</f>
        <v>02:23:34</v>
      </c>
      <c r="X42" s="48"/>
      <c r="Y42" s="9"/>
      <c r="Z42" s="36"/>
      <c r="AA42" s="36"/>
      <c r="AB42" s="36"/>
      <c r="AC42" s="36"/>
      <c r="AD42" s="36"/>
      <c r="AE42" s="36"/>
      <c r="AF42" s="36"/>
      <c r="AG42" s="36"/>
      <c r="AH42" s="36"/>
      <c r="AJ42" s="13" t="str">
        <f>IF(AH26&gt;28,"7",IF(AH26&lt;29,"8"))</f>
        <v>8</v>
      </c>
      <c r="AK42" s="13" t="str">
        <f>IF(AH26&gt;28,"8",IF(AH26&lt;29,"9"))</f>
        <v>9</v>
      </c>
      <c r="AL42" s="13" t="str">
        <f>IF(AH26&gt;28,"9",IF(AH26&lt;29,"10"))</f>
        <v>10</v>
      </c>
      <c r="AM42" s="13" t="str">
        <f>IF(AH26&gt;28,"10",IF(AH26&lt;29,"11"))</f>
        <v>11</v>
      </c>
      <c r="AN42" s="13" t="str">
        <f>IF(AH26&gt;28,"11",IF(AH26&lt;29,"12"))</f>
        <v>12</v>
      </c>
      <c r="AO42" s="13" t="str">
        <f>IF(AH26&gt;28,"12",IF(AH26&lt;29,"13"))</f>
        <v>13</v>
      </c>
      <c r="AP42" s="13" t="str">
        <f>IF(AH26&gt;28,"13",IF(AH26&lt;29,"14"))</f>
        <v>14</v>
      </c>
      <c r="AQ42" s="13"/>
      <c r="AR42" s="13" t="str">
        <f>IF(AH26&gt;28,"7",IF(AH26&lt;29,"8"))</f>
        <v>8</v>
      </c>
      <c r="AS42" s="13" t="str">
        <f>IF(AH26&gt;28,"8",IF(AH26&lt;29,"9"))</f>
        <v>9</v>
      </c>
      <c r="AT42" s="13" t="str">
        <f>IF(AH26&gt;28,"9",IF(AH26&lt;29,"10"))</f>
        <v>10</v>
      </c>
      <c r="AU42" s="13" t="str">
        <f>IF(AH26&gt;28,"10",IF(AH26&lt;29,"11"))</f>
        <v>11</v>
      </c>
      <c r="AV42" s="13" t="str">
        <f>IF(AH26&gt;28,"11",IF(AH26&lt;29,"12"))</f>
        <v>12</v>
      </c>
      <c r="AW42" s="13" t="str">
        <f>IF(AH26&gt;28,"12",IF(AH26&lt;29,"13"))</f>
        <v>13</v>
      </c>
      <c r="AX42" s="13" t="str">
        <f>IF(AH26&gt;28,"13",IF(AH26&lt;29,"14"))</f>
        <v>14</v>
      </c>
      <c r="AZ42" s="69"/>
      <c r="BA42" s="69"/>
      <c r="BB42" s="69"/>
      <c r="BC42" s="69"/>
      <c r="BD42" s="69"/>
      <c r="BF42" s="25"/>
      <c r="BG42" s="25"/>
      <c r="BH42" s="25"/>
      <c r="BI42" s="25"/>
      <c r="BJ42" s="25"/>
      <c r="BK42" s="25"/>
      <c r="BL42" s="25"/>
      <c r="BN42" s="13" t="str">
        <f>IF(BL26&gt;28,"7",IF(BL26&lt;29,"8"))</f>
        <v>8</v>
      </c>
      <c r="BO42" s="13" t="str">
        <f>IF(BL26&gt;28,"8",IF(BL26&lt;29,"9"))</f>
        <v>9</v>
      </c>
      <c r="BP42" s="13" t="str">
        <f>IF(BL26&gt;28,"9",IF(BL26&lt;29,"10"))</f>
        <v>10</v>
      </c>
      <c r="BQ42" s="13" t="str">
        <f>IF(BL26&gt;28,"10",IF(BL26&lt;29,"11"))</f>
        <v>11</v>
      </c>
      <c r="BR42" s="13" t="str">
        <f>IF(BL26&gt;28,"11",IF(BL26&lt;29,"12"))</f>
        <v>12</v>
      </c>
      <c r="BS42" s="13" t="str">
        <f>IF(BL26&gt;28,"12",IF(BL26&lt;29,"13"))</f>
        <v>13</v>
      </c>
      <c r="BT42" s="13" t="str">
        <f>IF(BL26&gt;28,"13",IF(BL26&lt;29,"14"))</f>
        <v>14</v>
      </c>
      <c r="BU42" s="13"/>
      <c r="BV42" s="13" t="str">
        <f>IF(BL26&gt;28,"7",IF(BL26&lt;29,"8"))</f>
        <v>8</v>
      </c>
      <c r="BW42" s="13" t="str">
        <f>IF(BL26&gt;28,"8",IF(BL26&lt;29,"9"))</f>
        <v>9</v>
      </c>
      <c r="BX42" s="13" t="str">
        <f>IF(BL26&gt;28,"9",IF(BL26&lt;29,"10"))</f>
        <v>10</v>
      </c>
      <c r="BY42" s="13" t="str">
        <f>IF(BL26&gt;28,"10",IF(BL26&lt;29,"11"))</f>
        <v>11</v>
      </c>
      <c r="BZ42" s="13" t="str">
        <f>IF(BL26&gt;28,"11",IF(BL26&lt;29,"12"))</f>
        <v>12</v>
      </c>
      <c r="CA42" s="13" t="str">
        <f>IF(BL26&gt;28,"12",IF(BL26&lt;29,"13"))</f>
        <v>13</v>
      </c>
      <c r="CB42" s="13" t="str">
        <f>IF(BL26&gt;28,"13",IF(BL26&lt;29,"14"))</f>
        <v>14</v>
      </c>
      <c r="CE42" s="32" t="s">
        <v>5795</v>
      </c>
      <c r="CF42" s="32"/>
      <c r="CG42" s="32"/>
      <c r="CH42" s="32"/>
      <c r="CI42" s="25" t="s">
        <v>5865</v>
      </c>
      <c r="CJ42" s="25"/>
      <c r="CK42" s="25"/>
      <c r="CL42" s="25"/>
      <c r="CM42" s="25"/>
      <c r="CN42" s="25"/>
      <c r="CO42" s="25"/>
      <c r="CP42" s="27">
        <f>IF(CP21="Ikhtilaf",6+ASIN((SIN(RADIANS(18))*60-CP12)/CP13)*180/PI()/15+CP38,6+ASIN((SIN(RADIANS(18))*60+CP12)/CP13)*180/PI()/15+CP38)+CP37+CP38</f>
        <v>7.257662776030143</v>
      </c>
      <c r="CQ42" s="27"/>
      <c r="CR42" s="13" t="str">
        <f>TRUNC(CP42)&amp;":"&amp;ROUNDUP((CP42-TRUNC(CP42))*60, )</f>
        <v>7:16</v>
      </c>
      <c r="CS42" s="13"/>
      <c r="CT42" s="59"/>
      <c r="CU42" s="12"/>
      <c r="CV42" s="12"/>
      <c r="CW42" s="12"/>
      <c r="CX42" s="12"/>
      <c r="CY42" s="12"/>
      <c r="CZ42" s="12"/>
      <c r="DA42" s="12"/>
      <c r="DB42" s="12"/>
    </row>
    <row r="43" spans="8:8" ht="20.0" customHeight="1">
      <c r="A43" s="63"/>
      <c r="B43" s="64"/>
      <c r="C43" s="45" t="s">
        <v>6078</v>
      </c>
      <c r="D43" s="45"/>
      <c r="E43" s="45"/>
      <c r="F43" s="45"/>
      <c r="G43" s="45"/>
      <c r="H43" s="45"/>
      <c r="I43" s="45"/>
      <c r="J43" s="68"/>
      <c r="K43" s="13"/>
      <c r="L43" s="44" t="s">
        <v>1905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8"/>
      <c r="Y43" s="9"/>
      <c r="Z43" s="36"/>
      <c r="AA43" s="36"/>
      <c r="AB43" s="36"/>
      <c r="AC43" s="36"/>
      <c r="AD43" s="36"/>
      <c r="AE43" s="36"/>
      <c r="AF43" s="36"/>
      <c r="AG43" s="36"/>
      <c r="AH43" s="36"/>
      <c r="AJ43" s="13" t="str">
        <f>IF(AH26&gt;28,"14",IF(AH26&lt;29,"15"))</f>
        <v>15</v>
      </c>
      <c r="AK43" s="13" t="str">
        <f>IF(AH26&gt;28,"15",IF(AH26&lt;29,"16"))</f>
        <v>16</v>
      </c>
      <c r="AL43" s="13" t="str">
        <f>IF(AH26&gt;28,"16",IF(AH26&lt;29,"17"))</f>
        <v>17</v>
      </c>
      <c r="AM43" s="13" t="str">
        <f>IF(AH26&gt;28,"17",IF(AH26&lt;29,"18"))</f>
        <v>18</v>
      </c>
      <c r="AN43" s="13" t="str">
        <f>IF(AH26&gt;28,"18",IF(AH26&lt;29,"19"))</f>
        <v>19</v>
      </c>
      <c r="AO43" s="13" t="str">
        <f>IF(AH26&gt;28,"19",IF(AH26&lt;29,"20"))</f>
        <v>20</v>
      </c>
      <c r="AP43" s="13" t="str">
        <f>IF(AH26&gt;28,"20",IF(AH26&lt;29,"21"))</f>
        <v>21</v>
      </c>
      <c r="AQ43" s="13"/>
      <c r="AR43" s="13" t="str">
        <f>IF(AH26&gt;28,"14",IF(AH26&lt;29,"15"))</f>
        <v>15</v>
      </c>
      <c r="AS43" s="13" t="str">
        <f>IF(AH26&gt;28,"15",IF(AH26&lt;29,"16"))</f>
        <v>16</v>
      </c>
      <c r="AT43" s="13" t="str">
        <f>IF(AH26&gt;28,"16",IF(AH26&lt;29,"17"))</f>
        <v>17</v>
      </c>
      <c r="AU43" s="13" t="str">
        <f>IF(AH26&gt;28,"17",IF(AH26&lt;29,"18"))</f>
        <v>18</v>
      </c>
      <c r="AV43" s="13" t="str">
        <f>IF(AH26&gt;28,"18",IF(AH26&lt;29,"19"))</f>
        <v>19</v>
      </c>
      <c r="AW43" s="13" t="str">
        <f>IF(AH26&gt;28,"19",IF(AH26&lt;29,"20"))</f>
        <v>20</v>
      </c>
      <c r="AX43" s="13" t="str">
        <f>IF(AH26&gt;28,"20",IF(AH26&lt;29,"21"))</f>
        <v>21</v>
      </c>
      <c r="AZ43" s="69"/>
      <c r="BA43" s="69"/>
      <c r="BB43" s="69"/>
      <c r="BC43" s="69"/>
      <c r="BD43" s="69"/>
      <c r="BF43" s="25"/>
      <c r="BG43" s="25"/>
      <c r="BH43" s="25"/>
      <c r="BI43" s="25"/>
      <c r="BJ43" s="25"/>
      <c r="BK43" s="25"/>
      <c r="BL43" s="25"/>
      <c r="BN43" s="13" t="str">
        <f>IF(BL26&gt;28,"14",IF(BL26&lt;29,"15"))</f>
        <v>15</v>
      </c>
      <c r="BO43" s="13" t="str">
        <f>IF(BL26&gt;28,"15",IF(BL26&lt;29,"16"))</f>
        <v>16</v>
      </c>
      <c r="BP43" s="13" t="str">
        <f>IF(BL26&gt;28,"16",IF(BL26&lt;29,"17"))</f>
        <v>17</v>
      </c>
      <c r="BQ43" s="13" t="str">
        <f>IF(BL26&gt;28,"17",IF(BL26&lt;29,"18"))</f>
        <v>18</v>
      </c>
      <c r="BR43" s="13" t="str">
        <f>IF(BL26&gt;28,"18",IF(BL26&lt;29,"19"))</f>
        <v>19</v>
      </c>
      <c r="BS43" s="13" t="str">
        <f>IF(BL26&gt;28,"19",IF(BL26&lt;29,"20"))</f>
        <v>20</v>
      </c>
      <c r="BT43" s="13" t="str">
        <f>IF(BL26&gt;28,"20",IF(BL26&lt;29,"21"))</f>
        <v>21</v>
      </c>
      <c r="BU43" s="13"/>
      <c r="BV43" s="13" t="str">
        <f>IF(BL26&gt;28,"14",IF(BL26&lt;29,"15"))</f>
        <v>15</v>
      </c>
      <c r="BW43" s="13" t="str">
        <f>IF(BL26&gt;28,"15",IF(BL26&lt;29,"16"))</f>
        <v>16</v>
      </c>
      <c r="BX43" s="13" t="str">
        <f>IF(BL26&gt;28,"16",IF(BL26&lt;29,"17"))</f>
        <v>17</v>
      </c>
      <c r="BY43" s="13" t="str">
        <f>IF(BL26&gt;28,"17",IF(BL26&lt;29,"18"))</f>
        <v>18</v>
      </c>
      <c r="BZ43" s="13" t="str">
        <f>IF(BL26&gt;28,"18",IF(BL26&lt;29,"19"))</f>
        <v>19</v>
      </c>
      <c r="CA43" s="13" t="str">
        <f>IF(BL26&gt;28,"19",IF(BL26&lt;29,"20"))</f>
        <v>20</v>
      </c>
      <c r="CB43" s="13" t="str">
        <f>IF(BL26&gt;28,"20",IF(BL26&lt;29,"21"))</f>
        <v>21</v>
      </c>
      <c r="CE43" s="32" t="s">
        <v>5796</v>
      </c>
      <c r="CF43" s="32"/>
      <c r="CG43" s="32"/>
      <c r="CH43" s="32"/>
      <c r="CI43" s="25" t="s">
        <v>5867</v>
      </c>
      <c r="CJ43" s="25"/>
      <c r="CK43" s="25"/>
      <c r="CL43" s="25"/>
      <c r="CM43" s="25"/>
      <c r="CN43" s="25"/>
      <c r="CO43" s="25"/>
      <c r="CP43" s="27">
        <f>IF(CP21="Ikhtilaf",6-ASIN((SIN(RADIANS(20))*60-CP12)/CP13)*180/PI()/15+CP38,6-ASIN((SIN(RADIANS(20))*60+CP12)/CP13)*180/PI()/15+CP38)+CP37+CP38</f>
        <v>4.870030598311104</v>
      </c>
      <c r="CQ43" s="27"/>
      <c r="CR43" s="13" t="str">
        <f>TRUNC(CP43)&amp;":"&amp;ROUNDUP((CP43-TRUNC(CP43))*60, )</f>
        <v>4:53</v>
      </c>
      <c r="CS43" s="13"/>
      <c r="CT43" s="59"/>
      <c r="CU43" s="12"/>
      <c r="CV43" s="12"/>
      <c r="CW43" s="12"/>
      <c r="CX43" s="12"/>
      <c r="CY43" s="12"/>
      <c r="CZ43" s="12"/>
      <c r="DA43" s="12"/>
      <c r="DB43" s="12"/>
    </row>
    <row r="44" spans="8:8" ht="20.0" customHeight="1">
      <c r="A44" s="51" t="s">
        <v>5616</v>
      </c>
      <c r="B44" s="52"/>
      <c r="C44" s="45"/>
      <c r="D44" s="46"/>
      <c r="E44" s="46"/>
      <c r="F44" s="46"/>
      <c r="G44" s="46"/>
      <c r="H44" s="46"/>
      <c r="I44" s="46"/>
      <c r="J44" s="71"/>
      <c r="K44" s="13"/>
      <c r="L44" s="72" t="s">
        <v>1906</v>
      </c>
      <c r="M44" s="72"/>
      <c r="N44" s="72"/>
      <c r="O44" s="72"/>
      <c r="P44" s="73"/>
      <c r="Q44" s="73"/>
      <c r="R44" s="73"/>
      <c r="S44" s="73" t="str">
        <f>IF(U35&gt;12,"Malam","Hari")</f>
        <v>Hari</v>
      </c>
      <c r="T44" s="73"/>
      <c r="U44" s="73" t="str">
        <f>W34</f>
        <v>Rabu</v>
      </c>
      <c r="V44" s="73"/>
      <c r="W44" s="73"/>
      <c r="X44" s="74"/>
      <c r="Y44" s="9"/>
      <c r="Z44" s="36"/>
      <c r="AA44" s="36"/>
      <c r="AB44" s="36"/>
      <c r="AC44" s="36"/>
      <c r="AD44" s="36"/>
      <c r="AE44" s="36"/>
      <c r="AF44" s="36"/>
      <c r="AG44" s="36"/>
      <c r="AH44" s="36"/>
      <c r="AJ44" s="13" t="str">
        <f>IF(AH26&gt;28,"21",IF(AH26&lt;29,"22"))</f>
        <v>22</v>
      </c>
      <c r="AK44" s="13" t="str">
        <f>IF(AH26&gt;28,"22",IF(AH26&lt;29,"23"))</f>
        <v>23</v>
      </c>
      <c r="AL44" s="13" t="str">
        <f>IF(AH26&gt;28,"23",IF(AH26&lt;29,"24"))</f>
        <v>24</v>
      </c>
      <c r="AM44" s="13" t="str">
        <f>IF(AH26&gt;28,"24",IF(AH26&lt;29,"25"))</f>
        <v>25</v>
      </c>
      <c r="AN44" s="13" t="str">
        <f>IF(AH26&gt;28,"25",IF(AH26&lt;29,"26"))</f>
        <v>26</v>
      </c>
      <c r="AO44" s="13" t="str">
        <f>IF(AH26&gt;28,"26",IF(AH26&lt;29,"27"))</f>
        <v>27</v>
      </c>
      <c r="AP44" s="13" t="str">
        <f>IF(AH26&gt;28,"27",IF(AH26&lt;29,"28"))</f>
        <v>28</v>
      </c>
      <c r="AQ44" s="13"/>
      <c r="AR44" s="13" t="str">
        <f>IF(AH26&gt;28,"21",IF(AH26&lt;29,"22"))</f>
        <v>22</v>
      </c>
      <c r="AS44" s="13" t="str">
        <f>IF(AH26&gt;28,"22",IF(AH26&lt;29,"23"))</f>
        <v>23</v>
      </c>
      <c r="AT44" s="13" t="str">
        <f>IF(AH26&gt;28,"23",IF(AH26&lt;29,"24"))</f>
        <v>24</v>
      </c>
      <c r="AU44" s="13" t="str">
        <f>IF(AH26&gt;28,"24",IF(AH26&lt;29,"25"))</f>
        <v>25</v>
      </c>
      <c r="AV44" s="13" t="str">
        <f>IF(AH26&gt;28,"25",IF(AH26&lt;29,"26"))</f>
        <v>26</v>
      </c>
      <c r="AW44" s="13" t="str">
        <f>IF(AH26&gt;28,"26",IF(AH26&lt;29,"27"))</f>
        <v>27</v>
      </c>
      <c r="AX44" s="13" t="str">
        <f>IF(AH26&gt;28,"27",IF(AH26&lt;29,"28"))</f>
        <v>28</v>
      </c>
      <c r="AZ44" s="69"/>
      <c r="BA44" s="69"/>
      <c r="BB44" s="69"/>
      <c r="BC44" s="69"/>
      <c r="BD44" s="69"/>
      <c r="BF44" s="25"/>
      <c r="BG44" s="25"/>
      <c r="BH44" s="25"/>
      <c r="BI44" s="25"/>
      <c r="BJ44" s="25"/>
      <c r="BK44" s="25"/>
      <c r="BL44" s="25"/>
      <c r="BN44" s="13" t="str">
        <f>IF(BL26&gt;28,"21",IF(BL26&lt;29,"22"))</f>
        <v>22</v>
      </c>
      <c r="BO44" s="13" t="str">
        <f>IF(BL26&gt;28,"22",IF(BL26&lt;29,"23"))</f>
        <v>23</v>
      </c>
      <c r="BP44" s="13" t="str">
        <f>IF(BL26&gt;28,"23",IF(BL26&lt;29,"24"))</f>
        <v>24</v>
      </c>
      <c r="BQ44" s="13" t="str">
        <f>IF(BL26&gt;28,"24",IF(BL26&lt;29,"25"))</f>
        <v>25</v>
      </c>
      <c r="BR44" s="13" t="str">
        <f>IF(BL26&gt;28,"25",IF(BL26&lt;29,"26"))</f>
        <v>26</v>
      </c>
      <c r="BS44" s="13" t="str">
        <f>IF(BL26&gt;28,"26",IF(BL26&lt;29,"27"))</f>
        <v>27</v>
      </c>
      <c r="BT44" s="13" t="str">
        <f>IF(BL26&gt;28,"27",IF(BL26&lt;29,"28"))</f>
        <v>28</v>
      </c>
      <c r="BU44" s="13"/>
      <c r="BV44" s="13" t="str">
        <f>IF(BL26&gt;28,"21",IF(BL26&lt;29,"22"))</f>
        <v>22</v>
      </c>
      <c r="BW44" s="13" t="str">
        <f>IF(BL26&gt;28,"22",IF(BL26&lt;29,"23"))</f>
        <v>23</v>
      </c>
      <c r="BX44" s="13" t="str">
        <f>IF(BL26&gt;28,"23",IF(BL26&lt;29,"24"))</f>
        <v>24</v>
      </c>
      <c r="BY44" s="13" t="str">
        <f>IF(BL26&gt;28,"24",IF(BL26&lt;29,"25"))</f>
        <v>25</v>
      </c>
      <c r="BZ44" s="13" t="str">
        <f>IF(BL26&gt;28,"25",IF(BL26&lt;29,"26"))</f>
        <v>26</v>
      </c>
      <c r="CA44" s="13" t="str">
        <f>IF(BL26&gt;28,"26",IF(BL26&lt;29,"27"))</f>
        <v>27</v>
      </c>
      <c r="CB44" s="13" t="str">
        <f>IF(BL26&gt;28,"27",IF(BL26&lt;29,"28"))</f>
        <v>28</v>
      </c>
      <c r="CE44" s="32" t="s">
        <v>5832</v>
      </c>
      <c r="CF44" s="32"/>
      <c r="CG44" s="32"/>
      <c r="CH44" s="32"/>
      <c r="CI44" s="25" t="s">
        <v>5868</v>
      </c>
      <c r="CJ44" s="25"/>
      <c r="CK44" s="25"/>
      <c r="CL44" s="25"/>
      <c r="CM44" s="25"/>
      <c r="CN44" s="25"/>
      <c r="CO44" s="25"/>
      <c r="CP44" s="27">
        <f>CP43-10/60</f>
        <v>4.703363931644433</v>
      </c>
      <c r="CQ44" s="27"/>
      <c r="CR44" s="13" t="str">
        <f>TRUNC(CP44)&amp;":"&amp;ROUNDUP((CP44-TRUNC(CP44))*60, )</f>
        <v>4:43</v>
      </c>
      <c r="CS44" s="13"/>
      <c r="CT44" s="59"/>
      <c r="CU44" s="12"/>
      <c r="CV44" s="12"/>
      <c r="CW44" s="12"/>
      <c r="CX44" s="12"/>
      <c r="CY44" s="12"/>
      <c r="CZ44" s="12"/>
      <c r="DA44" s="12"/>
      <c r="DB44" s="12"/>
    </row>
    <row r="45" spans="8:8" ht="20.0" customHeight="1">
      <c r="A45" s="51"/>
      <c r="B45" s="52"/>
      <c r="C45" s="45"/>
      <c r="D45" s="46"/>
      <c r="E45" s="46"/>
      <c r="F45" s="46"/>
      <c r="G45" s="46"/>
      <c r="H45" s="46"/>
      <c r="I45" s="46"/>
      <c r="K45" s="13"/>
      <c r="L45" s="72" t="s">
        <v>1918</v>
      </c>
      <c r="M45" s="72"/>
      <c r="N45" s="72"/>
      <c r="O45" s="72"/>
      <c r="P45" s="75" t="str">
        <f>W35</f>
        <v>00:44:24</v>
      </c>
      <c r="Q45" s="75"/>
      <c r="R45" s="75"/>
      <c r="S45" s="75" t="str">
        <f>IF(U35&lt;12,"Malam","Hari")</f>
        <v>Malam</v>
      </c>
      <c r="T45" s="75"/>
      <c r="U45" s="73" t="str">
        <f>U44</f>
        <v>Rabu</v>
      </c>
      <c r="V45" s="73"/>
      <c r="W45" s="73"/>
      <c r="X45" s="74"/>
      <c r="Y45" s="9"/>
      <c r="Z45" s="36"/>
      <c r="AA45" s="36"/>
      <c r="AB45" s="36"/>
      <c r="AC45" s="36"/>
      <c r="AD45" s="36"/>
      <c r="AE45" s="36"/>
      <c r="AF45" s="36"/>
      <c r="AG45" s="36"/>
      <c r="AH45" s="36"/>
      <c r="AJ45" s="13" t="str">
        <f>IF(AH26&gt;28,"28",IF(AH26&lt;29,"29"))</f>
        <v>29</v>
      </c>
      <c r="AK45" s="13" t="str">
        <f>IF(AH26&gt;28,"29",IF(AH26&lt;29,"30"))</f>
        <v>30</v>
      </c>
      <c r="AL45" s="13" t="str">
        <f>IF(AH26&gt;28,"30",IF(AH26&lt;29,"1"))</f>
        <v>1</v>
      </c>
      <c r="AM45" s="13"/>
      <c r="AN45" s="13"/>
      <c r="AO45" s="13"/>
      <c r="AP45" s="13"/>
      <c r="AQ45" s="13"/>
      <c r="AR45" s="13" t="str">
        <f>IF(AH26&gt;28,"28",IF(AH26&lt;29,"29"))</f>
        <v>29</v>
      </c>
      <c r="AS45" s="13" t="str">
        <f>IF(AH26&gt;28,"29",IF(AH26&lt;29,"30"))</f>
        <v>30</v>
      </c>
      <c r="AT45" s="13" t="str">
        <f>IF(AH26&gt;28,"30",IF(AH26&lt;29,"31"))</f>
        <v>31</v>
      </c>
      <c r="AU45" s="13" t="str">
        <f>IF(AH26&gt;28,"31",IF(AH26&lt;29,"1"))</f>
        <v>1</v>
      </c>
      <c r="AV45" s="13"/>
      <c r="AW45" s="13"/>
      <c r="AX45" s="13"/>
      <c r="AZ45" s="69"/>
      <c r="BA45" s="69"/>
      <c r="BB45" s="69"/>
      <c r="BC45" s="69"/>
      <c r="BD45" s="69"/>
      <c r="BF45" s="25"/>
      <c r="BG45" s="25"/>
      <c r="BH45" s="25"/>
      <c r="BI45" s="25"/>
      <c r="BJ45" s="25"/>
      <c r="BK45" s="25"/>
      <c r="BL45" s="25"/>
      <c r="BN45" s="13" t="str">
        <f>IF(BL26&gt;28,"28",IF(BL26&lt;29,"29"))</f>
        <v>29</v>
      </c>
      <c r="BO45" s="13" t="str">
        <f>IF(BL26&gt;28,"29",IF(BL26&lt;29,"30"))</f>
        <v>30</v>
      </c>
      <c r="BP45" s="13"/>
      <c r="BQ45" s="13"/>
      <c r="BR45" s="13"/>
      <c r="BS45" s="13"/>
      <c r="BT45" s="13"/>
      <c r="BU45" s="13"/>
      <c r="BV45" s="13" t="str">
        <f>IF(BL26&gt;28,"28",IF(BL26&lt;29,"29"))</f>
        <v>29</v>
      </c>
      <c r="BW45" s="13">
        <v>30.0</v>
      </c>
      <c r="BX45" s="13"/>
      <c r="BY45" s="13"/>
      <c r="BZ45" s="13"/>
      <c r="CA45" s="13"/>
      <c r="CB45" s="13"/>
      <c r="CE45" s="32" t="s">
        <v>5834</v>
      </c>
      <c r="CF45" s="32"/>
      <c r="CG45" s="32"/>
      <c r="CH45" s="32"/>
      <c r="CI45" s="32" t="s">
        <v>5869</v>
      </c>
      <c r="CJ45" s="32"/>
      <c r="CK45" s="32"/>
      <c r="CL45" s="32"/>
      <c r="CM45" s="32"/>
      <c r="CN45" s="32"/>
      <c r="CO45" s="32"/>
      <c r="CP45" s="27">
        <f>IF(CP21="Ikhtilaf",6+(CP14/15)-CP38-CP37,6-(CP14/15)-CP38-CP37)+CP37+CP38</f>
        <v>6.135854372272183</v>
      </c>
      <c r="CQ45" s="27"/>
      <c r="CR45" s="13" t="str">
        <f>TRUNC(CP45)&amp;":"&amp;ROUNDUP((CP45-TRUNC(CP45))*60, )</f>
        <v>6:9</v>
      </c>
      <c r="CS45" s="13"/>
      <c r="CT45" s="76"/>
      <c r="CU45" s="12"/>
      <c r="CV45" s="12"/>
      <c r="CW45" s="12"/>
      <c r="CX45" s="12"/>
      <c r="CY45" s="12"/>
      <c r="CZ45" s="12"/>
      <c r="DA45" s="12"/>
      <c r="DB45" s="12"/>
    </row>
    <row r="46" spans="8:8" ht="20.0" customHeight="1">
      <c r="A46" s="51" t="s">
        <v>5627</v>
      </c>
      <c r="B46" s="52"/>
      <c r="C46" s="45"/>
      <c r="D46" s="46"/>
      <c r="E46" s="46"/>
      <c r="F46" s="46"/>
      <c r="G46" s="46"/>
      <c r="H46" s="46"/>
      <c r="I46" s="46"/>
      <c r="K46" s="13"/>
      <c r="L46" s="72" t="s">
        <v>1907</v>
      </c>
      <c r="M46" s="72"/>
      <c r="N46" s="72"/>
      <c r="O46" s="72"/>
      <c r="P46" s="73" t="str">
        <f>W37</f>
        <v>06:44:24</v>
      </c>
      <c r="Q46" s="73"/>
      <c r="R46" s="73"/>
      <c r="S46" s="73" t="str">
        <f>IF(U35&lt;10,"Malam",IF(U35&lt;12,"Subuh",IF(U35&lt;18,"Pagi",IF(U35&lt;21,"Siang",IF(U35&lt;24,"Sore")))))</f>
        <v>Malam</v>
      </c>
      <c r="T46" s="73"/>
      <c r="U46" s="73" t="str">
        <f>U45</f>
        <v>Rabu</v>
      </c>
      <c r="V46" s="73"/>
      <c r="W46" s="73"/>
      <c r="X46" s="74"/>
      <c r="Y46" s="9"/>
      <c r="Z46" s="36"/>
      <c r="AA46" s="36"/>
      <c r="AB46" s="36"/>
      <c r="AC46" s="36"/>
      <c r="AD46" s="36"/>
      <c r="AE46" s="36"/>
      <c r="AF46" s="36"/>
      <c r="AG46" s="36"/>
      <c r="AH46" s="36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Z46" s="69"/>
      <c r="BA46" s="69"/>
      <c r="BB46" s="69"/>
      <c r="BC46" s="69"/>
      <c r="BD46" s="69"/>
      <c r="BF46" s="25"/>
      <c r="BG46" s="25"/>
      <c r="BH46" s="25"/>
      <c r="BI46" s="25"/>
      <c r="BJ46" s="25"/>
      <c r="BK46" s="25"/>
      <c r="BL46" s="25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E46" s="32" t="s">
        <v>5840</v>
      </c>
      <c r="CF46" s="32"/>
      <c r="CG46" s="32"/>
      <c r="CH46" s="32"/>
      <c r="CI46" s="32" t="s">
        <v>5870</v>
      </c>
      <c r="CJ46" s="32"/>
      <c r="CK46" s="32"/>
      <c r="CL46" s="32"/>
      <c r="CM46" s="32"/>
      <c r="CN46" s="32"/>
      <c r="CO46" s="32"/>
      <c r="CP46" s="27">
        <f>IF(CP21="Ikhtilaf",6+ASIN((SIN(RADIANS(4.5))*60+CP12)/CP13)*180/PI()/15+CP38,6+ASIN((SIN(RADIANS(4.5))*60-CP12)/CP13)*180/PI()/15+CP38)+CP37+CP38</f>
        <v>6.578675571500723</v>
      </c>
      <c r="CQ46" s="27"/>
      <c r="CR46" s="13" t="str">
        <f>TRUNC(CP46)&amp;":"&amp;ROUNDUP((CP46-TRUNC(CP46))*60, )</f>
        <v>6:35</v>
      </c>
      <c r="CS46" s="13"/>
      <c r="CT46" s="59"/>
      <c r="CU46" s="12" t="s">
        <v>6077</v>
      </c>
      <c r="CV46" s="12"/>
      <c r="CW46" s="12"/>
      <c r="CX46" s="12"/>
      <c r="CY46" s="12"/>
      <c r="CZ46" s="12"/>
      <c r="DA46" s="12"/>
      <c r="DB46" s="12"/>
    </row>
    <row r="47" spans="8:8" ht="20.0" customHeight="1">
      <c r="A47" s="51"/>
      <c r="B47" s="52"/>
      <c r="C47" s="45"/>
      <c r="D47" s="46"/>
      <c r="E47" s="46"/>
      <c r="F47" s="46"/>
      <c r="G47" s="46"/>
      <c r="H47" s="46"/>
      <c r="I47" s="46"/>
      <c r="K47" s="13"/>
      <c r="L47" s="72" t="s">
        <v>1919</v>
      </c>
      <c r="M47" s="72"/>
      <c r="N47" s="72"/>
      <c r="O47" s="72"/>
      <c r="P47" s="75" t="str">
        <f>W38</f>
        <v>23:15:36</v>
      </c>
      <c r="Q47" s="75"/>
      <c r="R47" s="75"/>
      <c r="S47" s="75"/>
      <c r="T47" s="75"/>
      <c r="U47" s="73"/>
      <c r="V47" s="73"/>
      <c r="W47" s="73"/>
      <c r="X47" s="74"/>
      <c r="Y47" s="9"/>
      <c r="Z47" s="36"/>
      <c r="AA47" s="36"/>
      <c r="AB47" s="36"/>
      <c r="AC47" s="36"/>
      <c r="AD47" s="36"/>
      <c r="AE47" s="36"/>
      <c r="AF47" s="36"/>
      <c r="AG47" s="36"/>
      <c r="AH47" s="36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Z47" s="69"/>
      <c r="BA47" s="69"/>
      <c r="BB47" s="69"/>
      <c r="BC47" s="69"/>
      <c r="BD47" s="69"/>
      <c r="BF47" s="25"/>
      <c r="BG47" s="25"/>
      <c r="BH47" s="25"/>
      <c r="BI47" s="25"/>
      <c r="BJ47" s="25"/>
      <c r="BK47" s="25"/>
      <c r="BL47" s="25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E47" s="32" t="s">
        <v>5841</v>
      </c>
      <c r="CF47" s="32"/>
      <c r="CG47" s="32"/>
      <c r="CH47" s="32"/>
      <c r="CI47" s="32" t="s">
        <v>5956</v>
      </c>
      <c r="CJ47" s="32"/>
      <c r="CK47" s="32"/>
      <c r="CL47" s="32"/>
      <c r="CM47" s="32"/>
      <c r="CN47" s="32"/>
      <c r="CO47" s="32"/>
      <c r="CP47" s="27">
        <f>IF(CP21="Ikhtilaf",6+ASIN((SIN(RADIANS(9.5))*60+CP12)/CP13)*180/PI()/15+CP38,6+ASIN((SIN(RADIANS(9.5))*60-CP12)/CP13)*180/PI()/15+CP38)+CP37+CP38</f>
        <v>6.930372336761173</v>
      </c>
      <c r="CQ47" s="27"/>
      <c r="CR47" s="13" t="str">
        <f>TRUNC(CP47)&amp;":"&amp;ROUNDUP((CP47-TRUNC(CP47))*60, )</f>
        <v>6:56</v>
      </c>
      <c r="CS47" s="13"/>
      <c r="CT47" s="59"/>
      <c r="CU47" s="12"/>
      <c r="CV47" s="12"/>
      <c r="CW47" s="12"/>
      <c r="CX47" s="12"/>
      <c r="CY47" s="12"/>
      <c r="CZ47" s="12"/>
      <c r="DA47" s="12"/>
      <c r="DB47" s="12"/>
    </row>
    <row r="48" spans="8:8" ht="20.0" customHeight="1">
      <c r="A48" s="51" t="s">
        <v>5621</v>
      </c>
      <c r="B48" s="52"/>
      <c r="C48" s="45"/>
      <c r="D48" s="46"/>
      <c r="E48" s="46"/>
      <c r="F48" s="46"/>
      <c r="G48" s="46"/>
      <c r="H48" s="46"/>
      <c r="I48" s="46"/>
      <c r="K48" s="13"/>
      <c r="L48" s="72" t="s">
        <v>1920</v>
      </c>
      <c r="M48" s="72"/>
      <c r="N48" s="72"/>
      <c r="O48" s="72"/>
      <c r="P48" s="75" t="str">
        <f>TEXT(ABS((U39)/24),"[hh]°mm'ss")</f>
        <v>11°37'48</v>
      </c>
      <c r="Q48" s="75"/>
      <c r="R48" s="75" t="s">
        <v>1896</v>
      </c>
      <c r="S48" s="75" t="str">
        <f>VLOOKUP(V34,'DATA 1'!X34:Z41,3)</f>
        <v>Kamis</v>
      </c>
      <c r="T48" s="75"/>
      <c r="U48" s="73" t="str">
        <f>IF(U39&lt;2,"Tidak Imkan Ru'yat","Imkan Ru'yah")</f>
        <v>Imkan Ru'yah</v>
      </c>
      <c r="V48" s="73"/>
      <c r="W48" s="73"/>
      <c r="X48" s="74"/>
      <c r="Y48" s="9"/>
      <c r="Z48" s="36"/>
      <c r="AA48" s="36"/>
      <c r="AB48" s="36"/>
      <c r="AC48" s="36"/>
      <c r="AD48" s="36"/>
      <c r="AE48" s="36"/>
      <c r="AF48" s="36"/>
      <c r="AG48" s="36"/>
      <c r="AH48" s="36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Z48" s="69"/>
      <c r="BA48" s="69"/>
      <c r="BB48" s="69"/>
      <c r="BC48" s="69"/>
      <c r="BD48" s="69"/>
      <c r="BF48" s="25"/>
      <c r="BG48" s="25"/>
      <c r="BH48" s="25"/>
      <c r="BI48" s="25"/>
      <c r="BJ48" s="25"/>
      <c r="BK48" s="25"/>
      <c r="BL48" s="25"/>
      <c r="BN48" s="79"/>
      <c r="BO48" s="79"/>
      <c r="BP48" s="79"/>
      <c r="BQ48" s="79"/>
      <c r="BR48" s="23" t="s">
        <v>2269</v>
      </c>
      <c r="BS48" s="23"/>
      <c r="BT48" s="23"/>
      <c r="BU48" s="23"/>
      <c r="BV48" s="12">
        <v>1440.0</v>
      </c>
      <c r="BW48" s="12"/>
      <c r="BX48" s="12"/>
      <c r="BY48" s="79"/>
      <c r="BZ48" s="79"/>
      <c r="CA48" s="79"/>
      <c r="CB48" s="79"/>
      <c r="CE48" s="80" t="s">
        <v>5873</v>
      </c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1"/>
      <c r="CU48" s="12" t="s">
        <v>6095</v>
      </c>
      <c r="CV48" s="12"/>
      <c r="CW48" s="12"/>
      <c r="CX48" s="12"/>
      <c r="CY48" s="12"/>
      <c r="CZ48" s="12"/>
      <c r="DA48" s="12"/>
      <c r="DB48" s="12"/>
    </row>
    <row r="49" spans="8:8" ht="20.0" customHeight="1">
      <c r="A49" s="51"/>
      <c r="B49" s="52"/>
      <c r="C49" s="45"/>
      <c r="D49" s="46"/>
      <c r="E49" s="46"/>
      <c r="F49" s="46"/>
      <c r="G49" s="46"/>
      <c r="H49" s="46"/>
      <c r="I49" s="46"/>
      <c r="K49" s="13"/>
      <c r="L49" s="82" t="s">
        <v>1921</v>
      </c>
      <c r="M49" s="82"/>
      <c r="N49" s="82"/>
      <c r="O49" s="82"/>
      <c r="P49" s="73" t="str">
        <f>TEXT(ABS((U40)/24),"[hh]°mm'ss")</f>
        <v>00°46'33</v>
      </c>
      <c r="Q49" s="73"/>
      <c r="R49" s="73"/>
      <c r="S49" s="73"/>
      <c r="T49" s="73"/>
      <c r="U49" s="73"/>
      <c r="V49" s="73"/>
      <c r="W49" s="73"/>
      <c r="X49" s="74"/>
      <c r="Y49" s="9"/>
      <c r="Z49" s="36"/>
      <c r="AA49" s="36"/>
      <c r="AB49" s="36"/>
      <c r="AC49" s="36"/>
      <c r="AD49" s="36"/>
      <c r="AE49" s="36"/>
      <c r="AF49" s="36"/>
      <c r="AG49" s="36"/>
      <c r="AH49" s="36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Z49" s="69"/>
      <c r="BA49" s="69"/>
      <c r="BB49" s="69"/>
      <c r="BC49" s="69"/>
      <c r="BD49" s="69"/>
      <c r="BF49" s="25"/>
      <c r="BG49" s="25"/>
      <c r="BH49" s="25"/>
      <c r="BI49" s="25"/>
      <c r="BJ49" s="25"/>
      <c r="BK49" s="25"/>
      <c r="BL49" s="25"/>
      <c r="BN49" s="79"/>
      <c r="BO49" s="79"/>
      <c r="BP49" s="79"/>
      <c r="BQ49" s="79"/>
      <c r="BR49" s="23" t="s">
        <v>2270</v>
      </c>
      <c r="BS49" s="23"/>
      <c r="BT49" s="23"/>
      <c r="BU49" s="23"/>
      <c r="BV49" s="12">
        <v>4.0</v>
      </c>
      <c r="BW49" s="12"/>
      <c r="BX49" s="12"/>
      <c r="BY49" s="79"/>
      <c r="BZ49" s="79"/>
      <c r="CA49" s="79"/>
      <c r="CB49" s="79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U49" s="12"/>
      <c r="CV49" s="12"/>
      <c r="CW49" s="12"/>
      <c r="CX49" s="12"/>
      <c r="CY49" s="12"/>
      <c r="CZ49" s="12"/>
      <c r="DA49" s="12"/>
      <c r="DB49" s="12"/>
    </row>
    <row r="50" spans="8:8" ht="20.0" customHeight="1">
      <c r="A50" s="83"/>
      <c r="B50" s="84"/>
      <c r="C50" s="85"/>
      <c r="D50" s="86"/>
      <c r="E50" s="86"/>
      <c r="F50" s="86"/>
      <c r="G50" s="86"/>
      <c r="H50" s="86"/>
      <c r="I50" s="86"/>
      <c r="K50" s="13"/>
      <c r="L50" s="82" t="s">
        <v>1922</v>
      </c>
      <c r="M50" s="82"/>
      <c r="N50" s="82"/>
      <c r="O50" s="82"/>
      <c r="P50" s="73" t="str">
        <f>TEXT(ABS((U42)/24),"[hh]°mm'ss")</f>
        <v>02°23'34</v>
      </c>
      <c r="Q50" s="73"/>
      <c r="R50" s="73"/>
      <c r="S50" s="73"/>
      <c r="T50" s="73"/>
      <c r="U50" s="73"/>
      <c r="V50" s="73"/>
      <c r="W50" s="73"/>
      <c r="X50" s="74"/>
      <c r="Y50" s="9"/>
      <c r="Z50" s="36"/>
      <c r="AA50" s="36"/>
      <c r="AB50" s="36"/>
      <c r="AC50" s="36"/>
      <c r="AD50" s="36"/>
      <c r="AE50" s="36"/>
      <c r="AF50" s="36"/>
      <c r="AG50" s="36"/>
      <c r="AH50" s="36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Z50" s="69"/>
      <c r="BA50" s="69"/>
      <c r="BB50" s="69"/>
      <c r="BC50" s="69"/>
      <c r="BD50" s="69"/>
      <c r="BF50" s="25"/>
      <c r="BG50" s="25"/>
      <c r="BH50" s="25"/>
      <c r="BI50" s="25"/>
      <c r="BJ50" s="25"/>
      <c r="BK50" s="25"/>
      <c r="BL50" s="25"/>
      <c r="BN50" s="79"/>
      <c r="BO50" s="79"/>
      <c r="BP50" s="79"/>
      <c r="BQ50" s="79"/>
      <c r="BR50" s="23" t="s">
        <v>2282</v>
      </c>
      <c r="BS50" s="23"/>
      <c r="BT50" s="23"/>
      <c r="BU50" s="23"/>
      <c r="BV50" s="12">
        <f>BV48+BV49+1</f>
        <v>1445.0</v>
      </c>
      <c r="BW50" s="12"/>
      <c r="BX50" s="12"/>
      <c r="BY50" s="79"/>
      <c r="BZ50" s="79"/>
      <c r="CA50" s="79"/>
      <c r="CB50" s="79"/>
      <c r="CE50" s="32" t="s">
        <v>5944</v>
      </c>
      <c r="CF50" s="32"/>
      <c r="CG50" s="32" t="s">
        <v>5945</v>
      </c>
      <c r="CH50" s="32"/>
      <c r="CI50" s="32" t="s">
        <v>5946</v>
      </c>
      <c r="CJ50" s="32"/>
      <c r="CK50" s="32" t="s">
        <v>5954</v>
      </c>
      <c r="CL50" s="32"/>
      <c r="CM50" s="32"/>
      <c r="CN50" s="32" t="s">
        <v>5949</v>
      </c>
      <c r="CO50" s="32"/>
      <c r="CP50" s="32" t="s">
        <v>6091</v>
      </c>
      <c r="CQ50" s="32"/>
      <c r="CR50" s="32" t="s">
        <v>6092</v>
      </c>
      <c r="CS50" s="32"/>
      <c r="CU50" s="12" t="s">
        <v>6094</v>
      </c>
      <c r="CV50" s="12"/>
      <c r="CW50" s="12"/>
      <c r="CX50" s="12"/>
      <c r="CY50" s="12"/>
      <c r="CZ50" s="12"/>
      <c r="DA50" s="12"/>
      <c r="DB50" s="12"/>
    </row>
    <row r="51" spans="8:8" ht="20.0" customFormat="1" customHeight="1">
      <c r="A51" s="83"/>
      <c r="B51" s="84"/>
      <c r="C51" s="85"/>
      <c r="D51" s="86"/>
      <c r="E51" s="86"/>
      <c r="F51" s="86"/>
      <c r="G51" s="86"/>
      <c r="H51" s="86"/>
      <c r="I51" s="86"/>
      <c r="K51" s="13"/>
      <c r="L51" s="82" t="s">
        <v>2027</v>
      </c>
      <c r="M51" s="82"/>
      <c r="N51" s="82"/>
      <c r="O51" s="82"/>
      <c r="P51" s="73" t="str">
        <f>U24</f>
        <v>Al-Janub</v>
      </c>
      <c r="Q51" s="73"/>
      <c r="R51" s="73"/>
      <c r="S51" s="73"/>
      <c r="T51" s="73"/>
      <c r="U51" s="73" t="str">
        <f>W24</f>
        <v>Selatan</v>
      </c>
      <c r="V51" s="73"/>
      <c r="W51" s="73"/>
      <c r="X51" s="74"/>
      <c r="Y51" s="9"/>
      <c r="Z51" s="36"/>
      <c r="AA51" s="36"/>
      <c r="AB51" s="36"/>
      <c r="AC51" s="36"/>
      <c r="AD51" s="36"/>
      <c r="AE51" s="36"/>
      <c r="AF51" s="36"/>
      <c r="AG51" s="36"/>
      <c r="AH51" s="36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Z51" s="69"/>
      <c r="BA51" s="69"/>
      <c r="BB51" s="69"/>
      <c r="BC51" s="69"/>
      <c r="BD51" s="69"/>
      <c r="BF51" s="25"/>
      <c r="BG51" s="25"/>
      <c r="BH51" s="25"/>
      <c r="BI51" s="25"/>
      <c r="BJ51" s="25"/>
      <c r="BK51" s="25"/>
      <c r="BL51" s="25"/>
      <c r="BN51" s="79"/>
      <c r="BO51" s="79"/>
      <c r="BP51" s="79"/>
      <c r="BQ51" s="79"/>
      <c r="BR51" s="23"/>
      <c r="BS51" s="23"/>
      <c r="BT51" s="23"/>
      <c r="BU51" s="23"/>
      <c r="BV51" s="12"/>
      <c r="BW51" s="12"/>
      <c r="BX51" s="12"/>
      <c r="BY51" s="79"/>
      <c r="BZ51" s="79"/>
      <c r="CA51" s="79"/>
      <c r="CB51" s="79"/>
      <c r="CE51" s="32">
        <v>39.817</v>
      </c>
      <c r="CF51" s="32"/>
      <c r="CG51" s="32">
        <v>21.417</v>
      </c>
      <c r="CH51" s="32"/>
      <c r="CI51" s="87" t="s">
        <v>5913</v>
      </c>
      <c r="CJ51" s="87"/>
      <c r="CK51" s="88">
        <f>IF(CI51="Selatan",(CK5)*-1,CK5)</f>
        <v>6.617</v>
      </c>
      <c r="CL51" s="88"/>
      <c r="CM51" s="88"/>
      <c r="CN51" s="88">
        <f>CH5-CE51</f>
        <v>66.816</v>
      </c>
      <c r="CO51" s="88"/>
      <c r="CP51" s="88">
        <f>ATAN(COS(RADIANS(CK51))*TAN(RADIANS(CG51))/SIN(RADIANS(CN51))-SIN(RADIANS(CK51))/TAN(RADIANS(CN51)))*180/PI()</f>
        <v>20.531073945501618</v>
      </c>
      <c r="CQ51" s="88"/>
      <c r="CR51" s="88">
        <f>270+CP51</f>
        <v>290.5310739455016</v>
      </c>
      <c r="CS51" s="88"/>
      <c r="CU51" s="12"/>
      <c r="CV51" s="12"/>
      <c r="CW51" s="12"/>
      <c r="CX51" s="12"/>
      <c r="CY51" s="12"/>
      <c r="CZ51" s="12"/>
      <c r="DA51" s="12"/>
      <c r="DB51" s="12"/>
    </row>
    <row r="52" spans="8:8" ht="20.0" customFormat="1" customHeight="1">
      <c r="A52" s="83"/>
      <c r="B52" s="84"/>
      <c r="C52" s="85"/>
      <c r="D52" s="86"/>
      <c r="E52" s="86"/>
      <c r="F52" s="86"/>
      <c r="G52" s="86"/>
      <c r="H52" s="86"/>
      <c r="I52" s="86"/>
      <c r="K52" s="13"/>
      <c r="L52" s="82" t="s">
        <v>2028</v>
      </c>
      <c r="M52" s="82"/>
      <c r="N52" s="82"/>
      <c r="O52" s="82"/>
      <c r="P52" s="73" t="str">
        <f>U23</f>
        <v>Ad-Dalwu</v>
      </c>
      <c r="Q52" s="73"/>
      <c r="R52" s="73"/>
      <c r="S52" s="73"/>
      <c r="T52" s="73"/>
      <c r="U52" s="73" t="str">
        <f>W23</f>
        <v>Februari</v>
      </c>
      <c r="V52" s="73"/>
      <c r="W52" s="73"/>
      <c r="X52" s="74"/>
      <c r="Y52" s="9"/>
      <c r="Z52" s="36"/>
      <c r="AA52" s="36"/>
      <c r="AB52" s="36"/>
      <c r="AC52" s="36"/>
      <c r="AD52" s="36"/>
      <c r="AE52" s="36"/>
      <c r="AF52" s="36"/>
      <c r="AG52" s="36"/>
      <c r="AH52" s="36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Z52" s="69"/>
      <c r="BA52" s="69"/>
      <c r="BB52" s="69"/>
      <c r="BC52" s="69"/>
      <c r="BD52" s="69"/>
      <c r="BF52" s="25"/>
      <c r="BG52" s="25"/>
      <c r="BH52" s="25"/>
      <c r="BI52" s="25"/>
      <c r="BJ52" s="25"/>
      <c r="BK52" s="25"/>
      <c r="BL52" s="25"/>
      <c r="BN52" s="89" t="s">
        <v>2276</v>
      </c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U52" s="13"/>
      <c r="CV52" s="13"/>
      <c r="CW52" s="13"/>
      <c r="CX52" s="13"/>
      <c r="CY52" s="13"/>
      <c r="CZ52" s="13"/>
      <c r="DA52" s="13"/>
      <c r="DB52" s="13"/>
    </row>
    <row r="53" spans="8:8" ht="20.0" customHeight="1">
      <c r="A53" s="83"/>
      <c r="B53" s="84"/>
      <c r="C53" s="85"/>
      <c r="D53" s="86"/>
      <c r="E53" s="86"/>
      <c r="F53" s="86"/>
      <c r="G53" s="86"/>
      <c r="H53" s="86"/>
      <c r="I53" s="86"/>
      <c r="K53" s="13"/>
      <c r="L53" s="82" t="s">
        <v>1923</v>
      </c>
      <c r="M53" s="82"/>
      <c r="N53" s="82"/>
      <c r="O53" s="82"/>
      <c r="P53" s="73" t="str">
        <f>M10</f>
        <v>Romadhon</v>
      </c>
      <c r="Q53" s="73"/>
      <c r="R53" s="73"/>
      <c r="S53" s="73"/>
      <c r="T53" s="73"/>
      <c r="U53" s="73">
        <f>L10</f>
        <v>1447.0</v>
      </c>
      <c r="V53" s="73"/>
      <c r="W53" s="73" t="s">
        <v>1915</v>
      </c>
      <c r="X53" s="74"/>
      <c r="Y53" s="9"/>
      <c r="Z53" s="36"/>
      <c r="AA53" s="36"/>
      <c r="AB53" s="36"/>
      <c r="AC53" s="36"/>
      <c r="AD53" s="36"/>
      <c r="AE53" s="36"/>
      <c r="AF53" s="36"/>
      <c r="AG53" s="36"/>
      <c r="AH53" s="36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Z53" s="69"/>
      <c r="BA53" s="69"/>
      <c r="BB53" s="69"/>
      <c r="BC53" s="69"/>
      <c r="BD53" s="69"/>
      <c r="BF53" s="25"/>
      <c r="BG53" s="25"/>
      <c r="BH53" s="25"/>
      <c r="BI53" s="25"/>
      <c r="BJ53" s="25"/>
      <c r="BK53" s="25"/>
      <c r="BL53" s="25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E53" s="12" t="s">
        <v>6086</v>
      </c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U53" s="13"/>
      <c r="CV53" s="13"/>
      <c r="CW53" s="13"/>
      <c r="CX53" s="13"/>
      <c r="CY53" s="13"/>
      <c r="CZ53" s="13"/>
      <c r="DA53" s="13"/>
      <c r="DB53" s="13"/>
    </row>
    <row r="54" spans="8:8" ht="20.0" customHeight="1">
      <c r="A54" s="83"/>
      <c r="B54" s="84"/>
      <c r="C54" s="85"/>
      <c r="D54" s="86"/>
      <c r="E54" s="86"/>
      <c r="F54" s="86"/>
      <c r="G54" s="86"/>
      <c r="H54" s="86"/>
      <c r="I54" s="86"/>
      <c r="K54" s="13"/>
      <c r="L54" s="82" t="s">
        <v>2029</v>
      </c>
      <c r="M54" s="82"/>
      <c r="N54" s="82"/>
      <c r="O54" s="82"/>
      <c r="P54" s="73" t="str">
        <f>IF(U39&lt;2,VLOOKUP(V34,'DATA 1'!X34:AA41,4),VLOOKUP(V34,'DATA 1'!X34:AA41,3))</f>
        <v>Kamis</v>
      </c>
      <c r="Q54" s="73"/>
      <c r="R54" s="73"/>
      <c r="S54" s="73"/>
      <c r="T54" s="73"/>
      <c r="U54" s="73"/>
      <c r="V54" s="73"/>
      <c r="W54" s="73"/>
      <c r="X54" s="74"/>
      <c r="Y54" s="9"/>
      <c r="Z54" s="36"/>
      <c r="AA54" s="36"/>
      <c r="AB54" s="36"/>
      <c r="AC54" s="36"/>
      <c r="AD54" s="36"/>
      <c r="AE54" s="36"/>
      <c r="AF54" s="36"/>
      <c r="AG54" s="36"/>
      <c r="AH54" s="36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Z54" s="69"/>
      <c r="BA54" s="69"/>
      <c r="BB54" s="69"/>
      <c r="BC54" s="69"/>
      <c r="BD54" s="69"/>
      <c r="BF54" s="90"/>
      <c r="BG54" s="90"/>
      <c r="BH54" s="90"/>
      <c r="BI54" s="90"/>
      <c r="BJ54" s="90"/>
      <c r="BK54" s="90"/>
      <c r="BL54" s="90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E54" s="12" t="s">
        <v>6087</v>
      </c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U54" s="13"/>
      <c r="CV54" s="13"/>
      <c r="CW54" s="13"/>
      <c r="CX54" s="13"/>
      <c r="CY54" s="13"/>
      <c r="CZ54" s="13"/>
      <c r="DA54" s="13"/>
      <c r="DB54" s="13"/>
    </row>
    <row r="55" spans="8:8" ht="20.0" customHeight="1">
      <c r="A55" s="83"/>
      <c r="B55" s="84"/>
      <c r="C55" s="85"/>
      <c r="D55" s="86"/>
      <c r="E55" s="86"/>
      <c r="F55" s="86"/>
      <c r="G55" s="86"/>
      <c r="H55" s="86"/>
      <c r="I55" s="86"/>
      <c r="K55" s="91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4"/>
      <c r="Z55" s="36"/>
      <c r="AA55" s="36"/>
      <c r="AB55" s="36"/>
      <c r="AC55" s="36"/>
      <c r="AD55" s="36"/>
      <c r="AE55" s="36"/>
      <c r="AF55" s="36"/>
      <c r="AG55" s="36"/>
      <c r="AH55" s="36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Z55" s="69"/>
      <c r="BA55" s="69"/>
      <c r="BB55" s="69"/>
      <c r="BC55" s="69"/>
      <c r="BD55" s="69"/>
      <c r="BF55" s="90"/>
      <c r="BG55" s="90"/>
      <c r="BH55" s="90"/>
      <c r="BI55" s="90"/>
      <c r="BJ55" s="90"/>
      <c r="BK55" s="90"/>
      <c r="BL55" s="90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E55" s="12" t="s">
        <v>6089</v>
      </c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U55" s="13"/>
      <c r="CV55" s="13"/>
      <c r="CW55" s="13"/>
      <c r="CX55" s="13"/>
      <c r="CY55" s="13"/>
      <c r="CZ55" s="13"/>
      <c r="DA55" s="13"/>
      <c r="DB55" s="13"/>
    </row>
    <row r="56" spans="8:8" ht="25.0" customHeight="1">
      <c r="A56" s="9"/>
      <c r="B56" s="84"/>
      <c r="C56" s="84"/>
      <c r="D56" s="84"/>
      <c r="E56" s="84"/>
      <c r="F56" s="84"/>
      <c r="G56" s="84"/>
      <c r="H56" s="84"/>
      <c r="I56" s="84"/>
      <c r="L56" s="5"/>
      <c r="M56" s="5"/>
      <c r="N56" s="5"/>
      <c r="O56" s="5"/>
      <c r="P56" s="5"/>
      <c r="Q56" s="5"/>
      <c r="R56" s="92"/>
      <c r="S56" s="5"/>
      <c r="T56" s="5"/>
      <c r="U56" s="5"/>
      <c r="V56" s="5"/>
      <c r="W56" s="5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</row>
    <row r="57" spans="8:8" ht="20.0" customHeight="1">
      <c r="CE57" s="94"/>
      <c r="CF57" s="94"/>
      <c r="CG57" s="94"/>
      <c r="CH57" s="94"/>
      <c r="CI57" s="94"/>
      <c r="CJ57" s="94"/>
      <c r="CK57" s="94"/>
      <c r="CL57" s="94"/>
      <c r="CM57" s="95"/>
      <c r="CN57" s="95"/>
      <c r="CO57" s="94"/>
      <c r="CP57" s="94"/>
      <c r="CQ57" s="94"/>
      <c r="CR57" s="94"/>
      <c r="CS57" s="94"/>
    </row>
    <row r="58" spans="8:8">
      <c r="W58"/>
      <c r="CE58" s="96"/>
      <c r="CF58" s="96"/>
      <c r="CG58" s="96"/>
      <c r="CH58" s="96"/>
      <c r="CI58" s="96"/>
      <c r="CJ58" s="96"/>
      <c r="CK58" s="97"/>
      <c r="CL58" s="97"/>
      <c r="CM58" s="97"/>
      <c r="CN58" s="97"/>
      <c r="CO58" s="97"/>
      <c r="CP58" s="97"/>
      <c r="CQ58" s="97"/>
      <c r="CR58" s="97"/>
      <c r="CS58" s="97"/>
    </row>
    <row r="59" spans="8:8">
      <c r="O59"/>
      <c r="Q59" s="98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9"/>
      <c r="CQ59" s="94"/>
      <c r="CR59" s="94"/>
      <c r="CS59" s="94"/>
    </row>
    <row r="60" spans="8:8">
      <c r="A60" s="100"/>
      <c r="B60" s="101"/>
      <c r="C60" s="101"/>
      <c r="D60" s="101"/>
      <c r="E60" s="101"/>
      <c r="F60" s="101"/>
      <c r="G60" s="101"/>
      <c r="H60" s="101"/>
      <c r="I60" s="101"/>
      <c r="Q60" s="98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</row>
    <row r="61" spans="8:8">
      <c r="A61" s="100"/>
      <c r="B61" s="101"/>
      <c r="C61" s="101"/>
      <c r="D61" s="101"/>
      <c r="E61" s="101"/>
      <c r="F61" s="101"/>
      <c r="G61" s="101"/>
      <c r="H61" s="101"/>
      <c r="I61" s="101"/>
      <c r="CE61" s="94"/>
      <c r="CF61" s="94"/>
      <c r="CG61" s="94"/>
      <c r="CH61" s="94"/>
      <c r="CI61" s="94"/>
      <c r="CJ61" s="102"/>
      <c r="CK61" s="102"/>
      <c r="CL61" s="94"/>
      <c r="CM61" s="94"/>
      <c r="CN61" s="94"/>
      <c r="CO61" s="94"/>
      <c r="CP61" s="94"/>
      <c r="CQ61" s="94"/>
      <c r="CR61" s="94"/>
      <c r="CS61" s="94"/>
    </row>
    <row r="62" spans="8:8">
      <c r="A62" s="100"/>
      <c r="B62" s="101"/>
      <c r="C62" s="101"/>
      <c r="D62" s="101"/>
      <c r="E62" s="101"/>
      <c r="F62" s="101"/>
      <c r="G62" s="101"/>
      <c r="H62" s="101"/>
      <c r="I62" s="101"/>
    </row>
    <row r="63" spans="8:8">
      <c r="A63" s="100"/>
      <c r="B63" s="101"/>
      <c r="C63" s="101"/>
      <c r="D63" s="101"/>
      <c r="E63" s="101"/>
      <c r="F63" s="101"/>
      <c r="G63" s="101"/>
      <c r="H63" s="101"/>
      <c r="I63" s="101"/>
    </row>
    <row r="64" spans="8:8">
      <c r="A64" s="100"/>
      <c r="B64" s="101"/>
      <c r="C64" s="101"/>
      <c r="D64" s="101"/>
      <c r="E64" s="101"/>
      <c r="F64" s="101"/>
      <c r="G64" s="101"/>
      <c r="H64" s="101"/>
      <c r="I64" s="101"/>
    </row>
    <row r="65" spans="8:8">
      <c r="A65" s="100"/>
      <c r="B65" s="101"/>
      <c r="C65" s="101"/>
      <c r="D65" s="101"/>
      <c r="E65" s="101"/>
      <c r="F65" s="101"/>
      <c r="G65" s="101"/>
      <c r="H65" s="101"/>
      <c r="I65" s="101"/>
    </row>
    <row r="66" spans="8:8">
      <c r="A66" s="100"/>
      <c r="B66" s="101"/>
      <c r="C66" s="101"/>
      <c r="D66" s="101"/>
      <c r="E66" s="101"/>
      <c r="F66" s="101"/>
      <c r="G66" s="101"/>
      <c r="H66" s="101"/>
      <c r="I66" s="101"/>
    </row>
    <row r="67" spans="8:8">
      <c r="A67" s="100"/>
      <c r="B67" s="101"/>
      <c r="C67" s="101"/>
      <c r="D67" s="101"/>
      <c r="E67" s="101"/>
      <c r="F67" s="101"/>
      <c r="G67" s="101"/>
      <c r="H67" s="101"/>
      <c r="I67" s="101"/>
      <c r="AC67"/>
    </row>
    <row r="69" spans="8:8">
      <c r="BR69" s="94"/>
      <c r="BS69" s="94"/>
      <c r="BT69" s="94"/>
      <c r="BU69" s="94"/>
    </row>
    <row r="70" spans="8:8">
      <c r="BR70" s="94"/>
      <c r="BS70" s="94"/>
      <c r="BT70" s="94"/>
      <c r="BU70" s="94"/>
    </row>
    <row r="71" spans="8:8">
      <c r="BR71" s="94"/>
      <c r="BS71" s="94"/>
      <c r="BT71" s="94"/>
      <c r="BU71" s="94"/>
    </row>
    <row r="72" spans="8:8">
      <c r="BR72" s="94"/>
      <c r="BS72" s="94"/>
      <c r="BT72" s="94"/>
      <c r="BU72" s="94"/>
    </row>
    <row r="73" spans="8:8">
      <c r="BR73" s="94"/>
      <c r="BS73" s="94"/>
      <c r="BT73" s="94"/>
      <c r="BU73" s="94"/>
    </row>
    <row r="74" spans="8:8">
      <c r="BR74" s="94"/>
      <c r="BS74" s="94"/>
      <c r="BT74" s="94"/>
      <c r="BU74" s="94"/>
    </row>
  </sheetData>
  <sheetProtection sheet="0" selectLockedCells="1" selectUnlockedCells="1"/>
  <mergeCells count="407">
    <mergeCell ref="L19:O19"/>
    <mergeCell ref="BN52:CB55"/>
    <mergeCell ref="L47:O47"/>
    <mergeCell ref="CH5:CJ5"/>
    <mergeCell ref="CP23:CQ23"/>
    <mergeCell ref="CR47:CS47"/>
    <mergeCell ref="L16:O16"/>
    <mergeCell ref="D28:H28"/>
    <mergeCell ref="D27:H27"/>
    <mergeCell ref="CK50:CM50"/>
    <mergeCell ref="L55:W55"/>
    <mergeCell ref="U51:W51"/>
    <mergeCell ref="CE54:CS54"/>
    <mergeCell ref="P54:T54"/>
    <mergeCell ref="L54:O54"/>
    <mergeCell ref="U54:W54"/>
    <mergeCell ref="CU54:DB55"/>
    <mergeCell ref="P53:T53"/>
    <mergeCell ref="BR51:BT51"/>
    <mergeCell ref="L53:O53"/>
    <mergeCell ref="CU7:DB8"/>
    <mergeCell ref="CI34:CO34"/>
    <mergeCell ref="CU48:DB49"/>
    <mergeCell ref="L32:O32"/>
    <mergeCell ref="CU19:DB20"/>
    <mergeCell ref="P17:T17"/>
    <mergeCell ref="CU29:DB30"/>
    <mergeCell ref="CR37:CS37"/>
    <mergeCell ref="CE18:CH18"/>
    <mergeCell ref="CP21:CQ21"/>
    <mergeCell ref="CE24:CS24"/>
    <mergeCell ref="CP28:CQ28"/>
    <mergeCell ref="A41:A43"/>
    <mergeCell ref="P40:T40"/>
    <mergeCell ref="CE43:CH43"/>
    <mergeCell ref="CU9:DB10"/>
    <mergeCell ref="CU27:DB28"/>
    <mergeCell ref="CP38:CQ38"/>
    <mergeCell ref="CR25:CS25"/>
    <mergeCell ref="CI32:CO32"/>
    <mergeCell ref="CU13:DB14"/>
    <mergeCell ref="AJ24:AP24"/>
    <mergeCell ref="AB20:AF20"/>
    <mergeCell ref="CU23:DB24"/>
    <mergeCell ref="AR24:AX24"/>
    <mergeCell ref="CE21:CH21"/>
    <mergeCell ref="CU38:DB39"/>
    <mergeCell ref="P38:T38"/>
    <mergeCell ref="CP31:CQ31"/>
    <mergeCell ref="CE49:CS49"/>
    <mergeCell ref="P34:T34"/>
    <mergeCell ref="CK5:CM5"/>
    <mergeCell ref="CQ5:CS5"/>
    <mergeCell ref="AJ10:AP10"/>
    <mergeCell ref="CE39:CH39"/>
    <mergeCell ref="A27:A28"/>
    <mergeCell ref="CP30:CQ30"/>
    <mergeCell ref="CI8:CO8"/>
    <mergeCell ref="CR8:CS8"/>
    <mergeCell ref="CU3:DB4"/>
    <mergeCell ref="CP51:CQ51"/>
    <mergeCell ref="L21:O21"/>
    <mergeCell ref="AE14:AG14"/>
    <mergeCell ref="A46:A47"/>
    <mergeCell ref="L15:W15"/>
    <mergeCell ref="CE28:CH28"/>
    <mergeCell ref="BN1:CB2"/>
    <mergeCell ref="CI11:CO11"/>
    <mergeCell ref="A1:A4"/>
    <mergeCell ref="CU1:DB2"/>
    <mergeCell ref="L48:O48"/>
    <mergeCell ref="CE23:CH23"/>
    <mergeCell ref="CR44:CS44"/>
    <mergeCell ref="P20:T20"/>
    <mergeCell ref="CP43:CQ43"/>
    <mergeCell ref="CE35:CS35"/>
    <mergeCell ref="CI31:CO31"/>
    <mergeCell ref="CR17:CS17"/>
    <mergeCell ref="P48:Q48"/>
    <mergeCell ref="D20:H20"/>
    <mergeCell ref="CE55:CS55"/>
    <mergeCell ref="D26:H26"/>
    <mergeCell ref="L24:O24"/>
    <mergeCell ref="P49:Q49"/>
    <mergeCell ref="CJ61:CK61"/>
    <mergeCell ref="CI40:CO40"/>
    <mergeCell ref="A25:A26"/>
    <mergeCell ref="BH10:BJ10"/>
    <mergeCell ref="D41:I41"/>
    <mergeCell ref="CE31:CH31"/>
    <mergeCell ref="O4:S4"/>
    <mergeCell ref="CI20:CO20"/>
    <mergeCell ref="CE38:CH38"/>
    <mergeCell ref="U47:W47"/>
    <mergeCell ref="CI44:CO44"/>
    <mergeCell ref="CE37:CH37"/>
    <mergeCell ref="P21:T21"/>
    <mergeCell ref="CR18:CS18"/>
    <mergeCell ref="CE50:CF50"/>
    <mergeCell ref="CR26:CS26"/>
    <mergeCell ref="CI21:CO21"/>
    <mergeCell ref="CP40:CQ40"/>
    <mergeCell ref="CI25:CO25"/>
    <mergeCell ref="CE29:CS29"/>
    <mergeCell ref="U52:W52"/>
    <mergeCell ref="L34:O34"/>
    <mergeCell ref="CR16:CS16"/>
    <mergeCell ref="AJ3:AP3"/>
    <mergeCell ref="CI9:CO9"/>
    <mergeCell ref="U45:W45"/>
    <mergeCell ref="D37:I37"/>
    <mergeCell ref="CE9:CH9"/>
    <mergeCell ref="U48:W48"/>
    <mergeCell ref="CE22:CH22"/>
    <mergeCell ref="AR17:AX17"/>
    <mergeCell ref="L22:O22"/>
    <mergeCell ref="L52:O52"/>
    <mergeCell ref="BV17:CB17"/>
    <mergeCell ref="L38:O38"/>
    <mergeCell ref="CE33:CH33"/>
    <mergeCell ref="AJ31:AP31"/>
    <mergeCell ref="L31:O31"/>
    <mergeCell ref="BV3:CB3"/>
    <mergeCell ref="P29:T29"/>
    <mergeCell ref="CI33:CO33"/>
    <mergeCell ref="CP8:CQ8"/>
    <mergeCell ref="CI42:CO42"/>
    <mergeCell ref="CE17:CH17"/>
    <mergeCell ref="CP50:CQ50"/>
    <mergeCell ref="CI22:CO22"/>
    <mergeCell ref="P32:T32"/>
    <mergeCell ref="L27:O27"/>
    <mergeCell ref="P28:T28"/>
    <mergeCell ref="P26:T26"/>
    <mergeCell ref="L29:O29"/>
    <mergeCell ref="CU44:DB45"/>
    <mergeCell ref="CI18:CO18"/>
    <mergeCell ref="CE42:CH42"/>
    <mergeCell ref="CR11:CS11"/>
    <mergeCell ref="P35:T35"/>
    <mergeCell ref="L26:O26"/>
    <mergeCell ref="P25:T25"/>
    <mergeCell ref="BN39:BT39"/>
    <mergeCell ref="P47:Q47"/>
    <mergeCell ref="C43:I43"/>
    <mergeCell ref="CI30:CO30"/>
    <mergeCell ref="L5:M5"/>
    <mergeCell ref="A18:A22"/>
    <mergeCell ref="A5:A8"/>
    <mergeCell ref="CP20:CQ20"/>
    <mergeCell ref="L25:O25"/>
    <mergeCell ref="P23:T23"/>
    <mergeCell ref="CE5:CG5"/>
    <mergeCell ref="C7:I8"/>
    <mergeCell ref="C11:I12"/>
    <mergeCell ref="U4:W4"/>
    <mergeCell ref="AJ48:AL48"/>
    <mergeCell ref="CE7:CH7"/>
    <mergeCell ref="CR50:CS50"/>
    <mergeCell ref="CP26:CQ26"/>
    <mergeCell ref="CI47:CO47"/>
    <mergeCell ref="BV31:CB31"/>
    <mergeCell ref="CI39:CO39"/>
    <mergeCell ref="CI37:CO37"/>
    <mergeCell ref="CE32:CH32"/>
    <mergeCell ref="K3:M3"/>
    <mergeCell ref="U3:W3"/>
    <mergeCell ref="P33:T33"/>
    <mergeCell ref="CP10:CQ10"/>
    <mergeCell ref="CR22:CS22"/>
    <mergeCell ref="CR9:CS9"/>
    <mergeCell ref="D17:H17"/>
    <mergeCell ref="CE20:CH20"/>
    <mergeCell ref="L30:O30"/>
    <mergeCell ref="D33:I33"/>
    <mergeCell ref="L17:O17"/>
    <mergeCell ref="P18:T18"/>
    <mergeCell ref="CP45:CQ45"/>
    <mergeCell ref="CE4:CG4"/>
    <mergeCell ref="BR49:BT49"/>
    <mergeCell ref="CE19:CS19"/>
    <mergeCell ref="CE34:CH34"/>
    <mergeCell ref="CI23:CO23"/>
    <mergeCell ref="BF1:BL2"/>
    <mergeCell ref="AZ1:BD2"/>
    <mergeCell ref="CE1:CS2"/>
    <mergeCell ref="CP16:CQ16"/>
    <mergeCell ref="AJ39:AP39"/>
    <mergeCell ref="C1:I2"/>
    <mergeCell ref="AR39:AX39"/>
    <mergeCell ref="CI12:CO12"/>
    <mergeCell ref="BV48:BX48"/>
    <mergeCell ref="CP44:CQ44"/>
    <mergeCell ref="AR3:AX3"/>
    <mergeCell ref="AJ1:AX2"/>
    <mergeCell ref="Z1:AH2"/>
    <mergeCell ref="L36:O36"/>
    <mergeCell ref="K1:W2"/>
    <mergeCell ref="C5:I6"/>
    <mergeCell ref="Z13:AA13"/>
    <mergeCell ref="O3:S3"/>
    <mergeCell ref="D21:H21"/>
    <mergeCell ref="CE47:CH47"/>
    <mergeCell ref="CI10:CO10"/>
    <mergeCell ref="CR30:CS30"/>
    <mergeCell ref="CR42:CS42"/>
    <mergeCell ref="CI28:CO28"/>
    <mergeCell ref="CI38:CO38"/>
    <mergeCell ref="C13:I14"/>
    <mergeCell ref="P45:Q45"/>
    <mergeCell ref="A44:A45"/>
    <mergeCell ref="D42:I42"/>
    <mergeCell ref="L40:O40"/>
    <mergeCell ref="D36:H36"/>
    <mergeCell ref="D22:H22"/>
    <mergeCell ref="AR10:AX10"/>
    <mergeCell ref="D32:I32"/>
    <mergeCell ref="P42:T42"/>
    <mergeCell ref="P37:T37"/>
    <mergeCell ref="CR32:CS32"/>
    <mergeCell ref="L23:O23"/>
    <mergeCell ref="S47:T47"/>
    <mergeCell ref="A23:A24"/>
    <mergeCell ref="P16:T16"/>
    <mergeCell ref="CE3:CS3"/>
    <mergeCell ref="CE45:CH45"/>
    <mergeCell ref="CU5:DB6"/>
    <mergeCell ref="CE40:CH40"/>
    <mergeCell ref="CI45:CO45"/>
    <mergeCell ref="CI26:CO26"/>
    <mergeCell ref="CU42:DB43"/>
    <mergeCell ref="CN51:CO51"/>
    <mergeCell ref="CR27:CS27"/>
    <mergeCell ref="CN50:CO50"/>
    <mergeCell ref="CR40:CS40"/>
    <mergeCell ref="D18:H18"/>
    <mergeCell ref="P46:Q46"/>
    <mergeCell ref="P30:T30"/>
    <mergeCell ref="L50:O50"/>
    <mergeCell ref="P27:T27"/>
    <mergeCell ref="CU52:DB53"/>
    <mergeCell ref="CP14:CQ14"/>
    <mergeCell ref="CP27:CQ27"/>
    <mergeCell ref="CU33:DB34"/>
    <mergeCell ref="CR34:CS34"/>
    <mergeCell ref="Z14:AA14"/>
    <mergeCell ref="L51:O51"/>
    <mergeCell ref="D23:H23"/>
    <mergeCell ref="L45:O45"/>
    <mergeCell ref="U46:W46"/>
    <mergeCell ref="C29:I30"/>
    <mergeCell ref="CU17:DB18"/>
    <mergeCell ref="CI43:CO43"/>
    <mergeCell ref="CP46:CQ46"/>
    <mergeCell ref="CP15:CQ15"/>
    <mergeCell ref="BV24:CB24"/>
    <mergeCell ref="CR38:CS38"/>
    <mergeCell ref="CR12:CS12"/>
    <mergeCell ref="AR31:AX31"/>
    <mergeCell ref="CU50:DB51"/>
    <mergeCell ref="CE13:CH13"/>
    <mergeCell ref="CU11:DB12"/>
    <mergeCell ref="CP37:CQ37"/>
    <mergeCell ref="CU21:DB22"/>
    <mergeCell ref="CU31:DB32"/>
    <mergeCell ref="U50:W50"/>
    <mergeCell ref="L18:O18"/>
    <mergeCell ref="A48:A49"/>
    <mergeCell ref="BV10:CB10"/>
    <mergeCell ref="CU35:DB37"/>
    <mergeCell ref="CR43:CS43"/>
    <mergeCell ref="P50:Q50"/>
    <mergeCell ref="D38:I38"/>
    <mergeCell ref="P24:T24"/>
    <mergeCell ref="L44:O44"/>
    <mergeCell ref="L39:O39"/>
    <mergeCell ref="CE44:CH44"/>
    <mergeCell ref="CR15:CS15"/>
    <mergeCell ref="BR48:BT48"/>
    <mergeCell ref="CE46:CH46"/>
    <mergeCell ref="CP17:CQ17"/>
    <mergeCell ref="CR51:CS51"/>
    <mergeCell ref="BV50:BX50"/>
    <mergeCell ref="CI15:CO15"/>
    <mergeCell ref="CP22:CQ22"/>
    <mergeCell ref="CP39:CQ39"/>
    <mergeCell ref="CI41:CO41"/>
    <mergeCell ref="BN31:BT31"/>
    <mergeCell ref="CE16:CH16"/>
    <mergeCell ref="CR41:CS41"/>
    <mergeCell ref="CE41:CH41"/>
    <mergeCell ref="BN24:BT24"/>
    <mergeCell ref="CR21:CS21"/>
    <mergeCell ref="CI50:CJ50"/>
    <mergeCell ref="CR23:CS23"/>
    <mergeCell ref="CR39:CS39"/>
    <mergeCell ref="CP34:CQ34"/>
    <mergeCell ref="CR31:CS31"/>
    <mergeCell ref="AB15:AF15"/>
    <mergeCell ref="L46:O46"/>
    <mergeCell ref="D19:H19"/>
    <mergeCell ref="CE8:CH8"/>
    <mergeCell ref="D24:H24"/>
    <mergeCell ref="CE26:CH26"/>
    <mergeCell ref="K4:M4"/>
    <mergeCell ref="BH3:BJ3"/>
    <mergeCell ref="CU46:DB47"/>
    <mergeCell ref="CU15:DB16"/>
    <mergeCell ref="CU25:DB26"/>
    <mergeCell ref="CU40:DB41"/>
    <mergeCell ref="L42:O42"/>
    <mergeCell ref="CI17:CO17"/>
    <mergeCell ref="A9:A14"/>
    <mergeCell ref="C15:I16"/>
    <mergeCell ref="P31:T31"/>
    <mergeCell ref="S50:T50"/>
    <mergeCell ref="S49:T49"/>
    <mergeCell ref="L43:W43"/>
    <mergeCell ref="S45:T45"/>
    <mergeCell ref="D25:H25"/>
    <mergeCell ref="P52:T52"/>
    <mergeCell ref="CP11:CQ11"/>
    <mergeCell ref="CE27:CH27"/>
    <mergeCell ref="CP47:CQ47"/>
    <mergeCell ref="CR14:CS14"/>
    <mergeCell ref="CP33:CQ33"/>
    <mergeCell ref="CI27:CO27"/>
    <mergeCell ref="CP41:CQ41"/>
    <mergeCell ref="CE53:CS53"/>
    <mergeCell ref="V16:W16"/>
    <mergeCell ref="CE51:CF51"/>
    <mergeCell ref="CN5:CP5"/>
    <mergeCell ref="CP25:CQ25"/>
    <mergeCell ref="BB15:BC15"/>
    <mergeCell ref="CI46:CO46"/>
    <mergeCell ref="CR10:CS10"/>
    <mergeCell ref="CG51:CH51"/>
    <mergeCell ref="CE52:CS52"/>
    <mergeCell ref="CE11:CH11"/>
    <mergeCell ref="U44:W44"/>
    <mergeCell ref="L20:O20"/>
    <mergeCell ref="D35:I35"/>
    <mergeCell ref="L49:O49"/>
    <mergeCell ref="P19:T19"/>
    <mergeCell ref="L41:O41"/>
    <mergeCell ref="S46:T46"/>
    <mergeCell ref="D34:I34"/>
    <mergeCell ref="CP13:CQ13"/>
    <mergeCell ref="BV39:CB39"/>
    <mergeCell ref="CI51:CJ51"/>
    <mergeCell ref="CR45:CS45"/>
    <mergeCell ref="BR50:BT50"/>
    <mergeCell ref="CH4:CJ4"/>
    <mergeCell ref="CQ4:CS4"/>
    <mergeCell ref="CK4:CM4"/>
    <mergeCell ref="AJ17:AP17"/>
    <mergeCell ref="D31:I31"/>
    <mergeCell ref="C9:I10"/>
    <mergeCell ref="BV49:BX49"/>
    <mergeCell ref="CP18:CQ18"/>
    <mergeCell ref="CK51:CM51"/>
    <mergeCell ref="CE48:CS48"/>
    <mergeCell ref="CR46:CS46"/>
    <mergeCell ref="BN17:BT17"/>
    <mergeCell ref="P44:Q44"/>
    <mergeCell ref="CE14:CH14"/>
    <mergeCell ref="L33:O33"/>
    <mergeCell ref="P36:T36"/>
    <mergeCell ref="CE25:CH25"/>
    <mergeCell ref="CE30:CH30"/>
    <mergeCell ref="D40:I40"/>
    <mergeCell ref="BV51:BX51"/>
    <mergeCell ref="U49:W49"/>
    <mergeCell ref="CP12:CQ12"/>
    <mergeCell ref="BN3:BT3"/>
    <mergeCell ref="CI13:CO13"/>
    <mergeCell ref="D39:I39"/>
    <mergeCell ref="CE12:CH12"/>
    <mergeCell ref="CP42:CQ42"/>
    <mergeCell ref="CR33:CS33"/>
    <mergeCell ref="CR28:CS28"/>
    <mergeCell ref="CR20:CS20"/>
    <mergeCell ref="CR13:CS13"/>
    <mergeCell ref="CG50:CH50"/>
    <mergeCell ref="BN10:BT10"/>
    <mergeCell ref="CP9:CQ9"/>
    <mergeCell ref="P51:T51"/>
    <mergeCell ref="CE10:CH10"/>
    <mergeCell ref="P41:T41"/>
    <mergeCell ref="L28:O28"/>
    <mergeCell ref="CE15:CH15"/>
    <mergeCell ref="CI14:CO14"/>
    <mergeCell ref="CE6:CS6"/>
    <mergeCell ref="CR7:CS7"/>
    <mergeCell ref="CN4:CP4"/>
    <mergeCell ref="P39:T39"/>
    <mergeCell ref="L37:O37"/>
    <mergeCell ref="CP7:CQ7"/>
    <mergeCell ref="CI16:CO16"/>
    <mergeCell ref="P22:T22"/>
    <mergeCell ref="L35:O35"/>
    <mergeCell ref="C3:I4"/>
    <mergeCell ref="BB22:BC22"/>
    <mergeCell ref="CI7:CO7"/>
    <mergeCell ref="CP32:CQ32"/>
    <mergeCell ref="S48:T48"/>
    <mergeCell ref="S44:T44"/>
  </mergeCells>
  <conditionalFormatting sqref="AJ5:AP9">
    <cfRule type="cellIs" operator="greaterThan" priority="1" dxfId="0">
      <formula>32</formula>
    </cfRule>
  </conditionalFormatting>
  <hyperlinks>
    <hyperlink ref="H30" r:id="rId2"/>
  </hyperlink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B1" zoomScale="67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1.25">
      <c r="A7" s="54"/>
      <c r="B7" s="25" t="s">
        <v>121</v>
      </c>
      <c r="C7" s="206">
        <f>Lembar6!C7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1.25">
      <c r="A8" s="54"/>
      <c r="B8" s="25" t="s">
        <v>122</v>
      </c>
      <c r="C8" s="206">
        <v>7.0</v>
      </c>
      <c r="D8" s="13"/>
      <c r="E8" s="27">
        <f>VLOOKUP(C8,'DATA 1'!N35:S46,2)</f>
        <v>15.667</v>
      </c>
      <c r="F8" s="27"/>
      <c r="G8" s="27">
        <f>VLOOKUP(C8,'DATA 1'!N35:S46,3)</f>
        <v>153.35</v>
      </c>
      <c r="H8" s="27"/>
      <c r="I8" s="27">
        <f>VLOOKUP(C8,'DATA 1'!N35:S46,4)</f>
        <v>145.533</v>
      </c>
      <c r="J8" s="27"/>
      <c r="K8" s="27">
        <f>VLOOKUP(C8,'DATA 1'!N35:S46,5)</f>
        <v>129.083</v>
      </c>
      <c r="L8" s="27"/>
      <c r="M8" s="207">
        <f>VLOOKUP(C8,'DATA 1'!N35:S46,6)</f>
        <v>145.533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149.85</v>
      </c>
      <c r="F9" s="13"/>
      <c r="G9" s="13">
        <f>MOD(G6+G7+G8,360)</f>
        <v>272.65</v>
      </c>
      <c r="H9" s="13"/>
      <c r="I9" s="27">
        <f>MOD(I6+I7+I8,360)</f>
        <v>292.33299999999997</v>
      </c>
      <c r="J9" s="27"/>
      <c r="K9" s="27">
        <f>MOD(K6+K8+K7,360)</f>
        <v>134.29999999999995</v>
      </c>
      <c r="L9" s="27"/>
      <c r="M9" s="207">
        <f>MOD(M6+M7+M8,360)</f>
        <v>189.69900000000007</v>
      </c>
    </row>
    <row r="10" spans="8:8">
      <c r="A10" s="54"/>
      <c r="B10" s="25">
        <f>IF(C8=1,C6+C7+1,C6+C7)</f>
        <v>1445.0</v>
      </c>
      <c r="C10" s="13" t="str">
        <f>VLOOKUP(C8,'DATA 1'!T19:V30,3)</f>
        <v>Rojab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01:31:59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0.0</v>
      </c>
      <c r="E13" s="13" t="str">
        <f>TEXT(E8/24,"hh:mm:ss")</f>
        <v>15:40:01</v>
      </c>
      <c r="F13" s="13">
        <f>(G8-MOD(G8,24))/24</f>
        <v>6.0</v>
      </c>
      <c r="G13" s="13" t="str">
        <f>TEXT(G8/24,"hh:mm:ss")</f>
        <v>09:21:00</v>
      </c>
      <c r="H13" s="13">
        <f>(I8-MOD(I8,24))/24</f>
        <v>6.0</v>
      </c>
      <c r="I13" s="13" t="str">
        <f>TEXT(I8/24,"hh:mm:ss")</f>
        <v>01:31:59</v>
      </c>
      <c r="J13" s="13">
        <f>(K8-MOD(K8,24))/24</f>
        <v>5.0</v>
      </c>
      <c r="K13" s="13" t="str">
        <f>TEXT(K8/24,"hh:mm:ss")</f>
        <v>09:04:59</v>
      </c>
      <c r="L13" s="13">
        <f>(M8-MOD(M8,24))/24</f>
        <v>6.0</v>
      </c>
      <c r="M13" s="205" t="str">
        <f>TEXT(M8/24,"hh:mm:ss")</f>
        <v>01:31:59</v>
      </c>
    </row>
    <row r="14" spans="8:8">
      <c r="A14" s="54"/>
      <c r="B14" s="39" t="s">
        <v>2045</v>
      </c>
      <c r="C14" s="27" t="s">
        <v>2044</v>
      </c>
      <c r="D14" s="13">
        <f>(E9-MOD(E9,24))/24</f>
        <v>6.0</v>
      </c>
      <c r="E14" s="13" t="str">
        <f>TEXT(E9/24,"hh:mm:ss")</f>
        <v>05:51:00</v>
      </c>
      <c r="F14" s="13">
        <f>(G9-MOD(G9,24))/24</f>
        <v>11.0</v>
      </c>
      <c r="G14" s="13" t="str">
        <f>TEXT(G9/24,"hh:mm:ss")</f>
        <v>08:39:00</v>
      </c>
      <c r="H14" s="13">
        <f>(I9-MOD(I9,24))/24</f>
        <v>12.0</v>
      </c>
      <c r="I14" s="13" t="str">
        <f>TEXT(I9/24,"hh:mm:ss")</f>
        <v>04:19:59</v>
      </c>
      <c r="J14" s="13">
        <f>(K9-MOD(K9,24))/24</f>
        <v>5.0</v>
      </c>
      <c r="K14" s="13" t="str">
        <f>TEXT(K9/24,"hh:mm:ss")</f>
        <v>14:18:00</v>
      </c>
      <c r="L14" s="13">
        <f>(M9-MOD(M9,24))/24</f>
        <v>7.0</v>
      </c>
      <c r="M14" s="205" t="str">
        <f>TEXT(M9/24,"hh:mm:ss")</f>
        <v>21:41:56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1.2</v>
      </c>
      <c r="L17" s="13">
        <f>(K17-MOD(K17,30))/30</f>
        <v>0.0</v>
      </c>
      <c r="M17" s="205" t="str">
        <f>TEXT(K17/24,"hh:mm:ss")</f>
        <v>01:12:00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1.6</v>
      </c>
      <c r="L18" s="13">
        <f>(K18-MOD(K18,30))/30</f>
        <v>0.0</v>
      </c>
      <c r="M18" s="205" t="str">
        <f>TEXT(K18/24,"hh:mm:ss")</f>
        <v>01:36:00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2.8</v>
      </c>
      <c r="L19" s="13">
        <f>(K19-MOD(K19,30))/30</f>
        <v>0.0</v>
      </c>
      <c r="M19" s="205" t="str">
        <f>TEXT(K19/24,"hh:mm:ss")</f>
        <v>02:48:00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0.23332399999999998</v>
      </c>
      <c r="L20" s="13">
        <f>(K20-MOD(K20,30))/30</f>
        <v>0.0</v>
      </c>
      <c r="M20" s="205" t="str">
        <f>TEXT(K20/24,"hh:mm:ss")</f>
        <v>00:14:00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1.8333240000000002</v>
      </c>
      <c r="L21" s="13">
        <f>(K21-MOD(K21,30))/30</f>
        <v>0.0</v>
      </c>
      <c r="M21" s="205" t="str">
        <f>TEXT(K21/24,"hh:mm:ss")</f>
        <v>01:50:00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290.499676</v>
      </c>
      <c r="L22" s="13">
        <f>(K22-MOD(K22,30))/30</f>
        <v>9.0</v>
      </c>
      <c r="M22" s="205" t="str">
        <f>TEXT(K22/24,"hh:mm:ss")</f>
        <v>02:29:59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Al-Jadyu</v>
      </c>
      <c r="L23" s="13">
        <f>L22</f>
        <v>9.0</v>
      </c>
      <c r="M23" s="205" t="str">
        <f>VLOOKUP(L23,'DATA 1'!W19:Y31,3)</f>
        <v>Januari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0.067</v>
      </c>
      <c r="L25" s="13">
        <f>(K25-MOD(K25,30))/30</f>
        <v>0.0</v>
      </c>
      <c r="M25" s="205" t="str">
        <f>TEXT(K25/24,"hh:mm:ss")</f>
        <v>00:04:01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2.7329999999999997</v>
      </c>
      <c r="L26" s="13">
        <f>(K26-MOD(K26,30))/30</f>
        <v>0.0</v>
      </c>
      <c r="M26" s="205" t="str">
        <f>TEXT(K26/24,"hh:mm:ss")</f>
        <v>02:43:59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287.766676</v>
      </c>
      <c r="L27" s="13">
        <f>(K27-MOD(K27,30))/30</f>
        <v>9.0</v>
      </c>
      <c r="M27" s="205" t="str">
        <f>TEXT(K27/24,"hh:mm:ss")</f>
        <v>23:46:00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1.867</v>
      </c>
      <c r="L28" s="13">
        <f>(K28-MOD(K28,30))/30</f>
        <v>0.0</v>
      </c>
      <c r="M28" s="205" t="str">
        <f>TEXT(K28/24,"hh:mm:ss")</f>
        <v>01:52:01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5.102510999999999</v>
      </c>
      <c r="L29" s="13">
        <f>(K29-MOD(K29,30))/30</f>
        <v>0.0</v>
      </c>
      <c r="M29" s="205" t="str">
        <f>TEXT(K29/24,"hh:mm:ss")</f>
        <v>05:06:09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144.747489</v>
      </c>
      <c r="L30" s="13">
        <f>(K30-MOD(K30,30))/30</f>
        <v>4.0</v>
      </c>
      <c r="M30" s="205" t="str">
        <f>TEXT(K30/24,"hh:mm:ss")</f>
        <v>00:44:51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145.726422333333</v>
      </c>
      <c r="L33" s="13">
        <f>(K33-MOD(K33,30))/30</f>
        <v>4.0</v>
      </c>
      <c r="M33" s="205" t="str">
        <f>TEXT(K33/24,"hh:mm:ss")</f>
        <v>01:43:35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1.726422333333005</v>
      </c>
      <c r="L35" s="26"/>
      <c r="M35" s="212" t="str">
        <f>TEXT(K35/24,"hh:mm:ss")</f>
        <v>01:43:35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7.726422333333005</v>
      </c>
      <c r="L37" s="26"/>
      <c r="M37" s="212" t="str">
        <f>TEXT(K37/24,"hh:mm:ss")</f>
        <v>07:43:35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22.27357766666699</v>
      </c>
      <c r="L38" s="26"/>
      <c r="M38" s="212" t="str">
        <f>TEXT(K38/24,"hh:mm:ss")</f>
        <v>22:16:25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11.136788833333496</v>
      </c>
      <c r="L39" s="26"/>
      <c r="M39" s="212" t="str">
        <f>TEXT(K39/24,"hh:mm:ss")</f>
        <v>11:08:12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0.7428238151833441</v>
      </c>
      <c r="L40" s="13"/>
      <c r="M40" s="205" t="str">
        <f>TEXT(K40/24,"hh:mm:ss")</f>
        <v>00:44:34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0.0</v>
      </c>
      <c r="L41" s="13"/>
      <c r="M41" s="205" t="str">
        <f>TEXT(K41/24,"hh:mm:ss")</f>
        <v>00:00:00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0.742823815183344</v>
      </c>
      <c r="L42" s="13"/>
      <c r="M42" s="205" t="str">
        <f>TEXT(K42/24,"hh:mm:ss")</f>
        <v>00:44:34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01:43:35</v>
      </c>
      <c r="G45" s="27"/>
      <c r="H45" s="27"/>
      <c r="I45" s="27" t="str">
        <f>IF(K35&lt;12,"Malam","Hari")</f>
        <v>Malam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07:43:35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22:16:25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11:08:12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00:44:34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00:44:34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Al-Jadyu</v>
      </c>
      <c r="G52" s="13"/>
      <c r="H52" s="13"/>
      <c r="I52" s="13"/>
      <c r="J52" s="13"/>
      <c r="K52" s="205" t="str">
        <f>M23</f>
        <v>Januari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Rojab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B23:E23"/>
    <mergeCell ref="F39:J39"/>
    <mergeCell ref="B53:E53"/>
    <mergeCell ref="I55:M55"/>
    <mergeCell ref="B36:E36"/>
    <mergeCell ref="I47:J47"/>
    <mergeCell ref="B54:E54"/>
    <mergeCell ref="K3:M3"/>
    <mergeCell ref="F21:J21"/>
    <mergeCell ref="B5:C5"/>
    <mergeCell ref="F22:J22"/>
    <mergeCell ref="F26:J26"/>
    <mergeCell ref="A4:C4"/>
    <mergeCell ref="B29:E29"/>
    <mergeCell ref="B19:E19"/>
    <mergeCell ref="F53:J53"/>
    <mergeCell ref="B43:M43"/>
    <mergeCell ref="B55:G55"/>
    <mergeCell ref="B21:E21"/>
    <mergeCell ref="K4:M4"/>
    <mergeCell ref="E3:I3"/>
    <mergeCell ref="E4:I4"/>
    <mergeCell ref="L16:M16"/>
    <mergeCell ref="B22:E22"/>
    <mergeCell ref="B16:E16"/>
    <mergeCell ref="F18:J18"/>
    <mergeCell ref="B37:E37"/>
    <mergeCell ref="K52:M52"/>
    <mergeCell ref="F54:J54"/>
    <mergeCell ref="A3:C3"/>
    <mergeCell ref="F24:J24"/>
    <mergeCell ref="B35:E35"/>
    <mergeCell ref="B51:E51"/>
    <mergeCell ref="K44:M44"/>
    <mergeCell ref="F52:J52"/>
    <mergeCell ref="B42:E42"/>
    <mergeCell ref="F38:J38"/>
    <mergeCell ref="K45:M45"/>
    <mergeCell ref="F16:J16"/>
    <mergeCell ref="B25:E25"/>
    <mergeCell ref="F32:J32"/>
    <mergeCell ref="K50:M50"/>
    <mergeCell ref="F44:G44"/>
    <mergeCell ref="B48:E48"/>
    <mergeCell ref="F49:G49"/>
    <mergeCell ref="F47:G47"/>
    <mergeCell ref="I44:J44"/>
    <mergeCell ref="B30:E30"/>
    <mergeCell ref="F19:J19"/>
    <mergeCell ref="B17:E17"/>
    <mergeCell ref="K54:M54"/>
    <mergeCell ref="I45:J45"/>
    <mergeCell ref="I49:J49"/>
    <mergeCell ref="K47:M47"/>
    <mergeCell ref="K48:M48"/>
    <mergeCell ref="K46:M46"/>
    <mergeCell ref="I46:J46"/>
    <mergeCell ref="F37:J37"/>
    <mergeCell ref="F20:J20"/>
    <mergeCell ref="B28:E28"/>
    <mergeCell ref="F29:J29"/>
    <mergeCell ref="B27:E27"/>
    <mergeCell ref="B26:E26"/>
    <mergeCell ref="F27:J27"/>
    <mergeCell ref="B24:E24"/>
    <mergeCell ref="F36:J36"/>
    <mergeCell ref="F25:J25"/>
    <mergeCell ref="B46:E46"/>
    <mergeCell ref="F51:J51"/>
    <mergeCell ref="F31:J31"/>
    <mergeCell ref="B18:E18"/>
    <mergeCell ref="F17:J17"/>
    <mergeCell ref="B33:E33"/>
    <mergeCell ref="F33:J33"/>
    <mergeCell ref="F34:J34"/>
    <mergeCell ref="B39:E39"/>
    <mergeCell ref="I50:J50"/>
    <mergeCell ref="B45:E45"/>
    <mergeCell ref="B49:E49"/>
    <mergeCell ref="I48:J48"/>
    <mergeCell ref="F48:G48"/>
    <mergeCell ref="F40:J40"/>
    <mergeCell ref="B38:E38"/>
    <mergeCell ref="B31:E31"/>
    <mergeCell ref="F23:J23"/>
    <mergeCell ref="B20:E20"/>
    <mergeCell ref="F35:J35"/>
    <mergeCell ref="B32:E32"/>
    <mergeCell ref="B34:E34"/>
    <mergeCell ref="F28:J28"/>
    <mergeCell ref="B41:E41"/>
    <mergeCell ref="F50:G50"/>
    <mergeCell ref="B50:E50"/>
    <mergeCell ref="F30:J30"/>
    <mergeCell ref="B40:E40"/>
    <mergeCell ref="F41:J41"/>
    <mergeCell ref="F45:G45"/>
    <mergeCell ref="F46:G46"/>
    <mergeCell ref="B47:E47"/>
    <mergeCell ref="K49:M49"/>
    <mergeCell ref="B44:E44"/>
    <mergeCell ref="F42:J42"/>
    <mergeCell ref="B52:E52"/>
    <mergeCell ref="K51:M51"/>
  </mergeCells>
  <pageMargins left="0.7" right="0.7" top="0.75" bottom="0.75" header="0.3" footer="0.3"/>
  <legacy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B1" zoomScale="84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16.95">
      <c r="A7" s="54"/>
      <c r="B7" s="25" t="s">
        <v>121</v>
      </c>
      <c r="C7" s="206">
        <f>Lembar7!C7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6.95">
      <c r="A8" s="54"/>
      <c r="B8" s="25" t="s">
        <v>122</v>
      </c>
      <c r="C8" s="206">
        <v>8.0</v>
      </c>
      <c r="D8" s="13"/>
      <c r="E8" s="27">
        <f>VLOOKUP(C8,'DATA 1'!N35:S46,2)</f>
        <v>52.4</v>
      </c>
      <c r="F8" s="27"/>
      <c r="G8" s="27">
        <f>VLOOKUP(C8,'DATA 1'!N35:S46,3)</f>
        <v>184.017</v>
      </c>
      <c r="H8" s="27"/>
      <c r="I8" s="27">
        <f>VLOOKUP(C8,'DATA 1'!N35:S46,4)</f>
        <v>174.633</v>
      </c>
      <c r="J8" s="27"/>
      <c r="K8" s="27">
        <f>VLOOKUP(C8,'DATA 1'!N35:S46,5)</f>
        <v>154.9</v>
      </c>
      <c r="L8" s="27"/>
      <c r="M8" s="207">
        <f>VLOOKUP(C8,'DATA 1'!N35:S46,6)</f>
        <v>174.633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18.583</v>
      </c>
      <c r="F9" s="13"/>
      <c r="G9" s="13">
        <f>MOD(G6+G7+G8,360)</f>
        <v>303.317</v>
      </c>
      <c r="H9" s="13"/>
      <c r="I9" s="27">
        <f>MOD(I6+I7+I8,360)</f>
        <v>321.433</v>
      </c>
      <c r="J9" s="27"/>
      <c r="K9" s="27">
        <f>MOD(K6+K8+K7,360)</f>
        <v>160.11699999999996</v>
      </c>
      <c r="L9" s="27"/>
      <c r="M9" s="207">
        <f>MOD(M6+M7+M8,360)</f>
        <v>218.7990000000001</v>
      </c>
    </row>
    <row r="10" spans="8:8">
      <c r="A10" s="54"/>
      <c r="B10" s="25">
        <f>IF(C8=1,C6+C7+1,C6+C7)</f>
        <v>1445.0</v>
      </c>
      <c r="C10" s="13" t="str">
        <f>VLOOKUP(C8,'DATA 1'!T19:V30,3)</f>
        <v>Sya'ban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06:37:59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2.0</v>
      </c>
      <c r="E13" s="13" t="str">
        <f>TEXT(E8/24,"hh:mm:ss")</f>
        <v>04:24:00</v>
      </c>
      <c r="F13" s="13">
        <f>(G8-MOD(G8,24))/24</f>
        <v>7.0</v>
      </c>
      <c r="G13" s="13" t="str">
        <f>TEXT(G8/24,"hh:mm:ss")</f>
        <v>16:01:01</v>
      </c>
      <c r="H13" s="13">
        <f>(I8-MOD(I8,24))/24</f>
        <v>7.0</v>
      </c>
      <c r="I13" s="13" t="str">
        <f>TEXT(I8/24,"hh:mm:ss")</f>
        <v>06:37:59</v>
      </c>
      <c r="J13" s="13">
        <f>(K8-MOD(K8,24))/24</f>
        <v>6.0</v>
      </c>
      <c r="K13" s="13" t="str">
        <f>TEXT(K8/24,"hh:mm:ss")</f>
        <v>10:54:00</v>
      </c>
      <c r="L13" s="13">
        <f>(M8-MOD(M8,24))/24</f>
        <v>7.0</v>
      </c>
      <c r="M13" s="205" t="str">
        <f>TEXT(M8/24,"hh:mm:ss")</f>
        <v>06:37:59</v>
      </c>
    </row>
    <row r="14" spans="8:8">
      <c r="A14" s="54"/>
      <c r="B14" s="39" t="s">
        <v>2045</v>
      </c>
      <c r="C14" s="27" t="s">
        <v>2044</v>
      </c>
      <c r="D14" s="13">
        <f>(E9-MOD(E9,24))/24</f>
        <v>0.0</v>
      </c>
      <c r="E14" s="13" t="str">
        <f>TEXT(E9/24,"hh:mm:ss")</f>
        <v>18:34:59</v>
      </c>
      <c r="F14" s="13">
        <f>(G9-MOD(G9,24))/24</f>
        <v>12.0</v>
      </c>
      <c r="G14" s="13" t="str">
        <f>TEXT(G9/24,"hh:mm:ss")</f>
        <v>15:19:01</v>
      </c>
      <c r="H14" s="13">
        <f>(I9-MOD(I9,24))/24</f>
        <v>13.0</v>
      </c>
      <c r="I14" s="13" t="str">
        <f>TEXT(I9/24,"hh:mm:ss")</f>
        <v>09:25:59</v>
      </c>
      <c r="J14" s="13">
        <f>(K9-MOD(K9,24))/24</f>
        <v>6.0</v>
      </c>
      <c r="K14" s="13" t="str">
        <f>TEXT(K9/24,"hh:mm:ss")</f>
        <v>16:07:01</v>
      </c>
      <c r="L14" s="13">
        <f>(M9-MOD(M9,24))/24</f>
        <v>9.0</v>
      </c>
      <c r="M14" s="205" t="str">
        <f>TEXT(M9/24,"hh:mm:ss")</f>
        <v>02:47:56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3.133</v>
      </c>
      <c r="L17" s="13">
        <f>(K17-MOD(K17,30))/30</f>
        <v>0.0</v>
      </c>
      <c r="M17" s="205" t="str">
        <f>TEXT(K17/24,"hh:mm:ss")</f>
        <v>03:07:59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0.667</v>
      </c>
      <c r="L18" s="13">
        <f>(K18-MOD(K18,30))/30</f>
        <v>0.0</v>
      </c>
      <c r="M18" s="205" t="str">
        <f>TEXT(K18/24,"hh:mm:ss")</f>
        <v>00:40:01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3.8</v>
      </c>
      <c r="L19" s="13">
        <f>(K19-MOD(K19,30))/30</f>
        <v>0.0</v>
      </c>
      <c r="M19" s="205" t="str">
        <f>TEXT(K19/24,"hh:mm:ss")</f>
        <v>03:48:00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0.316654</v>
      </c>
      <c r="L20" s="13">
        <f>(K20-MOD(K20,30))/30</f>
        <v>0.0</v>
      </c>
      <c r="M20" s="205" t="str">
        <f>TEXT(K20/24,"hh:mm:ss")</f>
        <v>00:19:00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0.983654</v>
      </c>
      <c r="L21" s="13">
        <f>(K21-MOD(K21,30))/30</f>
        <v>0.0</v>
      </c>
      <c r="M21" s="205" t="str">
        <f>TEXT(K21/24,"hh:mm:ss")</f>
        <v>00:59:01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320.449346</v>
      </c>
      <c r="L22" s="13">
        <f>(K22-MOD(K22,30))/30</f>
        <v>10.0</v>
      </c>
      <c r="M22" s="205" t="str">
        <f>TEXT(K22/24,"hh:mm:ss")</f>
        <v>08:26:58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Ad-Dalwu</v>
      </c>
      <c r="L23" s="13">
        <f>L22</f>
        <v>10.0</v>
      </c>
      <c r="M23" s="205" t="str">
        <f>VLOOKUP(L23,'DATA 1'!W19:Y31,3)</f>
        <v>Februari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</v>
      </c>
      <c r="L25" s="13">
        <f>(K25-MOD(K25,30))/30</f>
        <v>0.0</v>
      </c>
      <c r="M25" s="205" t="str">
        <f>TEXT(K25/24,"hh:mm:ss")</f>
        <v>00:00:00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3.8</v>
      </c>
      <c r="L26" s="13">
        <f>(K26-MOD(K26,30))/30</f>
        <v>0.0</v>
      </c>
      <c r="M26" s="205" t="str">
        <f>TEXT(K26/24,"hh:mm:ss")</f>
        <v>03:48:00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316.649346</v>
      </c>
      <c r="L27" s="13">
        <f>(K27-MOD(K27,30))/30</f>
        <v>10.0</v>
      </c>
      <c r="M27" s="205" t="str">
        <f>TEXT(K27/24,"hh:mm:ss")</f>
        <v>04:38:58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1.783</v>
      </c>
      <c r="L28" s="13">
        <f>(K28-MOD(K28,30))/30</f>
        <v>0.0</v>
      </c>
      <c r="M28" s="205" t="str">
        <f>TEXT(K28/24,"hh:mm:ss")</f>
        <v>01:46:59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6.775399999999999</v>
      </c>
      <c r="L29" s="13">
        <f>(K29-MOD(K29,30))/30</f>
        <v>0.0</v>
      </c>
      <c r="M29" s="205" t="str">
        <f>TEXT(K29/24,"hh:mm:ss")</f>
        <v>06:46:31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11.807599999999999</v>
      </c>
      <c r="L30" s="13">
        <f>(K30-MOD(K30,30))/30</f>
        <v>0.0</v>
      </c>
      <c r="M30" s="205" t="str">
        <f>TEXT(K30/24,"hh:mm:ss")</f>
        <v>11:48:27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12.7865333333333</v>
      </c>
      <c r="L33" s="13">
        <f>(K33-MOD(K33,30))/30</f>
        <v>0.0</v>
      </c>
      <c r="M33" s="205" t="str">
        <f>TEXT(K33/24,"hh:mm:ss")</f>
        <v>12:47:12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As-Sabt</v>
      </c>
      <c r="L34" s="26">
        <f>INT(INT(K33)/24)</f>
        <v>0.0</v>
      </c>
      <c r="M34" s="212" t="str">
        <f>VLOOKUP(K34,'DATA 1'!V34:W41,2)</f>
        <v>Sabtu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12.7865333333333</v>
      </c>
      <c r="L35" s="26"/>
      <c r="M35" s="212" t="str">
        <f>TEXT(K35/24,"hh:mm:ss")</f>
        <v>12:47:12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6.786533333333301</v>
      </c>
      <c r="L37" s="26"/>
      <c r="M37" s="212" t="str">
        <f>TEXT(K37/24,"hh:mm:ss")</f>
        <v>06:47:12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11.2134666666667</v>
      </c>
      <c r="L38" s="26"/>
      <c r="M38" s="212" t="str">
        <f>TEXT(K38/24,"hh:mm:ss")</f>
        <v>11:12:48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5.60673333333335</v>
      </c>
      <c r="L39" s="26"/>
      <c r="M39" s="212" t="str">
        <f>TEXT(K39/24,"hh:mm:ss")</f>
        <v>05:36:24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0.3739691133333344</v>
      </c>
      <c r="L40" s="13"/>
      <c r="M40" s="205" t="str">
        <f>TEXT(K40/24,"hh:mm:ss")</f>
        <v>00:22:26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0.36</v>
      </c>
      <c r="L41" s="13"/>
      <c r="M41" s="205" t="str">
        <f>TEXT(K41/24,"hh:mm:ss")</f>
        <v>00:21:36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0.7339691133333339</v>
      </c>
      <c r="L42" s="13"/>
      <c r="M42" s="205" t="str">
        <f>TEXT(K42/24,"hh:mm:ss")</f>
        <v>00:44:02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Sabtu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12:47:12</v>
      </c>
      <c r="G45" s="27"/>
      <c r="H45" s="27"/>
      <c r="I45" s="27" t="str">
        <f>IF(K35&lt;12,"Malam","Hari")</f>
        <v>Hari</v>
      </c>
      <c r="J45" s="27"/>
      <c r="K45" s="13" t="str">
        <f>K44</f>
        <v>Sabtu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06:47:12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Sabtu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11:12:48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05:36:24</v>
      </c>
      <c r="G48" s="27"/>
      <c r="H48" s="27" t="s">
        <v>1896</v>
      </c>
      <c r="I48" s="27" t="str">
        <f>VLOOKUP(L34,'DATA 1'!X34:Z41,3)</f>
        <v>Minggu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00:22:26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00:44:02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Ad-Dalwu</v>
      </c>
      <c r="G52" s="13"/>
      <c r="H52" s="13"/>
      <c r="I52" s="13"/>
      <c r="J52" s="13"/>
      <c r="K52" s="205" t="str">
        <f>M23</f>
        <v>Februari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Sya'ban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Minggu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F21:J21"/>
    <mergeCell ref="K52:M52"/>
    <mergeCell ref="F35:J35"/>
    <mergeCell ref="B55:G55"/>
    <mergeCell ref="F52:J52"/>
    <mergeCell ref="B38:E38"/>
    <mergeCell ref="F23:J23"/>
    <mergeCell ref="A3:C3"/>
    <mergeCell ref="K4:M4"/>
    <mergeCell ref="E3:I3"/>
    <mergeCell ref="E4:I4"/>
    <mergeCell ref="B23:E23"/>
    <mergeCell ref="F27:J27"/>
    <mergeCell ref="A4:C4"/>
    <mergeCell ref="B30:E30"/>
    <mergeCell ref="K50:M50"/>
    <mergeCell ref="B54:E54"/>
    <mergeCell ref="B21:E21"/>
    <mergeCell ref="L16:M16"/>
    <mergeCell ref="B5:C5"/>
    <mergeCell ref="B19:E19"/>
    <mergeCell ref="F18:J18"/>
    <mergeCell ref="F20:J20"/>
    <mergeCell ref="B17:E17"/>
    <mergeCell ref="K3:M3"/>
    <mergeCell ref="B34:E34"/>
    <mergeCell ref="F51:J51"/>
    <mergeCell ref="I45:J45"/>
    <mergeCell ref="I48:J48"/>
    <mergeCell ref="F32:J32"/>
    <mergeCell ref="F30:J30"/>
    <mergeCell ref="B53:E53"/>
    <mergeCell ref="B36:E36"/>
    <mergeCell ref="K46:M46"/>
    <mergeCell ref="F47:G47"/>
    <mergeCell ref="I55:M55"/>
    <mergeCell ref="F54:J54"/>
    <mergeCell ref="F28:J28"/>
    <mergeCell ref="B46:E46"/>
    <mergeCell ref="I47:J47"/>
    <mergeCell ref="I44:J44"/>
    <mergeCell ref="B35:E35"/>
    <mergeCell ref="B24:E24"/>
    <mergeCell ref="B25:E25"/>
    <mergeCell ref="B27:E27"/>
    <mergeCell ref="K54:M54"/>
    <mergeCell ref="F17:J17"/>
    <mergeCell ref="B37:E37"/>
    <mergeCell ref="B28:E28"/>
    <mergeCell ref="F46:G46"/>
    <mergeCell ref="F36:J36"/>
    <mergeCell ref="F19:J19"/>
    <mergeCell ref="B20:E20"/>
    <mergeCell ref="B18:E18"/>
    <mergeCell ref="B16:E16"/>
    <mergeCell ref="F16:J16"/>
    <mergeCell ref="K51:M51"/>
    <mergeCell ref="B40:E40"/>
    <mergeCell ref="F44:G44"/>
    <mergeCell ref="F40:J40"/>
    <mergeCell ref="B42:E42"/>
    <mergeCell ref="B52:E52"/>
    <mergeCell ref="F39:J39"/>
    <mergeCell ref="F33:J33"/>
    <mergeCell ref="F29:J29"/>
    <mergeCell ref="F31:J31"/>
    <mergeCell ref="B32:E32"/>
    <mergeCell ref="B41:E41"/>
    <mergeCell ref="K47:M47"/>
    <mergeCell ref="B49:E49"/>
    <mergeCell ref="B31:E31"/>
    <mergeCell ref="I49:J49"/>
    <mergeCell ref="B50:E50"/>
    <mergeCell ref="B26:E26"/>
    <mergeCell ref="F25:J25"/>
    <mergeCell ref="F26:J26"/>
    <mergeCell ref="F24:J24"/>
    <mergeCell ref="F22:J22"/>
    <mergeCell ref="K49:M49"/>
    <mergeCell ref="F41:J41"/>
    <mergeCell ref="B44:E44"/>
    <mergeCell ref="F38:J38"/>
    <mergeCell ref="F34:J34"/>
    <mergeCell ref="B33:E33"/>
    <mergeCell ref="B22:E22"/>
    <mergeCell ref="K45:M45"/>
    <mergeCell ref="F50:G50"/>
    <mergeCell ref="B39:E39"/>
    <mergeCell ref="I50:J50"/>
    <mergeCell ref="K44:M44"/>
    <mergeCell ref="B51:E51"/>
    <mergeCell ref="F42:J42"/>
    <mergeCell ref="B29:E29"/>
    <mergeCell ref="B48:E48"/>
    <mergeCell ref="F45:G45"/>
    <mergeCell ref="K48:M48"/>
    <mergeCell ref="B43:M43"/>
    <mergeCell ref="F53:J53"/>
    <mergeCell ref="B45:E45"/>
    <mergeCell ref="B47:E47"/>
    <mergeCell ref="F48:G48"/>
    <mergeCell ref="I46:J46"/>
    <mergeCell ref="F49:G49"/>
    <mergeCell ref="F37:J37"/>
  </mergeCells>
  <pageMargins left="0.7" right="0.7" top="0.75" bottom="0.75" header="0.3" footer="0.3"/>
  <legacy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JV55"/>
  <sheetViews>
    <sheetView workbookViewId="0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>
      <c r="A7" s="54"/>
      <c r="B7" s="25" t="s">
        <v>121</v>
      </c>
      <c r="C7" s="206">
        <f>Lembar8!C7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>
      <c r="A8" s="54"/>
      <c r="B8" s="25" t="s">
        <v>122</v>
      </c>
      <c r="C8" s="206">
        <v>9.0</v>
      </c>
      <c r="D8" s="13"/>
      <c r="E8" s="27">
        <f>VLOOKUP(C8,'DATA 1'!N35:S46,2)</f>
        <v>89.133</v>
      </c>
      <c r="F8" s="27"/>
      <c r="G8" s="27">
        <f>VLOOKUP(C8,'DATA 1'!N35:S46,3)</f>
        <v>214.7</v>
      </c>
      <c r="H8" s="27"/>
      <c r="I8" s="27">
        <f>VLOOKUP(C8,'DATA 1'!N35:S46,4)</f>
        <v>203.75</v>
      </c>
      <c r="J8" s="27"/>
      <c r="K8" s="27">
        <f>VLOOKUP(C8,'DATA 1'!N35:S46,5)</f>
        <v>180.717</v>
      </c>
      <c r="L8" s="27"/>
      <c r="M8" s="207">
        <f>VLOOKUP(C8,'DATA 1'!N35:S46,6)</f>
        <v>203.75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55.315999999999974</v>
      </c>
      <c r="F9" s="13"/>
      <c r="G9" s="13">
        <f>MOD(G6+G7+G8,360)</f>
        <v>334.0</v>
      </c>
      <c r="H9" s="13"/>
      <c r="I9" s="27">
        <f>MOD(I6+I7+I8,360)</f>
        <v>350.54999999999995</v>
      </c>
      <c r="J9" s="27"/>
      <c r="K9" s="27">
        <f>MOD(K6+K8+K7,360)</f>
        <v>185.93399999999997</v>
      </c>
      <c r="L9" s="27"/>
      <c r="M9" s="207">
        <f>MOD(M6+M7+M8,360)</f>
        <v>247.91600000000005</v>
      </c>
    </row>
    <row r="10" spans="8:8">
      <c r="A10" s="54"/>
      <c r="B10" s="25">
        <f>IF(C8=1,C6+C7+1,C6+C7)</f>
        <v>1445.0</v>
      </c>
      <c r="C10" s="13" t="str">
        <f>VLOOKUP(C8,'DATA 1'!T19:V30,3)</f>
        <v>Romadhon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11:45:00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3.0</v>
      </c>
      <c r="E13" s="13" t="str">
        <f>TEXT(E8/24,"hh:mm:ss")</f>
        <v>17:07:59</v>
      </c>
      <c r="F13" s="13">
        <f>(G8-MOD(G8,24))/24</f>
        <v>8.0</v>
      </c>
      <c r="G13" s="13" t="str">
        <f>TEXT(G8/24,"hh:mm:ss")</f>
        <v>22:42:00</v>
      </c>
      <c r="H13" s="13">
        <f>(I8-MOD(I8,24))/24</f>
        <v>8.0</v>
      </c>
      <c r="I13" s="13" t="str">
        <f>TEXT(I8/24,"hh:mm:ss")</f>
        <v>11:45:00</v>
      </c>
      <c r="J13" s="13">
        <f>(K8-MOD(K8,24))/24</f>
        <v>7.0</v>
      </c>
      <c r="K13" s="13" t="str">
        <f>TEXT(K8/24,"hh:mm:ss")</f>
        <v>12:43:01</v>
      </c>
      <c r="L13" s="13">
        <f>(M8-MOD(M8,24))/24</f>
        <v>8.0</v>
      </c>
      <c r="M13" s="205" t="str">
        <f>TEXT(M8/24,"hh:mm:ss")</f>
        <v>11:45:00</v>
      </c>
    </row>
    <row r="14" spans="8:8">
      <c r="A14" s="54"/>
      <c r="B14" s="39" t="s">
        <v>2045</v>
      </c>
      <c r="C14" s="27" t="s">
        <v>2044</v>
      </c>
      <c r="D14" s="13">
        <f>(E9-MOD(E9,24))/24</f>
        <v>2.0</v>
      </c>
      <c r="E14" s="13" t="str">
        <f>TEXT(E9/24,"hh:mm:ss")</f>
        <v>07:18:58</v>
      </c>
      <c r="F14" s="13">
        <f>(G9-MOD(G9,24))/24</f>
        <v>13.0</v>
      </c>
      <c r="G14" s="13" t="str">
        <f>TEXT(G9/24,"hh:mm:ss")</f>
        <v>22:00:00</v>
      </c>
      <c r="H14" s="13">
        <f>(I9-MOD(I9,24))/24</f>
        <v>14.0</v>
      </c>
      <c r="I14" s="13" t="str">
        <f>TEXT(I9/24,"hh:mm:ss")</f>
        <v>14:33:00</v>
      </c>
      <c r="J14" s="13">
        <f>(K9-MOD(K9,24))/24</f>
        <v>7.0</v>
      </c>
      <c r="K14" s="13" t="str">
        <f>TEXT(K9/24,"hh:mm:ss")</f>
        <v>17:56:02</v>
      </c>
      <c r="L14" s="13">
        <f>(M9-MOD(M9,24))/24</f>
        <v>10.0</v>
      </c>
      <c r="M14" s="205" t="str">
        <f>TEXT(M9/24,"hh:mm:ss")</f>
        <v>07:54:58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5.55</v>
      </c>
      <c r="L17" s="13">
        <f>(K17-MOD(K17,30))/30</f>
        <v>0.0</v>
      </c>
      <c r="M17" s="205" t="str">
        <f>TEXT(K17/24,"hh:mm:ss")</f>
        <v>05:33:00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0.117</v>
      </c>
      <c r="L18" s="13">
        <f>(K18-MOD(K18,30))/30</f>
        <v>0.0</v>
      </c>
      <c r="M18" s="205" t="str">
        <f>TEXT(K18/24,"hh:mm:ss")</f>
        <v>00:07:01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5.667</v>
      </c>
      <c r="L19" s="13">
        <f>(K19-MOD(K19,30))/30</f>
        <v>0.0</v>
      </c>
      <c r="M19" s="205" t="str">
        <f>TEXT(K19/24,"hh:mm:ss")</f>
        <v>05:40:01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0.47223111</v>
      </c>
      <c r="L20" s="13">
        <f>(K20-MOD(K20,30))/30</f>
        <v>0.0</v>
      </c>
      <c r="M20" s="205" t="str">
        <f>TEXT(K20/24,"hh:mm:ss")</f>
        <v>00:28:20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0.5892311100000001</v>
      </c>
      <c r="L21" s="13">
        <f>(K21-MOD(K21,30))/30</f>
        <v>0.0</v>
      </c>
      <c r="M21" s="205" t="str">
        <f>TEXT(K21/24,"hh:mm:ss")</f>
        <v>00:35:21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349.96076889</v>
      </c>
      <c r="L22" s="13">
        <f>(K22-MOD(K22,30))/30</f>
        <v>11.0</v>
      </c>
      <c r="M22" s="205" t="str">
        <f>TEXT(K22/24,"hh:mm:ss")</f>
        <v>13:57:39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Al-Hut</v>
      </c>
      <c r="L23" s="13">
        <f>L22</f>
        <v>11.0</v>
      </c>
      <c r="M23" s="205" t="str">
        <f>VLOOKUP(L23,'DATA 1'!W19:Y31,3)</f>
        <v>Maret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0.05</v>
      </c>
      <c r="L25" s="13">
        <f>(K25-MOD(K25,30))/30</f>
        <v>0.0</v>
      </c>
      <c r="M25" s="205" t="str">
        <f>TEXT(K25/24,"hh:mm:ss")</f>
        <v>00:03:00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5.617</v>
      </c>
      <c r="L26" s="13">
        <f>(K26-MOD(K26,30))/30</f>
        <v>0.0</v>
      </c>
      <c r="M26" s="205" t="str">
        <f>TEXT(K26/24,"hh:mm:ss")</f>
        <v>05:37:01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344.34376889</v>
      </c>
      <c r="L27" s="13">
        <f>(K27-MOD(K27,30))/30</f>
        <v>11.0</v>
      </c>
      <c r="M27" s="205" t="str">
        <f>TEXT(K27/24,"hh:mm:ss")</f>
        <v>08:20:38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1.75</v>
      </c>
      <c r="L28" s="13">
        <f>(K28-MOD(K28,30))/30</f>
        <v>0.0</v>
      </c>
      <c r="M28" s="205" t="str">
        <f>TEXT(K28/24,"hh:mm:ss")</f>
        <v>01:45:00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9.82975</v>
      </c>
      <c r="L29" s="13">
        <f>(K29-MOD(K29,30))/30</f>
        <v>0.0</v>
      </c>
      <c r="M29" s="205" t="str">
        <f>TEXT(K29/24,"hh:mm:ss")</f>
        <v>09:49:47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45.48624999999997</v>
      </c>
      <c r="L30" s="13">
        <f>(K30-MOD(K30,30))/30</f>
        <v>1.0</v>
      </c>
      <c r="M30" s="205" t="str">
        <f>TEXT(K30/24,"hh:mm:ss")</f>
        <v>21:29:10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46.4651833333333</v>
      </c>
      <c r="L33" s="13">
        <f>(K33-MOD(K33,30))/30</f>
        <v>1.0</v>
      </c>
      <c r="M33" s="205" t="str">
        <f>TEXT(K33/24,"hh:mm:ss")</f>
        <v>22:27:55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Al-Ahad</v>
      </c>
      <c r="L34" s="26">
        <f>INT(INT(K33)/24)</f>
        <v>1.0</v>
      </c>
      <c r="M34" s="212" t="str">
        <f>VLOOKUP(K34,'DATA 1'!V34:W41,2)</f>
        <v>Minggu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22.4651833333333</v>
      </c>
      <c r="L35" s="26"/>
      <c r="M35" s="212" t="str">
        <f>TEXT(K35/24,"hh:mm:ss")</f>
        <v>22:27:55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4.4651833333333</v>
      </c>
      <c r="L37" s="26"/>
      <c r="M37" s="212" t="str">
        <f>TEXT(K37/24,"hh:mm:ss")</f>
        <v>04:27:55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1.5348166666666998</v>
      </c>
      <c r="L38" s="26"/>
      <c r="M38" s="212" t="str">
        <f>TEXT(K38/24,"hh:mm:ss")</f>
        <v>01:32:05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0.7674083333333499</v>
      </c>
      <c r="L39" s="26"/>
      <c r="M39" s="212" t="str">
        <f>TEXT(K39/24,"hh:mm:ss")</f>
        <v>00:46:03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0.05118613583333444</v>
      </c>
      <c r="L40" s="13"/>
      <c r="M40" s="205" t="str">
        <f>TEXT(K40/24,"hh:mm:ss")</f>
        <v>00:03:04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1.117</v>
      </c>
      <c r="L41" s="13"/>
      <c r="M41" s="205" t="str">
        <f>TEXT(K41/24,"hh:mm:ss")</f>
        <v>01:07:01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1.1681861358333343</v>
      </c>
      <c r="L42" s="13"/>
      <c r="M42" s="205" t="str">
        <f>TEXT(K42/24,"hh:mm:ss")</f>
        <v>01:10:05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Minggu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22:27:55</v>
      </c>
      <c r="G45" s="27"/>
      <c r="H45" s="27"/>
      <c r="I45" s="27" t="str">
        <f>IF(K35&lt;12,"Malam","Hari")</f>
        <v>Hari</v>
      </c>
      <c r="J45" s="27"/>
      <c r="K45" s="13" t="str">
        <f>K44</f>
        <v>Minggu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04:27:55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Minggu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01:32:05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00:46:03</v>
      </c>
      <c r="G48" s="27"/>
      <c r="H48" s="27" t="s">
        <v>1896</v>
      </c>
      <c r="I48" s="27" t="str">
        <f>VLOOKUP(L34,'DATA 1'!X34:Z41,3)</f>
        <v>Senin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00:03:04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01:10:05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Al-Hut</v>
      </c>
      <c r="G52" s="13"/>
      <c r="H52" s="13"/>
      <c r="I52" s="13"/>
      <c r="J52" s="13"/>
      <c r="K52" s="205" t="str">
        <f>M23</f>
        <v>Maret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Romadhon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Selasa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F26:J26"/>
    <mergeCell ref="A3:C3"/>
    <mergeCell ref="E4:I4"/>
    <mergeCell ref="A1:M2"/>
    <mergeCell ref="E3:I3"/>
    <mergeCell ref="A4:C4"/>
    <mergeCell ref="B55:G55"/>
    <mergeCell ref="F34:J34"/>
    <mergeCell ref="K54:M54"/>
    <mergeCell ref="B48:E48"/>
    <mergeCell ref="K44:M44"/>
    <mergeCell ref="F19:J19"/>
    <mergeCell ref="L16:M16"/>
    <mergeCell ref="K3:M3"/>
    <mergeCell ref="K4:M4"/>
    <mergeCell ref="B44:E44"/>
    <mergeCell ref="F29:J29"/>
    <mergeCell ref="B28:E28"/>
    <mergeCell ref="I45:J45"/>
    <mergeCell ref="B49:E49"/>
    <mergeCell ref="B51:E51"/>
    <mergeCell ref="F31:J31"/>
    <mergeCell ref="K52:M52"/>
    <mergeCell ref="F54:J54"/>
    <mergeCell ref="F25:J25"/>
    <mergeCell ref="F42:J42"/>
    <mergeCell ref="B33:E33"/>
    <mergeCell ref="B19:E19"/>
    <mergeCell ref="F18:J18"/>
    <mergeCell ref="F28:J28"/>
    <mergeCell ref="I44:J44"/>
    <mergeCell ref="B31:E31"/>
    <mergeCell ref="F36:J36"/>
    <mergeCell ref="F40:J40"/>
    <mergeCell ref="F41:J41"/>
    <mergeCell ref="B26:E26"/>
    <mergeCell ref="B22:E22"/>
    <mergeCell ref="B46:E46"/>
    <mergeCell ref="F33:J33"/>
    <mergeCell ref="B27:E27"/>
    <mergeCell ref="F39:J39"/>
    <mergeCell ref="B39:E39"/>
    <mergeCell ref="B37:E37"/>
    <mergeCell ref="K51:M51"/>
    <mergeCell ref="B47:E47"/>
    <mergeCell ref="F46:G46"/>
    <mergeCell ref="I46:J46"/>
    <mergeCell ref="I50:J50"/>
    <mergeCell ref="F48:G48"/>
    <mergeCell ref="B42:E42"/>
    <mergeCell ref="B41:E41"/>
    <mergeCell ref="F51:J51"/>
    <mergeCell ref="K45:M45"/>
    <mergeCell ref="F16:J16"/>
    <mergeCell ref="F44:G44"/>
    <mergeCell ref="B17:E17"/>
    <mergeCell ref="F32:J32"/>
    <mergeCell ref="B5:C5"/>
    <mergeCell ref="B20:E20"/>
    <mergeCell ref="F24:J24"/>
    <mergeCell ref="I55:M55"/>
    <mergeCell ref="B32:E32"/>
    <mergeCell ref="K49:M49"/>
    <mergeCell ref="B34:E34"/>
    <mergeCell ref="B52:E52"/>
    <mergeCell ref="K47:M47"/>
    <mergeCell ref="K50:M50"/>
    <mergeCell ref="K48:M48"/>
    <mergeCell ref="B43:M43"/>
    <mergeCell ref="K46:M46"/>
    <mergeCell ref="F23:J23"/>
    <mergeCell ref="B45:E45"/>
    <mergeCell ref="I49:J49"/>
    <mergeCell ref="B18:E18"/>
    <mergeCell ref="B21:E21"/>
    <mergeCell ref="B30:E30"/>
    <mergeCell ref="F52:J52"/>
    <mergeCell ref="B54:E54"/>
    <mergeCell ref="B53:E53"/>
    <mergeCell ref="F37:J37"/>
    <mergeCell ref="F45:G45"/>
    <mergeCell ref="I47:J47"/>
    <mergeCell ref="F49:G49"/>
    <mergeCell ref="F50:G50"/>
    <mergeCell ref="F35:J35"/>
    <mergeCell ref="F53:J53"/>
    <mergeCell ref="B38:E38"/>
    <mergeCell ref="B50:E50"/>
    <mergeCell ref="F30:J30"/>
    <mergeCell ref="B29:E29"/>
    <mergeCell ref="B35:E35"/>
    <mergeCell ref="F47:G47"/>
    <mergeCell ref="F38:J38"/>
    <mergeCell ref="B25:E25"/>
    <mergeCell ref="B24:E24"/>
    <mergeCell ref="I48:J48"/>
    <mergeCell ref="B23:E23"/>
    <mergeCell ref="F20:J20"/>
    <mergeCell ref="B16:E16"/>
    <mergeCell ref="F27:J27"/>
    <mergeCell ref="B40:E40"/>
    <mergeCell ref="F22:J22"/>
    <mergeCell ref="F21:J21"/>
    <mergeCell ref="B36:E36"/>
    <mergeCell ref="F17:J17"/>
  </mergeCells>
  <pageMargins left="0.7" right="0.7" top="0.75" bottom="0.75" header="0.3" footer="0.3"/>
  <legacy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B1" zoomScale="86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16.55">
      <c r="A7" s="54"/>
      <c r="B7" s="25" t="s">
        <v>121</v>
      </c>
      <c r="C7" s="206">
        <f>Lembar9!C7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6.55">
      <c r="A8" s="54"/>
      <c r="B8" s="25" t="s">
        <v>122</v>
      </c>
      <c r="C8" s="206">
        <v>10.0</v>
      </c>
      <c r="D8" s="13"/>
      <c r="E8" s="27">
        <f>VLOOKUP(C8,'DATA 1'!N35:S46,2)</f>
        <v>125.867</v>
      </c>
      <c r="F8" s="27"/>
      <c r="G8" s="27">
        <f>VLOOKUP(C8,'DATA 1'!N35:S46,3)</f>
        <v>245.367</v>
      </c>
      <c r="H8" s="27"/>
      <c r="I8" s="27">
        <f>VLOOKUP(C8,'DATA 1'!N35:S46,4)</f>
        <v>232.85</v>
      </c>
      <c r="J8" s="27"/>
      <c r="K8" s="27">
        <f>VLOOKUP(C8,'DATA 1'!N35:S46,5)</f>
        <v>206.533</v>
      </c>
      <c r="L8" s="27"/>
      <c r="M8" s="207">
        <f>VLOOKUP(C8,'DATA 1'!N35:S46,6)</f>
        <v>232.85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92.05000000000001</v>
      </c>
      <c r="F9" s="13"/>
      <c r="G9" s="13">
        <f>MOD(G6+G7+G8,360)</f>
        <v>4.666999999999973</v>
      </c>
      <c r="H9" s="13"/>
      <c r="I9" s="27">
        <f>MOD(I6+I7+I8,360)</f>
        <v>19.649999999999977</v>
      </c>
      <c r="J9" s="27"/>
      <c r="K9" s="27">
        <f>MOD(K6+K8+K7,360)</f>
        <v>211.75</v>
      </c>
      <c r="L9" s="27"/>
      <c r="M9" s="207">
        <f>MOD(M6+M7+M8,360)</f>
        <v>277.0160000000001</v>
      </c>
    </row>
    <row r="10" spans="8:8">
      <c r="A10" s="54"/>
      <c r="B10" s="25">
        <f>IF(C8=1,C6+C7+1,C6+C7)</f>
        <v>1445.0</v>
      </c>
      <c r="C10" s="13" t="str">
        <f>VLOOKUP(C8,'DATA 1'!T19:V30,3)</f>
        <v>Syawal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16:51:00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5.0</v>
      </c>
      <c r="E13" s="13" t="str">
        <f>TEXT(E8/24,"hh:mm:ss")</f>
        <v>05:52:01</v>
      </c>
      <c r="F13" s="13">
        <f>(G8-MOD(G8,24))/24</f>
        <v>10.0</v>
      </c>
      <c r="G13" s="13" t="str">
        <f>TEXT(G8/24,"hh:mm:ss")</f>
        <v>05:22:01</v>
      </c>
      <c r="H13" s="13">
        <f>(I8-MOD(I8,24))/24</f>
        <v>9.0</v>
      </c>
      <c r="I13" s="13" t="str">
        <f>TEXT(I8/24,"hh:mm:ss")</f>
        <v>16:51:00</v>
      </c>
      <c r="J13" s="13">
        <f>(K8-MOD(K8,24))/24</f>
        <v>8.0</v>
      </c>
      <c r="K13" s="13" t="str">
        <f>TEXT(K8/24,"hh:mm:ss")</f>
        <v>14:31:59</v>
      </c>
      <c r="L13" s="13">
        <f>(M8-MOD(M8,24))/24</f>
        <v>9.0</v>
      </c>
      <c r="M13" s="205" t="str">
        <f>TEXT(M8/24,"hh:mm:ss")</f>
        <v>16:51:00</v>
      </c>
    </row>
    <row r="14" spans="8:8">
      <c r="A14" s="54"/>
      <c r="B14" s="39" t="s">
        <v>2045</v>
      </c>
      <c r="C14" s="27" t="s">
        <v>2044</v>
      </c>
      <c r="D14" s="13">
        <f>(E9-MOD(E9,24))/24</f>
        <v>3.0</v>
      </c>
      <c r="E14" s="13" t="str">
        <f>TEXT(E9/24,"hh:mm:ss")</f>
        <v>20:03:00</v>
      </c>
      <c r="F14" s="13">
        <f>(G9-MOD(G9,24))/24</f>
        <v>0.0</v>
      </c>
      <c r="G14" s="13" t="str">
        <f>TEXT(G9/24,"hh:mm:ss")</f>
        <v>04:40:01</v>
      </c>
      <c r="H14" s="13">
        <f>(I9-MOD(I9,24))/24</f>
        <v>0.0</v>
      </c>
      <c r="I14" s="13" t="str">
        <f>TEXT(I9/24,"hh:mm:ss")</f>
        <v>19:39:00</v>
      </c>
      <c r="J14" s="13">
        <f>(K9-MOD(K9,24))/24</f>
        <v>8.0</v>
      </c>
      <c r="K14" s="13" t="str">
        <f>TEXT(K9/24,"hh:mm:ss")</f>
        <v>19:45:00</v>
      </c>
      <c r="L14" s="13">
        <f>(M9-MOD(M9,24))/24</f>
        <v>11.0</v>
      </c>
      <c r="M14" s="205" t="str">
        <f>TEXT(M9/24,"hh:mm:ss")</f>
        <v>13:00:58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7.833</v>
      </c>
      <c r="L17" s="13">
        <f>(K17-MOD(K17,30))/30</f>
        <v>0.0</v>
      </c>
      <c r="M17" s="205" t="str">
        <f>TEXT(K17/24,"hh:mm:ss")</f>
        <v>07:49:59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0.033</v>
      </c>
      <c r="L18" s="13">
        <f>(K18-MOD(K18,30))/30</f>
        <v>0.0</v>
      </c>
      <c r="M18" s="205" t="str">
        <f>TEXT(K18/24,"hh:mm:ss")</f>
        <v>00:01:59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7.8660000000000005</v>
      </c>
      <c r="L19" s="13">
        <f>(K19-MOD(K19,30))/30</f>
        <v>0.0</v>
      </c>
      <c r="M19" s="205" t="str">
        <f>TEXT(K19/24,"hh:mm:ss")</f>
        <v>07:51:58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0.65547378</v>
      </c>
      <c r="L20" s="13">
        <f>(K20-MOD(K20,30))/30</f>
        <v>0.0</v>
      </c>
      <c r="M20" s="205" t="str">
        <f>TEXT(K20/24,"hh:mm:ss")</f>
        <v>00:39:20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0.68847378</v>
      </c>
      <c r="L21" s="13">
        <f>(K21-MOD(K21,30))/30</f>
        <v>0.0</v>
      </c>
      <c r="M21" s="205" t="str">
        <f>TEXT(K21/24,"hh:mm:ss")</f>
        <v>00:41:19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18.96152622</v>
      </c>
      <c r="L22" s="13">
        <f>(K22-MOD(K22,30))/30</f>
        <v>0.0</v>
      </c>
      <c r="M22" s="205" t="str">
        <f>TEXT(K22/24,"hh:mm:ss")</f>
        <v>18:57:41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Al-Haml</v>
      </c>
      <c r="L23" s="13">
        <f>L22</f>
        <v>0.0</v>
      </c>
      <c r="M23" s="205" t="str">
        <f>VLOOKUP(L23,'DATA 1'!W19:Y31,3)</f>
        <v>April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0.133</v>
      </c>
      <c r="L25" s="13">
        <f>(K25-MOD(K25,30))/30</f>
        <v>0.0</v>
      </c>
      <c r="M25" s="205" t="str">
        <f>TEXT(K25/24,"hh:mm:ss")</f>
        <v>00:07:59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7.733</v>
      </c>
      <c r="L26" s="13">
        <f>(K26-MOD(K26,30))/30</f>
        <v>0.0</v>
      </c>
      <c r="M26" s="205" t="str">
        <f>TEXT(K26/24,"hh:mm:ss")</f>
        <v>07:43:59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11.22852622</v>
      </c>
      <c r="L27" s="13">
        <f>(K27-MOD(K27,30))/30</f>
        <v>0.0</v>
      </c>
      <c r="M27" s="205" t="str">
        <f>TEXT(K27/24,"hh:mm:ss")</f>
        <v>11:13:43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1.767</v>
      </c>
      <c r="L28" s="13">
        <f>(K28-MOD(K28,30))/30</f>
        <v>0.0</v>
      </c>
      <c r="M28" s="205" t="str">
        <f>TEXT(K28/24,"hh:mm:ss")</f>
        <v>01:46:01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13.664210999999998</v>
      </c>
      <c r="L29" s="13">
        <f>(K29-MOD(K29,30))/30</f>
        <v>0.0</v>
      </c>
      <c r="M29" s="205" t="str">
        <f>TEXT(K29/24,"hh:mm:ss")</f>
        <v>13:39:51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78.38578900000002</v>
      </c>
      <c r="L30" s="13">
        <f>(K30-MOD(K30,30))/30</f>
        <v>2.0</v>
      </c>
      <c r="M30" s="205" t="str">
        <f>TEXT(K30/24,"hh:mm:ss")</f>
        <v>06:23:09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79.3647223333334</v>
      </c>
      <c r="L33" s="13">
        <f>(K33-MOD(K33,30))/30</f>
        <v>2.0</v>
      </c>
      <c r="M33" s="205" t="str">
        <f>TEXT(K33/24,"hh:mm:ss")</f>
        <v>07:21:53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As-Stalasa</v>
      </c>
      <c r="L34" s="26">
        <f>INT(INT(K33)/24)</f>
        <v>3.0</v>
      </c>
      <c r="M34" s="212" t="str">
        <f>VLOOKUP(K34,'DATA 1'!V34:W41,2)</f>
        <v>Selasa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7.364722333333404</v>
      </c>
      <c r="L35" s="26"/>
      <c r="M35" s="212" t="str">
        <f>TEXT(K35/24,"hh:mm:ss")</f>
        <v>07:21:53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1.364722333333404</v>
      </c>
      <c r="L37" s="26"/>
      <c r="M37" s="212" t="str">
        <f>TEXT(K37/24,"hh:mm:ss")</f>
        <v>01:21:53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16.6352776666666</v>
      </c>
      <c r="L38" s="26"/>
      <c r="M38" s="212" t="str">
        <f>TEXT(K38/24,"hh:mm:ss")</f>
        <v>16:38:07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8.3176388333333</v>
      </c>
      <c r="L39" s="26"/>
      <c r="M39" s="212" t="str">
        <f>TEXT(K39/24,"hh:mm:ss")</f>
        <v>08:19:03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0.554786510183331</v>
      </c>
      <c r="L40" s="13"/>
      <c r="M40" s="205" t="str">
        <f>TEXT(K40/24,"hh:mm:ss")</f>
        <v>00:33:17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2.1</v>
      </c>
      <c r="L41" s="13"/>
      <c r="M41" s="205" t="str">
        <f>TEXT(K41/24,"hh:mm:ss")</f>
        <v>02:06:00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2.6547865101833312</v>
      </c>
      <c r="L42" s="13"/>
      <c r="M42" s="205" t="str">
        <f>TEXT(K42/24,"hh:mm:ss")</f>
        <v>02:39:17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07:21:53</v>
      </c>
      <c r="G45" s="27"/>
      <c r="H45" s="27"/>
      <c r="I45" s="27" t="str">
        <f>IF(K35&lt;12,"Malam","Hari")</f>
        <v>Malam</v>
      </c>
      <c r="J45" s="27"/>
      <c r="K45" s="13" t="str">
        <f>K44</f>
        <v>Selasa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01:21:53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16:38:07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08:19:03</v>
      </c>
      <c r="G48" s="27"/>
      <c r="H48" s="27" t="s">
        <v>1896</v>
      </c>
      <c r="I48" s="27" t="str">
        <f>VLOOKUP(L34,'DATA 1'!X34:Z41,3)</f>
        <v>Rabu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00:33:17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02:39:17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Al-Haml</v>
      </c>
      <c r="G52" s="13"/>
      <c r="H52" s="13"/>
      <c r="I52" s="13"/>
      <c r="J52" s="13"/>
      <c r="K52" s="205" t="str">
        <f>M23</f>
        <v>April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Syawal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54:M54"/>
    <mergeCell ref="B34:E34"/>
    <mergeCell ref="F30:J30"/>
    <mergeCell ref="K50:M50"/>
    <mergeCell ref="A1:M2"/>
    <mergeCell ref="K51:M51"/>
    <mergeCell ref="E4:I4"/>
    <mergeCell ref="B37:E37"/>
    <mergeCell ref="F26:J26"/>
    <mergeCell ref="B36:E36"/>
    <mergeCell ref="F27:J27"/>
    <mergeCell ref="B30:E30"/>
    <mergeCell ref="B32:E32"/>
    <mergeCell ref="F34:J34"/>
    <mergeCell ref="B28:E28"/>
    <mergeCell ref="B43:M43"/>
    <mergeCell ref="B27:E27"/>
    <mergeCell ref="F54:J54"/>
    <mergeCell ref="B38:E38"/>
    <mergeCell ref="F32:J32"/>
    <mergeCell ref="B52:E52"/>
    <mergeCell ref="B51:E51"/>
    <mergeCell ref="B50:E50"/>
    <mergeCell ref="I45:J45"/>
    <mergeCell ref="F25:J25"/>
    <mergeCell ref="B42:E42"/>
    <mergeCell ref="F49:G49"/>
    <mergeCell ref="B22:E22"/>
    <mergeCell ref="K49:M49"/>
    <mergeCell ref="K46:M46"/>
    <mergeCell ref="K45:M45"/>
    <mergeCell ref="B18:E18"/>
    <mergeCell ref="F36:J36"/>
    <mergeCell ref="B49:E49"/>
    <mergeCell ref="E3:I3"/>
    <mergeCell ref="A3:C3"/>
    <mergeCell ref="K3:M3"/>
    <mergeCell ref="L16:M16"/>
    <mergeCell ref="F20:J20"/>
    <mergeCell ref="B19:E19"/>
    <mergeCell ref="F33:J33"/>
    <mergeCell ref="F48:G48"/>
    <mergeCell ref="I55:M55"/>
    <mergeCell ref="F17:J17"/>
    <mergeCell ref="B35:E35"/>
    <mergeCell ref="B46:E46"/>
    <mergeCell ref="F38:J38"/>
    <mergeCell ref="F42:J42"/>
    <mergeCell ref="F40:J40"/>
    <mergeCell ref="F41:J41"/>
    <mergeCell ref="F39:J39"/>
    <mergeCell ref="F22:J22"/>
    <mergeCell ref="K4:M4"/>
    <mergeCell ref="F18:J18"/>
    <mergeCell ref="B39:E39"/>
    <mergeCell ref="I49:J49"/>
    <mergeCell ref="B55:G55"/>
    <mergeCell ref="F19:J19"/>
    <mergeCell ref="B40:E40"/>
    <mergeCell ref="F46:G46"/>
    <mergeCell ref="F44:G44"/>
    <mergeCell ref="F45:G45"/>
    <mergeCell ref="A4:C4"/>
    <mergeCell ref="F21:J21"/>
    <mergeCell ref="B41:E41"/>
    <mergeCell ref="I46:J46"/>
    <mergeCell ref="F47:G47"/>
    <mergeCell ref="B21:E21"/>
    <mergeCell ref="B17:E17"/>
    <mergeCell ref="K48:M48"/>
    <mergeCell ref="F53:J53"/>
    <mergeCell ref="F16:J16"/>
    <mergeCell ref="I48:J48"/>
    <mergeCell ref="B29:E29"/>
    <mergeCell ref="F37:J37"/>
    <mergeCell ref="I44:J44"/>
    <mergeCell ref="B31:E31"/>
    <mergeCell ref="F29:J29"/>
    <mergeCell ref="B44:E44"/>
    <mergeCell ref="B45:E45"/>
    <mergeCell ref="B47:E47"/>
    <mergeCell ref="F31:J31"/>
    <mergeCell ref="B26:E26"/>
    <mergeCell ref="B20:E20"/>
    <mergeCell ref="K44:M44"/>
    <mergeCell ref="F24:J24"/>
    <mergeCell ref="B33:E33"/>
    <mergeCell ref="F35:J35"/>
    <mergeCell ref="I50:J50"/>
    <mergeCell ref="F23:J23"/>
    <mergeCell ref="F50:G50"/>
    <mergeCell ref="F51:J51"/>
    <mergeCell ref="K47:M47"/>
    <mergeCell ref="F28:J28"/>
    <mergeCell ref="B48:E48"/>
    <mergeCell ref="B23:E23"/>
    <mergeCell ref="I47:J47"/>
    <mergeCell ref="B24:E24"/>
    <mergeCell ref="K52:M52"/>
    <mergeCell ref="B16:E16"/>
    <mergeCell ref="B5:C5"/>
    <mergeCell ref="B25:E25"/>
    <mergeCell ref="F52:J52"/>
    <mergeCell ref="B53:E53"/>
    <mergeCell ref="B54:E54"/>
  </mergeCells>
  <pageMargins left="0.7" right="0.7" top="0.75" bottom="0.75" header="0.3" footer="0.3"/>
  <legacy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JV55"/>
  <sheetViews>
    <sheetView workbookViewId="0" zoomScale="43">
      <selection activeCell="J66" sqref="J66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2.25">
      <c r="A7" s="54"/>
      <c r="B7" s="25" t="s">
        <v>121</v>
      </c>
      <c r="C7" s="206">
        <f>Lembar10!C7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2.25">
      <c r="A8" s="54"/>
      <c r="B8" s="25" t="s">
        <v>122</v>
      </c>
      <c r="C8" s="206">
        <v>11.0</v>
      </c>
      <c r="D8" s="13"/>
      <c r="E8" s="27">
        <f>VLOOKUP(C8,'DATA 1'!N35:S46,2)</f>
        <v>162.6</v>
      </c>
      <c r="F8" s="27"/>
      <c r="G8" s="27">
        <f>VLOOKUP(C8,'DATA 1'!N35:S46,3)</f>
        <v>276.05</v>
      </c>
      <c r="H8" s="27"/>
      <c r="I8" s="27">
        <f>VLOOKUP(C8,'DATA 1'!N35:S46,4)</f>
        <v>261.95</v>
      </c>
      <c r="J8" s="27"/>
      <c r="K8" s="27">
        <f>VLOOKUP(C8,'DATA 1'!N35:S46,5)</f>
        <v>232.35</v>
      </c>
      <c r="L8" s="27"/>
      <c r="M8" s="207">
        <f>VLOOKUP(C8,'DATA 1'!N35:S46,6)</f>
        <v>261.95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128.78300000000002</v>
      </c>
      <c r="F9" s="13"/>
      <c r="G9" s="13">
        <f>MOD(G6+G7+G8,360)</f>
        <v>35.35000000000002</v>
      </c>
      <c r="H9" s="13"/>
      <c r="I9" s="27">
        <f>MOD(I6+I7+I8,360)</f>
        <v>48.75</v>
      </c>
      <c r="J9" s="27"/>
      <c r="K9" s="27">
        <f>MOD(K6+K8+K7,360)</f>
        <v>237.567</v>
      </c>
      <c r="L9" s="27"/>
      <c r="M9" s="207">
        <f>MOD(M6+M7+M8,360)</f>
        <v>306.116</v>
      </c>
    </row>
    <row r="10" spans="8:8" ht="16.55">
      <c r="A10" s="54"/>
      <c r="B10" s="25">
        <f>IF(C8=1,C6+C7+1,C6+C7)</f>
        <v>1445.0</v>
      </c>
      <c r="C10" s="13" t="str">
        <f>VLOOKUP(C8,'DATA 1'!T19:V30,2)</f>
        <v>DZULQODAH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21:57:00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6.0</v>
      </c>
      <c r="E13" s="13" t="str">
        <f>TEXT(E8/24,"hh:mm:ss")</f>
        <v>18:36:00</v>
      </c>
      <c r="F13" s="13">
        <f>(G8-MOD(G8,24))/24</f>
        <v>11.0</v>
      </c>
      <c r="G13" s="13" t="str">
        <f>TEXT(G8/24,"hh:mm:ss")</f>
        <v>12:03:00</v>
      </c>
      <c r="H13" s="13">
        <f>(I8-MOD(I8,24))/24</f>
        <v>10.0</v>
      </c>
      <c r="I13" s="13" t="str">
        <f>TEXT(I8/24,"hh:mm:ss")</f>
        <v>21:57:00</v>
      </c>
      <c r="J13" s="13">
        <f>(K8-MOD(K8,24))/24</f>
        <v>9.0</v>
      </c>
      <c r="K13" s="13" t="str">
        <f>TEXT(K8/24,"hh:mm:ss")</f>
        <v>16:21:00</v>
      </c>
      <c r="L13" s="13">
        <f>(M8-MOD(M8,24))/24</f>
        <v>10.0</v>
      </c>
      <c r="M13" s="205" t="str">
        <f>TEXT(M8/24,"hh:mm:ss")</f>
        <v>21:57:00</v>
      </c>
    </row>
    <row r="14" spans="8:8">
      <c r="A14" s="54"/>
      <c r="B14" s="39" t="s">
        <v>2045</v>
      </c>
      <c r="C14" s="27" t="s">
        <v>2044</v>
      </c>
      <c r="D14" s="13">
        <f>(E9-MOD(E9,24))/24</f>
        <v>5.0</v>
      </c>
      <c r="E14" s="13" t="str">
        <f>TEXT(E9/24,"hh:mm:ss")</f>
        <v>08:46:59</v>
      </c>
      <c r="F14" s="13">
        <f>(G9-MOD(G9,24))/24</f>
        <v>1.0</v>
      </c>
      <c r="G14" s="13" t="str">
        <f>TEXT(G9/24,"hh:mm:ss")</f>
        <v>11:21:00</v>
      </c>
      <c r="H14" s="13">
        <f>(I9-MOD(I9,24))/24</f>
        <v>2.0</v>
      </c>
      <c r="I14" s="13" t="str">
        <f>TEXT(I9/24,"hh:mm:ss")</f>
        <v>00:45:00</v>
      </c>
      <c r="J14" s="13">
        <f>(K9-MOD(K9,24))/24</f>
        <v>9.0</v>
      </c>
      <c r="K14" s="13" t="str">
        <f>TEXT(K9/24,"hh:mm:ss")</f>
        <v>21:34:01</v>
      </c>
      <c r="L14" s="13">
        <f>(M9-MOD(M9,24))/24</f>
        <v>12.0</v>
      </c>
      <c r="M14" s="205" t="str">
        <f>TEXT(M9/24,"hh:mm:ss")</f>
        <v>18:06:58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9.38</v>
      </c>
      <c r="L17" s="13">
        <f>(K17-MOD(K17,30))/30</f>
        <v>0.0</v>
      </c>
      <c r="M17" s="205" t="str">
        <f>TEXT(K17/24,"hh:mm:ss")</f>
        <v>09:22:48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0.417</v>
      </c>
      <c r="L18" s="13">
        <f>(K18-MOD(K18,30))/30</f>
        <v>0.0</v>
      </c>
      <c r="M18" s="205" t="str">
        <f>TEXT(K18/24,"hh:mm:ss")</f>
        <v>00:25:01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9.797</v>
      </c>
      <c r="L19" s="13">
        <f>(K19-MOD(K19,30))/30</f>
        <v>0.0</v>
      </c>
      <c r="M19" s="205" t="str">
        <f>TEXT(K19/24,"hh:mm:ss")</f>
        <v>09:47:49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0.81638401</v>
      </c>
      <c r="L20" s="13">
        <f>(K20-MOD(K20,30))/30</f>
        <v>0.0</v>
      </c>
      <c r="M20" s="205" t="str">
        <f>TEXT(K20/24,"hh:mm:ss")</f>
        <v>00:48:59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1.23338401</v>
      </c>
      <c r="L21" s="13">
        <f>(K21-MOD(K21,30))/30</f>
        <v>0.0</v>
      </c>
      <c r="M21" s="205" t="str">
        <f>TEXT(K21/24,"hh:mm:ss")</f>
        <v>01:14:00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47.51661599</v>
      </c>
      <c r="L22" s="13">
        <f>(K22-MOD(K22,30))/30</f>
        <v>1.0</v>
      </c>
      <c r="M22" s="205" t="str">
        <f>TEXT(K22/24,"hh:mm:ss")</f>
        <v>23:31:00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As-Tsur</v>
      </c>
      <c r="L23" s="13">
        <f>L22</f>
        <v>1.0</v>
      </c>
      <c r="M23" s="205" t="str">
        <f>VLOOKUP(L23,'DATA 1'!W19:Y31,3)</f>
        <v>Mei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9.614</v>
      </c>
      <c r="L26" s="13">
        <f>(K26-MOD(K26,30))/30</f>
        <v>0.0</v>
      </c>
      <c r="M26" s="205" t="str">
        <f>TEXT(K26/24,"hh:mm:ss")</f>
        <v>09:36:50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37.90261599</v>
      </c>
      <c r="L27" s="13">
        <f>(K27-MOD(K27,30))/30</f>
        <v>1.0</v>
      </c>
      <c r="M27" s="205" t="str">
        <f>TEXT(K27/24,"hh:mm:ss")</f>
        <v>13:54:09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1.85</v>
      </c>
      <c r="L28" s="13">
        <f>(K28-MOD(K28,30))/30</f>
        <v>0.0</v>
      </c>
      <c r="M28" s="205" t="str">
        <f>TEXT(K28/24,"hh:mm:ss")</f>
        <v>01:51:00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17.7859</v>
      </c>
      <c r="L29" s="13">
        <f>(K29-MOD(K29,30))/30</f>
        <v>0.0</v>
      </c>
      <c r="M29" s="205" t="str">
        <f>TEXT(K29/24,"hh:mm:ss")</f>
        <v>17:47:09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110.99710000000002</v>
      </c>
      <c r="L30" s="13">
        <f>(K30-MOD(K30,30))/30</f>
        <v>3.0</v>
      </c>
      <c r="M30" s="205" t="str">
        <f>TEXT(K30/24,"hh:mm:ss")</f>
        <v>14:59:50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111.976033333333</v>
      </c>
      <c r="L33" s="13">
        <f>(K33-MOD(K33,30))/30</f>
        <v>3.0</v>
      </c>
      <c r="M33" s="205" t="str">
        <f>TEXT(K33/24,"hh:mm:ss")</f>
        <v>15:58:34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15.976033333333007</v>
      </c>
      <c r="L35" s="26"/>
      <c r="M35" s="212" t="str">
        <f>TEXT(K35/24,"hh:mm:ss")</f>
        <v>15:58:34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9.976033333333007</v>
      </c>
      <c r="L37" s="26"/>
      <c r="M37" s="212" t="str">
        <f>TEXT(K37/24,"hh:mm:ss")</f>
        <v>09:58:34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8.023966666667</v>
      </c>
      <c r="L38" s="26"/>
      <c r="M38" s="212" t="str">
        <f>TEXT(K38/24,"hh:mm:ss")</f>
        <v>08:01:26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4.0119833333335</v>
      </c>
      <c r="L39" s="26"/>
      <c r="M39" s="212" t="str">
        <f>TEXT(K39/24,"hh:mm:ss")</f>
        <v>04:00:43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0.26759928833334445</v>
      </c>
      <c r="L40" s="13"/>
      <c r="M40" s="205" t="str">
        <f>TEXT(K40/24,"hh:mm:ss")</f>
        <v>00:16:03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3.017</v>
      </c>
      <c r="L41" s="13"/>
      <c r="M41" s="205" t="str">
        <f>TEXT(K41/24,"hh:mm:ss")</f>
        <v>03:01:01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3.284599288333344</v>
      </c>
      <c r="L42" s="13"/>
      <c r="M42" s="205" t="str">
        <f>TEXT(K42/24,"hh:mm:ss")</f>
        <v>03:17:05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15:58:34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09:58:34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08:01:26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04:00:43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00:16:03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03:17:05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As-Tsur</v>
      </c>
      <c r="G52" s="13"/>
      <c r="H52" s="13"/>
      <c r="I52" s="13"/>
      <c r="J52" s="13"/>
      <c r="K52" s="205" t="str">
        <f>M23</f>
        <v>Mei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DZULQODAH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Kamis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50:M50"/>
    <mergeCell ref="B45:E45"/>
    <mergeCell ref="K44:M44"/>
    <mergeCell ref="F47:G47"/>
    <mergeCell ref="B48:E48"/>
    <mergeCell ref="I45:J45"/>
    <mergeCell ref="I46:J46"/>
    <mergeCell ref="B49:E49"/>
    <mergeCell ref="B28:E28"/>
    <mergeCell ref="E4:I4"/>
    <mergeCell ref="F17:J17"/>
    <mergeCell ref="K3:M3"/>
    <mergeCell ref="B18:E18"/>
    <mergeCell ref="F25:J25"/>
    <mergeCell ref="L16:M16"/>
    <mergeCell ref="I55:M55"/>
    <mergeCell ref="F23:J23"/>
    <mergeCell ref="B55:G55"/>
    <mergeCell ref="B30:E30"/>
    <mergeCell ref="K4:M4"/>
    <mergeCell ref="A3:C3"/>
    <mergeCell ref="B38:E38"/>
    <mergeCell ref="F51:J51"/>
    <mergeCell ref="B43:M43"/>
    <mergeCell ref="F41:J41"/>
    <mergeCell ref="F39:J39"/>
    <mergeCell ref="K46:M46"/>
    <mergeCell ref="A1:M2"/>
    <mergeCell ref="F26:J26"/>
    <mergeCell ref="A4:C4"/>
    <mergeCell ref="K54:M54"/>
    <mergeCell ref="F36:J36"/>
    <mergeCell ref="B46:E46"/>
    <mergeCell ref="B5:C5"/>
    <mergeCell ref="F29:J29"/>
    <mergeCell ref="F19:J19"/>
    <mergeCell ref="B16:E16"/>
    <mergeCell ref="F22:J22"/>
    <mergeCell ref="B17:E17"/>
    <mergeCell ref="B23:E23"/>
    <mergeCell ref="F21:J21"/>
    <mergeCell ref="I44:J44"/>
    <mergeCell ref="B35:E35"/>
    <mergeCell ref="F32:J32"/>
    <mergeCell ref="K51:M51"/>
    <mergeCell ref="B29:E29"/>
    <mergeCell ref="K48:M48"/>
    <mergeCell ref="F54:J54"/>
    <mergeCell ref="B33:E33"/>
    <mergeCell ref="K47:M47"/>
    <mergeCell ref="F52:J52"/>
    <mergeCell ref="F50:G50"/>
    <mergeCell ref="B42:E42"/>
    <mergeCell ref="B53:E53"/>
    <mergeCell ref="B54:E54"/>
    <mergeCell ref="F30:J30"/>
    <mergeCell ref="E3:I3"/>
    <mergeCell ref="B25:E25"/>
    <mergeCell ref="K45:M45"/>
    <mergeCell ref="F35:J35"/>
    <mergeCell ref="F48:G48"/>
    <mergeCell ref="B40:E40"/>
    <mergeCell ref="B44:E44"/>
    <mergeCell ref="F24:J24"/>
    <mergeCell ref="B20:E20"/>
    <mergeCell ref="K52:M52"/>
    <mergeCell ref="B34:E34"/>
    <mergeCell ref="F20:J20"/>
    <mergeCell ref="F33:J33"/>
    <mergeCell ref="F46:G46"/>
    <mergeCell ref="F42:J42"/>
    <mergeCell ref="B41:E41"/>
    <mergeCell ref="B39:E39"/>
    <mergeCell ref="B47:E47"/>
    <mergeCell ref="I50:J50"/>
    <mergeCell ref="B51:E51"/>
    <mergeCell ref="F34:J34"/>
    <mergeCell ref="B31:E31"/>
    <mergeCell ref="B52:E52"/>
    <mergeCell ref="I48:J48"/>
    <mergeCell ref="B36:E36"/>
    <mergeCell ref="F28:J28"/>
    <mergeCell ref="F49:G49"/>
    <mergeCell ref="B27:E27"/>
    <mergeCell ref="F27:J27"/>
    <mergeCell ref="B19:E19"/>
    <mergeCell ref="F38:J38"/>
    <mergeCell ref="F45:G45"/>
    <mergeCell ref="F18:J18"/>
    <mergeCell ref="F40:J40"/>
    <mergeCell ref="B24:E24"/>
    <mergeCell ref="B22:E22"/>
    <mergeCell ref="B21:E21"/>
    <mergeCell ref="F37:J37"/>
    <mergeCell ref="B26:E26"/>
    <mergeCell ref="F16:J16"/>
    <mergeCell ref="B37:E37"/>
    <mergeCell ref="F44:G44"/>
    <mergeCell ref="F31:J31"/>
    <mergeCell ref="B50:E50"/>
    <mergeCell ref="K49:M49"/>
    <mergeCell ref="B32:E32"/>
    <mergeCell ref="I47:J47"/>
    <mergeCell ref="I49:J49"/>
    <mergeCell ref="F53:J53"/>
  </mergeCells>
  <pageMargins left="0.7" right="0.7" top="0.75" bottom="0.75" header="0.3" footer="0.3"/>
  <legacy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JV55"/>
  <sheetViews>
    <sheetView workbookViewId="0" zoomScale="38">
      <selection activeCell="J67" sqref="J6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31.65">
      <c r="A7" s="54"/>
      <c r="B7" s="25" t="s">
        <v>121</v>
      </c>
      <c r="C7" s="206">
        <f>Lembar11!C7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17.6">
      <c r="A8" s="54"/>
      <c r="B8" s="25" t="s">
        <v>122</v>
      </c>
      <c r="C8" s="206">
        <v>12.0</v>
      </c>
      <c r="D8" s="13"/>
      <c r="E8" s="27">
        <f>VLOOKUP(C8,'DATA 1'!N35:S46,2)</f>
        <v>31.333</v>
      </c>
      <c r="F8" s="27"/>
      <c r="G8" s="27">
        <f>VLOOKUP(C8,'DATA 1'!N35:S46,3)</f>
        <v>306.717</v>
      </c>
      <c r="H8" s="27"/>
      <c r="I8" s="27">
        <f>VLOOKUP(C8,'DATA 1'!N35:S46,4)</f>
        <v>291.067</v>
      </c>
      <c r="J8" s="27"/>
      <c r="K8" s="27">
        <f>VLOOKUP(C8,'DATA 1'!N35:S46,5)</f>
        <v>258.167</v>
      </c>
      <c r="L8" s="27"/>
      <c r="M8" s="207">
        <f>VLOOKUP(C8,'DATA 1'!N35:S46,6)</f>
        <v>291.067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165.516</v>
      </c>
      <c r="F9" s="13"/>
      <c r="G9" s="13">
        <f>MOD(G6+G7+G8,360)</f>
        <v>66.017</v>
      </c>
      <c r="H9" s="13"/>
      <c r="I9" s="27">
        <f>MOD(I6+I7+I8,360)</f>
        <v>77.86699999999996</v>
      </c>
      <c r="J9" s="27"/>
      <c r="K9" s="27">
        <f>MOD(K6+K8+K7,360)</f>
        <v>263.384</v>
      </c>
      <c r="L9" s="27"/>
      <c r="M9" s="207">
        <f>MOD(M6+M7+M8,360)</f>
        <v>335.23300000000006</v>
      </c>
    </row>
    <row r="10" spans="8:8" ht="16.75">
      <c r="A10" s="54"/>
      <c r="B10" s="25">
        <f>IF(C8=1,C6+C7+1,C6+C7)</f>
        <v>1445.0</v>
      </c>
      <c r="C10" s="13" t="str">
        <f>VLOOKUP(C8,'DATA 1'!T19:V30,2)</f>
        <v>DZULHIJAH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03:04:01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1.0</v>
      </c>
      <c r="E13" s="13" t="str">
        <f>TEXT(E8/24,"hh:mm:ss")</f>
        <v>07:19:59</v>
      </c>
      <c r="F13" s="13">
        <f>(G8-MOD(G8,24))/24</f>
        <v>12.0</v>
      </c>
      <c r="G13" s="13" t="str">
        <f>TEXT(G8/24,"hh:mm:ss")</f>
        <v>18:43:01</v>
      </c>
      <c r="H13" s="13">
        <f>(I8-MOD(I8,24))/24</f>
        <v>12.0</v>
      </c>
      <c r="I13" s="13" t="str">
        <f>TEXT(I8/24,"hh:mm:ss")</f>
        <v>03:04:01</v>
      </c>
      <c r="J13" s="13">
        <f>(K8-MOD(K8,24))/24</f>
        <v>10.0</v>
      </c>
      <c r="K13" s="13" t="str">
        <f>TEXT(K8/24,"hh:mm:ss")</f>
        <v>18:10:01</v>
      </c>
      <c r="L13" s="13">
        <f>(M8-MOD(M8,24))/24</f>
        <v>12.0</v>
      </c>
      <c r="M13" s="205" t="str">
        <f>TEXT(M8/24,"hh:mm:ss")</f>
        <v>03:04:01</v>
      </c>
    </row>
    <row r="14" spans="8:8">
      <c r="A14" s="54"/>
      <c r="B14" s="39" t="s">
        <v>2045</v>
      </c>
      <c r="C14" s="27" t="s">
        <v>2044</v>
      </c>
      <c r="D14" s="13">
        <f>(E9-MOD(E9,24))/24</f>
        <v>6.0</v>
      </c>
      <c r="E14" s="13" t="str">
        <f>TEXT(E9/24,"hh:mm:ss")</f>
        <v>21:30:58</v>
      </c>
      <c r="F14" s="13">
        <f>(G9-MOD(G9,24))/24</f>
        <v>2.0</v>
      </c>
      <c r="G14" s="13" t="str">
        <f>TEXT(G9/24,"hh:mm:ss")</f>
        <v>18:01:01</v>
      </c>
      <c r="H14" s="13">
        <f>(I9-MOD(I9,24))/24</f>
        <v>3.0</v>
      </c>
      <c r="I14" s="13" t="str">
        <f>TEXT(I9/24,"hh:mm:ss")</f>
        <v>05:52:01</v>
      </c>
      <c r="J14" s="13">
        <f>(K9-MOD(K9,24))/24</f>
        <v>10.0</v>
      </c>
      <c r="K14" s="13" t="str">
        <f>TEXT(K9/24,"hh:mm:ss")</f>
        <v>23:23:02</v>
      </c>
      <c r="L14" s="13">
        <f>(M9-MOD(M9,24))/24</f>
        <v>13.0</v>
      </c>
      <c r="M14" s="205" t="str">
        <f>TEXT(M9/24,"hh:mm:ss")</f>
        <v>23:13:59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9.983</v>
      </c>
      <c r="L17" s="13">
        <f>(K17-MOD(K17,30))/30</f>
        <v>0.0</v>
      </c>
      <c r="M17" s="205" t="str">
        <f>TEXT(K17/24,"hh:mm:ss")</f>
        <v>09:58:59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1.15</v>
      </c>
      <c r="L18" s="13">
        <f>(K18-MOD(K18,30))/30</f>
        <v>0.0</v>
      </c>
      <c r="M18" s="205" t="str">
        <f>TEXT(K18/24,"hh:mm:ss")</f>
        <v>01:09:00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11.133000000000001</v>
      </c>
      <c r="L19" s="13">
        <f>(K19-MOD(K19,30))/30</f>
        <v>0.0</v>
      </c>
      <c r="M19" s="205" t="str">
        <f>TEXT(K19/24,"hh:mm:ss")</f>
        <v>11:07:59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0.9277128900000001</v>
      </c>
      <c r="L20" s="13">
        <f>(K20-MOD(K20,30))/30</f>
        <v>0.0</v>
      </c>
      <c r="M20" s="205" t="str">
        <f>TEXT(K20/24,"hh:mm:ss")</f>
        <v>00:55:40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2.07771289</v>
      </c>
      <c r="L21" s="13">
        <f>(K21-MOD(K21,30))/30</f>
        <v>0.0</v>
      </c>
      <c r="M21" s="205" t="str">
        <f>TEXT(K21/24,"hh:mm:ss")</f>
        <v>02:04:40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75.78928711</v>
      </c>
      <c r="L22" s="13">
        <f>(K22-MOD(K22,30))/30</f>
        <v>2.0</v>
      </c>
      <c r="M22" s="205" t="str">
        <f>TEXT(K22/24,"hh:mm:ss")</f>
        <v>03:47:21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Al-Jauza</v>
      </c>
      <c r="L23" s="13">
        <f>L22</f>
        <v>2.0</v>
      </c>
      <c r="M23" s="205" t="str">
        <f>VLOOKUP(L23,'DATA 1'!W19:Y31,3)</f>
        <v>Juni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0.167</v>
      </c>
      <c r="L25" s="13">
        <f>(K25-MOD(K25,30))/30</f>
        <v>0.0</v>
      </c>
      <c r="M25" s="205" t="str">
        <f>TEXT(K25/24,"hh:mm:ss")</f>
        <v>00:10:01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10.966</v>
      </c>
      <c r="L26" s="13">
        <f>(K26-MOD(K26,30))/30</f>
        <v>0.0</v>
      </c>
      <c r="M26" s="205" t="str">
        <f>TEXT(K26/24,"hh:mm:ss")</f>
        <v>10:57:58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64.82328711000001</v>
      </c>
      <c r="L27" s="13">
        <f>(K27-MOD(K27,30))/30</f>
        <v>2.0</v>
      </c>
      <c r="M27" s="205" t="str">
        <f>TEXT(K27/24,"hh:mm:ss")</f>
        <v>16:49:24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1.933</v>
      </c>
      <c r="L28" s="13">
        <f>(K28-MOD(K28,30))/30</f>
        <v>0.0</v>
      </c>
      <c r="M28" s="205" t="str">
        <f>TEXT(K28/24,"hh:mm:ss")</f>
        <v>01:55:59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21.197278</v>
      </c>
      <c r="L29" s="13">
        <f>(K29-MOD(K29,30))/30</f>
        <v>0.0</v>
      </c>
      <c r="M29" s="205" t="str">
        <f>TEXT(K29/24,"hh:mm:ss")</f>
        <v>21:11:50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144.31872199999998</v>
      </c>
      <c r="L30" s="13">
        <f>(K30-MOD(K30,30))/30</f>
        <v>4.0</v>
      </c>
      <c r="M30" s="205" t="str">
        <f>TEXT(K30/24,"hh:mm:ss")</f>
        <v>00:19:07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145.297655333333</v>
      </c>
      <c r="L33" s="13">
        <f>(K33-MOD(K33,30))/30</f>
        <v>4.0</v>
      </c>
      <c r="M33" s="205" t="str">
        <f>TEXT(K33/24,"hh:mm:ss")</f>
        <v>01:17:52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1.2976553333330116</v>
      </c>
      <c r="L35" s="26"/>
      <c r="M35" s="212" t="str">
        <f>TEXT(K35/24,"hh:mm:ss")</f>
        <v>01:17:52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7.297655333333012</v>
      </c>
      <c r="L37" s="26"/>
      <c r="M37" s="212" t="str">
        <f>TEXT(K37/24,"hh:mm:ss")</f>
        <v>07:17:52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22.70234466666699</v>
      </c>
      <c r="L38" s="26"/>
      <c r="M38" s="212" t="str">
        <f>TEXT(K38/24,"hh:mm:ss")</f>
        <v>22:42:08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11.351172333333494</v>
      </c>
      <c r="L39" s="26"/>
      <c r="M39" s="212" t="str">
        <f>TEXT(K39/24,"hh:mm:ss")</f>
        <v>11:21:04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0.757123194633344</v>
      </c>
      <c r="L40" s="13"/>
      <c r="M40" s="205" t="str">
        <f>TEXT(K40/24,"hh:mm:ss")</f>
        <v>00:45:26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3.683</v>
      </c>
      <c r="L41" s="13"/>
      <c r="M41" s="205" t="str">
        <f>TEXT(K41/24,"hh:mm:ss")</f>
        <v>03:40:59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4.440123194633344</v>
      </c>
      <c r="L42" s="13"/>
      <c r="M42" s="205" t="str">
        <f>TEXT(K42/24,"hh:mm:ss")</f>
        <v>04:26:24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01:17:52</v>
      </c>
      <c r="G45" s="27"/>
      <c r="H45" s="27"/>
      <c r="I45" s="27" t="str">
        <f>IF(K35&lt;12,"Malam","Hari")</f>
        <v>Malam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07:17:52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22:42:08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11:21:04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00:45:26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04:26:24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Al-Jauza</v>
      </c>
      <c r="G52" s="13"/>
      <c r="H52" s="13"/>
      <c r="I52" s="13"/>
      <c r="J52" s="13"/>
      <c r="K52" s="205" t="str">
        <f>M23</f>
        <v>Juni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DZULHIJAH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3:C3"/>
    <mergeCell ref="F49:G49"/>
    <mergeCell ref="B50:E50"/>
    <mergeCell ref="I55:M55"/>
    <mergeCell ref="B25:E25"/>
    <mergeCell ref="K4:M4"/>
    <mergeCell ref="K52:M52"/>
    <mergeCell ref="F52:J52"/>
    <mergeCell ref="B27:E27"/>
    <mergeCell ref="B40:E40"/>
    <mergeCell ref="B28:E28"/>
    <mergeCell ref="B37:E37"/>
    <mergeCell ref="A1:M2"/>
    <mergeCell ref="F40:J40"/>
    <mergeCell ref="I47:J47"/>
    <mergeCell ref="A4:C4"/>
    <mergeCell ref="B54:E54"/>
    <mergeCell ref="B35:E35"/>
    <mergeCell ref="F29:J29"/>
    <mergeCell ref="B26:E26"/>
    <mergeCell ref="F33:J33"/>
    <mergeCell ref="B30:E30"/>
    <mergeCell ref="B31:E31"/>
    <mergeCell ref="K54:M54"/>
    <mergeCell ref="F41:J41"/>
    <mergeCell ref="B22:E22"/>
    <mergeCell ref="F19:J19"/>
    <mergeCell ref="K44:M44"/>
    <mergeCell ref="B17:E17"/>
    <mergeCell ref="K3:M3"/>
    <mergeCell ref="F34:J34"/>
    <mergeCell ref="F25:J25"/>
    <mergeCell ref="B29:E29"/>
    <mergeCell ref="F28:J28"/>
    <mergeCell ref="B16:E16"/>
    <mergeCell ref="F39:J39"/>
    <mergeCell ref="B41:E41"/>
    <mergeCell ref="F17:J17"/>
    <mergeCell ref="B44:E44"/>
    <mergeCell ref="B45:E45"/>
    <mergeCell ref="F24:J24"/>
    <mergeCell ref="B20:E20"/>
    <mergeCell ref="F23:J23"/>
    <mergeCell ref="B39:E39"/>
    <mergeCell ref="F50:G50"/>
    <mergeCell ref="B47:E47"/>
    <mergeCell ref="F53:J53"/>
    <mergeCell ref="F51:J51"/>
    <mergeCell ref="B55:G55"/>
    <mergeCell ref="F54:J54"/>
    <mergeCell ref="B24:E24"/>
    <mergeCell ref="K50:M50"/>
    <mergeCell ref="F32:J32"/>
    <mergeCell ref="K51:M51"/>
    <mergeCell ref="B46:E46"/>
    <mergeCell ref="B53:E53"/>
    <mergeCell ref="K45:M45"/>
    <mergeCell ref="B43:M43"/>
    <mergeCell ref="I48:J48"/>
    <mergeCell ref="K47:M47"/>
    <mergeCell ref="K49:M49"/>
    <mergeCell ref="K46:M46"/>
    <mergeCell ref="B38:E38"/>
    <mergeCell ref="F16:J16"/>
    <mergeCell ref="B32:E32"/>
    <mergeCell ref="F35:J35"/>
    <mergeCell ref="F38:J38"/>
    <mergeCell ref="F37:J37"/>
    <mergeCell ref="L16:M16"/>
    <mergeCell ref="B5:C5"/>
    <mergeCell ref="I46:J46"/>
    <mergeCell ref="B21:E21"/>
    <mergeCell ref="E4:I4"/>
    <mergeCell ref="B52:E52"/>
    <mergeCell ref="I50:J50"/>
    <mergeCell ref="F36:J36"/>
    <mergeCell ref="B51:E51"/>
    <mergeCell ref="F42:J42"/>
    <mergeCell ref="B33:E33"/>
    <mergeCell ref="I49:J49"/>
    <mergeCell ref="I45:J45"/>
    <mergeCell ref="B19:E19"/>
    <mergeCell ref="F45:G45"/>
    <mergeCell ref="B18:E18"/>
    <mergeCell ref="B23:E23"/>
    <mergeCell ref="F47:G47"/>
    <mergeCell ref="F27:J27"/>
    <mergeCell ref="B49:E49"/>
    <mergeCell ref="K48:M48"/>
    <mergeCell ref="B42:E42"/>
    <mergeCell ref="F21:J21"/>
    <mergeCell ref="F44:G44"/>
    <mergeCell ref="F30:J30"/>
    <mergeCell ref="F46:G46"/>
    <mergeCell ref="F22:J22"/>
    <mergeCell ref="B36:E36"/>
    <mergeCell ref="F48:G48"/>
    <mergeCell ref="F26:J26"/>
    <mergeCell ref="B48:E48"/>
    <mergeCell ref="F20:J20"/>
    <mergeCell ref="B34:E34"/>
    <mergeCell ref="I44:J44"/>
    <mergeCell ref="F31:J31"/>
    <mergeCell ref="F18:J18"/>
    <mergeCell ref="E3:I3"/>
  </mergeCells>
  <pageMargins left="0.7" right="0.7" top="0.75" bottom="0.75" header="0.3" footer="0.3"/>
  <legacy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EU55"/>
  <sheetViews>
    <sheetView workbookViewId="0" zoomScale="37">
      <selection activeCell="A1" sqref="A1"/>
    </sheetView>
  </sheetViews>
  <sheetFormatPr defaultRowHeight="16.25" defaultColWidth="10"/>
  <sheetData>
    <row r="3" spans="8:8" ht="16.75"/>
    <row r="4" spans="8:8" ht="16.75"/>
    <row r="5" spans="8:8" ht="19.25"/>
    <row r="7" spans="8:8" ht="16.75"/>
    <row r="19" spans="8:8" ht="16.75"/>
    <row r="24" spans="8:8" ht="16.75"/>
    <row r="29" spans="8:8" ht="16.75"/>
    <row r="35" spans="8:8" ht="16.75"/>
    <row r="48" spans="8:8" ht="16.75"/>
    <row r="53" spans="8:8" ht="16.75"/>
  </sheetData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PK415"/>
  <sheetViews>
    <sheetView workbookViewId="0" zoomScale="52">
      <selection activeCell="R26" sqref="R26"/>
    </sheetView>
  </sheetViews>
  <sheetFormatPr defaultRowHeight="14.25" defaultColWidth="10"/>
  <cols>
    <col min="1" max="1" customWidth="1" bestFit="1" width="10.0" style="0"/>
    <col min="2" max="2" hidden="1" customWidth="1" bestFit="1" width="10.0" style="0"/>
    <col min="3" max="3" customWidth="1" bestFit="1" width="10.0" style="0"/>
    <col min="4" max="4" hidden="1" customWidth="1" bestFit="1" width="10.0" style="0"/>
    <col min="5" max="5" customWidth="1" bestFit="1" width="10.0" style="0"/>
    <col min="6" max="6" hidden="1" customWidth="1" bestFit="1" width="10.0" style="0"/>
    <col min="7" max="7" customWidth="1" bestFit="1" width="10.0" style="0"/>
    <col min="8" max="8" hidden="1" customWidth="1" bestFit="1" width="10.0" style="0"/>
    <col min="9" max="9" customWidth="1" bestFit="1" width="10.0" style="0"/>
    <col min="10" max="10" hidden="1" customWidth="1" bestFit="1" width="10.0" style="0"/>
    <col min="11" max="11" customWidth="1" bestFit="1" width="10.0" style="0"/>
    <col min="12" max="12" customWidth="1" bestFit="1" width="10.0" style="0"/>
    <col min="13" max="13" customWidth="1" bestFit="1" width="10.0" style="0"/>
    <col min="14" max="14" customWidth="1" bestFit="1" width="10.0" style="0"/>
    <col min="15" max="15" customWidth="1" bestFit="1" width="10.0" style="0"/>
    <col min="16" max="16" customWidth="1" bestFit="1" width="10.0" style="0"/>
    <col min="17" max="17" customWidth="1" bestFit="1" width="10.0" style="0"/>
    <col min="18" max="18" customWidth="1" bestFit="1" width="10.0" style="0"/>
    <col min="19" max="19" customWidth="1" bestFit="1" width="10.0" style="0"/>
    <col min="20" max="20" customWidth="1" bestFit="1" width="10.0" style="0"/>
    <col min="21" max="21" customWidth="1" bestFit="1" width="10.0" style="0"/>
    <col min="22" max="22" customWidth="1" bestFit="1" width="10.0" style="0"/>
    <col min="23" max="23" customWidth="1" bestFit="1" width="10.0" style="0"/>
    <col min="24" max="24" customWidth="1" bestFit="1" width="10.0" style="0"/>
    <col min="25" max="25" customWidth="1" bestFit="1" width="10.0" style="0"/>
    <col min="26" max="26" customWidth="1" bestFit="1" width="14.113281" style="0"/>
    <col min="27" max="27" customWidth="1" bestFit="1" width="10.0" style="0"/>
  </cols>
  <sheetData>
    <row r="3" spans="8:8">
      <c r="A3" s="103" t="s">
        <v>5526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M3" s="104" t="s">
        <v>13</v>
      </c>
      <c r="N3" s="104"/>
      <c r="O3" s="104"/>
      <c r="P3" s="104"/>
      <c r="Q3" s="104"/>
      <c r="R3" s="104"/>
      <c r="W3" s="105" t="s">
        <v>10</v>
      </c>
      <c r="X3" s="105" t="s">
        <v>11</v>
      </c>
      <c r="Y3" s="105" t="s">
        <v>12</v>
      </c>
    </row>
    <row r="4" spans="8:8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M4" s="104"/>
      <c r="N4" s="104"/>
      <c r="O4" s="104"/>
      <c r="P4" s="104"/>
      <c r="Q4" s="104"/>
      <c r="R4" s="104"/>
      <c r="W4" s="106">
        <v>0.0</v>
      </c>
      <c r="X4" s="107" t="s">
        <v>14</v>
      </c>
      <c r="Y4" s="108"/>
    </row>
    <row r="5" spans="8:8" ht="15.25">
      <c r="A5" s="109" t="s">
        <v>8</v>
      </c>
      <c r="B5" s="110" t="s">
        <v>5524</v>
      </c>
      <c r="C5" s="111" t="s">
        <v>15</v>
      </c>
      <c r="D5" s="110" t="s">
        <v>5525</v>
      </c>
      <c r="E5" s="111" t="s">
        <v>90</v>
      </c>
      <c r="F5" s="111" t="s">
        <v>5525</v>
      </c>
      <c r="G5" s="111" t="s">
        <v>17</v>
      </c>
      <c r="H5" s="111" t="s">
        <v>5525</v>
      </c>
      <c r="I5" s="111" t="s">
        <v>18</v>
      </c>
      <c r="J5" s="111" t="s">
        <v>5525</v>
      </c>
      <c r="K5" s="111" t="s">
        <v>19</v>
      </c>
      <c r="M5" s="112" t="s">
        <v>8</v>
      </c>
      <c r="N5" s="113" t="s">
        <v>15</v>
      </c>
      <c r="O5" s="113" t="s">
        <v>16</v>
      </c>
      <c r="P5" s="113" t="s">
        <v>17</v>
      </c>
      <c r="Q5" s="113" t="s">
        <v>18</v>
      </c>
      <c r="R5" s="113" t="s">
        <v>19</v>
      </c>
      <c r="T5" s="114" t="s">
        <v>20</v>
      </c>
      <c r="U5" s="114" t="s">
        <v>21</v>
      </c>
      <c r="W5" s="106">
        <v>1.0</v>
      </c>
      <c r="X5" s="107" t="s">
        <v>22</v>
      </c>
      <c r="Y5" s="107" t="s">
        <v>23</v>
      </c>
    </row>
    <row r="6" spans="8:8" ht="16.2">
      <c r="A6" s="115">
        <v>1410.0</v>
      </c>
      <c r="B6" s="115">
        <v>40.083</v>
      </c>
      <c r="C6" s="116">
        <v>161.9</v>
      </c>
      <c r="D6" s="117">
        <v>80.5</v>
      </c>
      <c r="E6" s="116">
        <v>197.55</v>
      </c>
      <c r="F6" s="116">
        <v>252.8</v>
      </c>
      <c r="G6" s="116">
        <v>162.0</v>
      </c>
      <c r="H6" s="116">
        <v>218.0</v>
      </c>
      <c r="I6" s="115">
        <v>322.217</v>
      </c>
      <c r="J6" s="115">
        <v>252.667</v>
      </c>
      <c r="K6" s="115">
        <v>59.833</v>
      </c>
      <c r="M6" s="118">
        <v>1410.0</v>
      </c>
      <c r="N6" s="119">
        <v>161.9</v>
      </c>
      <c r="O6" s="119">
        <v>179.55</v>
      </c>
      <c r="P6" s="119">
        <v>162.0</v>
      </c>
      <c r="Q6" s="118">
        <v>322.217</v>
      </c>
      <c r="R6" s="118">
        <v>59.833</v>
      </c>
      <c r="T6" s="120" t="s">
        <v>24</v>
      </c>
      <c r="W6" s="106">
        <v>2.0</v>
      </c>
      <c r="X6" s="107" t="s">
        <v>25</v>
      </c>
      <c r="Y6" s="107" t="s">
        <v>26</v>
      </c>
    </row>
    <row r="7" spans="8:8" ht="16.2">
      <c r="A7" s="115">
        <v>1420.0</v>
      </c>
      <c r="B7" s="115">
        <v>40.083</v>
      </c>
      <c r="C7" s="115">
        <v>33.983</v>
      </c>
      <c r="D7" s="117">
        <v>80.5</v>
      </c>
      <c r="E7" s="116">
        <v>278.05</v>
      </c>
      <c r="F7" s="116">
        <v>252.8</v>
      </c>
      <c r="G7" s="116">
        <v>54.8</v>
      </c>
      <c r="H7" s="116">
        <v>218.0</v>
      </c>
      <c r="I7" s="115">
        <v>180.217</v>
      </c>
      <c r="J7" s="115">
        <v>252.667</v>
      </c>
      <c r="K7" s="116">
        <v>312.5</v>
      </c>
      <c r="M7" s="118">
        <v>1420.0</v>
      </c>
      <c r="N7" s="118">
        <v>33.983</v>
      </c>
      <c r="O7" s="119">
        <v>278.05</v>
      </c>
      <c r="P7" s="119">
        <v>54.8</v>
      </c>
      <c r="Q7" s="118">
        <v>180.217</v>
      </c>
      <c r="R7" s="119">
        <v>312.5</v>
      </c>
      <c r="W7" s="106">
        <v>3.0</v>
      </c>
      <c r="X7" s="107" t="s">
        <v>27</v>
      </c>
      <c r="Y7" s="107" t="s">
        <v>28</v>
      </c>
    </row>
    <row r="8" spans="8:8" ht="16.2">
      <c r="A8" s="115">
        <v>1430.0</v>
      </c>
      <c r="B8" s="115">
        <v>40.083</v>
      </c>
      <c r="C8" s="115">
        <v>74.067</v>
      </c>
      <c r="D8" s="117">
        <v>80.5</v>
      </c>
      <c r="E8" s="116">
        <v>358.55</v>
      </c>
      <c r="F8" s="116">
        <v>252.8</v>
      </c>
      <c r="G8" s="116">
        <v>307.6</v>
      </c>
      <c r="H8" s="116">
        <v>218.0</v>
      </c>
      <c r="I8" s="115">
        <v>38.217</v>
      </c>
      <c r="J8" s="115">
        <v>252.667</v>
      </c>
      <c r="K8" s="116">
        <v>205.167</v>
      </c>
      <c r="M8" s="118">
        <v>1430.0</v>
      </c>
      <c r="N8" s="118">
        <v>74.067</v>
      </c>
      <c r="O8" s="119">
        <v>358.55</v>
      </c>
      <c r="P8" s="119">
        <v>307.6</v>
      </c>
      <c r="Q8" s="118">
        <v>38.217</v>
      </c>
      <c r="R8" s="119">
        <v>205.167</v>
      </c>
      <c r="W8" s="106">
        <v>4.0</v>
      </c>
      <c r="X8" s="107" t="s">
        <v>29</v>
      </c>
      <c r="Y8" s="107" t="s">
        <v>30</v>
      </c>
    </row>
    <row r="9" spans="8:8" ht="17.15">
      <c r="A9" s="115">
        <v>1440.0</v>
      </c>
      <c r="B9" s="115">
        <v>40.083</v>
      </c>
      <c r="C9" s="115">
        <v>114.15</v>
      </c>
      <c r="D9" s="117">
        <v>80.5</v>
      </c>
      <c r="E9" s="116">
        <v>79.05</v>
      </c>
      <c r="F9" s="116">
        <v>252.8</v>
      </c>
      <c r="G9" s="116">
        <v>200.4</v>
      </c>
      <c r="H9" s="116">
        <v>218.0</v>
      </c>
      <c r="I9" s="115">
        <v>256.217</v>
      </c>
      <c r="J9" s="115">
        <v>252.667</v>
      </c>
      <c r="K9" s="116">
        <v>97.833</v>
      </c>
      <c r="M9" s="118">
        <v>1440.0</v>
      </c>
      <c r="N9" s="121">
        <v>114.15</v>
      </c>
      <c r="O9" s="119">
        <v>79.05</v>
      </c>
      <c r="P9" s="119">
        <v>200.4</v>
      </c>
      <c r="Q9" s="118">
        <v>256.217</v>
      </c>
      <c r="R9" s="119">
        <v>97.833</v>
      </c>
      <c r="T9" s="114" t="s">
        <v>31</v>
      </c>
      <c r="V9" s="122"/>
      <c r="W9" s="106">
        <v>5.0</v>
      </c>
      <c r="X9" s="107" t="s">
        <v>32</v>
      </c>
      <c r="Y9" s="107"/>
    </row>
    <row r="10" spans="8:8" ht="17.15">
      <c r="A10" s="115">
        <v>1450.0</v>
      </c>
      <c r="B10" s="115">
        <v>40.083</v>
      </c>
      <c r="C10" s="115">
        <v>154.233</v>
      </c>
      <c r="D10" s="117">
        <v>80.5</v>
      </c>
      <c r="E10" s="116">
        <v>159.55</v>
      </c>
      <c r="F10" s="116">
        <v>252.8</v>
      </c>
      <c r="G10" s="116">
        <v>93.2</v>
      </c>
      <c r="H10" s="116">
        <v>218.0</v>
      </c>
      <c r="I10" s="115">
        <v>114.217</v>
      </c>
      <c r="J10" s="115">
        <v>252.667</v>
      </c>
      <c r="K10" s="116">
        <v>350.5</v>
      </c>
      <c r="M10" s="118">
        <v>1450.0</v>
      </c>
      <c r="N10" s="118">
        <v>154.233</v>
      </c>
      <c r="O10" s="119">
        <v>159.55</v>
      </c>
      <c r="P10" s="119">
        <v>93.2</v>
      </c>
      <c r="Q10" s="118">
        <v>114.217</v>
      </c>
      <c r="R10" s="119">
        <v>350.5</v>
      </c>
      <c r="T10" s="114" t="s">
        <v>33</v>
      </c>
      <c r="W10" s="106">
        <v>6.0</v>
      </c>
      <c r="X10" s="107" t="s">
        <v>34</v>
      </c>
      <c r="Y10" s="107"/>
    </row>
    <row r="11" spans="8:8" ht="16.2">
      <c r="A11" s="115">
        <v>1460.0</v>
      </c>
      <c r="B11" s="115">
        <v>40.083</v>
      </c>
      <c r="C11" s="115">
        <v>26.317</v>
      </c>
      <c r="D11" s="117">
        <v>80.5</v>
      </c>
      <c r="E11" s="116">
        <v>240.05</v>
      </c>
      <c r="F11" s="116">
        <v>252.8</v>
      </c>
      <c r="G11" s="116">
        <v>346.0</v>
      </c>
      <c r="H11" s="116">
        <v>218.0</v>
      </c>
      <c r="I11" s="115">
        <v>332.217</v>
      </c>
      <c r="J11" s="115">
        <v>252.667</v>
      </c>
      <c r="K11" s="116">
        <v>243.167</v>
      </c>
      <c r="M11" s="118">
        <v>1460.0</v>
      </c>
      <c r="N11" s="118">
        <v>26.317</v>
      </c>
      <c r="O11" s="119">
        <v>240.05</v>
      </c>
      <c r="P11" s="119">
        <v>346.0</v>
      </c>
      <c r="Q11" s="118">
        <v>332.217</v>
      </c>
      <c r="R11" s="119">
        <v>243.167</v>
      </c>
      <c r="W11" s="106">
        <v>7.0</v>
      </c>
      <c r="X11" s="107" t="s">
        <v>35</v>
      </c>
      <c r="Y11" s="107" t="s">
        <v>36</v>
      </c>
    </row>
    <row r="12" spans="8:8" ht="15.0">
      <c r="A12" s="115">
        <v>1470.0</v>
      </c>
      <c r="B12" s="115">
        <v>40.083</v>
      </c>
      <c r="C12" s="116">
        <v>66.4</v>
      </c>
      <c r="D12" s="117">
        <v>80.5</v>
      </c>
      <c r="E12" s="116">
        <v>320.55</v>
      </c>
      <c r="F12" s="116">
        <v>252.8</v>
      </c>
      <c r="G12" s="116">
        <v>238.8</v>
      </c>
      <c r="H12" s="116">
        <v>218.0</v>
      </c>
      <c r="I12" s="115">
        <v>190.217</v>
      </c>
      <c r="J12" s="115">
        <v>252.667</v>
      </c>
      <c r="K12" s="116">
        <v>135.833</v>
      </c>
      <c r="M12" s="118">
        <v>1470.0</v>
      </c>
      <c r="N12" s="119">
        <v>66.4</v>
      </c>
      <c r="O12" s="119">
        <v>320.55</v>
      </c>
      <c r="P12" s="119">
        <v>238.8</v>
      </c>
      <c r="Q12" s="118">
        <v>190.217</v>
      </c>
      <c r="R12" s="119">
        <v>135.833</v>
      </c>
      <c r="S12"/>
      <c r="W12" s="106">
        <v>8.0</v>
      </c>
      <c r="X12" s="107" t="s">
        <v>37</v>
      </c>
      <c r="Y12" s="107"/>
    </row>
    <row r="13" spans="8:8" ht="15.0">
      <c r="A13" s="115">
        <v>1480.0</v>
      </c>
      <c r="B13" s="115">
        <v>40.083</v>
      </c>
      <c r="C13" s="115">
        <v>106.483</v>
      </c>
      <c r="D13" s="117">
        <v>80.5</v>
      </c>
      <c r="E13" s="116">
        <v>41.05</v>
      </c>
      <c r="F13" s="116">
        <v>252.8</v>
      </c>
      <c r="G13" s="116">
        <v>131.6</v>
      </c>
      <c r="H13" s="116">
        <v>218.0</v>
      </c>
      <c r="I13" s="115">
        <v>48.217</v>
      </c>
      <c r="J13" s="115">
        <v>252.667</v>
      </c>
      <c r="K13" s="116">
        <v>28.5</v>
      </c>
      <c r="M13" s="118">
        <v>1480.0</v>
      </c>
      <c r="N13" s="118">
        <v>106.483</v>
      </c>
      <c r="O13" s="119">
        <v>41.05</v>
      </c>
      <c r="P13" s="119">
        <v>131.6</v>
      </c>
      <c r="Q13" s="118">
        <v>48.217</v>
      </c>
      <c r="R13" s="119">
        <v>28.5</v>
      </c>
      <c r="S13">
        <f>N14-N13</f>
        <v>40.083</v>
      </c>
      <c r="W13" s="106">
        <v>9.0</v>
      </c>
      <c r="X13" s="107" t="s">
        <v>38</v>
      </c>
      <c r="Y13" s="107" t="s">
        <v>39</v>
      </c>
    </row>
    <row r="14" spans="8:8" ht="15.0">
      <c r="A14" s="115">
        <v>1490.0</v>
      </c>
      <c r="B14" s="115">
        <v>40.083</v>
      </c>
      <c r="C14" s="115">
        <v>146.566</v>
      </c>
      <c r="D14" s="117">
        <v>80.5</v>
      </c>
      <c r="E14" s="116">
        <v>121.55</v>
      </c>
      <c r="F14" s="116">
        <v>252.8</v>
      </c>
      <c r="G14" s="116">
        <v>24.4</v>
      </c>
      <c r="H14" s="116">
        <v>218.0</v>
      </c>
      <c r="I14" s="115">
        <v>266.217</v>
      </c>
      <c r="J14" s="115">
        <v>252.667</v>
      </c>
      <c r="K14" s="116">
        <v>281.167</v>
      </c>
      <c r="M14" s="118">
        <v>1490.0</v>
      </c>
      <c r="N14" s="118">
        <v>146.566</v>
      </c>
      <c r="O14" s="119">
        <v>121.55</v>
      </c>
      <c r="P14" s="119">
        <v>24.4</v>
      </c>
      <c r="Q14" s="118">
        <v>266.217</v>
      </c>
      <c r="R14" s="119">
        <v>281.167</v>
      </c>
      <c r="S14">
        <f>MOD(N14+S13,168)</f>
        <v>18.649</v>
      </c>
      <c r="W14" s="106">
        <v>10.0</v>
      </c>
      <c r="X14" s="107" t="s">
        <v>40</v>
      </c>
      <c r="Y14" s="107" t="s">
        <v>41</v>
      </c>
    </row>
    <row r="15" spans="8:8" ht="15.0">
      <c r="A15" s="115">
        <v>1500.0</v>
      </c>
      <c r="B15" s="115">
        <v>40.083</v>
      </c>
      <c r="C15" s="115">
        <v>18.649</v>
      </c>
      <c r="D15" s="117">
        <v>80.5</v>
      </c>
      <c r="E15" s="116">
        <v>202.05</v>
      </c>
      <c r="F15" s="116">
        <v>252.8</v>
      </c>
      <c r="G15" s="116">
        <v>277.2</v>
      </c>
      <c r="H15" s="116">
        <v>218.0</v>
      </c>
      <c r="I15" s="115">
        <v>124.217</v>
      </c>
      <c r="J15" s="115">
        <v>252.667</v>
      </c>
      <c r="K15" s="116">
        <v>173.833</v>
      </c>
      <c r="M15" s="118">
        <v>1500.0</v>
      </c>
      <c r="N15" s="118">
        <v>18.649</v>
      </c>
      <c r="O15" s="119">
        <v>202.05</v>
      </c>
      <c r="P15" s="119">
        <v>277.2</v>
      </c>
      <c r="Q15" s="118">
        <v>124.217</v>
      </c>
      <c r="R15" s="119">
        <v>173.833</v>
      </c>
      <c r="S15">
        <f>MOD(N15+S13,168)</f>
        <v>58.732</v>
      </c>
      <c r="T15" s="122"/>
      <c r="U15" s="122"/>
      <c r="V15" s="122"/>
      <c r="W15" s="106">
        <v>11.0</v>
      </c>
      <c r="X15" s="107" t="s">
        <v>42</v>
      </c>
      <c r="Y15" s="107" t="s">
        <v>43</v>
      </c>
    </row>
    <row r="16" spans="8:8" ht="17.15">
      <c r="A16" s="115">
        <v>1510.0</v>
      </c>
      <c r="B16" s="115">
        <v>40.083</v>
      </c>
      <c r="C16" s="123">
        <f>MOD(C15+B16,168)</f>
        <v>58.732</v>
      </c>
      <c r="D16" s="117">
        <v>80.5</v>
      </c>
      <c r="E16" s="117">
        <f>MOD(E15+D16,360)</f>
        <v>282.55</v>
      </c>
      <c r="F16" s="116">
        <v>252.8</v>
      </c>
      <c r="G16" s="117">
        <f>MOD(G15+F16,360)</f>
        <v>170.0</v>
      </c>
      <c r="H16" s="116">
        <v>218.0</v>
      </c>
      <c r="I16" s="117">
        <f>MOD(I15+H16,360)</f>
        <v>342.217</v>
      </c>
      <c r="J16" s="115">
        <v>252.667</v>
      </c>
      <c r="K16" s="117">
        <f>MOD(K15+J16,360)</f>
        <v>66.5</v>
      </c>
      <c r="W16" s="108"/>
      <c r="X16" s="108"/>
      <c r="Y16" s="108"/>
    </row>
    <row r="17" spans="8:8" ht="14.95">
      <c r="A17" s="115">
        <v>1520.0</v>
      </c>
      <c r="B17" s="115">
        <v>40.083</v>
      </c>
      <c r="C17" s="123">
        <f>MOD(C16+B17,168)</f>
        <v>98.815</v>
      </c>
      <c r="D17" s="117">
        <v>80.5</v>
      </c>
      <c r="E17" s="117">
        <f>MOD(E16+D17,360)</f>
        <v>3.0500000000000114</v>
      </c>
      <c r="F17" s="116">
        <v>252.8</v>
      </c>
      <c r="G17" s="117">
        <f>MOD(G16+F17,360)</f>
        <v>62.80000000000001</v>
      </c>
      <c r="H17" s="116">
        <v>218.0</v>
      </c>
      <c r="I17" s="117">
        <f>MOD(I16+H17,360)</f>
        <v>200.21699999999998</v>
      </c>
      <c r="J17" s="115">
        <v>252.667</v>
      </c>
      <c r="K17" s="117">
        <f>MOD(K16+J17,360)</f>
        <v>319.16700000000003</v>
      </c>
      <c r="M17" s="104" t="s">
        <v>44</v>
      </c>
      <c r="N17" s="104"/>
      <c r="O17" s="104"/>
      <c r="P17" s="104"/>
      <c r="Q17" s="104"/>
      <c r="R17" s="104"/>
    </row>
    <row r="18" spans="8:8" ht="17.15">
      <c r="A18" s="115">
        <v>1530.0</v>
      </c>
      <c r="B18" s="115">
        <v>40.083</v>
      </c>
      <c r="C18" s="123">
        <f>MOD(C17+B18,168)</f>
        <v>138.898</v>
      </c>
      <c r="D18" s="117">
        <v>80.5</v>
      </c>
      <c r="E18" s="117">
        <f>MOD(E17+D18,360)</f>
        <v>83.55000000000001</v>
      </c>
      <c r="F18" s="116">
        <v>252.8</v>
      </c>
      <c r="G18" s="117">
        <f>MOD(G17+F18,360)</f>
        <v>315.6</v>
      </c>
      <c r="H18" s="116">
        <v>218.0</v>
      </c>
      <c r="I18" s="117">
        <f>MOD(I17+H18,360)</f>
        <v>58.216999999999985</v>
      </c>
      <c r="J18" s="115">
        <v>252.667</v>
      </c>
      <c r="K18" s="117">
        <f>MOD(K17+J18,360)</f>
        <v>211.83400000000006</v>
      </c>
      <c r="M18" s="104"/>
      <c r="N18" s="104"/>
      <c r="O18" s="104"/>
      <c r="P18" s="104"/>
      <c r="Q18" s="104"/>
      <c r="R18" s="104"/>
      <c r="S18" s="124"/>
      <c r="T18" s="108" t="s">
        <v>45</v>
      </c>
      <c r="U18" s="108"/>
    </row>
    <row r="19" spans="8:8" ht="16.2">
      <c r="A19" s="115">
        <v>1540.0</v>
      </c>
      <c r="B19" s="115">
        <v>40.083</v>
      </c>
      <c r="C19" s="123">
        <f>MOD(C18+B19,168)</f>
        <v>10.980999999999995</v>
      </c>
      <c r="D19" s="117">
        <v>80.5</v>
      </c>
      <c r="E19" s="117">
        <f>MOD(E18+D19,360)</f>
        <v>164.05</v>
      </c>
      <c r="F19" s="116">
        <v>252.8</v>
      </c>
      <c r="G19" s="117">
        <f>MOD(G18+F19,360)</f>
        <v>208.4000000000001</v>
      </c>
      <c r="H19" s="116">
        <v>218.0</v>
      </c>
      <c r="I19" s="117">
        <f>MOD(I18+H19,360)</f>
        <v>276.217</v>
      </c>
      <c r="J19" s="115">
        <v>252.667</v>
      </c>
      <c r="K19" s="117">
        <f>MOD(K18+J19,360)</f>
        <v>104.50100000000009</v>
      </c>
      <c r="M19" s="125" t="s">
        <v>8</v>
      </c>
      <c r="N19" s="126" t="s">
        <v>46</v>
      </c>
      <c r="O19" s="126" t="s">
        <v>16</v>
      </c>
      <c r="P19" s="126" t="s">
        <v>47</v>
      </c>
      <c r="Q19" s="126" t="s">
        <v>48</v>
      </c>
      <c r="R19" s="126" t="s">
        <v>49</v>
      </c>
      <c r="T19" s="127">
        <v>1.0</v>
      </c>
      <c r="U19" s="127" t="s">
        <v>50</v>
      </c>
      <c r="V19" t="s">
        <v>1875</v>
      </c>
      <c r="W19" s="128">
        <v>0.0</v>
      </c>
      <c r="X19" s="129" t="s">
        <v>180</v>
      </c>
      <c r="Y19" s="130" t="s">
        <v>52</v>
      </c>
      <c r="Z19" s="131" t="s">
        <v>53</v>
      </c>
      <c r="AA19" s="132" t="s">
        <v>192</v>
      </c>
      <c r="AB19" t="s">
        <v>1866</v>
      </c>
    </row>
    <row r="20" spans="8:8" ht="16.2">
      <c r="A20" s="115">
        <v>1550.0</v>
      </c>
      <c r="B20" s="115">
        <v>40.083</v>
      </c>
      <c r="C20" s="123">
        <f>MOD(C19+B20,168)</f>
        <v>51.06399999999999</v>
      </c>
      <c r="D20" s="117">
        <v>80.5</v>
      </c>
      <c r="E20" s="117">
        <f>MOD(E19+D20,360)</f>
        <v>244.55</v>
      </c>
      <c r="F20" s="116">
        <v>252.8</v>
      </c>
      <c r="G20" s="117">
        <f>MOD(G19+F20,360)</f>
        <v>101.2000000000001</v>
      </c>
      <c r="H20" s="116">
        <v>218.0</v>
      </c>
      <c r="I20" s="117">
        <f>MOD(I19+H20,360)</f>
        <v>134.21699999999998</v>
      </c>
      <c r="J20" s="115">
        <v>252.667</v>
      </c>
      <c r="K20" s="117">
        <f>MOD(K19+J20,360)</f>
        <v>357.1680000000001</v>
      </c>
      <c r="M20" s="133">
        <v>0.0</v>
      </c>
      <c r="N20" s="126">
        <v>0.0</v>
      </c>
      <c r="O20" s="126">
        <v>0.0</v>
      </c>
      <c r="P20" s="126">
        <v>0.0</v>
      </c>
      <c r="Q20" s="126">
        <v>0.0</v>
      </c>
      <c r="R20" s="126">
        <v>0.0</v>
      </c>
      <c r="T20" s="127">
        <v>2.0</v>
      </c>
      <c r="U20" s="134" t="s">
        <v>54</v>
      </c>
      <c r="V20" t="s">
        <v>1876</v>
      </c>
      <c r="W20" s="128">
        <v>1.0</v>
      </c>
      <c r="X20" s="129" t="s">
        <v>181</v>
      </c>
      <c r="Y20" s="131" t="s">
        <v>56</v>
      </c>
      <c r="Z20" s="131" t="s">
        <v>53</v>
      </c>
      <c r="AA20" s="132" t="s">
        <v>192</v>
      </c>
      <c r="AB20" t="s">
        <v>1866</v>
      </c>
    </row>
    <row r="21" spans="8:8" ht="16.2">
      <c r="A21" s="115">
        <v>1560.0</v>
      </c>
      <c r="B21" s="115">
        <v>40.083</v>
      </c>
      <c r="C21" s="123">
        <f>MOD(C20+B21,168)</f>
        <v>91.14699999999999</v>
      </c>
      <c r="D21" s="117">
        <v>80.5</v>
      </c>
      <c r="E21" s="117">
        <f>MOD(E20+D21,360)</f>
        <v>325.05</v>
      </c>
      <c r="F21" s="116">
        <v>252.8</v>
      </c>
      <c r="G21" s="117">
        <f>MOD(G20+F21,360)</f>
        <v>354.0000000000001</v>
      </c>
      <c r="H21" s="116">
        <v>218.0</v>
      </c>
      <c r="I21" s="117">
        <f>MOD(I20+H21,360)</f>
        <v>352.217</v>
      </c>
      <c r="J21" s="115">
        <v>252.667</v>
      </c>
      <c r="K21" s="117">
        <f>MOD(K20+J21,360)</f>
        <v>249.83500000000015</v>
      </c>
      <c r="M21" s="126">
        <v>1.0</v>
      </c>
      <c r="N21" s="135">
        <v>104.8</v>
      </c>
      <c r="O21" s="136">
        <v>8.05</v>
      </c>
      <c r="P21" s="126">
        <v>349.267</v>
      </c>
      <c r="Q21" s="136">
        <v>309.8</v>
      </c>
      <c r="R21" s="126">
        <v>349.267</v>
      </c>
      <c r="T21" s="127">
        <v>3.0</v>
      </c>
      <c r="U21" s="134" t="s">
        <v>57</v>
      </c>
      <c r="V21" t="s">
        <v>1887</v>
      </c>
      <c r="W21" s="128">
        <v>2.0</v>
      </c>
      <c r="X21" s="129" t="s">
        <v>182</v>
      </c>
      <c r="Y21" s="130" t="s">
        <v>59</v>
      </c>
      <c r="Z21" s="131" t="s">
        <v>53</v>
      </c>
      <c r="AA21" s="132" t="s">
        <v>192</v>
      </c>
      <c r="AB21" t="s">
        <v>1866</v>
      </c>
    </row>
    <row r="22" spans="8:8" ht="16.2">
      <c r="A22" s="115">
        <v>1570.0</v>
      </c>
      <c r="B22" s="115">
        <v>40.083</v>
      </c>
      <c r="C22" s="123">
        <f>MOD(C21+B22,168)</f>
        <v>131.23</v>
      </c>
      <c r="D22" s="117">
        <v>80.5</v>
      </c>
      <c r="E22" s="117">
        <f>MOD(E21+D22,360)</f>
        <v>45.55000000000001</v>
      </c>
      <c r="F22" s="116">
        <v>252.8</v>
      </c>
      <c r="G22" s="117">
        <f>MOD(G21+F22,360)</f>
        <v>246.80000000000018</v>
      </c>
      <c r="H22" s="116">
        <v>218.0</v>
      </c>
      <c r="I22" s="117">
        <f>MOD(I21+H22,360)</f>
        <v>210.21699999999998</v>
      </c>
      <c r="J22" s="115">
        <v>252.667</v>
      </c>
      <c r="K22" s="117">
        <f>MOD(K21+J22,360)</f>
        <v>142.50200000000018</v>
      </c>
      <c r="M22" s="126">
        <v>2.0</v>
      </c>
      <c r="N22" s="136">
        <v>41.617</v>
      </c>
      <c r="O22" s="136">
        <v>16.1</v>
      </c>
      <c r="P22" s="126">
        <v>338.567</v>
      </c>
      <c r="Q22" s="136">
        <v>259.6</v>
      </c>
      <c r="R22" s="126">
        <v>338.533</v>
      </c>
      <c r="T22" s="127">
        <v>4.0</v>
      </c>
      <c r="U22" s="134" t="s">
        <v>60</v>
      </c>
      <c r="V22" t="s">
        <v>1888</v>
      </c>
      <c r="W22" s="128">
        <v>3.0</v>
      </c>
      <c r="X22" s="130" t="s">
        <v>183</v>
      </c>
      <c r="Y22" s="130" t="s">
        <v>62</v>
      </c>
      <c r="Z22" s="130" t="s">
        <v>53</v>
      </c>
      <c r="AA22" s="132" t="s">
        <v>192</v>
      </c>
      <c r="AB22" t="s">
        <v>1866</v>
      </c>
    </row>
    <row r="23" spans="8:8" ht="16.2">
      <c r="A23" s="115">
        <v>1580.0</v>
      </c>
      <c r="B23" s="115">
        <v>40.083</v>
      </c>
      <c r="C23" s="123">
        <f>MOD(C22+B23,168)</f>
        <v>3.312999999999988</v>
      </c>
      <c r="D23" s="117">
        <v>80.5</v>
      </c>
      <c r="E23" s="117">
        <f>MOD(E22+D23,360)</f>
        <v>126.05000000000001</v>
      </c>
      <c r="F23" s="116">
        <v>252.8</v>
      </c>
      <c r="G23" s="117">
        <f>MOD(G22+F23,360)</f>
        <v>139.6000000000002</v>
      </c>
      <c r="H23" s="116">
        <v>218.0</v>
      </c>
      <c r="I23" s="117">
        <f>MOD(I22+H23,360)</f>
        <v>68.21699999999998</v>
      </c>
      <c r="J23" s="115">
        <v>252.667</v>
      </c>
      <c r="K23" s="117">
        <f>MOD(K22+J23,360)</f>
        <v>35.16900000000021</v>
      </c>
      <c r="M23" s="126">
        <v>3.0</v>
      </c>
      <c r="N23" s="136">
        <v>146.417</v>
      </c>
      <c r="O23" s="136">
        <v>24.15</v>
      </c>
      <c r="P23" s="126">
        <v>327.833</v>
      </c>
      <c r="Q23" s="136">
        <v>209.4</v>
      </c>
      <c r="R23" s="136">
        <v>327.8</v>
      </c>
      <c r="T23" s="127">
        <v>5.0</v>
      </c>
      <c r="U23" s="134" t="s">
        <v>63</v>
      </c>
      <c r="V23" t="s">
        <v>1879</v>
      </c>
      <c r="W23" s="128">
        <v>4.0</v>
      </c>
      <c r="X23" s="130" t="s">
        <v>184</v>
      </c>
      <c r="Y23" s="130" t="s">
        <v>65</v>
      </c>
      <c r="Z23" s="130" t="s">
        <v>53</v>
      </c>
      <c r="AA23" s="132" t="s">
        <v>192</v>
      </c>
      <c r="AB23" t="s">
        <v>1866</v>
      </c>
    </row>
    <row r="24" spans="8:8" ht="16.2">
      <c r="A24" s="115">
        <v>1590.0</v>
      </c>
      <c r="B24" s="115">
        <v>40.083</v>
      </c>
      <c r="C24" s="123">
        <f>MOD(C23+B24,168)</f>
        <v>43.39599999999999</v>
      </c>
      <c r="D24" s="117">
        <v>80.5</v>
      </c>
      <c r="E24" s="117">
        <f>MOD(E23+D24,360)</f>
        <v>206.55</v>
      </c>
      <c r="F24" s="116">
        <v>252.8</v>
      </c>
      <c r="G24" s="117">
        <f>MOD(G23+F24,360)</f>
        <v>32.400000000000205</v>
      </c>
      <c r="H24" s="116">
        <v>218.0</v>
      </c>
      <c r="I24" s="117">
        <f>MOD(I23+H24,360)</f>
        <v>286.217</v>
      </c>
      <c r="J24" s="115">
        <v>252.667</v>
      </c>
      <c r="K24" s="117">
        <f>MOD(K23+J24,360)</f>
        <v>287.83600000000024</v>
      </c>
      <c r="M24" s="126">
        <v>4.0</v>
      </c>
      <c r="N24" s="136">
        <v>83.233</v>
      </c>
      <c r="O24" s="136">
        <v>32.2</v>
      </c>
      <c r="P24" s="126">
        <v>317.117</v>
      </c>
      <c r="Q24" s="136">
        <v>159.2</v>
      </c>
      <c r="R24" s="126">
        <v>317.067</v>
      </c>
      <c r="T24" s="127">
        <v>6.0</v>
      </c>
      <c r="U24" s="134" t="s">
        <v>66</v>
      </c>
      <c r="V24" t="s">
        <v>1880</v>
      </c>
      <c r="W24" s="128">
        <v>5.0</v>
      </c>
      <c r="X24" s="130" t="s">
        <v>185</v>
      </c>
      <c r="Y24" s="130" t="s">
        <v>68</v>
      </c>
      <c r="Z24" s="130" t="s">
        <v>53</v>
      </c>
      <c r="AA24" s="132" t="s">
        <v>192</v>
      </c>
      <c r="AB24" t="s">
        <v>1866</v>
      </c>
    </row>
    <row r="25" spans="8:8" ht="16.2">
      <c r="A25" s="115">
        <v>1600.0</v>
      </c>
      <c r="B25" s="115">
        <v>40.083</v>
      </c>
      <c r="C25" s="123">
        <f>MOD(C24+B25,168)</f>
        <v>83.47899999999998</v>
      </c>
      <c r="D25" s="117">
        <v>80.5</v>
      </c>
      <c r="E25" s="117">
        <f>MOD(E24+D25,360)</f>
        <v>287.05</v>
      </c>
      <c r="F25" s="116">
        <v>252.8</v>
      </c>
      <c r="G25" s="117">
        <f>MOD(G24+F25,360)</f>
        <v>285.2000000000002</v>
      </c>
      <c r="H25" s="116">
        <v>218.0</v>
      </c>
      <c r="I25" s="117">
        <f>MOD(I24+H25,360)</f>
        <v>144.21699999999998</v>
      </c>
      <c r="J25" s="115">
        <v>252.667</v>
      </c>
      <c r="K25" s="117">
        <f>MOD(K24+J25,360)</f>
        <v>180.50300000000027</v>
      </c>
      <c r="M25" s="126">
        <v>5.0</v>
      </c>
      <c r="N25" s="136">
        <v>20.033</v>
      </c>
      <c r="O25" s="136">
        <v>40.25</v>
      </c>
      <c r="P25" s="136">
        <v>306.4</v>
      </c>
      <c r="Q25" s="136">
        <v>109.0</v>
      </c>
      <c r="R25" s="126">
        <v>306.333</v>
      </c>
      <c r="T25" s="127">
        <v>7.0</v>
      </c>
      <c r="U25" s="134" t="s">
        <v>69</v>
      </c>
      <c r="V25" t="s">
        <v>1881</v>
      </c>
      <c r="W25" s="128">
        <v>6.0</v>
      </c>
      <c r="X25" s="130" t="s">
        <v>186</v>
      </c>
      <c r="Y25" s="130" t="s">
        <v>71</v>
      </c>
      <c r="Z25" s="130" t="s">
        <v>72</v>
      </c>
      <c r="AA25" s="132" t="s">
        <v>193</v>
      </c>
      <c r="AB25" t="s">
        <v>1867</v>
      </c>
    </row>
    <row r="26" spans="8:8" ht="16.2">
      <c r="A26" s="115">
        <v>1610.0</v>
      </c>
      <c r="B26" s="115">
        <v>40.083</v>
      </c>
      <c r="C26" s="123">
        <f>MOD(C25+B26,168)</f>
        <v>123.56199999999998</v>
      </c>
      <c r="D26" s="117">
        <v>80.5</v>
      </c>
      <c r="E26" s="117">
        <f>MOD(E25+D26,360)</f>
        <v>7.550000000000011</v>
      </c>
      <c r="F26" s="116">
        <v>252.8</v>
      </c>
      <c r="G26" s="117">
        <f>MOD(G25+F26,360)</f>
        <v>178.00000000000023</v>
      </c>
      <c r="H26" s="116">
        <v>218.0</v>
      </c>
      <c r="I26" s="117">
        <f>MOD(I25+H26,360)</f>
        <v>2.2169999999999845</v>
      </c>
      <c r="J26" s="115">
        <v>252.667</v>
      </c>
      <c r="K26" s="117">
        <f>MOD(K25+J26,360)</f>
        <v>73.1700000000003</v>
      </c>
      <c r="M26" s="126">
        <v>6.0</v>
      </c>
      <c r="N26" s="136">
        <v>124.85</v>
      </c>
      <c r="O26" s="136">
        <v>48.3</v>
      </c>
      <c r="P26" s="126">
        <v>295.683</v>
      </c>
      <c r="Q26" s="136">
        <v>58.8</v>
      </c>
      <c r="R26" s="126">
        <v>295.6</v>
      </c>
      <c r="T26" s="127">
        <v>8.0</v>
      </c>
      <c r="U26" s="134" t="s">
        <v>73</v>
      </c>
      <c r="V26" t="s">
        <v>1882</v>
      </c>
      <c r="W26" s="128">
        <v>7.0</v>
      </c>
      <c r="X26" s="137" t="s">
        <v>187</v>
      </c>
      <c r="Y26" s="130" t="s">
        <v>75</v>
      </c>
      <c r="Z26" s="130" t="s">
        <v>72</v>
      </c>
      <c r="AA26" s="132" t="s">
        <v>193</v>
      </c>
      <c r="AB26" t="s">
        <v>1867</v>
      </c>
    </row>
    <row r="27" spans="8:8" ht="16.2">
      <c r="A27" s="115">
        <v>1620.0</v>
      </c>
      <c r="B27" s="115">
        <v>40.083</v>
      </c>
      <c r="C27" s="123">
        <f>MOD(C26+B27,168)</f>
        <v>163.64499999999998</v>
      </c>
      <c r="D27" s="117">
        <v>80.5</v>
      </c>
      <c r="E27" s="117">
        <f>MOD(E26+D27,360)</f>
        <v>88.05000000000001</v>
      </c>
      <c r="F27" s="116">
        <v>252.8</v>
      </c>
      <c r="G27" s="117">
        <f>MOD(G26+F27,360)</f>
        <v>70.80000000000024</v>
      </c>
      <c r="H27" s="116">
        <v>218.0</v>
      </c>
      <c r="I27" s="117">
        <f>MOD(I26+H27,360)</f>
        <v>220.21699999999998</v>
      </c>
      <c r="J27" s="115">
        <v>252.667</v>
      </c>
      <c r="K27" s="117">
        <f>MOD(K26+J27,360)</f>
        <v>325.83700000000033</v>
      </c>
      <c r="M27" s="126">
        <v>7.0</v>
      </c>
      <c r="N27" s="136">
        <v>61.65</v>
      </c>
      <c r="O27" s="136">
        <v>56.35</v>
      </c>
      <c r="P27" s="126">
        <v>284.967</v>
      </c>
      <c r="Q27" s="136">
        <v>8.6</v>
      </c>
      <c r="R27" s="126">
        <v>284.867</v>
      </c>
      <c r="T27" s="127">
        <v>9.0</v>
      </c>
      <c r="U27" s="134" t="s">
        <v>76</v>
      </c>
      <c r="V27" t="s">
        <v>1883</v>
      </c>
      <c r="W27" s="128">
        <v>8.0</v>
      </c>
      <c r="X27" s="130" t="s">
        <v>188</v>
      </c>
      <c r="Y27" s="130" t="s">
        <v>78</v>
      </c>
      <c r="Z27" s="130" t="s">
        <v>72</v>
      </c>
      <c r="AA27" s="132" t="s">
        <v>193</v>
      </c>
      <c r="AB27" t="s">
        <v>1867</v>
      </c>
    </row>
    <row r="28" spans="8:8" ht="16.2">
      <c r="A28" s="115">
        <v>1630.0</v>
      </c>
      <c r="B28" s="115">
        <v>40.083</v>
      </c>
      <c r="C28" s="123">
        <f>MOD(C27+B28,168)</f>
        <v>35.72799999999998</v>
      </c>
      <c r="D28" s="117">
        <v>80.5</v>
      </c>
      <c r="E28" s="117">
        <f>MOD(E27+D28,360)</f>
        <v>168.55</v>
      </c>
      <c r="F28" s="116">
        <v>252.8</v>
      </c>
      <c r="G28" s="117">
        <f>MOD(G27+F28,360)</f>
        <v>323.60000000000025</v>
      </c>
      <c r="H28" s="116">
        <v>218.0</v>
      </c>
      <c r="I28" s="117">
        <f>MOD(I27+H28,360)</f>
        <v>78.21699999999998</v>
      </c>
      <c r="J28" s="115">
        <v>252.667</v>
      </c>
      <c r="K28" s="117">
        <f>MOD(K27+J28,360)</f>
        <v>218.50400000000036</v>
      </c>
      <c r="M28" s="126">
        <v>8.0</v>
      </c>
      <c r="N28" s="136">
        <v>166.467</v>
      </c>
      <c r="O28" s="136">
        <v>64.4</v>
      </c>
      <c r="P28" s="126">
        <v>274.233</v>
      </c>
      <c r="Q28" s="136">
        <v>318.4</v>
      </c>
      <c r="R28" s="126">
        <v>274.133</v>
      </c>
      <c r="T28" s="127">
        <v>10.0</v>
      </c>
      <c r="U28" s="134" t="s">
        <v>79</v>
      </c>
      <c r="V28" t="s">
        <v>1884</v>
      </c>
      <c r="W28" s="128">
        <v>9.0</v>
      </c>
      <c r="X28" s="129" t="s">
        <v>189</v>
      </c>
      <c r="Y28" s="130" t="s">
        <v>81</v>
      </c>
      <c r="Z28" s="130" t="s">
        <v>72</v>
      </c>
      <c r="AA28" s="132" t="s">
        <v>193</v>
      </c>
      <c r="AB28" t="s">
        <v>1867</v>
      </c>
    </row>
    <row r="29" spans="8:8" ht="16.2">
      <c r="A29" s="115">
        <v>1640.0</v>
      </c>
      <c r="B29" s="115">
        <v>40.083</v>
      </c>
      <c r="C29" s="123">
        <f>MOD(C28+B29,168)</f>
        <v>75.81099999999998</v>
      </c>
      <c r="D29" s="117">
        <v>80.5</v>
      </c>
      <c r="E29" s="117">
        <f>MOD(E28+D29,360)</f>
        <v>249.05</v>
      </c>
      <c r="F29" s="116">
        <v>252.8</v>
      </c>
      <c r="G29" s="117">
        <f>MOD(G28+F29,360)</f>
        <v>216.40000000000032</v>
      </c>
      <c r="H29" s="116">
        <v>218.0</v>
      </c>
      <c r="I29" s="117">
        <f>MOD(I28+H29,360)</f>
        <v>296.217</v>
      </c>
      <c r="J29" s="115">
        <v>252.667</v>
      </c>
      <c r="K29" s="117">
        <f>MOD(K28+J29,360)</f>
        <v>111.17100000000039</v>
      </c>
      <c r="M29" s="126">
        <v>9.0</v>
      </c>
      <c r="N29" s="136">
        <v>103.267</v>
      </c>
      <c r="O29" s="136">
        <v>72.45</v>
      </c>
      <c r="P29" s="126">
        <v>263.517</v>
      </c>
      <c r="Q29" s="136">
        <v>268.2</v>
      </c>
      <c r="R29" s="136">
        <v>263.4</v>
      </c>
      <c r="T29" s="127">
        <v>11.0</v>
      </c>
      <c r="U29" s="134" t="s">
        <v>82</v>
      </c>
      <c r="V29" t="s">
        <v>1885</v>
      </c>
      <c r="W29" s="128">
        <v>10.0</v>
      </c>
      <c r="X29" s="129" t="s">
        <v>190</v>
      </c>
      <c r="Y29" s="130" t="s">
        <v>84</v>
      </c>
      <c r="Z29" s="130" t="s">
        <v>72</v>
      </c>
      <c r="AA29" s="132" t="s">
        <v>193</v>
      </c>
      <c r="AB29" t="s">
        <v>1867</v>
      </c>
    </row>
    <row r="30" spans="8:8" ht="16.2">
      <c r="A30" s="115">
        <v>1650.0</v>
      </c>
      <c r="B30" s="115">
        <v>40.083</v>
      </c>
      <c r="C30" s="123">
        <f>MOD(C29+B30,168)</f>
        <v>115.89399999999998</v>
      </c>
      <c r="D30" s="117">
        <v>80.5</v>
      </c>
      <c r="E30" s="117">
        <f>MOD(E29+D30,360)</f>
        <v>329.55</v>
      </c>
      <c r="F30" s="116">
        <v>252.8</v>
      </c>
      <c r="G30" s="117">
        <f>MOD(G29+F30,360)</f>
        <v>109.20000000000033</v>
      </c>
      <c r="H30" s="116">
        <v>218.0</v>
      </c>
      <c r="I30" s="117">
        <f>MOD(I29+H30,360)</f>
        <v>154.21699999999998</v>
      </c>
      <c r="J30" s="115">
        <v>252.667</v>
      </c>
      <c r="K30" s="117">
        <f>MOD(K29+J30,360)</f>
        <v>3.83800000000042</v>
      </c>
      <c r="M30" s="126">
        <v>10.0</v>
      </c>
      <c r="N30" s="136">
        <v>40.038</v>
      </c>
      <c r="O30" s="136">
        <v>80.5</v>
      </c>
      <c r="P30" s="136">
        <v>252.8</v>
      </c>
      <c r="Q30" s="136">
        <v>218.0</v>
      </c>
      <c r="R30" s="126">
        <v>252.667</v>
      </c>
      <c r="T30" s="127">
        <v>12.0</v>
      </c>
      <c r="U30" s="134" t="s">
        <v>85</v>
      </c>
      <c r="V30" t="s">
        <v>1886</v>
      </c>
      <c r="W30" s="128">
        <v>11.0</v>
      </c>
      <c r="X30" s="129" t="s">
        <v>191</v>
      </c>
      <c r="Y30" s="130" t="s">
        <v>87</v>
      </c>
      <c r="Z30" s="130" t="s">
        <v>72</v>
      </c>
      <c r="AA30" s="132" t="s">
        <v>193</v>
      </c>
      <c r="AB30" t="s">
        <v>1867</v>
      </c>
    </row>
    <row r="31" spans="8:8" ht="16.2">
      <c r="A31" s="115">
        <v>1660.0</v>
      </c>
      <c r="B31" s="115">
        <v>40.083</v>
      </c>
      <c r="C31" s="123">
        <f>MOD(C30+B31,168)</f>
        <v>155.97699999999998</v>
      </c>
      <c r="D31" s="117">
        <v>80.5</v>
      </c>
      <c r="E31" s="117">
        <f>MOD(E30+D31,360)</f>
        <v>50.05000000000001</v>
      </c>
      <c r="F31" s="116">
        <v>252.8</v>
      </c>
      <c r="G31" s="117">
        <f>MOD(G30+F31,360)</f>
        <v>2.000000000000341</v>
      </c>
      <c r="H31" s="116">
        <v>218.0</v>
      </c>
      <c r="I31" s="117">
        <f>MOD(I30+H31,360)</f>
        <v>12.216999999999985</v>
      </c>
      <c r="J31" s="115">
        <v>252.667</v>
      </c>
      <c r="K31" s="117">
        <f>MOD(K30+J31,360)</f>
        <v>256.50500000000045</v>
      </c>
      <c r="W31" s="128">
        <v>12.0</v>
      </c>
      <c r="X31" s="129" t="s">
        <v>180</v>
      </c>
      <c r="Y31" s="130" t="s">
        <v>52</v>
      </c>
      <c r="Z31" s="130" t="s">
        <v>72</v>
      </c>
      <c r="AA31" s="132" t="s">
        <v>193</v>
      </c>
      <c r="AB31" t="s">
        <v>1867</v>
      </c>
    </row>
    <row r="32" spans="8:8" ht="14.95">
      <c r="A32" s="115">
        <v>1670.0</v>
      </c>
      <c r="B32" s="115">
        <v>40.083</v>
      </c>
      <c r="C32" s="123">
        <f>MOD(C31+B32,168)</f>
        <v>28.059999999999974</v>
      </c>
      <c r="D32" s="117">
        <v>80.5</v>
      </c>
      <c r="E32" s="117">
        <f>MOD(E31+D32,360)</f>
        <v>130.55</v>
      </c>
      <c r="F32" s="116">
        <v>252.8</v>
      </c>
      <c r="G32" s="117">
        <f>MOD(G31+F32,360)</f>
        <v>254.80000000000035</v>
      </c>
      <c r="H32" s="116">
        <v>218.0</v>
      </c>
      <c r="I32" s="117">
        <f>MOD(I31+H32,360)</f>
        <v>230.21699999999998</v>
      </c>
      <c r="J32" s="115">
        <v>252.667</v>
      </c>
      <c r="K32" s="117">
        <f>MOD(K31+J32,360)</f>
        <v>149.17200000000048</v>
      </c>
      <c r="N32" s="104" t="s">
        <v>88</v>
      </c>
      <c r="O32" s="104"/>
      <c r="P32" s="104"/>
      <c r="Q32" s="104"/>
      <c r="R32" s="104"/>
      <c r="S32" s="104"/>
    </row>
    <row r="33" spans="8:8" ht="16.2">
      <c r="A33" s="115">
        <v>1680.0</v>
      </c>
      <c r="B33" s="115">
        <v>40.083</v>
      </c>
      <c r="C33" s="123">
        <f>MOD(C32+B33,168)</f>
        <v>68.14299999999997</v>
      </c>
      <c r="D33" s="117">
        <v>80.5</v>
      </c>
      <c r="E33" s="117">
        <f>MOD(E32+D33,360)</f>
        <v>211.05</v>
      </c>
      <c r="F33" s="116">
        <v>252.8</v>
      </c>
      <c r="G33" s="117">
        <f>MOD(G32+F33,360)</f>
        <v>147.60000000000036</v>
      </c>
      <c r="H33" s="116">
        <v>218.0</v>
      </c>
      <c r="I33" s="117">
        <f>MOD(I32+H33,360)</f>
        <v>88.21699999999998</v>
      </c>
      <c r="J33" s="115">
        <v>252.667</v>
      </c>
      <c r="K33" s="117">
        <f>MOD(K32+J33,360)</f>
        <v>41.83900000000051</v>
      </c>
      <c r="N33" s="104"/>
      <c r="O33" s="104"/>
      <c r="P33" s="104"/>
      <c r="Q33" s="104"/>
      <c r="R33" s="104"/>
      <c r="S33" s="104"/>
    </row>
    <row r="34" spans="8:8" ht="17.95">
      <c r="A34" s="115">
        <v>1690.0</v>
      </c>
      <c r="B34" s="115">
        <v>40.083</v>
      </c>
      <c r="C34" s="123">
        <f>MOD(C33+B34,168)</f>
        <v>108.22599999999997</v>
      </c>
      <c r="D34" s="117">
        <v>80.5</v>
      </c>
      <c r="E34" s="117">
        <f>MOD(E33+D34,360)</f>
        <v>291.55</v>
      </c>
      <c r="F34" s="116">
        <v>252.8</v>
      </c>
      <c r="G34" s="117">
        <f>MOD(G33+F34,360)</f>
        <v>40.400000000000375</v>
      </c>
      <c r="H34" s="116">
        <v>218.0</v>
      </c>
      <c r="I34" s="117">
        <f>MOD(I33+H34,360)</f>
        <v>306.217</v>
      </c>
      <c r="J34" s="115">
        <v>252.667</v>
      </c>
      <c r="K34" s="117">
        <f>MOD(K33+J34,360)</f>
        <v>294.50600000000054</v>
      </c>
      <c r="M34" s="138"/>
      <c r="N34" s="139"/>
      <c r="O34" s="118" t="s">
        <v>89</v>
      </c>
      <c r="P34" s="118" t="s">
        <v>90</v>
      </c>
      <c r="Q34" s="118" t="s">
        <v>17</v>
      </c>
      <c r="R34" s="118" t="s">
        <v>91</v>
      </c>
      <c r="S34" s="118" t="s">
        <v>19</v>
      </c>
      <c r="U34">
        <v>0.0</v>
      </c>
      <c r="V34" t="s">
        <v>1845</v>
      </c>
      <c r="W34" t="s">
        <v>1868</v>
      </c>
      <c r="X34" s="114">
        <v>0.0</v>
      </c>
      <c r="Y34" s="114" t="s">
        <v>1868</v>
      </c>
      <c r="Z34" s="114" t="s">
        <v>1869</v>
      </c>
      <c r="AA34" s="114" t="s">
        <v>1870</v>
      </c>
    </row>
    <row r="35" spans="8:8" ht="14.95">
      <c r="A35" s="115">
        <v>1700.0</v>
      </c>
      <c r="B35" s="115">
        <v>40.083</v>
      </c>
      <c r="C35" s="123">
        <f>MOD(C34+B35,168)</f>
        <v>148.30899999999997</v>
      </c>
      <c r="D35" s="117">
        <v>80.5</v>
      </c>
      <c r="E35" s="117">
        <f>MOD(E34+D35,360)</f>
        <v>12.050000000000011</v>
      </c>
      <c r="F35" s="116">
        <v>252.8</v>
      </c>
      <c r="G35" s="117">
        <f>MOD(G34+F35,360)</f>
        <v>293.2000000000004</v>
      </c>
      <c r="H35" s="116">
        <v>218.0</v>
      </c>
      <c r="I35" s="117">
        <f>MOD(I34+H35,360)</f>
        <v>164.21699999999998</v>
      </c>
      <c r="J35" s="115">
        <v>252.667</v>
      </c>
      <c r="K35" s="117">
        <f>MOD(K34+J35,360)</f>
        <v>187.17300000000057</v>
      </c>
      <c r="M35" s="140"/>
      <c r="N35" s="118">
        <v>1.0</v>
      </c>
      <c r="O35" s="118">
        <v>68.067</v>
      </c>
      <c r="P35" s="119">
        <v>337.383</v>
      </c>
      <c r="Q35" s="119">
        <v>320.167</v>
      </c>
      <c r="R35" s="119">
        <v>283.983</v>
      </c>
      <c r="S35" s="119">
        <v>320.167</v>
      </c>
      <c r="U35">
        <v>1.0</v>
      </c>
      <c r="V35" t="s">
        <v>1846</v>
      </c>
      <c r="W35" t="s">
        <v>1869</v>
      </c>
      <c r="X35" s="141">
        <v>1.0</v>
      </c>
      <c r="Y35" s="114" t="s">
        <v>1869</v>
      </c>
      <c r="Z35" s="114" t="s">
        <v>1870</v>
      </c>
      <c r="AA35" s="114" t="s">
        <v>1871</v>
      </c>
    </row>
    <row r="36" spans="8:8" ht="14.95">
      <c r="A36" s="115">
        <v>1710.0</v>
      </c>
      <c r="B36" s="115">
        <v>40.083</v>
      </c>
      <c r="C36" s="123">
        <f>MOD(C35+B36,168)</f>
        <v>20.391999999999967</v>
      </c>
      <c r="D36" s="117">
        <v>80.5</v>
      </c>
      <c r="E36" s="117">
        <f>MOD(E35+D36,360)</f>
        <v>92.55000000000001</v>
      </c>
      <c r="F36" s="116">
        <v>252.8</v>
      </c>
      <c r="G36" s="117">
        <f>MOD(G35+F36,360)</f>
        <v>186.00000000000045</v>
      </c>
      <c r="H36" s="116">
        <v>218.0</v>
      </c>
      <c r="I36" s="117">
        <f>MOD(I35+H36,360)</f>
        <v>22.216999999999985</v>
      </c>
      <c r="J36" s="115">
        <v>252.667</v>
      </c>
      <c r="K36" s="117">
        <f>MOD(K35+J36,360)</f>
        <v>79.8400000000006</v>
      </c>
      <c r="M36" s="142"/>
      <c r="N36" s="118">
        <v>2.0</v>
      </c>
      <c r="O36" s="143">
        <v>0.0</v>
      </c>
      <c r="P36" s="143">
        <v>0.0</v>
      </c>
      <c r="Q36" s="143">
        <v>0.0</v>
      </c>
      <c r="R36" s="143">
        <v>0.0</v>
      </c>
      <c r="S36" s="143">
        <v>0.0</v>
      </c>
      <c r="U36">
        <v>2.0</v>
      </c>
      <c r="V36" t="s">
        <v>1847</v>
      </c>
      <c r="W36" t="s">
        <v>1870</v>
      </c>
      <c r="X36" s="141">
        <v>2.0</v>
      </c>
      <c r="Y36" s="114" t="s">
        <v>1870</v>
      </c>
      <c r="Z36" s="114" t="s">
        <v>1871</v>
      </c>
      <c r="AA36" s="114" t="s">
        <v>1872</v>
      </c>
    </row>
    <row r="37" spans="8:8" ht="14.95">
      <c r="A37" s="115">
        <v>1720.0</v>
      </c>
      <c r="B37" s="115">
        <v>40.083</v>
      </c>
      <c r="C37" s="123">
        <f>MOD(C36+B37,168)</f>
        <v>60.474999999999966</v>
      </c>
      <c r="D37" s="117">
        <v>80.5</v>
      </c>
      <c r="E37" s="117">
        <f>MOD(E36+D37,360)</f>
        <v>173.05</v>
      </c>
      <c r="F37" s="116">
        <v>252.8</v>
      </c>
      <c r="G37" s="117">
        <f>MOD(G36+F37,360)</f>
        <v>78.80000000000047</v>
      </c>
      <c r="H37" s="116">
        <v>218.0</v>
      </c>
      <c r="I37" s="117">
        <f>MOD(I36+H37,360)</f>
        <v>240.21699999999998</v>
      </c>
      <c r="J37" s="115">
        <v>252.667</v>
      </c>
      <c r="K37" s="117">
        <f>MOD(K36+J37,360)</f>
        <v>332.50700000000063</v>
      </c>
      <c r="M37" s="140"/>
      <c r="N37" s="118">
        <v>3.0</v>
      </c>
      <c r="O37" s="118">
        <v>36.733</v>
      </c>
      <c r="P37" s="119">
        <v>30.667</v>
      </c>
      <c r="Q37" s="119">
        <v>29.1</v>
      </c>
      <c r="R37" s="119">
        <v>25.817</v>
      </c>
      <c r="S37" s="119">
        <v>29.1</v>
      </c>
      <c r="U37">
        <v>3.0</v>
      </c>
      <c r="V37" t="s">
        <v>1849</v>
      </c>
      <c r="W37" t="s">
        <v>1871</v>
      </c>
      <c r="X37" s="141">
        <v>3.0</v>
      </c>
      <c r="Y37" s="114" t="s">
        <v>1871</v>
      </c>
      <c r="Z37" s="114" t="s">
        <v>1872</v>
      </c>
      <c r="AA37" s="114" t="s">
        <v>1873</v>
      </c>
    </row>
    <row r="38" spans="8:8" ht="14.95">
      <c r="A38" s="115">
        <v>1730.0</v>
      </c>
      <c r="B38" s="115">
        <v>40.083</v>
      </c>
      <c r="C38" s="123">
        <f>MOD(C37+B38,168)</f>
        <v>100.55799999999996</v>
      </c>
      <c r="D38" s="117">
        <v>80.5</v>
      </c>
      <c r="E38" s="117">
        <f>MOD(E37+D38,360)</f>
        <v>253.55</v>
      </c>
      <c r="F38" s="116">
        <v>252.8</v>
      </c>
      <c r="G38" s="117">
        <f>MOD(G37+F38,360)</f>
        <v>331.6000000000005</v>
      </c>
      <c r="H38" s="116">
        <v>218.0</v>
      </c>
      <c r="I38" s="117">
        <f>MOD(I37+H38,360)</f>
        <v>98.21699999999998</v>
      </c>
      <c r="J38" s="115">
        <v>252.667</v>
      </c>
      <c r="K38" s="117">
        <f>MOD(K37+J38,360)</f>
        <v>225.17400000000066</v>
      </c>
      <c r="M38" s="140"/>
      <c r="N38" s="118">
        <v>4.0</v>
      </c>
      <c r="O38" s="118">
        <v>73.467</v>
      </c>
      <c r="P38" s="119">
        <v>61.333</v>
      </c>
      <c r="Q38" s="119">
        <v>58.217</v>
      </c>
      <c r="R38" s="119">
        <v>51.633</v>
      </c>
      <c r="S38" s="119">
        <v>58.217</v>
      </c>
      <c r="U38">
        <v>4.0</v>
      </c>
      <c r="V38" t="s">
        <v>1850</v>
      </c>
      <c r="W38" t="s">
        <v>1872</v>
      </c>
      <c r="X38" s="141">
        <v>4.0</v>
      </c>
      <c r="Y38" s="114" t="s">
        <v>1872</v>
      </c>
      <c r="Z38" s="114" t="s">
        <v>1873</v>
      </c>
      <c r="AA38" s="114" t="s">
        <v>1874</v>
      </c>
    </row>
    <row r="39" spans="8:8" ht="14.95">
      <c r="A39" s="115">
        <v>1740.0</v>
      </c>
      <c r="B39" s="115">
        <v>40.083</v>
      </c>
      <c r="C39" s="123">
        <f>MOD(C38+B39,168)</f>
        <v>140.64099999999996</v>
      </c>
      <c r="D39" s="117">
        <v>80.5</v>
      </c>
      <c r="E39" s="117">
        <f>MOD(E38+D39,360)</f>
        <v>334.05</v>
      </c>
      <c r="F39" s="116">
        <v>252.8</v>
      </c>
      <c r="G39" s="117">
        <f>MOD(G38+F39,360)</f>
        <v>224.40000000000055</v>
      </c>
      <c r="H39" s="116">
        <v>218.0</v>
      </c>
      <c r="I39" s="117">
        <f>MOD(I38+H39,360)</f>
        <v>316.217</v>
      </c>
      <c r="J39" s="115">
        <v>252.667</v>
      </c>
      <c r="K39" s="117">
        <f>MOD(K38+J39,360)</f>
        <v>117.84100000000069</v>
      </c>
      <c r="M39" s="140"/>
      <c r="N39" s="118">
        <v>5.0</v>
      </c>
      <c r="O39" s="119">
        <v>110.2</v>
      </c>
      <c r="P39" s="119">
        <v>92.017</v>
      </c>
      <c r="Q39" s="119">
        <v>87.317</v>
      </c>
      <c r="R39" s="119">
        <v>77.433</v>
      </c>
      <c r="S39" s="119">
        <v>87.317</v>
      </c>
      <c r="U39">
        <v>5.0</v>
      </c>
      <c r="V39" t="s">
        <v>1851</v>
      </c>
      <c r="W39" t="s">
        <v>1873</v>
      </c>
      <c r="X39" s="141">
        <v>5.0</v>
      </c>
      <c r="Y39" s="114" t="s">
        <v>1873</v>
      </c>
      <c r="Z39" s="114" t="s">
        <v>1874</v>
      </c>
      <c r="AA39" s="114" t="s">
        <v>1868</v>
      </c>
    </row>
    <row r="40" spans="8:8" ht="14.95">
      <c r="A40" s="115">
        <v>1750.0</v>
      </c>
      <c r="B40" s="115">
        <v>40.083</v>
      </c>
      <c r="C40" s="123">
        <f>MOD(C39+B40,168)</f>
        <v>12.723999999999961</v>
      </c>
      <c r="D40" s="117">
        <v>80.5</v>
      </c>
      <c r="E40" s="117">
        <f>MOD(E39+D40,360)</f>
        <v>54.55000000000001</v>
      </c>
      <c r="F40" s="116">
        <v>252.8</v>
      </c>
      <c r="G40" s="117">
        <f>MOD(G39+F40,360)</f>
        <v>117.20000000000056</v>
      </c>
      <c r="H40" s="116">
        <v>218.0</v>
      </c>
      <c r="I40" s="117">
        <f>MOD(I39+H40,360)</f>
        <v>174.21699999999998</v>
      </c>
      <c r="J40" s="115">
        <v>252.667</v>
      </c>
      <c r="K40" s="117">
        <f>MOD(K39+J40,360)</f>
        <v>10.50800000000072</v>
      </c>
      <c r="M40" s="140"/>
      <c r="N40" s="118">
        <v>6.0</v>
      </c>
      <c r="O40" s="118">
        <v>146.933</v>
      </c>
      <c r="P40" s="119">
        <v>122.683</v>
      </c>
      <c r="Q40" s="119">
        <v>116.433</v>
      </c>
      <c r="R40" s="119">
        <v>103.267</v>
      </c>
      <c r="S40" s="119">
        <v>116.433</v>
      </c>
      <c r="U40">
        <v>6.0</v>
      </c>
      <c r="V40" t="s">
        <v>1852</v>
      </c>
      <c r="W40" t="s">
        <v>1874</v>
      </c>
      <c r="X40" s="141">
        <v>6.0</v>
      </c>
      <c r="Y40" s="114" t="s">
        <v>1874</v>
      </c>
      <c r="Z40" s="114" t="s">
        <v>1868</v>
      </c>
      <c r="AA40" s="114" t="s">
        <v>1869</v>
      </c>
    </row>
    <row r="41" spans="8:8" ht="14.95">
      <c r="A41" s="115">
        <v>1760.0</v>
      </c>
      <c r="B41" s="115">
        <v>40.083</v>
      </c>
      <c r="C41" s="123">
        <f>MOD(C40+B41,168)</f>
        <v>52.80699999999996</v>
      </c>
      <c r="D41" s="117">
        <v>80.5</v>
      </c>
      <c r="E41" s="117">
        <f>MOD(E40+D41,360)</f>
        <v>135.05</v>
      </c>
      <c r="F41" s="116">
        <v>252.8</v>
      </c>
      <c r="G41" s="117">
        <f>MOD(G40+F41,360)</f>
        <v>10.000000000000568</v>
      </c>
      <c r="H41" s="116">
        <v>218.0</v>
      </c>
      <c r="I41" s="117">
        <f>MOD(I40+H41,360)</f>
        <v>32.216999999999985</v>
      </c>
      <c r="J41" s="115">
        <v>252.667</v>
      </c>
      <c r="K41" s="117">
        <f>MOD(K40+J41,360)</f>
        <v>263.17500000000075</v>
      </c>
      <c r="M41" s="140"/>
      <c r="N41" s="118">
        <v>7.0</v>
      </c>
      <c r="O41" s="118">
        <v>15.667</v>
      </c>
      <c r="P41" s="119">
        <v>153.35</v>
      </c>
      <c r="Q41" s="119">
        <v>145.533</v>
      </c>
      <c r="R41" s="119">
        <v>129.083</v>
      </c>
      <c r="S41" s="119">
        <v>145.533</v>
      </c>
      <c r="U41">
        <v>7.0</v>
      </c>
      <c r="V41" t="s">
        <v>1845</v>
      </c>
      <c r="W41" t="s">
        <v>1868</v>
      </c>
      <c r="X41" s="141">
        <v>7.0</v>
      </c>
      <c r="Y41" s="114" t="s">
        <v>1868</v>
      </c>
      <c r="Z41" s="114" t="s">
        <v>1869</v>
      </c>
      <c r="AA41" s="114" t="s">
        <v>1870</v>
      </c>
    </row>
    <row r="42" spans="8:8" ht="17.95">
      <c r="A42" s="115">
        <v>1770.0</v>
      </c>
      <c r="B42" s="115">
        <v>40.083</v>
      </c>
      <c r="C42" s="123">
        <f>MOD(C41+B42,168)</f>
        <v>92.88999999999996</v>
      </c>
      <c r="D42" s="117">
        <v>80.5</v>
      </c>
      <c r="E42" s="117">
        <f>MOD(E41+D42,360)</f>
        <v>215.55</v>
      </c>
      <c r="F42" s="116">
        <v>252.8</v>
      </c>
      <c r="G42" s="117">
        <f>MOD(G41+F42,360)</f>
        <v>262.8000000000006</v>
      </c>
      <c r="H42" s="116">
        <v>218.0</v>
      </c>
      <c r="I42" s="117">
        <f>MOD(I41+H42,360)</f>
        <v>250.21699999999998</v>
      </c>
      <c r="J42" s="115">
        <v>252.667</v>
      </c>
      <c r="K42" s="117">
        <f>MOD(K41+J42,360)</f>
        <v>155.84200000000078</v>
      </c>
      <c r="M42" s="140"/>
      <c r="N42" s="118">
        <v>8.0</v>
      </c>
      <c r="O42" s="143">
        <v>52.4</v>
      </c>
      <c r="P42" s="119">
        <v>184.017</v>
      </c>
      <c r="Q42" s="119">
        <v>174.633</v>
      </c>
      <c r="R42" s="119">
        <v>154.9</v>
      </c>
      <c r="S42" s="119">
        <v>174.633</v>
      </c>
      <c r="U42" s="141"/>
    </row>
    <row r="43" spans="8:8" ht="14.95">
      <c r="A43" s="115">
        <v>1780.0</v>
      </c>
      <c r="B43" s="115">
        <v>40.083</v>
      </c>
      <c r="C43" s="123">
        <f>MOD(C42+B43,168)</f>
        <v>132.97299999999996</v>
      </c>
      <c r="D43" s="117">
        <v>80.5</v>
      </c>
      <c r="E43" s="117">
        <f>MOD(E42+D43,360)</f>
        <v>296.05</v>
      </c>
      <c r="F43" s="116">
        <v>252.8</v>
      </c>
      <c r="G43" s="117">
        <f>MOD(G42+F43,360)</f>
        <v>155.6000000000006</v>
      </c>
      <c r="H43" s="116">
        <v>218.0</v>
      </c>
      <c r="I43" s="117">
        <f>MOD(I42+H43,360)</f>
        <v>108.21699999999998</v>
      </c>
      <c r="J43" s="115">
        <v>252.667</v>
      </c>
      <c r="K43" s="117">
        <f>MOD(K42+J43,360)</f>
        <v>48.50900000000081</v>
      </c>
      <c r="M43" s="140"/>
      <c r="N43" s="118">
        <v>9.0</v>
      </c>
      <c r="O43" s="118">
        <v>89.133</v>
      </c>
      <c r="P43" s="119">
        <v>214.7</v>
      </c>
      <c r="Q43" s="119">
        <v>203.75</v>
      </c>
      <c r="R43" s="119">
        <v>180.717</v>
      </c>
      <c r="S43" s="119">
        <v>203.75</v>
      </c>
    </row>
    <row r="44" spans="8:8" ht="17.95">
      <c r="A44" s="115">
        <v>1790.0</v>
      </c>
      <c r="B44" s="115">
        <v>40.083</v>
      </c>
      <c r="C44" s="123">
        <f>MOD(C43+B44,168)</f>
        <v>5.055999999999955</v>
      </c>
      <c r="D44" s="117">
        <v>80.5</v>
      </c>
      <c r="E44" s="117">
        <f>MOD(E43+D44,360)</f>
        <v>16.55000000000001</v>
      </c>
      <c r="F44" s="116">
        <v>252.8</v>
      </c>
      <c r="G44" s="117">
        <f>MOD(G43+F44,360)</f>
        <v>48.4000000000006</v>
      </c>
      <c r="H44" s="116">
        <v>218.0</v>
      </c>
      <c r="I44" s="117">
        <f>MOD(I43+H44,360)</f>
        <v>326.217</v>
      </c>
      <c r="J44" s="115">
        <v>252.667</v>
      </c>
      <c r="K44" s="117">
        <f>MOD(K43+J44,360)</f>
        <v>301.17600000000084</v>
      </c>
      <c r="M44" s="140"/>
      <c r="N44" s="118">
        <v>10.0</v>
      </c>
      <c r="O44" s="118">
        <v>125.867</v>
      </c>
      <c r="P44" s="119">
        <v>245.367</v>
      </c>
      <c r="Q44" s="119">
        <v>232.85</v>
      </c>
      <c r="R44" s="119">
        <v>206.533</v>
      </c>
      <c r="S44" s="119">
        <v>232.85</v>
      </c>
      <c r="U44" s="144"/>
      <c r="V44" s="144"/>
      <c r="W44" s="144"/>
      <c r="Y44">
        <v>0.0</v>
      </c>
      <c r="Z44">
        <v>1.0</v>
      </c>
    </row>
    <row r="45" spans="8:8" ht="17.95">
      <c r="A45" s="115">
        <v>1800.0</v>
      </c>
      <c r="B45" s="115">
        <v>40.083</v>
      </c>
      <c r="C45" s="123">
        <f>MOD(C44+B45,168)</f>
        <v>45.13899999999995</v>
      </c>
      <c r="D45" s="117">
        <v>80.5</v>
      </c>
      <c r="E45" s="117">
        <f>MOD(E44+D45,360)</f>
        <v>97.05000000000001</v>
      </c>
      <c r="F45" s="116">
        <v>252.8</v>
      </c>
      <c r="G45" s="117">
        <f>MOD(G44+F45,360)</f>
        <v>301.2000000000006</v>
      </c>
      <c r="H45" s="116">
        <v>218.0</v>
      </c>
      <c r="I45" s="117">
        <f>MOD(I44+H45,360)</f>
        <v>184.21699999999998</v>
      </c>
      <c r="J45" s="115">
        <v>252.667</v>
      </c>
      <c r="K45" s="117">
        <f>MOD(K44+J45,360)</f>
        <v>193.84300000000087</v>
      </c>
      <c r="M45" s="140"/>
      <c r="N45" s="118">
        <v>11.0</v>
      </c>
      <c r="O45" s="119">
        <v>162.6</v>
      </c>
      <c r="P45" s="119">
        <v>276.05</v>
      </c>
      <c r="Q45" s="119">
        <v>261.95</v>
      </c>
      <c r="R45" s="119">
        <v>232.35</v>
      </c>
      <c r="S45" s="119">
        <v>261.95</v>
      </c>
      <c r="U45" s="144"/>
      <c r="V45" s="144"/>
      <c r="W45" s="144"/>
      <c r="Y45">
        <v>29.0</v>
      </c>
      <c r="Z45">
        <v>0.0</v>
      </c>
    </row>
    <row r="46" spans="8:8" ht="17.95">
      <c r="A46" s="115">
        <v>1810.0</v>
      </c>
      <c r="B46" s="115">
        <v>40.083</v>
      </c>
      <c r="C46" s="123">
        <f>MOD(C45+B46,168)</f>
        <v>85.22199999999995</v>
      </c>
      <c r="D46" s="117">
        <v>80.5</v>
      </c>
      <c r="E46" s="117">
        <f>MOD(E45+D46,360)</f>
        <v>177.55</v>
      </c>
      <c r="F46" s="116">
        <v>252.8</v>
      </c>
      <c r="G46" s="117">
        <f>MOD(G45+F46,360)</f>
        <v>194.00000000000068</v>
      </c>
      <c r="H46" s="116">
        <v>218.0</v>
      </c>
      <c r="I46" s="117">
        <f>MOD(I45+H46,360)</f>
        <v>42.216999999999985</v>
      </c>
      <c r="J46" s="115">
        <v>252.667</v>
      </c>
      <c r="K46" s="117">
        <f>MOD(K45+J46,360)</f>
        <v>86.5100000000009</v>
      </c>
      <c r="M46" s="140"/>
      <c r="N46" s="118">
        <v>12.0</v>
      </c>
      <c r="O46" s="118">
        <v>31.333</v>
      </c>
      <c r="P46" s="119">
        <v>306.717</v>
      </c>
      <c r="Q46" s="119">
        <v>291.067</v>
      </c>
      <c r="R46" s="119">
        <v>258.167</v>
      </c>
      <c r="S46" s="119">
        <v>291.067</v>
      </c>
      <c r="U46" s="144"/>
      <c r="V46" s="144"/>
      <c r="W46" s="144"/>
    </row>
    <row r="47" spans="8:8" ht="17.15">
      <c r="A47" s="115">
        <v>1820.0</v>
      </c>
      <c r="B47" s="115">
        <v>40.083</v>
      </c>
      <c r="C47" s="123">
        <f>MOD(C46+B47,168)</f>
        <v>125.30499999999995</v>
      </c>
      <c r="D47" s="117">
        <v>80.5</v>
      </c>
      <c r="E47" s="117">
        <f>MOD(E46+D47,360)</f>
        <v>258.05</v>
      </c>
      <c r="F47" s="116">
        <v>252.8</v>
      </c>
      <c r="G47" s="117">
        <f>MOD(G46+F47,360)</f>
        <v>86.8000000000007</v>
      </c>
      <c r="H47" s="116">
        <v>218.0</v>
      </c>
      <c r="I47" s="117">
        <f>MOD(I46+H47,360)</f>
        <v>260.217</v>
      </c>
      <c r="J47" s="115">
        <v>252.667</v>
      </c>
      <c r="K47" s="117">
        <f>MOD(K46+J47,360)</f>
        <v>339.17700000000093</v>
      </c>
      <c r="U47" s="144"/>
      <c r="V47" s="144"/>
      <c r="W47" s="144"/>
    </row>
    <row r="48" spans="8:8" ht="17.15">
      <c r="A48" s="115">
        <v>1830.0</v>
      </c>
      <c r="B48" s="115">
        <v>40.083</v>
      </c>
      <c r="C48" s="123">
        <f>MOD(C47+B48,168)</f>
        <v>165.38799999999995</v>
      </c>
      <c r="D48" s="117">
        <v>80.5</v>
      </c>
      <c r="E48" s="117">
        <f>MOD(E47+D48,360)</f>
        <v>338.55</v>
      </c>
      <c r="F48" s="116">
        <v>252.8</v>
      </c>
      <c r="G48" s="117">
        <f>MOD(G47+F48,360)</f>
        <v>339.6000000000007</v>
      </c>
      <c r="H48" s="116">
        <v>218.0</v>
      </c>
      <c r="I48" s="117">
        <f>MOD(I47+H48,360)</f>
        <v>118.21699999999998</v>
      </c>
      <c r="J48" s="115">
        <v>252.667</v>
      </c>
      <c r="K48" s="117">
        <f>MOD(K47+J48,360)</f>
        <v>231.84400000000096</v>
      </c>
      <c r="U48" s="144"/>
      <c r="V48" s="144"/>
      <c r="W48" s="144"/>
    </row>
    <row r="49" spans="8:8" ht="17.15">
      <c r="A49" s="115">
        <v>1840.0</v>
      </c>
      <c r="B49" s="115">
        <v>40.083</v>
      </c>
      <c r="C49" s="123">
        <f>MOD(C48+B49,168)</f>
        <v>37.47099999999995</v>
      </c>
      <c r="D49" s="117">
        <v>80.5</v>
      </c>
      <c r="E49" s="117">
        <f>MOD(E48+D49,360)</f>
        <v>59.05000000000001</v>
      </c>
      <c r="F49" s="116">
        <v>252.8</v>
      </c>
      <c r="G49" s="117">
        <f>MOD(G48+F49,360)</f>
        <v>232.40000000000077</v>
      </c>
      <c r="H49" s="116">
        <v>218.0</v>
      </c>
      <c r="I49" s="117">
        <f>MOD(I48+H49,360)</f>
        <v>336.217</v>
      </c>
      <c r="J49" s="115">
        <v>252.667</v>
      </c>
      <c r="K49" s="117">
        <f>MOD(K48+J49,360)</f>
        <v>124.51100000000099</v>
      </c>
      <c r="R49" s="122"/>
      <c r="S49" s="122"/>
      <c r="T49" s="122"/>
      <c r="U49" s="144"/>
      <c r="V49" s="144"/>
      <c r="W49" s="144"/>
      <c r="X49" s="122"/>
    </row>
    <row r="50" spans="8:8" ht="17.15">
      <c r="A50" s="115">
        <v>1850.0</v>
      </c>
      <c r="B50" s="115">
        <v>40.083</v>
      </c>
      <c r="C50" s="123">
        <f>MOD(C49+B50,168)</f>
        <v>77.55399999999995</v>
      </c>
      <c r="D50" s="117">
        <v>80.5</v>
      </c>
      <c r="E50" s="117">
        <f>MOD(E49+D50,360)</f>
        <v>139.55</v>
      </c>
      <c r="F50" s="116">
        <v>252.8</v>
      </c>
      <c r="G50" s="117">
        <f>MOD(G49+F50,360)</f>
        <v>125.20000000000078</v>
      </c>
      <c r="H50" s="116">
        <v>218.0</v>
      </c>
      <c r="I50" s="117">
        <f>MOD(I49+H50,360)</f>
        <v>194.21699999999998</v>
      </c>
      <c r="J50" s="115">
        <v>252.667</v>
      </c>
      <c r="K50" s="117">
        <f>MOD(K49+J50,360)</f>
        <v>17.17800000000102</v>
      </c>
      <c r="U50" s="144"/>
      <c r="V50" s="144"/>
      <c r="W50" s="144"/>
    </row>
    <row r="51" spans="8:8" ht="16.2">
      <c r="A51" s="115">
        <v>1860.0</v>
      </c>
      <c r="B51" s="115">
        <v>40.083</v>
      </c>
      <c r="C51" s="123">
        <f>MOD(C50+B51,168)</f>
        <v>117.63699999999994</v>
      </c>
      <c r="D51" s="117">
        <v>80.5</v>
      </c>
      <c r="E51" s="117">
        <f>MOD(E50+D51,360)</f>
        <v>220.05</v>
      </c>
      <c r="F51" s="116">
        <v>252.8</v>
      </c>
      <c r="G51" s="117">
        <f>MOD(G50+F51,360)</f>
        <v>18.000000000000796</v>
      </c>
      <c r="H51" s="116">
        <v>218.0</v>
      </c>
      <c r="I51" s="117">
        <f>MOD(I50+H51,360)</f>
        <v>52.216999999999985</v>
      </c>
      <c r="J51" s="115">
        <v>252.667</v>
      </c>
      <c r="K51" s="117">
        <f>MOD(K50+J51,360)</f>
        <v>269.84500000000105</v>
      </c>
    </row>
    <row r="52" spans="8:8" ht="17.15">
      <c r="A52" s="115">
        <v>1870.0</v>
      </c>
      <c r="B52" s="115">
        <v>40.083</v>
      </c>
      <c r="C52" s="123">
        <f>MOD(C51+B52,168)</f>
        <v>157.71999999999994</v>
      </c>
      <c r="D52" s="117">
        <v>80.5</v>
      </c>
      <c r="E52" s="117">
        <f>MOD(E51+D52,360)</f>
        <v>300.55</v>
      </c>
      <c r="F52" s="116">
        <v>252.8</v>
      </c>
      <c r="G52" s="117">
        <f>MOD(G51+F52,360)</f>
        <v>270.8000000000008</v>
      </c>
      <c r="H52" s="116">
        <v>218.0</v>
      </c>
      <c r="I52" s="117">
        <f>MOD(I51+H52,360)</f>
        <v>270.217</v>
      </c>
      <c r="J52" s="115">
        <v>252.667</v>
      </c>
      <c r="K52" s="117">
        <f>MOD(K51+J52,360)</f>
        <v>162.51200000000108</v>
      </c>
      <c r="N52" s="145" t="s">
        <v>112</v>
      </c>
      <c r="O52" s="108"/>
      <c r="P52" s="146"/>
      <c r="Q52" s="145" t="s">
        <v>113</v>
      </c>
      <c r="R52" s="146"/>
      <c r="S52" s="146"/>
      <c r="T52" s="147" t="s">
        <v>114</v>
      </c>
      <c r="U52" s="146"/>
      <c r="V52" s="146"/>
      <c r="W52" s="146" t="s">
        <v>115</v>
      </c>
      <c r="X52" s="108"/>
      <c r="Y52" s="108"/>
    </row>
    <row r="53" spans="8:8" ht="17.15">
      <c r="A53" s="115">
        <v>1880.0</v>
      </c>
      <c r="B53" s="115">
        <v>40.083</v>
      </c>
      <c r="C53" s="123">
        <f>MOD(C52+B53,168)</f>
        <v>29.80299999999994</v>
      </c>
      <c r="D53" s="117">
        <v>80.5</v>
      </c>
      <c r="E53" s="117">
        <f>MOD(E52+D53,360)</f>
        <v>21.05000000000001</v>
      </c>
      <c r="F53" s="116">
        <v>252.8</v>
      </c>
      <c r="G53" s="117">
        <f>MOD(G52+F53,360)</f>
        <v>163.60000000000082</v>
      </c>
      <c r="H53" s="116">
        <v>218.0</v>
      </c>
      <c r="I53" s="117">
        <f>MOD(I52+H53,360)</f>
        <v>128.21699999999998</v>
      </c>
      <c r="J53" s="115">
        <v>252.667</v>
      </c>
      <c r="K53" s="117">
        <f>MOD(K52+J53,360)</f>
        <v>55.17900000000111</v>
      </c>
      <c r="N53" s="122"/>
      <c r="O53" s="122"/>
      <c r="P53" s="122"/>
      <c r="Q53" s="122"/>
      <c r="R53" s="122"/>
      <c r="S53" s="122"/>
      <c r="V53" s="122"/>
      <c r="W53" s="122"/>
    </row>
    <row r="54" spans="8:8" ht="17.15">
      <c r="A54" s="115">
        <v>1890.0</v>
      </c>
      <c r="B54" s="115">
        <v>40.083</v>
      </c>
      <c r="C54" s="123">
        <f>MOD(C53+B54,168)</f>
        <v>69.88599999999994</v>
      </c>
      <c r="D54" s="117">
        <v>80.5</v>
      </c>
      <c r="E54" s="117">
        <f>MOD(E53+D54,360)</f>
        <v>101.55000000000001</v>
      </c>
      <c r="F54" s="116">
        <v>252.8</v>
      </c>
      <c r="G54" s="117">
        <f>MOD(G53+F54,360)</f>
        <v>56.40000000000083</v>
      </c>
      <c r="H54" s="116">
        <v>218.0</v>
      </c>
      <c r="I54" s="117">
        <f>MOD(I53+H54,360)</f>
        <v>346.217</v>
      </c>
      <c r="J54" s="115">
        <v>252.667</v>
      </c>
      <c r="K54" s="117">
        <f>MOD(K53+J54,360)</f>
        <v>307.84600000000114</v>
      </c>
      <c r="N54" s="148">
        <v>0.0</v>
      </c>
      <c r="O54" s="149">
        <v>2.217</v>
      </c>
      <c r="P54" s="122"/>
      <c r="Q54" s="150" t="s">
        <v>116</v>
      </c>
      <c r="R54" s="130">
        <v>0.067</v>
      </c>
      <c r="S54" s="122"/>
      <c r="T54" s="128">
        <v>0.0</v>
      </c>
      <c r="U54" s="151">
        <v>4.983</v>
      </c>
      <c r="V54" s="122"/>
      <c r="W54" s="128">
        <v>0.0</v>
      </c>
      <c r="X54" s="130">
        <v>1.933</v>
      </c>
    </row>
    <row r="55" spans="8:8" ht="17.15">
      <c r="A55" s="115">
        <v>1900.0</v>
      </c>
      <c r="B55" s="115">
        <v>40.083</v>
      </c>
      <c r="C55" s="123">
        <f>MOD(C54+B55,168)</f>
        <v>109.96899999999994</v>
      </c>
      <c r="D55" s="117">
        <v>80.5</v>
      </c>
      <c r="E55" s="117">
        <f>MOD(E54+D55,360)</f>
        <v>182.05</v>
      </c>
      <c r="F55" s="116">
        <v>252.8</v>
      </c>
      <c r="G55" s="117">
        <f>MOD(G54+F55,360)</f>
        <v>309.20000000000084</v>
      </c>
      <c r="H55" s="116">
        <v>218.0</v>
      </c>
      <c r="I55" s="117">
        <f>MOD(I54+H55,360)</f>
        <v>204.21699999999998</v>
      </c>
      <c r="J55" s="115">
        <v>252.667</v>
      </c>
      <c r="K55" s="117">
        <f>MOD(K54+J55,360)</f>
        <v>200.51300000000117</v>
      </c>
      <c r="N55" s="128">
        <v>1.0</v>
      </c>
      <c r="O55" s="130">
        <v>2.217</v>
      </c>
      <c r="P55" s="122"/>
      <c r="Q55" s="152">
        <v>1.0</v>
      </c>
      <c r="R55" s="130">
        <v>0.067</v>
      </c>
      <c r="T55" s="128">
        <v>1.0</v>
      </c>
      <c r="U55" s="151">
        <v>4.9</v>
      </c>
      <c r="V55" s="122"/>
      <c r="W55" s="132">
        <v>1.0</v>
      </c>
      <c r="X55" s="130">
        <v>1.983</v>
      </c>
    </row>
    <row r="56" spans="8:8" ht="17.15">
      <c r="A56" s="115">
        <v>1910.0</v>
      </c>
      <c r="B56" s="115">
        <v>40.083</v>
      </c>
      <c r="C56" s="123">
        <f>MOD(C55+B56,168)</f>
        <v>150.05199999999994</v>
      </c>
      <c r="D56" s="117">
        <v>80.5</v>
      </c>
      <c r="E56" s="117">
        <f>MOD(E55+D56,360)</f>
        <v>262.55</v>
      </c>
      <c r="F56" s="116">
        <v>252.8</v>
      </c>
      <c r="G56" s="117">
        <f>MOD(G55+F56,360)</f>
        <v>202.0000000000009</v>
      </c>
      <c r="H56" s="116">
        <v>218.0</v>
      </c>
      <c r="I56" s="117">
        <f>MOD(I55+H56,360)</f>
        <v>62.216999999999985</v>
      </c>
      <c r="J56" s="115">
        <v>252.667</v>
      </c>
      <c r="K56" s="117">
        <f>MOD(K55+J56,360)</f>
        <v>93.1800000000012</v>
      </c>
      <c r="N56" s="128">
        <v>2.0</v>
      </c>
      <c r="O56" s="130">
        <v>2.217</v>
      </c>
      <c r="P56" s="122"/>
      <c r="Q56" s="152">
        <v>2.0</v>
      </c>
      <c r="R56" s="130">
        <v>0.067</v>
      </c>
      <c r="T56" s="128">
        <v>2.0</v>
      </c>
      <c r="U56" s="151">
        <v>4.833</v>
      </c>
      <c r="V56" s="122"/>
      <c r="W56" s="132">
        <v>2.0</v>
      </c>
      <c r="X56" s="130">
        <v>2.017</v>
      </c>
    </row>
    <row r="57" spans="8:8" ht="17.15">
      <c r="A57" s="115">
        <v>1920.0</v>
      </c>
      <c r="B57" s="115">
        <v>40.083</v>
      </c>
      <c r="C57" s="123">
        <f>MOD(C56+B57,168)</f>
        <v>22.134999999999934</v>
      </c>
      <c r="D57" s="117">
        <v>80.5</v>
      </c>
      <c r="E57" s="117">
        <f>MOD(E56+D57,360)</f>
        <v>343.05</v>
      </c>
      <c r="F57" s="116">
        <v>252.8</v>
      </c>
      <c r="G57" s="117">
        <f>MOD(G56+F57,360)</f>
        <v>94.80000000000092</v>
      </c>
      <c r="H57" s="116">
        <v>218.0</v>
      </c>
      <c r="I57" s="117">
        <f>MOD(I56+H57,360)</f>
        <v>280.217</v>
      </c>
      <c r="J57" s="115">
        <v>252.667</v>
      </c>
      <c r="K57" s="117">
        <f>MOD(K56+J57,360)</f>
        <v>345.84700000000123</v>
      </c>
      <c r="N57" s="128">
        <v>3.0</v>
      </c>
      <c r="O57" s="130">
        <v>2.217</v>
      </c>
      <c r="P57" s="122"/>
      <c r="Q57" s="152">
        <v>3.0</v>
      </c>
      <c r="R57" s="130">
        <v>0.083</v>
      </c>
      <c r="T57" s="128">
        <v>3.0</v>
      </c>
      <c r="U57" s="151">
        <v>4.75</v>
      </c>
      <c r="V57" s="122"/>
      <c r="W57" s="132">
        <v>3.0</v>
      </c>
      <c r="X57" s="130">
        <v>2.05</v>
      </c>
    </row>
    <row r="58" spans="8:8" ht="17.15">
      <c r="A58" s="115">
        <v>1930.0</v>
      </c>
      <c r="B58" s="115">
        <v>40.083</v>
      </c>
      <c r="C58" s="123">
        <f>MOD(C57+B58,168)</f>
        <v>62.21799999999993</v>
      </c>
      <c r="D58" s="117">
        <v>80.5</v>
      </c>
      <c r="E58" s="117">
        <f>MOD(E57+D58,360)</f>
        <v>63.55000000000001</v>
      </c>
      <c r="F58" s="116">
        <v>252.8</v>
      </c>
      <c r="G58" s="117">
        <f>MOD(G57+F58,360)</f>
        <v>347.60000000000093</v>
      </c>
      <c r="H58" s="116">
        <v>218.0</v>
      </c>
      <c r="I58" s="117">
        <f>MOD(I57+H58,360)</f>
        <v>138.21699999999998</v>
      </c>
      <c r="J58" s="115">
        <v>252.667</v>
      </c>
      <c r="K58" s="117">
        <f>MOD(K57+J58,360)</f>
        <v>238.51400000000126</v>
      </c>
      <c r="N58" s="128">
        <v>4.0</v>
      </c>
      <c r="O58" s="130">
        <v>2.217</v>
      </c>
      <c r="P58" s="122"/>
      <c r="Q58" s="152">
        <v>4.0</v>
      </c>
      <c r="R58" s="130">
        <v>0.083</v>
      </c>
      <c r="T58" s="128">
        <v>4.0</v>
      </c>
      <c r="U58" s="151">
        <v>4.667</v>
      </c>
      <c r="V58" s="122"/>
      <c r="W58" s="132">
        <v>4.0</v>
      </c>
      <c r="X58" s="130">
        <v>2.083</v>
      </c>
    </row>
    <row r="59" spans="8:8" ht="17.15">
      <c r="A59" s="115">
        <v>1940.0</v>
      </c>
      <c r="B59" s="115">
        <v>40.083</v>
      </c>
      <c r="C59" s="123">
        <f>MOD(C58+B59,168)</f>
        <v>102.30099999999993</v>
      </c>
      <c r="D59" s="117">
        <v>80.5</v>
      </c>
      <c r="E59" s="117">
        <f>MOD(E58+D59,360)</f>
        <v>144.05</v>
      </c>
      <c r="F59" s="116">
        <v>252.8</v>
      </c>
      <c r="G59" s="117">
        <f>MOD(G58+F59,360)</f>
        <v>240.400000000001</v>
      </c>
      <c r="H59" s="116">
        <v>218.0</v>
      </c>
      <c r="I59" s="117">
        <f>MOD(I58+H59,360)</f>
        <v>356.217</v>
      </c>
      <c r="J59" s="115">
        <v>252.667</v>
      </c>
      <c r="K59" s="117">
        <f>MOD(K58+J59,360)</f>
        <v>131.1810000000013</v>
      </c>
      <c r="N59" s="128">
        <v>5.0</v>
      </c>
      <c r="O59" s="130">
        <v>2.217</v>
      </c>
      <c r="P59" s="122"/>
      <c r="Q59" s="152">
        <v>5.0</v>
      </c>
      <c r="R59" s="130">
        <v>0.083</v>
      </c>
      <c r="T59" s="128">
        <v>5.0</v>
      </c>
      <c r="U59" s="151">
        <v>4.583</v>
      </c>
      <c r="V59" s="122"/>
      <c r="W59" s="132">
        <v>5.0</v>
      </c>
      <c r="X59" s="130">
        <v>2.1</v>
      </c>
    </row>
    <row r="60" spans="8:8" ht="17.15">
      <c r="A60" s="115">
        <v>1950.0</v>
      </c>
      <c r="B60" s="115">
        <v>40.083</v>
      </c>
      <c r="C60" s="123">
        <f>MOD(C59+B60,168)</f>
        <v>142.38399999999993</v>
      </c>
      <c r="D60" s="117">
        <v>80.5</v>
      </c>
      <c r="E60" s="117">
        <f>MOD(E59+D60,360)</f>
        <v>224.55</v>
      </c>
      <c r="F60" s="116">
        <v>252.8</v>
      </c>
      <c r="G60" s="117">
        <f>MOD(G59+F60,360)</f>
        <v>133.200000000001</v>
      </c>
      <c r="H60" s="116">
        <v>218.0</v>
      </c>
      <c r="I60" s="117">
        <f>MOD(I59+H60,360)</f>
        <v>214.21699999999998</v>
      </c>
      <c r="J60" s="115">
        <v>252.667</v>
      </c>
      <c r="K60" s="117">
        <f>MOD(K59+J60,360)</f>
        <v>23.84800000000132</v>
      </c>
      <c r="N60" s="128">
        <v>6.0</v>
      </c>
      <c r="O60" s="130">
        <v>2.217</v>
      </c>
      <c r="P60" s="122"/>
      <c r="Q60" s="152">
        <v>6.0</v>
      </c>
      <c r="R60" s="130">
        <v>0.083</v>
      </c>
      <c r="T60" s="128">
        <v>6.0</v>
      </c>
      <c r="U60" s="151">
        <v>4.5</v>
      </c>
      <c r="V60" s="122"/>
      <c r="W60" s="132">
        <v>6.0</v>
      </c>
      <c r="X60" s="130">
        <v>2.133</v>
      </c>
    </row>
    <row r="61" spans="8:8" ht="17.15">
      <c r="A61" s="115">
        <v>1960.0</v>
      </c>
      <c r="B61" s="115">
        <v>40.083</v>
      </c>
      <c r="C61" s="123">
        <f>MOD(C60+B61,168)</f>
        <v>14.466999999999928</v>
      </c>
      <c r="D61" s="117">
        <v>80.5</v>
      </c>
      <c r="E61" s="117">
        <f>MOD(E60+D61,360)</f>
        <v>305.05</v>
      </c>
      <c r="F61" s="116">
        <v>252.8</v>
      </c>
      <c r="G61" s="117">
        <f>MOD(G60+F61,360)</f>
        <v>26.000000000001023</v>
      </c>
      <c r="H61" s="116">
        <v>218.0</v>
      </c>
      <c r="I61" s="117">
        <f>MOD(I60+H61,360)</f>
        <v>72.21699999999998</v>
      </c>
      <c r="J61" s="115">
        <v>252.667</v>
      </c>
      <c r="K61" s="117">
        <f>MOD(K60+J61,360)</f>
        <v>276.51500000000135</v>
      </c>
      <c r="N61" s="128">
        <v>7.0</v>
      </c>
      <c r="O61" s="130">
        <v>2.217</v>
      </c>
      <c r="P61" s="122"/>
      <c r="Q61" s="152">
        <v>7.0</v>
      </c>
      <c r="R61" s="130">
        <v>0.083</v>
      </c>
      <c r="T61" s="128">
        <v>7.0</v>
      </c>
      <c r="U61" s="151">
        <v>4.417</v>
      </c>
      <c r="V61" s="122"/>
      <c r="W61" s="132">
        <v>7.0</v>
      </c>
      <c r="X61" s="130">
        <v>2.167</v>
      </c>
    </row>
    <row r="62" spans="8:8" ht="17.15">
      <c r="A62" s="115">
        <v>1970.0</v>
      </c>
      <c r="B62" s="115">
        <v>40.083</v>
      </c>
      <c r="C62" s="123">
        <f>MOD(C61+B62,168)</f>
        <v>54.549999999999926</v>
      </c>
      <c r="D62" s="117">
        <v>80.5</v>
      </c>
      <c r="E62" s="117">
        <f>MOD(E61+D62,360)</f>
        <v>25.55000000000001</v>
      </c>
      <c r="F62" s="116">
        <v>252.8</v>
      </c>
      <c r="G62" s="117">
        <f>MOD(G61+F62,360)</f>
        <v>278.80000000000103</v>
      </c>
      <c r="H62" s="116">
        <v>218.0</v>
      </c>
      <c r="I62" s="117">
        <f>MOD(I61+H62,360)</f>
        <v>290.217</v>
      </c>
      <c r="J62" s="115">
        <v>252.667</v>
      </c>
      <c r="K62" s="117">
        <f>MOD(K61+J62,360)</f>
        <v>169.18200000000138</v>
      </c>
      <c r="N62" s="128">
        <v>8.0</v>
      </c>
      <c r="O62" s="130">
        <v>2.217</v>
      </c>
      <c r="P62" s="122"/>
      <c r="Q62" s="152">
        <v>8.0</v>
      </c>
      <c r="R62" s="130">
        <v>0.1</v>
      </c>
      <c r="T62" s="128">
        <v>8.0</v>
      </c>
      <c r="U62" s="151">
        <v>4.333</v>
      </c>
      <c r="V62" s="122"/>
      <c r="W62" s="132">
        <v>8.0</v>
      </c>
      <c r="X62" s="130">
        <v>2.2</v>
      </c>
    </row>
    <row r="63" spans="8:8" ht="17.15">
      <c r="A63" s="115">
        <v>1980.0</v>
      </c>
      <c r="B63" s="115">
        <v>40.083</v>
      </c>
      <c r="C63" s="123">
        <f>MOD(C62+B63,168)</f>
        <v>94.63299999999992</v>
      </c>
      <c r="D63" s="117">
        <v>80.5</v>
      </c>
      <c r="E63" s="117">
        <f>MOD(E62+D63,360)</f>
        <v>106.05000000000001</v>
      </c>
      <c r="F63" s="116">
        <v>252.8</v>
      </c>
      <c r="G63" s="117">
        <f>MOD(G62+F63,360)</f>
        <v>171.60000000000105</v>
      </c>
      <c r="H63" s="116">
        <v>218.0</v>
      </c>
      <c r="I63" s="117">
        <f>MOD(I62+H63,360)</f>
        <v>148.21699999999998</v>
      </c>
      <c r="J63" s="115">
        <v>252.667</v>
      </c>
      <c r="K63" s="117">
        <f>MOD(K62+J63,360)</f>
        <v>61.84900000000141</v>
      </c>
      <c r="N63" s="128">
        <v>9.0</v>
      </c>
      <c r="O63" s="130">
        <v>2.217</v>
      </c>
      <c r="P63" s="122"/>
      <c r="Q63" s="152">
        <v>9.0</v>
      </c>
      <c r="R63" s="130">
        <v>0.1</v>
      </c>
      <c r="T63" s="128">
        <v>9.0</v>
      </c>
      <c r="U63" s="151">
        <v>4.25</v>
      </c>
      <c r="V63" s="122"/>
      <c r="W63" s="132">
        <v>9.0</v>
      </c>
      <c r="X63" s="130">
        <v>2.233</v>
      </c>
    </row>
    <row r="64" spans="8:8" ht="17.15">
      <c r="A64" s="115">
        <v>1990.0</v>
      </c>
      <c r="B64" s="115">
        <v>40.083</v>
      </c>
      <c r="C64" s="123">
        <f>MOD(C63+B64,168)</f>
        <v>134.71599999999992</v>
      </c>
      <c r="D64" s="117">
        <v>80.5</v>
      </c>
      <c r="E64" s="117">
        <f>MOD(E63+D64,360)</f>
        <v>186.55</v>
      </c>
      <c r="F64" s="116">
        <v>252.8</v>
      </c>
      <c r="G64" s="117">
        <f>MOD(G63+F64,360)</f>
        <v>64.40000000000106</v>
      </c>
      <c r="H64" s="116">
        <v>218.0</v>
      </c>
      <c r="I64" s="117">
        <f>MOD(I63+H64,360)</f>
        <v>6.2169999999999845</v>
      </c>
      <c r="J64" s="115">
        <v>252.667</v>
      </c>
      <c r="K64" s="117">
        <f>MOD(K63+J64,360)</f>
        <v>314.51600000000144</v>
      </c>
      <c r="N64" s="128">
        <v>10.0</v>
      </c>
      <c r="O64" s="130">
        <v>2.217</v>
      </c>
      <c r="P64" s="122"/>
      <c r="Q64" s="152">
        <v>10.0</v>
      </c>
      <c r="R64" s="130">
        <v>0.1</v>
      </c>
      <c r="T64" s="128">
        <v>10.0</v>
      </c>
      <c r="U64" s="151">
        <v>4.183</v>
      </c>
      <c r="V64" s="122"/>
      <c r="W64" s="132">
        <v>10.0</v>
      </c>
      <c r="X64" s="130">
        <v>2.267</v>
      </c>
    </row>
    <row r="65" spans="8:8" ht="17.15">
      <c r="A65" s="115">
        <v>2000.0</v>
      </c>
      <c r="B65" s="115">
        <v>40.083</v>
      </c>
      <c r="C65" s="123">
        <f>MOD(C64+B65,168)</f>
        <v>6.798999999999921</v>
      </c>
      <c r="D65" s="117">
        <v>80.5</v>
      </c>
      <c r="E65" s="117">
        <f>MOD(E64+D65,360)</f>
        <v>267.05</v>
      </c>
      <c r="F65" s="116">
        <v>252.8</v>
      </c>
      <c r="G65" s="117">
        <f>MOD(G64+F65,360)</f>
        <v>317.20000000000107</v>
      </c>
      <c r="H65" s="116">
        <v>218.0</v>
      </c>
      <c r="I65" s="117">
        <f>MOD(I64+H65,360)</f>
        <v>224.21699999999998</v>
      </c>
      <c r="J65" s="115">
        <v>252.667</v>
      </c>
      <c r="K65" s="117">
        <f>MOD(K64+J65,360)</f>
        <v>207.18300000000147</v>
      </c>
      <c r="N65" s="128">
        <v>11.0</v>
      </c>
      <c r="O65" s="130">
        <v>2.217</v>
      </c>
      <c r="P65" s="122"/>
      <c r="Q65" s="152">
        <v>11.0</v>
      </c>
      <c r="R65" s="130">
        <v>0.1</v>
      </c>
      <c r="T65" s="128">
        <v>11.0</v>
      </c>
      <c r="U65" s="151">
        <v>4.1</v>
      </c>
      <c r="V65" s="122"/>
      <c r="W65" s="132">
        <v>11.0</v>
      </c>
      <c r="X65" s="130">
        <v>2.3</v>
      </c>
    </row>
    <row r="66" spans="8:8" ht="17.15">
      <c r="A66" s="115">
        <v>2010.0</v>
      </c>
      <c r="B66" s="115">
        <v>40.083</v>
      </c>
      <c r="C66" s="123">
        <f>MOD(C65+B66,168)</f>
        <v>46.88199999999992</v>
      </c>
      <c r="D66" s="117">
        <v>80.5</v>
      </c>
      <c r="E66" s="117">
        <f>MOD(E65+D66,360)</f>
        <v>347.55</v>
      </c>
      <c r="F66" s="116">
        <v>252.8</v>
      </c>
      <c r="G66" s="117">
        <f>MOD(G65+F66,360)</f>
        <v>210.00000000000114</v>
      </c>
      <c r="H66" s="116">
        <v>218.0</v>
      </c>
      <c r="I66" s="117">
        <f>MOD(I65+H66,360)</f>
        <v>82.21699999999998</v>
      </c>
      <c r="J66" s="115">
        <v>252.667</v>
      </c>
      <c r="K66" s="117">
        <f>MOD(K65+J66,360)</f>
        <v>99.8500000000015</v>
      </c>
      <c r="N66" s="128">
        <v>12.0</v>
      </c>
      <c r="O66" s="130">
        <v>2.217</v>
      </c>
      <c r="P66" s="122"/>
      <c r="Q66" s="152">
        <v>12.0</v>
      </c>
      <c r="R66" s="130">
        <v>0.1</v>
      </c>
      <c r="T66" s="128">
        <v>12.0</v>
      </c>
      <c r="U66" s="151">
        <v>4.017</v>
      </c>
      <c r="V66" s="122"/>
      <c r="W66" s="132">
        <v>12.0</v>
      </c>
      <c r="X66" s="130">
        <v>2.317</v>
      </c>
    </row>
    <row r="67" spans="8:8" ht="17.15">
      <c r="A67" s="115">
        <v>2020.0</v>
      </c>
      <c r="B67" s="115">
        <v>40.083</v>
      </c>
      <c r="C67" s="123">
        <f>MOD(C66+B67,168)</f>
        <v>86.96499999999992</v>
      </c>
      <c r="D67" s="117">
        <v>80.5</v>
      </c>
      <c r="E67" s="117">
        <f>MOD(E66+D67,360)</f>
        <v>68.05000000000001</v>
      </c>
      <c r="F67" s="116">
        <v>252.8</v>
      </c>
      <c r="G67" s="117">
        <f>MOD(G66+F67,360)</f>
        <v>102.80000000000115</v>
      </c>
      <c r="H67" s="116">
        <v>218.0</v>
      </c>
      <c r="I67" s="117">
        <f>MOD(I66+H67,360)</f>
        <v>300.217</v>
      </c>
      <c r="J67" s="115">
        <v>252.667</v>
      </c>
      <c r="K67" s="117">
        <f>MOD(K66+J67,360)</f>
        <v>352.51700000000153</v>
      </c>
      <c r="N67" s="128">
        <v>13.0</v>
      </c>
      <c r="O67" s="130">
        <v>2.217</v>
      </c>
      <c r="P67" s="122"/>
      <c r="Q67" s="152">
        <v>13.0</v>
      </c>
      <c r="R67" s="130">
        <v>0.017</v>
      </c>
      <c r="T67" s="128">
        <v>13.0</v>
      </c>
      <c r="U67" s="151">
        <v>3.933</v>
      </c>
      <c r="V67" s="122"/>
      <c r="W67" s="132">
        <v>13.0</v>
      </c>
      <c r="X67" s="130">
        <v>2.35</v>
      </c>
    </row>
    <row r="68" spans="8:8" ht="17.15">
      <c r="A68" s="115">
        <v>2030.0</v>
      </c>
      <c r="B68" s="115">
        <v>40.083</v>
      </c>
      <c r="C68" s="123">
        <f>MOD(C67+B68,168)</f>
        <v>127.04799999999992</v>
      </c>
      <c r="D68" s="117">
        <v>80.5</v>
      </c>
      <c r="E68" s="117">
        <f>MOD(E67+D68,360)</f>
        <v>148.55</v>
      </c>
      <c r="F68" s="116">
        <v>252.8</v>
      </c>
      <c r="G68" s="117">
        <f>MOD(G67+F68,360)</f>
        <v>355.60000000000116</v>
      </c>
      <c r="H68" s="116">
        <v>218.0</v>
      </c>
      <c r="I68" s="117">
        <f>MOD(I67+H68,360)</f>
        <v>158.21699999999998</v>
      </c>
      <c r="J68" s="115">
        <v>252.667</v>
      </c>
      <c r="K68" s="117">
        <f>MOD(K67+J68,360)</f>
        <v>245.18400000000156</v>
      </c>
      <c r="N68" s="128">
        <v>14.0</v>
      </c>
      <c r="O68" s="130">
        <v>2.217</v>
      </c>
      <c r="P68" s="122"/>
      <c r="Q68" s="152">
        <v>14.0</v>
      </c>
      <c r="R68" s="130">
        <v>0.017</v>
      </c>
      <c r="T68" s="128">
        <v>14.0</v>
      </c>
      <c r="U68" s="151">
        <v>3.85</v>
      </c>
      <c r="V68" s="122"/>
      <c r="W68" s="132">
        <v>14.0</v>
      </c>
      <c r="X68" s="130">
        <v>2.383</v>
      </c>
    </row>
    <row r="69" spans="8:8" ht="17.15">
      <c r="A69" s="115">
        <v>2040.0</v>
      </c>
      <c r="B69" s="115">
        <v>40.083</v>
      </c>
      <c r="C69" s="123">
        <f>MOD(C68+B69,168)</f>
        <v>167.13099999999991</v>
      </c>
      <c r="D69" s="117">
        <v>80.5</v>
      </c>
      <c r="E69" s="117">
        <f>MOD(E68+D69,360)</f>
        <v>229.05</v>
      </c>
      <c r="F69" s="116">
        <v>252.8</v>
      </c>
      <c r="G69" s="117">
        <f>MOD(G68+F69,360)</f>
        <v>248.40000000000123</v>
      </c>
      <c r="H69" s="116">
        <v>218.0</v>
      </c>
      <c r="I69" s="117">
        <f>MOD(I68+H69,360)</f>
        <v>16.216999999999985</v>
      </c>
      <c r="J69" s="115">
        <v>252.667</v>
      </c>
      <c r="K69" s="117">
        <f>MOD(K68+J69,360)</f>
        <v>137.8510000000016</v>
      </c>
      <c r="N69" s="128">
        <v>15.0</v>
      </c>
      <c r="O69" s="130">
        <v>2.217</v>
      </c>
      <c r="P69" s="122"/>
      <c r="Q69" s="152">
        <v>15.0</v>
      </c>
      <c r="R69" s="130">
        <v>0.017</v>
      </c>
      <c r="T69" s="128">
        <v>15.0</v>
      </c>
      <c r="U69" s="151">
        <v>3.783</v>
      </c>
      <c r="V69" s="122"/>
      <c r="W69" s="132">
        <v>15.0</v>
      </c>
      <c r="X69" s="130">
        <v>2.417</v>
      </c>
    </row>
    <row r="70" spans="8:8" ht="17.15">
      <c r="A70" s="115">
        <v>2050.0</v>
      </c>
      <c r="B70" s="115">
        <v>40.083</v>
      </c>
      <c r="C70" s="123">
        <f>MOD(C69+B70,168)</f>
        <v>39.21399999999991</v>
      </c>
      <c r="D70" s="117">
        <v>80.5</v>
      </c>
      <c r="E70" s="117">
        <f>MOD(E69+D70,360)</f>
        <v>309.55</v>
      </c>
      <c r="F70" s="116">
        <v>252.8</v>
      </c>
      <c r="G70" s="117">
        <f>MOD(G69+F70,360)</f>
        <v>141.20000000000124</v>
      </c>
      <c r="H70" s="116">
        <v>218.0</v>
      </c>
      <c r="I70" s="117">
        <f>MOD(I69+H70,360)</f>
        <v>234.21699999999998</v>
      </c>
      <c r="J70" s="115">
        <v>252.667</v>
      </c>
      <c r="K70" s="117">
        <f>MOD(K69+J70,360)</f>
        <v>30.51800000000162</v>
      </c>
      <c r="N70" s="128">
        <v>16.0</v>
      </c>
      <c r="O70" s="130">
        <v>2.217</v>
      </c>
      <c r="P70" s="122"/>
      <c r="Q70" s="152">
        <v>16.0</v>
      </c>
      <c r="R70" s="130">
        <v>0.017</v>
      </c>
      <c r="T70" s="128">
        <v>16.0</v>
      </c>
      <c r="U70" s="151">
        <v>3.717</v>
      </c>
      <c r="V70" s="122"/>
      <c r="W70" s="132">
        <v>16.0</v>
      </c>
      <c r="X70" s="130">
        <v>2.45</v>
      </c>
    </row>
    <row r="71" spans="8:8" ht="17.15">
      <c r="A71" s="115">
        <v>2060.0</v>
      </c>
      <c r="B71" s="115">
        <v>40.083</v>
      </c>
      <c r="C71" s="123">
        <f>MOD(C70+B71,168)</f>
        <v>79.29699999999991</v>
      </c>
      <c r="D71" s="117">
        <v>80.5</v>
      </c>
      <c r="E71" s="117">
        <f>MOD(E70+D71,360)</f>
        <v>30.05000000000001</v>
      </c>
      <c r="F71" s="116">
        <v>252.8</v>
      </c>
      <c r="G71" s="117">
        <f>MOD(G70+F71,360)</f>
        <v>34.00000000000125</v>
      </c>
      <c r="H71" s="116">
        <v>218.0</v>
      </c>
      <c r="I71" s="117">
        <f>MOD(I70+H71,360)</f>
        <v>92.21699999999998</v>
      </c>
      <c r="J71" s="115">
        <v>252.667</v>
      </c>
      <c r="K71" s="117">
        <f>MOD(K70+J71,360)</f>
        <v>283.18500000000165</v>
      </c>
      <c r="N71" s="128">
        <v>17.0</v>
      </c>
      <c r="O71" s="130">
        <v>2.217</v>
      </c>
      <c r="P71" s="122"/>
      <c r="Q71" s="152">
        <v>17.0</v>
      </c>
      <c r="R71" s="130">
        <v>0.017</v>
      </c>
      <c r="T71" s="128">
        <v>17.0</v>
      </c>
      <c r="U71" s="151">
        <v>3.633</v>
      </c>
      <c r="V71" s="122"/>
      <c r="W71" s="132">
        <v>17.0</v>
      </c>
      <c r="X71" s="130">
        <v>2.483</v>
      </c>
    </row>
    <row r="72" spans="8:8" ht="17.15">
      <c r="A72" s="115">
        <v>2070.0</v>
      </c>
      <c r="B72" s="115">
        <v>40.083</v>
      </c>
      <c r="C72" s="123">
        <f>MOD(C71+B72,168)</f>
        <v>119.37999999999991</v>
      </c>
      <c r="D72" s="117">
        <v>80.5</v>
      </c>
      <c r="E72" s="117">
        <f>MOD(E71+D72,360)</f>
        <v>110.55000000000001</v>
      </c>
      <c r="F72" s="116">
        <v>252.8</v>
      </c>
      <c r="G72" s="117">
        <f>MOD(G71+F72,360)</f>
        <v>286.80000000000126</v>
      </c>
      <c r="H72" s="116">
        <v>218.0</v>
      </c>
      <c r="I72" s="117">
        <f>MOD(I71+H72,360)</f>
        <v>310.217</v>
      </c>
      <c r="J72" s="115">
        <v>252.667</v>
      </c>
      <c r="K72" s="117">
        <f>MOD(K71+J72,360)</f>
        <v>175.85200000000168</v>
      </c>
      <c r="N72" s="128">
        <v>18.0</v>
      </c>
      <c r="O72" s="130">
        <v>2.2</v>
      </c>
      <c r="P72" s="122"/>
      <c r="Q72" s="152">
        <v>18.0</v>
      </c>
      <c r="R72" s="130">
        <v>0.133</v>
      </c>
      <c r="T72" s="128">
        <v>18.0</v>
      </c>
      <c r="U72" s="151">
        <v>3.55</v>
      </c>
      <c r="V72" s="122"/>
      <c r="W72" s="132">
        <v>18.0</v>
      </c>
      <c r="X72" s="130">
        <v>2.517</v>
      </c>
    </row>
    <row r="73" spans="8:8" ht="17.15">
      <c r="A73" s="115">
        <v>2080.0</v>
      </c>
      <c r="B73" s="115">
        <v>40.083</v>
      </c>
      <c r="C73" s="123">
        <f>MOD(C72+B73,168)</f>
        <v>159.4629999999999</v>
      </c>
      <c r="D73" s="117">
        <v>80.5</v>
      </c>
      <c r="E73" s="117">
        <f>MOD(E72+D73,360)</f>
        <v>191.05</v>
      </c>
      <c r="F73" s="116">
        <v>252.8</v>
      </c>
      <c r="G73" s="117">
        <f>MOD(G72+F73,360)</f>
        <v>179.60000000000127</v>
      </c>
      <c r="H73" s="116">
        <v>218.0</v>
      </c>
      <c r="I73" s="117">
        <f>MOD(I72+H73,360)</f>
        <v>168.21699999999998</v>
      </c>
      <c r="J73" s="115">
        <v>252.667</v>
      </c>
      <c r="K73" s="117">
        <f>MOD(K72+J73,360)</f>
        <v>68.51900000000171</v>
      </c>
      <c r="N73" s="128">
        <v>19.0</v>
      </c>
      <c r="O73" s="130">
        <v>2.2</v>
      </c>
      <c r="P73" s="122"/>
      <c r="Q73" s="152">
        <v>19.0</v>
      </c>
      <c r="R73" s="130">
        <v>0.133</v>
      </c>
      <c r="T73" s="128">
        <v>19.0</v>
      </c>
      <c r="U73" s="151">
        <v>3.467</v>
      </c>
      <c r="V73" s="122"/>
      <c r="W73" s="132">
        <v>19.0</v>
      </c>
      <c r="X73" s="130">
        <v>2.55</v>
      </c>
    </row>
    <row r="74" spans="8:8" ht="17.15">
      <c r="A74" s="115">
        <v>2090.0</v>
      </c>
      <c r="B74" s="115">
        <v>40.083</v>
      </c>
      <c r="C74" s="123">
        <f>MOD(C73+B74,168)</f>
        <v>31.545999999999907</v>
      </c>
      <c r="D74" s="117">
        <v>80.5</v>
      </c>
      <c r="E74" s="117">
        <f>MOD(E73+D74,360)</f>
        <v>271.55</v>
      </c>
      <c r="F74" s="116">
        <v>252.8</v>
      </c>
      <c r="G74" s="117">
        <f>MOD(G73+F74,360)</f>
        <v>72.40000000000128</v>
      </c>
      <c r="H74" s="116">
        <v>218.0</v>
      </c>
      <c r="I74" s="117">
        <f>MOD(I73+H74,360)</f>
        <v>26.216999999999985</v>
      </c>
      <c r="J74" s="115">
        <v>252.667</v>
      </c>
      <c r="K74" s="117">
        <f>MOD(K73+J74,360)</f>
        <v>321.18600000000174</v>
      </c>
      <c r="N74" s="128">
        <v>20.0</v>
      </c>
      <c r="O74" s="130">
        <v>2.2</v>
      </c>
      <c r="P74" s="122"/>
      <c r="Q74" s="152">
        <v>20.0</v>
      </c>
      <c r="R74" s="130">
        <v>0.133</v>
      </c>
      <c r="T74" s="128">
        <v>20.0</v>
      </c>
      <c r="U74" s="151">
        <v>3.4</v>
      </c>
      <c r="V74" s="122"/>
      <c r="W74" s="132">
        <v>20.0</v>
      </c>
      <c r="X74" s="130">
        <v>2.583</v>
      </c>
    </row>
    <row r="75" spans="8:8" ht="17.15">
      <c r="A75" s="115">
        <v>2100.0</v>
      </c>
      <c r="B75" s="115">
        <v>40.083</v>
      </c>
      <c r="C75" s="123">
        <f>MOD(C74+B75,168)</f>
        <v>71.6289999999999</v>
      </c>
      <c r="D75" s="117">
        <v>80.5</v>
      </c>
      <c r="E75" s="117">
        <f>MOD(E74+D75,360)</f>
        <v>352.05</v>
      </c>
      <c r="F75" s="116">
        <v>252.8</v>
      </c>
      <c r="G75" s="117">
        <f>MOD(G74+F75,360)</f>
        <v>325.2000000000013</v>
      </c>
      <c r="H75" s="116">
        <v>218.0</v>
      </c>
      <c r="I75" s="117">
        <f>MOD(I74+H75,360)</f>
        <v>244.21699999999998</v>
      </c>
      <c r="J75" s="115">
        <v>252.667</v>
      </c>
      <c r="K75" s="117">
        <f>MOD(K74+J75,360)</f>
        <v>213.85300000000177</v>
      </c>
      <c r="N75" s="128">
        <v>21.0</v>
      </c>
      <c r="O75" s="130">
        <v>2.2</v>
      </c>
      <c r="P75" s="122"/>
      <c r="Q75" s="152">
        <v>21.0</v>
      </c>
      <c r="R75" s="130">
        <v>0.133</v>
      </c>
      <c r="T75" s="128">
        <v>21.0</v>
      </c>
      <c r="U75" s="151">
        <v>3.317</v>
      </c>
      <c r="V75" s="122"/>
      <c r="W75" s="132">
        <v>21.0</v>
      </c>
      <c r="X75" s="130">
        <v>2.617</v>
      </c>
    </row>
    <row r="76" spans="8:8" ht="17.15">
      <c r="A76" s="115">
        <v>2110.0</v>
      </c>
      <c r="B76" s="115">
        <v>40.083</v>
      </c>
      <c r="C76" s="123">
        <f>MOD(C75+B76,168)</f>
        <v>111.7119999999999</v>
      </c>
      <c r="D76" s="117">
        <v>80.5</v>
      </c>
      <c r="E76" s="117">
        <f>MOD(E75+D76,360)</f>
        <v>72.55000000000001</v>
      </c>
      <c r="F76" s="116">
        <v>252.8</v>
      </c>
      <c r="G76" s="117">
        <f>MOD(G75+F76,360)</f>
        <v>218.00000000000136</v>
      </c>
      <c r="H76" s="116">
        <v>218.0</v>
      </c>
      <c r="I76" s="117">
        <f>MOD(I75+H76,360)</f>
        <v>102.21699999999998</v>
      </c>
      <c r="J76" s="115">
        <v>252.667</v>
      </c>
      <c r="K76" s="117">
        <f>MOD(K75+J76,360)</f>
        <v>106.5200000000018</v>
      </c>
      <c r="N76" s="128">
        <v>22.0</v>
      </c>
      <c r="O76" s="130">
        <v>2.2</v>
      </c>
      <c r="P76" s="122"/>
      <c r="Q76" s="152">
        <v>22.0</v>
      </c>
      <c r="R76" s="130">
        <v>0.133</v>
      </c>
      <c r="T76" s="128">
        <v>22.0</v>
      </c>
      <c r="U76" s="151">
        <v>3.25</v>
      </c>
      <c r="V76" s="122"/>
      <c r="W76" s="132">
        <v>22.0</v>
      </c>
      <c r="X76" s="130">
        <v>2.65</v>
      </c>
    </row>
    <row r="77" spans="8:8" ht="17.15">
      <c r="A77" s="115">
        <v>2120.0</v>
      </c>
      <c r="B77" s="115">
        <v>40.083</v>
      </c>
      <c r="C77" s="123">
        <f>MOD(C76+B77,168)</f>
        <v>151.7949999999999</v>
      </c>
      <c r="D77" s="117">
        <v>80.5</v>
      </c>
      <c r="E77" s="117">
        <f>MOD(E76+D77,360)</f>
        <v>153.05</v>
      </c>
      <c r="F77" s="116">
        <v>252.8</v>
      </c>
      <c r="G77" s="117">
        <f>MOD(G76+F77,360)</f>
        <v>110.80000000000138</v>
      </c>
      <c r="H77" s="116">
        <v>218.0</v>
      </c>
      <c r="I77" s="117">
        <f>MOD(I76+H77,360)</f>
        <v>320.217</v>
      </c>
      <c r="J77" s="115">
        <v>252.667</v>
      </c>
      <c r="K77" s="117">
        <f>MOD(K76+J77,360)</f>
        <v>359.18700000000183</v>
      </c>
      <c r="N77" s="128">
        <v>23.0</v>
      </c>
      <c r="O77" s="130">
        <v>2.2</v>
      </c>
      <c r="P77" s="122"/>
      <c r="Q77" s="152">
        <v>23.0</v>
      </c>
      <c r="R77" s="130">
        <v>0.15</v>
      </c>
      <c r="T77" s="128">
        <v>23.0</v>
      </c>
      <c r="U77" s="151">
        <v>3.183</v>
      </c>
      <c r="V77" s="122"/>
      <c r="W77" s="132">
        <v>23.0</v>
      </c>
      <c r="X77" s="130">
        <v>2.667</v>
      </c>
    </row>
    <row r="78" spans="8:8" ht="17.15">
      <c r="A78" s="115">
        <v>2130.0</v>
      </c>
      <c r="B78" s="115">
        <v>40.083</v>
      </c>
      <c r="C78" s="123">
        <f>MOD(C77+B78,168)</f>
        <v>23.8779999999999</v>
      </c>
      <c r="D78" s="117">
        <v>80.5</v>
      </c>
      <c r="E78" s="117">
        <f>MOD(E77+D78,360)</f>
        <v>233.55</v>
      </c>
      <c r="F78" s="116">
        <v>252.8</v>
      </c>
      <c r="G78" s="117">
        <f>MOD(G77+F78,360)</f>
        <v>3.600000000001387</v>
      </c>
      <c r="H78" s="116">
        <v>218.0</v>
      </c>
      <c r="I78" s="117">
        <f>MOD(I77+H78,360)</f>
        <v>178.21699999999998</v>
      </c>
      <c r="J78" s="115">
        <v>252.667</v>
      </c>
      <c r="K78" s="117">
        <f>MOD(K77+J78,360)</f>
        <v>251.85400000000186</v>
      </c>
      <c r="N78" s="128">
        <v>24.0</v>
      </c>
      <c r="O78" s="130">
        <v>2.2</v>
      </c>
      <c r="P78" s="122"/>
      <c r="Q78" s="152">
        <v>24.0</v>
      </c>
      <c r="R78" s="130">
        <v>0.15</v>
      </c>
      <c r="T78" s="128">
        <v>24.0</v>
      </c>
      <c r="U78" s="151">
        <v>3.117</v>
      </c>
      <c r="V78" s="122"/>
      <c r="W78" s="132">
        <v>24.0</v>
      </c>
      <c r="X78" s="130">
        <v>2.7</v>
      </c>
    </row>
    <row r="79" spans="8:8" ht="17.15">
      <c r="A79" s="115">
        <v>2140.0</v>
      </c>
      <c r="B79" s="115">
        <v>40.083</v>
      </c>
      <c r="C79" s="123">
        <f>MOD(C78+B79,168)</f>
        <v>63.9609999999999</v>
      </c>
      <c r="D79" s="117">
        <v>80.5</v>
      </c>
      <c r="E79" s="117">
        <f>MOD(E78+D79,360)</f>
        <v>314.05</v>
      </c>
      <c r="F79" s="116">
        <v>252.8</v>
      </c>
      <c r="G79" s="117">
        <f>MOD(G78+F79,360)</f>
        <v>256.4000000000014</v>
      </c>
      <c r="H79" s="116">
        <v>218.0</v>
      </c>
      <c r="I79" s="117">
        <f>MOD(I78+H79,360)</f>
        <v>36.216999999999985</v>
      </c>
      <c r="J79" s="115">
        <v>252.667</v>
      </c>
      <c r="K79" s="117">
        <f>MOD(K78+J79,360)</f>
        <v>144.5210000000019</v>
      </c>
      <c r="N79" s="128">
        <v>25.0</v>
      </c>
      <c r="O79" s="130">
        <v>2.2</v>
      </c>
      <c r="P79" s="122"/>
      <c r="Q79" s="152">
        <v>25.0</v>
      </c>
      <c r="R79" s="130">
        <v>0.15</v>
      </c>
      <c r="T79" s="128">
        <v>25.0</v>
      </c>
      <c r="U79" s="151">
        <v>3.05</v>
      </c>
      <c r="V79" s="122"/>
      <c r="W79" s="132">
        <v>25.0</v>
      </c>
      <c r="X79" s="130">
        <v>2.733</v>
      </c>
    </row>
    <row r="80" spans="8:8" ht="17.15">
      <c r="A80" s="115">
        <v>2150.0</v>
      </c>
      <c r="B80" s="115">
        <v>40.083</v>
      </c>
      <c r="C80" s="123">
        <f>MOD(C79+B80,168)</f>
        <v>104.0439999999999</v>
      </c>
      <c r="D80" s="117">
        <v>80.5</v>
      </c>
      <c r="E80" s="117">
        <f>MOD(E79+D80,360)</f>
        <v>34.55000000000001</v>
      </c>
      <c r="F80" s="116">
        <v>252.8</v>
      </c>
      <c r="G80" s="117">
        <f>MOD(G79+F80,360)</f>
        <v>149.2000000000014</v>
      </c>
      <c r="H80" s="116">
        <v>218.0</v>
      </c>
      <c r="I80" s="117">
        <f>MOD(I79+H80,360)</f>
        <v>254.21699999999998</v>
      </c>
      <c r="J80" s="115">
        <v>252.667</v>
      </c>
      <c r="K80" s="117">
        <f>MOD(K79+J80,360)</f>
        <v>37.18800000000192</v>
      </c>
      <c r="N80" s="128">
        <v>26.0</v>
      </c>
      <c r="O80" s="130">
        <v>2.2</v>
      </c>
      <c r="P80" s="122"/>
      <c r="Q80" s="152">
        <v>26.0</v>
      </c>
      <c r="R80" s="130">
        <v>0.15</v>
      </c>
      <c r="T80" s="128">
        <v>26.0</v>
      </c>
      <c r="U80" s="151">
        <v>2.967</v>
      </c>
      <c r="V80" s="122"/>
      <c r="W80" s="132">
        <v>26.0</v>
      </c>
      <c r="X80" s="130">
        <v>2.767</v>
      </c>
    </row>
    <row r="81" spans="8:8" ht="17.15">
      <c r="A81" s="115">
        <v>2160.0</v>
      </c>
      <c r="B81" s="115">
        <v>40.083</v>
      </c>
      <c r="C81" s="123">
        <f>MOD(C80+B81,168)</f>
        <v>144.1269999999999</v>
      </c>
      <c r="D81" s="117">
        <v>80.5</v>
      </c>
      <c r="E81" s="117">
        <f>MOD(E80+D81,360)</f>
        <v>115.05000000000001</v>
      </c>
      <c r="F81" s="116">
        <v>252.8</v>
      </c>
      <c r="G81" s="117">
        <f>MOD(G80+F81,360)</f>
        <v>42.00000000000142</v>
      </c>
      <c r="H81" s="116">
        <v>218.0</v>
      </c>
      <c r="I81" s="117">
        <f>MOD(I80+H81,360)</f>
        <v>112.21699999999998</v>
      </c>
      <c r="J81" s="115">
        <v>252.667</v>
      </c>
      <c r="K81" s="117">
        <f>MOD(K80+J81,360)</f>
        <v>289.85500000000195</v>
      </c>
      <c r="N81" s="128">
        <v>27.0</v>
      </c>
      <c r="O81" s="130">
        <v>2.2</v>
      </c>
      <c r="P81" s="122"/>
      <c r="Q81" s="152">
        <v>27.0</v>
      </c>
      <c r="R81" s="130">
        <v>0.15</v>
      </c>
      <c r="T81" s="128">
        <v>27.0</v>
      </c>
      <c r="U81" s="151">
        <v>2.9</v>
      </c>
      <c r="V81" s="122"/>
      <c r="W81" s="132">
        <v>27.0</v>
      </c>
      <c r="X81" s="130">
        <v>2.8</v>
      </c>
    </row>
    <row r="82" spans="8:8" ht="17.15">
      <c r="A82" s="115">
        <v>2170.0</v>
      </c>
      <c r="B82" s="115">
        <v>40.083</v>
      </c>
      <c r="C82" s="123">
        <f>MOD(C81+B82,168)</f>
        <v>16.209999999999894</v>
      </c>
      <c r="D82" s="117">
        <v>80.5</v>
      </c>
      <c r="E82" s="117">
        <f>MOD(E81+D82,360)</f>
        <v>195.55</v>
      </c>
      <c r="F82" s="116">
        <v>252.8</v>
      </c>
      <c r="G82" s="117">
        <f>MOD(G81+F82,360)</f>
        <v>294.80000000000143</v>
      </c>
      <c r="H82" s="116">
        <v>218.0</v>
      </c>
      <c r="I82" s="117">
        <f>MOD(I81+H82,360)</f>
        <v>330.217</v>
      </c>
      <c r="J82" s="115">
        <v>252.667</v>
      </c>
      <c r="K82" s="117">
        <f>MOD(K81+J82,360)</f>
        <v>182.52200000000198</v>
      </c>
      <c r="N82" s="128">
        <v>28.0</v>
      </c>
      <c r="O82" s="130">
        <v>2.2</v>
      </c>
      <c r="P82" s="122"/>
      <c r="Q82" s="152">
        <v>28.0</v>
      </c>
      <c r="R82" s="130">
        <v>0.15</v>
      </c>
      <c r="T82" s="128">
        <v>28.0</v>
      </c>
      <c r="U82" s="151">
        <v>2.817</v>
      </c>
      <c r="V82" s="122"/>
      <c r="W82" s="132">
        <v>28.0</v>
      </c>
      <c r="X82" s="130">
        <v>2.833</v>
      </c>
    </row>
    <row r="83" spans="8:8" ht="17.15">
      <c r="A83" s="115">
        <v>2180.0</v>
      </c>
      <c r="B83" s="115">
        <v>40.083</v>
      </c>
      <c r="C83" s="123">
        <f>MOD(C82+B83,168)</f>
        <v>56.29299999999989</v>
      </c>
      <c r="D83" s="117">
        <v>80.5</v>
      </c>
      <c r="E83" s="117">
        <f>MOD(E82+D83,360)</f>
        <v>276.05</v>
      </c>
      <c r="F83" s="116">
        <v>252.8</v>
      </c>
      <c r="G83" s="117">
        <f>MOD(G82+F83,360)</f>
        <v>187.6000000000015</v>
      </c>
      <c r="H83" s="116">
        <v>218.0</v>
      </c>
      <c r="I83" s="117">
        <f>MOD(I82+H83,360)</f>
        <v>188.21699999999998</v>
      </c>
      <c r="J83" s="115">
        <v>252.667</v>
      </c>
      <c r="K83" s="117">
        <f>MOD(K82+J83,360)</f>
        <v>75.18900000000201</v>
      </c>
      <c r="N83" s="128">
        <v>29.0</v>
      </c>
      <c r="O83" s="130">
        <v>2.2</v>
      </c>
      <c r="P83" s="122"/>
      <c r="Q83" s="152">
        <v>29.0</v>
      </c>
      <c r="R83" s="130">
        <v>0.15</v>
      </c>
      <c r="T83" s="128">
        <v>29.0</v>
      </c>
      <c r="U83" s="151">
        <v>2.75</v>
      </c>
      <c r="V83" s="122"/>
      <c r="W83" s="132">
        <v>29.0</v>
      </c>
      <c r="X83" s="130">
        <v>2.85</v>
      </c>
    </row>
    <row r="84" spans="8:8" ht="17.15">
      <c r="A84" s="115">
        <v>2190.0</v>
      </c>
      <c r="B84" s="115">
        <v>40.083</v>
      </c>
      <c r="C84" s="123">
        <f>MOD(C83+B84,168)</f>
        <v>96.37599999999989</v>
      </c>
      <c r="D84" s="117">
        <v>80.5</v>
      </c>
      <c r="E84" s="117">
        <f>MOD(E83+D84,360)</f>
        <v>356.55</v>
      </c>
      <c r="F84" s="116">
        <v>252.8</v>
      </c>
      <c r="G84" s="117">
        <f>MOD(G83+F84,360)</f>
        <v>80.40000000000151</v>
      </c>
      <c r="H84" s="116">
        <v>218.0</v>
      </c>
      <c r="I84" s="117">
        <f>MOD(I83+H84,360)</f>
        <v>46.216999999999985</v>
      </c>
      <c r="J84" s="115">
        <v>252.667</v>
      </c>
      <c r="K84" s="117">
        <f>MOD(K83+J84,360)</f>
        <v>327.85600000000204</v>
      </c>
      <c r="N84" s="128">
        <v>30.0</v>
      </c>
      <c r="O84" s="130">
        <v>2.2</v>
      </c>
      <c r="P84" s="122"/>
      <c r="Q84" s="152">
        <v>30.0</v>
      </c>
      <c r="R84" s="130">
        <v>0.15</v>
      </c>
      <c r="T84" s="128">
        <v>30.0</v>
      </c>
      <c r="U84" s="151">
        <v>2.683</v>
      </c>
      <c r="V84" s="122"/>
      <c r="W84" s="132">
        <v>30.0</v>
      </c>
      <c r="X84" s="130">
        <v>2.883</v>
      </c>
    </row>
    <row r="85" spans="8:8" ht="17.15">
      <c r="A85" s="115">
        <v>2200.0</v>
      </c>
      <c r="B85" s="115">
        <v>40.083</v>
      </c>
      <c r="C85" s="123">
        <f>MOD(C84+B85,168)</f>
        <v>136.4589999999999</v>
      </c>
      <c r="D85" s="117">
        <v>80.5</v>
      </c>
      <c r="E85" s="117">
        <f>MOD(E84+D85,360)</f>
        <v>77.05000000000001</v>
      </c>
      <c r="F85" s="116">
        <v>252.8</v>
      </c>
      <c r="G85" s="117">
        <f>MOD(G84+F85,360)</f>
        <v>333.2000000000015</v>
      </c>
      <c r="H85" s="116">
        <v>218.0</v>
      </c>
      <c r="I85" s="117">
        <f>MOD(I84+H85,360)</f>
        <v>264.217</v>
      </c>
      <c r="J85" s="115">
        <v>252.667</v>
      </c>
      <c r="K85" s="117">
        <f>MOD(K84+J85,360)</f>
        <v>220.52300000000207</v>
      </c>
      <c r="N85" s="128">
        <v>31.0</v>
      </c>
      <c r="O85" s="130">
        <v>2.2</v>
      </c>
      <c r="P85" s="122"/>
      <c r="Q85" s="152">
        <v>31.0</v>
      </c>
      <c r="R85" s="130">
        <v>0.15</v>
      </c>
      <c r="T85" s="128">
        <v>31.0</v>
      </c>
      <c r="U85" s="151">
        <v>2.6</v>
      </c>
      <c r="V85" s="122"/>
      <c r="W85" s="132">
        <v>31.0</v>
      </c>
      <c r="X85" s="130">
        <v>2.917</v>
      </c>
    </row>
    <row r="86" spans="8:8" ht="17.15">
      <c r="A86" s="115">
        <v>2210.0</v>
      </c>
      <c r="B86" s="115">
        <v>40.083</v>
      </c>
      <c r="C86" s="123">
        <f>MOD(C85+B86,168)</f>
        <v>8.541999999999888</v>
      </c>
      <c r="D86" s="117">
        <v>80.5</v>
      </c>
      <c r="E86" s="117">
        <f>MOD(E85+D86,360)</f>
        <v>157.55</v>
      </c>
      <c r="F86" s="116">
        <v>252.8</v>
      </c>
      <c r="G86" s="117">
        <f>MOD(G85+F86,360)</f>
        <v>226.0000000000016</v>
      </c>
      <c r="H86" s="116">
        <v>218.0</v>
      </c>
      <c r="I86" s="117">
        <f>MOD(I85+H86,360)</f>
        <v>122.21699999999998</v>
      </c>
      <c r="J86" s="115">
        <v>252.667</v>
      </c>
      <c r="K86" s="117">
        <f>MOD(K85+J86,360)</f>
        <v>113.1900000000021</v>
      </c>
      <c r="N86" s="128">
        <v>32.0</v>
      </c>
      <c r="O86" s="130">
        <v>2.2</v>
      </c>
      <c r="P86" s="122"/>
      <c r="Q86" s="152">
        <v>32.0</v>
      </c>
      <c r="R86" s="130">
        <v>0.15</v>
      </c>
      <c r="T86" s="128">
        <v>32.0</v>
      </c>
      <c r="U86" s="151">
        <v>2.533</v>
      </c>
      <c r="V86" s="122"/>
      <c r="W86" s="132">
        <v>32.0</v>
      </c>
      <c r="X86" s="130">
        <v>2.95</v>
      </c>
    </row>
    <row r="87" spans="8:8" ht="17.15">
      <c r="A87" s="115">
        <v>2220.0</v>
      </c>
      <c r="B87" s="115">
        <v>40.083</v>
      </c>
      <c r="C87" s="123">
        <f>MOD(C86+B87,168)</f>
        <v>48.624999999999886</v>
      </c>
      <c r="D87" s="117">
        <v>80.5</v>
      </c>
      <c r="E87" s="117">
        <f>MOD(E86+D87,360)</f>
        <v>238.05</v>
      </c>
      <c r="F87" s="116">
        <v>252.8</v>
      </c>
      <c r="G87" s="117">
        <f>MOD(G86+F87,360)</f>
        <v>118.8000000000016</v>
      </c>
      <c r="H87" s="116">
        <v>218.0</v>
      </c>
      <c r="I87" s="117">
        <f>MOD(I86+H87,360)</f>
        <v>340.217</v>
      </c>
      <c r="J87" s="115">
        <v>252.667</v>
      </c>
      <c r="K87" s="117">
        <f>MOD(K86+J87,360)</f>
        <v>5.857000000002131</v>
      </c>
      <c r="N87" s="128">
        <v>33.0</v>
      </c>
      <c r="O87" s="130">
        <v>2.2</v>
      </c>
      <c r="P87" s="122"/>
      <c r="Q87" s="152">
        <v>33.0</v>
      </c>
      <c r="R87" s="130">
        <v>0.167</v>
      </c>
      <c r="T87" s="128">
        <v>33.0</v>
      </c>
      <c r="U87" s="151">
        <v>2.467</v>
      </c>
      <c r="V87" s="122"/>
      <c r="W87" s="132">
        <v>33.0</v>
      </c>
      <c r="X87" s="130">
        <v>2.967</v>
      </c>
    </row>
    <row r="88" spans="8:8" ht="17.15">
      <c r="A88" s="115">
        <v>2230.0</v>
      </c>
      <c r="B88" s="115">
        <v>40.083</v>
      </c>
      <c r="C88" s="123">
        <f>MOD(C87+B88,168)</f>
        <v>88.70799999999988</v>
      </c>
      <c r="D88" s="117">
        <v>80.5</v>
      </c>
      <c r="E88" s="117">
        <f>MOD(E87+D88,360)</f>
        <v>318.55</v>
      </c>
      <c r="F88" s="116">
        <v>252.8</v>
      </c>
      <c r="G88" s="117">
        <f>MOD(G87+F88,360)</f>
        <v>11.600000000001614</v>
      </c>
      <c r="H88" s="116">
        <v>218.0</v>
      </c>
      <c r="I88" s="117">
        <f>MOD(I87+H88,360)</f>
        <v>198.21699999999998</v>
      </c>
      <c r="J88" s="115">
        <v>252.667</v>
      </c>
      <c r="K88" s="117">
        <f>MOD(K87+J88,360)</f>
        <v>258.52400000000216</v>
      </c>
      <c r="N88" s="128">
        <v>34.0</v>
      </c>
      <c r="O88" s="130">
        <v>2.2</v>
      </c>
      <c r="P88" s="122"/>
      <c r="Q88" s="152">
        <v>34.0</v>
      </c>
      <c r="R88" s="130">
        <v>0.167</v>
      </c>
      <c r="T88" s="128">
        <v>34.0</v>
      </c>
      <c r="U88" s="151">
        <v>2.4</v>
      </c>
      <c r="V88" s="122"/>
      <c r="W88" s="132">
        <v>34.0</v>
      </c>
      <c r="X88" s="130">
        <v>2.983</v>
      </c>
    </row>
    <row r="89" spans="8:8" ht="17.15">
      <c r="A89" s="115">
        <v>2240.0</v>
      </c>
      <c r="B89" s="115">
        <v>40.083</v>
      </c>
      <c r="C89" s="123">
        <f>MOD(C88+B89,168)</f>
        <v>128.79099999999988</v>
      </c>
      <c r="D89" s="117">
        <v>80.5</v>
      </c>
      <c r="E89" s="117">
        <f>MOD(E88+D89,360)</f>
        <v>39.05000000000001</v>
      </c>
      <c r="F89" s="116">
        <v>252.8</v>
      </c>
      <c r="G89" s="117">
        <f>MOD(G88+F89,360)</f>
        <v>264.4000000000016</v>
      </c>
      <c r="H89" s="116">
        <v>218.0</v>
      </c>
      <c r="I89" s="117">
        <f>MOD(I88+H89,360)</f>
        <v>56.216999999999985</v>
      </c>
      <c r="J89" s="115">
        <v>252.667</v>
      </c>
      <c r="K89" s="117">
        <f>MOD(K88+J89,360)</f>
        <v>151.1910000000022</v>
      </c>
      <c r="N89" s="128">
        <v>35.0</v>
      </c>
      <c r="O89" s="130">
        <v>2.2</v>
      </c>
      <c r="P89" s="122"/>
      <c r="Q89" s="152">
        <v>35.0</v>
      </c>
      <c r="R89" s="130">
        <v>0.167</v>
      </c>
      <c r="T89" s="128">
        <v>35.0</v>
      </c>
      <c r="U89" s="151">
        <v>2.333</v>
      </c>
      <c r="V89" s="122"/>
      <c r="W89" s="132">
        <v>35.0</v>
      </c>
      <c r="X89" s="130">
        <v>3.017</v>
      </c>
    </row>
    <row r="90" spans="8:8" ht="17.15">
      <c r="A90" s="115">
        <v>2250.0</v>
      </c>
      <c r="B90" s="115">
        <v>40.083</v>
      </c>
      <c r="C90" s="123">
        <f>MOD(C89+B90,168)</f>
        <v>0.8739999999998815</v>
      </c>
      <c r="D90" s="117">
        <v>80.5</v>
      </c>
      <c r="E90" s="117">
        <f>MOD(E89+D90,360)</f>
        <v>119.55000000000001</v>
      </c>
      <c r="F90" s="116">
        <v>252.8</v>
      </c>
      <c r="G90" s="117">
        <f>MOD(G89+F90,360)</f>
        <v>157.20000000000164</v>
      </c>
      <c r="H90" s="116">
        <v>218.0</v>
      </c>
      <c r="I90" s="117">
        <f>MOD(I89+H90,360)</f>
        <v>274.217</v>
      </c>
      <c r="J90" s="115">
        <v>252.667</v>
      </c>
      <c r="K90" s="117">
        <f>MOD(K89+J90,360)</f>
        <v>43.85800000000222</v>
      </c>
      <c r="N90" s="128">
        <v>36.0</v>
      </c>
      <c r="O90" s="130">
        <v>2.2</v>
      </c>
      <c r="P90" s="122"/>
      <c r="Q90" s="152">
        <v>36.0</v>
      </c>
      <c r="R90" s="130">
        <v>0.167</v>
      </c>
      <c r="T90" s="128">
        <v>36.0</v>
      </c>
      <c r="U90" s="151">
        <v>2.25</v>
      </c>
      <c r="V90" s="122"/>
      <c r="W90" s="132">
        <v>36.0</v>
      </c>
      <c r="X90" s="130">
        <v>3.05</v>
      </c>
    </row>
    <row r="91" spans="8:8" ht="17.15">
      <c r="A91" s="115">
        <v>2260.0</v>
      </c>
      <c r="B91" s="115">
        <v>40.083</v>
      </c>
      <c r="C91" s="123">
        <f>MOD(C90+B91,168)</f>
        <v>40.95699999999988</v>
      </c>
      <c r="D91" s="117">
        <v>80.5</v>
      </c>
      <c r="E91" s="117">
        <f>MOD(E90+D91,360)</f>
        <v>200.05</v>
      </c>
      <c r="F91" s="116">
        <v>252.8</v>
      </c>
      <c r="G91" s="117">
        <f>MOD(G90+F91,360)</f>
        <v>50.00000000000165</v>
      </c>
      <c r="H91" s="116">
        <v>218.0</v>
      </c>
      <c r="I91" s="117">
        <f>MOD(I90+H91,360)</f>
        <v>132.21699999999998</v>
      </c>
      <c r="J91" s="115">
        <v>252.667</v>
      </c>
      <c r="K91" s="117">
        <f>MOD(K90+J91,360)</f>
        <v>296.52500000000225</v>
      </c>
      <c r="N91" s="128">
        <v>37.0</v>
      </c>
      <c r="O91" s="130">
        <v>2.2</v>
      </c>
      <c r="P91" s="122"/>
      <c r="Q91" s="152">
        <v>37.0</v>
      </c>
      <c r="R91" s="130">
        <v>0.167</v>
      </c>
      <c r="T91" s="128">
        <v>37.0</v>
      </c>
      <c r="U91" s="151">
        <v>2.183</v>
      </c>
      <c r="V91" s="122"/>
      <c r="W91" s="132">
        <v>37.0</v>
      </c>
      <c r="X91" s="130">
        <v>3.083</v>
      </c>
    </row>
    <row r="92" spans="8:8" ht="17.15">
      <c r="A92" s="115">
        <v>2270.0</v>
      </c>
      <c r="B92" s="115">
        <v>40.083</v>
      </c>
      <c r="C92" s="123">
        <f>MOD(C91+B92,168)</f>
        <v>81.03999999999988</v>
      </c>
      <c r="D92" s="117">
        <v>80.5</v>
      </c>
      <c r="E92" s="117">
        <f>MOD(E91+D92,360)</f>
        <v>280.55</v>
      </c>
      <c r="F92" s="116">
        <v>252.8</v>
      </c>
      <c r="G92" s="117">
        <f>MOD(G91+F92,360)</f>
        <v>302.80000000000166</v>
      </c>
      <c r="H92" s="116">
        <v>218.0</v>
      </c>
      <c r="I92" s="117">
        <f>MOD(I91+H92,360)</f>
        <v>350.217</v>
      </c>
      <c r="J92" s="115">
        <v>252.667</v>
      </c>
      <c r="K92" s="117">
        <f>MOD(K91+J92,360)</f>
        <v>189.19200000000228</v>
      </c>
      <c r="N92" s="128">
        <v>38.0</v>
      </c>
      <c r="O92" s="130">
        <v>2.183</v>
      </c>
      <c r="P92" s="122"/>
      <c r="Q92" s="152">
        <v>38.0</v>
      </c>
      <c r="R92" s="130">
        <v>0.167</v>
      </c>
      <c r="T92" s="128">
        <v>38.0</v>
      </c>
      <c r="U92" s="151">
        <v>2.117</v>
      </c>
      <c r="V92" s="122"/>
      <c r="W92" s="132">
        <v>38.0</v>
      </c>
      <c r="X92" s="130">
        <v>3.117</v>
      </c>
    </row>
    <row r="93" spans="8:8" ht="17.15">
      <c r="A93" s="115">
        <v>2280.0</v>
      </c>
      <c r="B93" s="115">
        <v>40.083</v>
      </c>
      <c r="C93" s="123">
        <f>MOD(C92+B93,168)</f>
        <v>121.12299999999988</v>
      </c>
      <c r="D93" s="117">
        <v>80.5</v>
      </c>
      <c r="E93" s="117">
        <f>MOD(E92+D93,360)</f>
        <v>1.0500000000000114</v>
      </c>
      <c r="F93" s="116">
        <v>252.8</v>
      </c>
      <c r="G93" s="117">
        <f>MOD(G92+F93,360)</f>
        <v>195.60000000000173</v>
      </c>
      <c r="H93" s="116">
        <v>218.0</v>
      </c>
      <c r="I93" s="117">
        <f>MOD(I92+H93,360)</f>
        <v>208.21699999999998</v>
      </c>
      <c r="J93" s="115">
        <v>252.667</v>
      </c>
      <c r="K93" s="117">
        <f>MOD(K92+J93,360)</f>
        <v>81.85900000000231</v>
      </c>
      <c r="N93" s="128">
        <v>39.0</v>
      </c>
      <c r="O93" s="130">
        <v>2.183</v>
      </c>
      <c r="P93" s="122"/>
      <c r="Q93" s="152">
        <v>39.0</v>
      </c>
      <c r="R93" s="130">
        <v>0.167</v>
      </c>
      <c r="T93" s="128">
        <v>39.0</v>
      </c>
      <c r="U93" s="151">
        <v>2.05</v>
      </c>
      <c r="V93" s="122"/>
      <c r="W93" s="132">
        <v>39.0</v>
      </c>
      <c r="X93" s="130">
        <v>3.133</v>
      </c>
    </row>
    <row r="94" spans="8:8" ht="17.15">
      <c r="A94" s="115">
        <v>2290.0</v>
      </c>
      <c r="B94" s="115">
        <v>40.083</v>
      </c>
      <c r="C94" s="123">
        <f>MOD(C93+B94,168)</f>
        <v>161.20599999999988</v>
      </c>
      <c r="D94" s="117">
        <v>80.5</v>
      </c>
      <c r="E94" s="117">
        <f>MOD(E93+D94,360)</f>
        <v>81.55000000000001</v>
      </c>
      <c r="F94" s="116">
        <v>252.8</v>
      </c>
      <c r="G94" s="117">
        <f>MOD(G93+F94,360)</f>
        <v>88.40000000000174</v>
      </c>
      <c r="H94" s="116">
        <v>218.0</v>
      </c>
      <c r="I94" s="117">
        <f>MOD(I93+H94,360)</f>
        <v>66.21699999999998</v>
      </c>
      <c r="J94" s="115">
        <v>252.667</v>
      </c>
      <c r="K94" s="117">
        <f>MOD(K93+J94,360)</f>
        <v>334.52600000000234</v>
      </c>
      <c r="N94" s="128">
        <v>40.0</v>
      </c>
      <c r="O94" s="130">
        <v>2.183</v>
      </c>
      <c r="P94" s="122"/>
      <c r="Q94" s="152">
        <v>40.0</v>
      </c>
      <c r="R94" s="130">
        <v>0.167</v>
      </c>
      <c r="T94" s="128">
        <v>40.0</v>
      </c>
      <c r="U94" s="151">
        <v>1.983</v>
      </c>
      <c r="V94" s="122"/>
      <c r="W94" s="132">
        <v>40.0</v>
      </c>
      <c r="X94" s="130">
        <v>3.15</v>
      </c>
    </row>
    <row r="95" spans="8:8" ht="17.15">
      <c r="A95" s="115">
        <v>2300.0</v>
      </c>
      <c r="B95" s="115">
        <v>40.083</v>
      </c>
      <c r="C95" s="123">
        <f>MOD(C94+B95,168)</f>
        <v>33.288999999999874</v>
      </c>
      <c r="D95" s="117">
        <v>80.5</v>
      </c>
      <c r="E95" s="117">
        <f>MOD(E94+D95,360)</f>
        <v>162.05</v>
      </c>
      <c r="F95" s="116">
        <v>252.8</v>
      </c>
      <c r="G95" s="117">
        <f>MOD(G94+F95,360)</f>
        <v>341.20000000000175</v>
      </c>
      <c r="H95" s="116">
        <v>218.0</v>
      </c>
      <c r="I95" s="117">
        <f>MOD(I94+H95,360)</f>
        <v>284.217</v>
      </c>
      <c r="J95" s="115">
        <v>252.667</v>
      </c>
      <c r="K95" s="117">
        <f>MOD(K94+J95,360)</f>
        <v>227.19300000000237</v>
      </c>
      <c r="N95" s="128">
        <v>41.0</v>
      </c>
      <c r="O95" s="130">
        <v>2.183</v>
      </c>
      <c r="P95" s="122"/>
      <c r="Q95" s="152">
        <v>41.0</v>
      </c>
      <c r="R95" s="130">
        <v>0.167</v>
      </c>
      <c r="T95" s="128">
        <v>41.0</v>
      </c>
      <c r="U95" s="151">
        <v>1.917</v>
      </c>
      <c r="V95" s="122"/>
      <c r="W95" s="132">
        <v>41.0</v>
      </c>
      <c r="X95" s="130">
        <v>3.167</v>
      </c>
    </row>
    <row r="96" spans="8:8" ht="17.15">
      <c r="A96" s="115">
        <v>2310.0</v>
      </c>
      <c r="B96" s="115">
        <v>40.083</v>
      </c>
      <c r="C96" s="123">
        <f>MOD(C95+B96,168)</f>
        <v>73.37199999999987</v>
      </c>
      <c r="D96" s="117">
        <v>80.5</v>
      </c>
      <c r="E96" s="117">
        <f>MOD(E95+D96,360)</f>
        <v>242.55</v>
      </c>
      <c r="F96" s="116">
        <v>252.8</v>
      </c>
      <c r="G96" s="117">
        <f>MOD(G95+F96,360)</f>
        <v>234.00000000000182</v>
      </c>
      <c r="H96" s="116">
        <v>218.0</v>
      </c>
      <c r="I96" s="117">
        <f>MOD(I95+H96,360)</f>
        <v>142.21699999999998</v>
      </c>
      <c r="J96" s="115">
        <v>252.667</v>
      </c>
      <c r="K96" s="117">
        <f>MOD(K95+J96,360)</f>
        <v>119.8600000000024</v>
      </c>
      <c r="N96" s="128">
        <v>42.0</v>
      </c>
      <c r="O96" s="130">
        <v>2.183</v>
      </c>
      <c r="P96" s="122"/>
      <c r="Q96" s="152">
        <v>42.0</v>
      </c>
      <c r="R96" s="130">
        <v>0.167</v>
      </c>
      <c r="T96" s="128">
        <v>42.0</v>
      </c>
      <c r="U96" s="151">
        <v>1.85</v>
      </c>
      <c r="V96" s="122"/>
      <c r="W96" s="132">
        <v>42.0</v>
      </c>
      <c r="X96" s="130">
        <v>3.2</v>
      </c>
    </row>
    <row r="97" spans="8:8" ht="17.15">
      <c r="A97" s="115">
        <v>2320.0</v>
      </c>
      <c r="B97" s="115">
        <v>40.083</v>
      </c>
      <c r="C97" s="123">
        <f>MOD(C96+B97,168)</f>
        <v>113.45499999999987</v>
      </c>
      <c r="D97" s="117">
        <v>80.5</v>
      </c>
      <c r="E97" s="117">
        <f>MOD(E96+D97,360)</f>
        <v>323.05</v>
      </c>
      <c r="F97" s="116">
        <v>252.8</v>
      </c>
      <c r="G97" s="117">
        <f>MOD(G96+F97,360)</f>
        <v>126.80000000000183</v>
      </c>
      <c r="H97" s="116">
        <v>218.0</v>
      </c>
      <c r="I97" s="117">
        <f>MOD(I96+H97,360)</f>
        <v>0.21699999999998454</v>
      </c>
      <c r="J97" s="115">
        <v>252.667</v>
      </c>
      <c r="K97" s="117">
        <f>MOD(K96+J97,360)</f>
        <v>12.527000000002431</v>
      </c>
      <c r="N97" s="128">
        <v>43.0</v>
      </c>
      <c r="O97" s="130">
        <v>2.167</v>
      </c>
      <c r="P97" s="122"/>
      <c r="Q97" s="152">
        <v>43.0</v>
      </c>
      <c r="R97" s="130">
        <v>0.183</v>
      </c>
      <c r="T97" s="128">
        <v>43.0</v>
      </c>
      <c r="U97" s="151">
        <v>1.783</v>
      </c>
      <c r="V97" s="122"/>
      <c r="W97" s="132">
        <v>43.0</v>
      </c>
      <c r="X97" s="130">
        <v>3.217</v>
      </c>
    </row>
    <row r="98" spans="8:8" ht="17.15">
      <c r="A98" s="115">
        <v>2330.0</v>
      </c>
      <c r="B98" s="115">
        <v>40.083</v>
      </c>
      <c r="C98" s="123">
        <f>MOD(C97+B98,168)</f>
        <v>153.53799999999987</v>
      </c>
      <c r="D98" s="117">
        <v>80.5</v>
      </c>
      <c r="E98" s="117">
        <f>MOD(E97+D98,360)</f>
        <v>43.55000000000001</v>
      </c>
      <c r="F98" s="116">
        <v>252.8</v>
      </c>
      <c r="G98" s="117">
        <f>MOD(G97+F98,360)</f>
        <v>19.60000000000184</v>
      </c>
      <c r="H98" s="116">
        <v>218.0</v>
      </c>
      <c r="I98" s="117">
        <f>MOD(I97+H98,360)</f>
        <v>218.21699999999998</v>
      </c>
      <c r="J98" s="115">
        <v>252.667</v>
      </c>
      <c r="K98" s="117">
        <f>MOD(K97+J98,360)</f>
        <v>265.19400000000246</v>
      </c>
      <c r="N98" s="128">
        <v>44.0</v>
      </c>
      <c r="O98" s="130">
        <v>2.167</v>
      </c>
      <c r="P98" s="122"/>
      <c r="Q98" s="152">
        <v>44.0</v>
      </c>
      <c r="R98" s="130">
        <v>0.183</v>
      </c>
      <c r="T98" s="128">
        <v>44.0</v>
      </c>
      <c r="U98" s="151">
        <v>1.717</v>
      </c>
      <c r="V98" s="122"/>
      <c r="W98" s="132">
        <v>44.0</v>
      </c>
      <c r="X98" s="130">
        <v>3.25</v>
      </c>
    </row>
    <row r="99" spans="8:8" ht="17.15">
      <c r="A99" s="115">
        <v>2340.0</v>
      </c>
      <c r="B99" s="115">
        <v>40.083</v>
      </c>
      <c r="C99" s="123">
        <f>MOD(C98+B99,168)</f>
        <v>25.620999999999867</v>
      </c>
      <c r="D99" s="117">
        <v>80.5</v>
      </c>
      <c r="E99" s="117">
        <f>MOD(E98+D99,360)</f>
        <v>124.05000000000001</v>
      </c>
      <c r="F99" s="116">
        <v>252.8</v>
      </c>
      <c r="G99" s="117">
        <f>MOD(G98+F99,360)</f>
        <v>272.40000000000185</v>
      </c>
      <c r="H99" s="116">
        <v>218.0</v>
      </c>
      <c r="I99" s="117">
        <f>MOD(I98+H99,360)</f>
        <v>76.21699999999998</v>
      </c>
      <c r="J99" s="115">
        <v>252.667</v>
      </c>
      <c r="K99" s="117">
        <f>MOD(K98+J99,360)</f>
        <v>157.8610000000025</v>
      </c>
      <c r="N99" s="128">
        <v>45.0</v>
      </c>
      <c r="O99" s="130">
        <v>2.167</v>
      </c>
      <c r="P99" s="122"/>
      <c r="Q99" s="152">
        <v>45.0</v>
      </c>
      <c r="R99" s="130">
        <v>0.183</v>
      </c>
      <c r="T99" s="128">
        <v>45.0</v>
      </c>
      <c r="U99" s="151">
        <v>1.667</v>
      </c>
      <c r="V99" s="122"/>
      <c r="W99" s="132">
        <v>45.0</v>
      </c>
      <c r="X99" s="130">
        <v>3.267</v>
      </c>
    </row>
    <row r="100" spans="8:8" ht="17.15">
      <c r="A100" s="115">
        <v>2350.0</v>
      </c>
      <c r="B100" s="115">
        <v>40.083</v>
      </c>
      <c r="C100" s="123">
        <f>MOD(C99+B100,168)</f>
        <v>65.70399999999987</v>
      </c>
      <c r="D100" s="117">
        <v>80.5</v>
      </c>
      <c r="E100" s="117">
        <f>MOD(E99+D100,360)</f>
        <v>204.55</v>
      </c>
      <c r="F100" s="116">
        <v>252.8</v>
      </c>
      <c r="G100" s="117">
        <f>MOD(G99+F100,360)</f>
        <v>165.20000000000186</v>
      </c>
      <c r="H100" s="116">
        <v>218.0</v>
      </c>
      <c r="I100" s="117">
        <f>MOD(I99+H100,360)</f>
        <v>294.217</v>
      </c>
      <c r="J100" s="115">
        <v>252.667</v>
      </c>
      <c r="K100" s="117">
        <f>MOD(K99+J100,360)</f>
        <v>50.52800000000252</v>
      </c>
      <c r="N100" s="128">
        <v>46.0</v>
      </c>
      <c r="O100" s="130">
        <v>2.167</v>
      </c>
      <c r="P100" s="122"/>
      <c r="Q100" s="152">
        <v>46.0</v>
      </c>
      <c r="R100" s="130">
        <v>0.183</v>
      </c>
      <c r="T100" s="128">
        <v>46.0</v>
      </c>
      <c r="U100" s="151">
        <v>1.6</v>
      </c>
      <c r="V100" s="122"/>
      <c r="W100" s="132">
        <v>46.0</v>
      </c>
      <c r="X100" s="130">
        <v>3.283</v>
      </c>
    </row>
    <row r="101" spans="8:8" ht="17.15">
      <c r="A101" s="115">
        <v>2360.0</v>
      </c>
      <c r="B101" s="115">
        <v>40.083</v>
      </c>
      <c r="C101" s="123">
        <f>MOD(C100+B101,168)</f>
        <v>105.78699999999986</v>
      </c>
      <c r="D101" s="117">
        <v>80.5</v>
      </c>
      <c r="E101" s="117">
        <f>MOD(E100+D101,360)</f>
        <v>285.05</v>
      </c>
      <c r="F101" s="116">
        <v>252.8</v>
      </c>
      <c r="G101" s="117">
        <f>MOD(G100+F101,360)</f>
        <v>58.000000000001876</v>
      </c>
      <c r="H101" s="116">
        <v>218.0</v>
      </c>
      <c r="I101" s="117">
        <f>MOD(I100+H101,360)</f>
        <v>152.21699999999998</v>
      </c>
      <c r="J101" s="115">
        <v>252.667</v>
      </c>
      <c r="K101" s="117">
        <f>MOD(K100+J101,360)</f>
        <v>303.19500000000255</v>
      </c>
      <c r="N101" s="128">
        <v>47.0</v>
      </c>
      <c r="O101" s="130">
        <v>2.167</v>
      </c>
      <c r="P101" s="122"/>
      <c r="Q101" s="152">
        <v>47.0</v>
      </c>
      <c r="R101" s="130">
        <v>0.183</v>
      </c>
      <c r="T101" s="128">
        <v>47.0</v>
      </c>
      <c r="U101" s="151">
        <v>1.55</v>
      </c>
      <c r="V101" s="122"/>
      <c r="W101" s="132">
        <v>47.0</v>
      </c>
      <c r="X101" s="130">
        <v>3.317</v>
      </c>
    </row>
    <row r="102" spans="8:8" ht="17.15">
      <c r="A102" s="115">
        <v>2370.0</v>
      </c>
      <c r="B102" s="115">
        <v>40.083</v>
      </c>
      <c r="C102" s="123">
        <f>MOD(C101+B102,168)</f>
        <v>145.86999999999986</v>
      </c>
      <c r="D102" s="117">
        <v>80.5</v>
      </c>
      <c r="E102" s="117">
        <f>MOD(E101+D102,360)</f>
        <v>5.550000000000011</v>
      </c>
      <c r="F102" s="116">
        <v>252.8</v>
      </c>
      <c r="G102" s="117">
        <f>MOD(G101+F102,360)</f>
        <v>310.8000000000019</v>
      </c>
      <c r="H102" s="116">
        <v>218.0</v>
      </c>
      <c r="I102" s="117">
        <f>MOD(I101+H102,360)</f>
        <v>10.216999999999985</v>
      </c>
      <c r="J102" s="115">
        <v>252.667</v>
      </c>
      <c r="K102" s="117">
        <f>MOD(K101+J102,360)</f>
        <v>195.86200000000258</v>
      </c>
      <c r="N102" s="128">
        <v>48.0</v>
      </c>
      <c r="O102" s="130">
        <v>2.167</v>
      </c>
      <c r="P102" s="122"/>
      <c r="Q102" s="152">
        <v>48.0</v>
      </c>
      <c r="R102" s="130">
        <v>0.183</v>
      </c>
      <c r="T102" s="128">
        <v>48.0</v>
      </c>
      <c r="U102" s="151">
        <v>1.483</v>
      </c>
      <c r="V102" s="122"/>
      <c r="W102" s="132">
        <v>48.0</v>
      </c>
      <c r="X102" s="130">
        <v>3.333</v>
      </c>
    </row>
    <row r="103" spans="8:8" ht="17.15">
      <c r="A103" s="115">
        <v>2380.0</v>
      </c>
      <c r="B103" s="115">
        <v>40.083</v>
      </c>
      <c r="C103" s="123">
        <f>MOD(C102+B103,168)</f>
        <v>17.95299999999986</v>
      </c>
      <c r="D103" s="117">
        <v>80.5</v>
      </c>
      <c r="E103" s="117">
        <f>MOD(E102+D103,360)</f>
        <v>86.05000000000001</v>
      </c>
      <c r="F103" s="116">
        <v>252.8</v>
      </c>
      <c r="G103" s="117">
        <f>MOD(G102+F103,360)</f>
        <v>203.60000000000196</v>
      </c>
      <c r="H103" s="116">
        <v>218.0</v>
      </c>
      <c r="I103" s="117">
        <f>MOD(I102+H103,360)</f>
        <v>228.21699999999998</v>
      </c>
      <c r="J103" s="115">
        <v>252.667</v>
      </c>
      <c r="K103" s="117">
        <f>MOD(K102+J103,360)</f>
        <v>88.52900000000261</v>
      </c>
      <c r="N103" s="128">
        <v>49.0</v>
      </c>
      <c r="O103" s="130">
        <v>2.167</v>
      </c>
      <c r="P103" s="122"/>
      <c r="Q103" s="152">
        <v>49.0</v>
      </c>
      <c r="R103" s="130">
        <v>0.183</v>
      </c>
      <c r="T103" s="128">
        <v>49.0</v>
      </c>
      <c r="U103" s="151">
        <v>1.433</v>
      </c>
      <c r="V103" s="122"/>
      <c r="W103" s="132">
        <v>49.0</v>
      </c>
      <c r="X103" s="130">
        <v>3.35</v>
      </c>
    </row>
    <row r="104" spans="8:8" ht="17.15">
      <c r="A104" s="115">
        <v>2390.0</v>
      </c>
      <c r="B104" s="115">
        <v>40.083</v>
      </c>
      <c r="C104" s="123">
        <f>MOD(C103+B104,168)</f>
        <v>58.03599999999986</v>
      </c>
      <c r="D104" s="117">
        <v>80.5</v>
      </c>
      <c r="E104" s="117">
        <f>MOD(E103+D104,360)</f>
        <v>166.55</v>
      </c>
      <c r="F104" s="116">
        <v>252.8</v>
      </c>
      <c r="G104" s="117">
        <f>MOD(G103+F104,360)</f>
        <v>96.40000000000197</v>
      </c>
      <c r="H104" s="116">
        <v>218.0</v>
      </c>
      <c r="I104" s="117">
        <f>MOD(I103+H104,360)</f>
        <v>86.21699999999998</v>
      </c>
      <c r="J104" s="115">
        <v>252.667</v>
      </c>
      <c r="K104" s="117">
        <f>MOD(K103+J104,360)</f>
        <v>341.19600000000264</v>
      </c>
      <c r="N104" s="128">
        <v>50.0</v>
      </c>
      <c r="O104" s="130">
        <v>2.167</v>
      </c>
      <c r="P104" s="122"/>
      <c r="Q104" s="152">
        <v>50.0</v>
      </c>
      <c r="R104" s="130">
        <v>0.183</v>
      </c>
      <c r="T104" s="128">
        <v>50.0</v>
      </c>
      <c r="U104" s="151">
        <v>1.383</v>
      </c>
      <c r="V104" s="122"/>
      <c r="W104" s="132">
        <v>50.0</v>
      </c>
      <c r="X104" s="130">
        <v>3.383</v>
      </c>
    </row>
    <row r="105" spans="8:8" ht="17.15">
      <c r="A105" s="115">
        <v>2400.0</v>
      </c>
      <c r="B105" s="115">
        <v>40.083</v>
      </c>
      <c r="C105" s="123">
        <f>MOD(C104+B105,168)</f>
        <v>98.11899999999986</v>
      </c>
      <c r="D105" s="117">
        <v>80.5</v>
      </c>
      <c r="E105" s="117">
        <f>MOD(E104+D105,360)</f>
        <v>247.05</v>
      </c>
      <c r="F105" s="116">
        <v>252.8</v>
      </c>
      <c r="G105" s="117">
        <f>MOD(G104+F105,360)</f>
        <v>349.200000000002</v>
      </c>
      <c r="H105" s="116">
        <v>218.0</v>
      </c>
      <c r="I105" s="117">
        <f>MOD(I104+H105,360)</f>
        <v>304.217</v>
      </c>
      <c r="J105" s="115">
        <v>252.667</v>
      </c>
      <c r="K105" s="117">
        <f>MOD(K104+J105,360)</f>
        <v>233.86300000000267</v>
      </c>
      <c r="N105" s="128">
        <v>51.0</v>
      </c>
      <c r="O105" s="130">
        <v>2.167</v>
      </c>
      <c r="P105" s="122"/>
      <c r="Q105" s="152">
        <v>51.0</v>
      </c>
      <c r="R105" s="130">
        <v>0.183</v>
      </c>
      <c r="T105" s="128">
        <v>51.0</v>
      </c>
      <c r="U105" s="151">
        <v>1.317</v>
      </c>
      <c r="V105" s="122"/>
      <c r="W105" s="132">
        <v>51.0</v>
      </c>
      <c r="X105" s="130">
        <v>3.4</v>
      </c>
    </row>
    <row r="106" spans="8:8" ht="17.15">
      <c r="A106" s="115">
        <v>2410.0</v>
      </c>
      <c r="B106" s="115">
        <v>40.083</v>
      </c>
      <c r="C106" s="123">
        <f>MOD(C105+B106,168)</f>
        <v>138.20199999999986</v>
      </c>
      <c r="D106" s="117">
        <v>80.5</v>
      </c>
      <c r="E106" s="117">
        <f>MOD(E105+D106,360)</f>
        <v>327.55</v>
      </c>
      <c r="F106" s="116">
        <v>252.8</v>
      </c>
      <c r="G106" s="117">
        <f>MOD(G105+F106,360)</f>
        <v>242.00000000000205</v>
      </c>
      <c r="H106" s="116">
        <v>218.0</v>
      </c>
      <c r="I106" s="117">
        <f>MOD(I105+H106,360)</f>
        <v>162.21699999999998</v>
      </c>
      <c r="J106" s="115">
        <v>252.667</v>
      </c>
      <c r="K106" s="117">
        <f>MOD(K105+J106,360)</f>
        <v>126.5300000000027</v>
      </c>
      <c r="N106" s="128">
        <v>52.0</v>
      </c>
      <c r="O106" s="130">
        <v>2.167</v>
      </c>
      <c r="P106" s="122"/>
      <c r="Q106" s="152">
        <v>52.0</v>
      </c>
      <c r="R106" s="130">
        <v>0.183</v>
      </c>
      <c r="T106" s="128">
        <v>52.0</v>
      </c>
      <c r="U106" s="151">
        <v>1.267</v>
      </c>
      <c r="V106" s="122"/>
      <c r="W106" s="132">
        <v>52.0</v>
      </c>
      <c r="X106" s="130">
        <v>3.433</v>
      </c>
    </row>
    <row r="107" spans="8:8" ht="17.15">
      <c r="A107" s="115">
        <v>2420.0</v>
      </c>
      <c r="B107" s="115">
        <v>40.083</v>
      </c>
      <c r="C107" s="123">
        <f>MOD(C106+B107,168)</f>
        <v>10.284999999999854</v>
      </c>
      <c r="D107" s="117">
        <v>80.5</v>
      </c>
      <c r="E107" s="117">
        <f>MOD(E106+D107,360)</f>
        <v>48.05000000000001</v>
      </c>
      <c r="F107" s="116">
        <v>252.8</v>
      </c>
      <c r="G107" s="117">
        <f>MOD(G106+F107,360)</f>
        <v>134.80000000000206</v>
      </c>
      <c r="H107" s="116">
        <v>218.0</v>
      </c>
      <c r="I107" s="117">
        <f>MOD(I106+H107,360)</f>
        <v>20.216999999999985</v>
      </c>
      <c r="J107" s="115">
        <v>252.667</v>
      </c>
      <c r="K107" s="117">
        <f>MOD(K106+J107,360)</f>
        <v>19.19700000000273</v>
      </c>
      <c r="N107" s="128">
        <v>53.0</v>
      </c>
      <c r="O107" s="130">
        <v>2.167</v>
      </c>
      <c r="P107" s="122"/>
      <c r="Q107" s="152">
        <v>53.0</v>
      </c>
      <c r="R107" s="130">
        <v>0.183</v>
      </c>
      <c r="T107" s="128">
        <v>53.0</v>
      </c>
      <c r="U107" s="151">
        <v>1.217</v>
      </c>
      <c r="V107" s="122"/>
      <c r="W107" s="132">
        <v>53.0</v>
      </c>
      <c r="X107" s="130">
        <v>3.45</v>
      </c>
    </row>
    <row r="108" spans="8:8" ht="17.15">
      <c r="A108" s="115">
        <v>2430.0</v>
      </c>
      <c r="B108" s="115">
        <v>40.083</v>
      </c>
      <c r="C108" s="123">
        <f>MOD(C107+B108,168)</f>
        <v>50.36799999999985</v>
      </c>
      <c r="D108" s="117">
        <v>80.5</v>
      </c>
      <c r="E108" s="117">
        <f>MOD(E107+D108,360)</f>
        <v>128.55</v>
      </c>
      <c r="F108" s="116">
        <v>252.8</v>
      </c>
      <c r="G108" s="117">
        <f>MOD(G107+F108,360)</f>
        <v>27.60000000000207</v>
      </c>
      <c r="H108" s="116">
        <v>218.0</v>
      </c>
      <c r="I108" s="117">
        <f>MOD(I107+H108,360)</f>
        <v>238.21699999999998</v>
      </c>
      <c r="J108" s="115">
        <v>252.667</v>
      </c>
      <c r="K108" s="117">
        <f>MOD(K107+J108,360)</f>
        <v>271.86400000000276</v>
      </c>
      <c r="N108" s="128">
        <v>54.0</v>
      </c>
      <c r="O108" s="130">
        <v>2.167</v>
      </c>
      <c r="P108" s="122"/>
      <c r="Q108" s="152">
        <v>54.0</v>
      </c>
      <c r="R108" s="130">
        <v>0.183</v>
      </c>
      <c r="T108" s="128">
        <v>54.0</v>
      </c>
      <c r="U108" s="151">
        <v>1.167</v>
      </c>
      <c r="V108" s="122"/>
      <c r="W108" s="132">
        <v>54.0</v>
      </c>
      <c r="X108" s="130">
        <v>3.467</v>
      </c>
    </row>
    <row r="109" spans="8:8" ht="17.15">
      <c r="A109" s="115">
        <v>2440.0</v>
      </c>
      <c r="B109" s="115">
        <v>40.083</v>
      </c>
      <c r="C109" s="123">
        <f>MOD(C108+B109,168)</f>
        <v>90.45099999999985</v>
      </c>
      <c r="D109" s="117">
        <v>80.5</v>
      </c>
      <c r="E109" s="117">
        <f>MOD(E108+D109,360)</f>
        <v>209.05</v>
      </c>
      <c r="F109" s="116">
        <v>252.8</v>
      </c>
      <c r="G109" s="117">
        <f>MOD(G108+F109,360)</f>
        <v>280.4000000000021</v>
      </c>
      <c r="H109" s="116">
        <v>218.0</v>
      </c>
      <c r="I109" s="117">
        <f>MOD(I108+H109,360)</f>
        <v>96.21699999999998</v>
      </c>
      <c r="J109" s="115">
        <v>252.667</v>
      </c>
      <c r="K109" s="117">
        <f>MOD(K108+J109,360)</f>
        <v>164.5310000000028</v>
      </c>
      <c r="N109" s="128">
        <v>55.0</v>
      </c>
      <c r="O109" s="130">
        <v>2.167</v>
      </c>
      <c r="P109" s="122"/>
      <c r="Q109" s="152">
        <v>55.0</v>
      </c>
      <c r="R109" s="130">
        <v>0.183</v>
      </c>
      <c r="T109" s="128">
        <v>55.0</v>
      </c>
      <c r="U109" s="151">
        <v>1.117</v>
      </c>
      <c r="V109" s="122"/>
      <c r="W109" s="132">
        <v>55.0</v>
      </c>
      <c r="X109" s="130">
        <v>3.5</v>
      </c>
    </row>
    <row r="110" spans="8:8" ht="17.15">
      <c r="A110" s="115">
        <v>2450.0</v>
      </c>
      <c r="B110" s="115">
        <v>40.083</v>
      </c>
      <c r="C110" s="123">
        <f>MOD(C109+B110,168)</f>
        <v>130.53399999999985</v>
      </c>
      <c r="D110" s="117">
        <v>80.5</v>
      </c>
      <c r="E110" s="117">
        <f>MOD(E109+D110,360)</f>
        <v>289.55</v>
      </c>
      <c r="F110" s="116">
        <v>252.8</v>
      </c>
      <c r="G110" s="117">
        <f>MOD(G109+F110,360)</f>
        <v>173.2000000000021</v>
      </c>
      <c r="H110" s="116">
        <v>218.0</v>
      </c>
      <c r="I110" s="117">
        <f>MOD(I109+H110,360)</f>
        <v>314.217</v>
      </c>
      <c r="J110" s="115">
        <v>252.667</v>
      </c>
      <c r="K110" s="117">
        <f>MOD(K109+J110,360)</f>
        <v>57.19800000000282</v>
      </c>
      <c r="N110" s="128">
        <v>56.0</v>
      </c>
      <c r="O110" s="130">
        <v>2.167</v>
      </c>
      <c r="P110" s="122"/>
      <c r="Q110" s="152">
        <v>56.0</v>
      </c>
      <c r="R110" s="130">
        <v>0.183</v>
      </c>
      <c r="T110" s="128">
        <v>56.0</v>
      </c>
      <c r="U110" s="151">
        <v>1.067</v>
      </c>
      <c r="V110" s="122"/>
      <c r="W110" s="132">
        <v>56.0</v>
      </c>
      <c r="X110" s="130">
        <v>3.517</v>
      </c>
    </row>
    <row r="111" spans="8:8" ht="17.15">
      <c r="A111" s="115">
        <v>2460.0</v>
      </c>
      <c r="B111" s="115">
        <v>40.083</v>
      </c>
      <c r="C111" s="123">
        <f>MOD(C110+B111,168)</f>
        <v>2.616999999999848</v>
      </c>
      <c r="D111" s="117">
        <v>80.5</v>
      </c>
      <c r="E111" s="117">
        <f>MOD(E110+D111,360)</f>
        <v>10.050000000000011</v>
      </c>
      <c r="F111" s="116">
        <v>252.8</v>
      </c>
      <c r="G111" s="117">
        <f>MOD(G110+F111,360)</f>
        <v>66.0000000000021</v>
      </c>
      <c r="H111" s="116">
        <v>218.0</v>
      </c>
      <c r="I111" s="117">
        <f>MOD(I110+H111,360)</f>
        <v>172.21699999999998</v>
      </c>
      <c r="J111" s="115">
        <v>252.667</v>
      </c>
      <c r="K111" s="117">
        <f>MOD(K110+J111,360)</f>
        <v>309.86500000000285</v>
      </c>
      <c r="N111" s="128">
        <v>57.0</v>
      </c>
      <c r="O111" s="130">
        <v>2.167</v>
      </c>
      <c r="P111" s="122"/>
      <c r="Q111" s="152">
        <v>57.0</v>
      </c>
      <c r="R111" s="130">
        <v>0.183</v>
      </c>
      <c r="T111" s="128">
        <v>57.0</v>
      </c>
      <c r="U111" s="151">
        <v>1.017</v>
      </c>
      <c r="V111" s="122"/>
      <c r="W111" s="132">
        <v>57.0</v>
      </c>
      <c r="X111" s="130">
        <v>3.533</v>
      </c>
    </row>
    <row r="112" spans="8:8" ht="17.15">
      <c r="A112" s="115">
        <v>2470.0</v>
      </c>
      <c r="B112" s="115">
        <v>40.083</v>
      </c>
      <c r="C112" s="123">
        <f>MOD(C111+B112,168)</f>
        <v>42.69999999999985</v>
      </c>
      <c r="D112" s="117">
        <v>80.5</v>
      </c>
      <c r="E112" s="117">
        <f>MOD(E111+D112,360)</f>
        <v>90.55000000000001</v>
      </c>
      <c r="F112" s="116">
        <v>252.8</v>
      </c>
      <c r="G112" s="117">
        <f>MOD(G111+F112,360)</f>
        <v>318.8000000000021</v>
      </c>
      <c r="H112" s="116">
        <v>218.0</v>
      </c>
      <c r="I112" s="117">
        <f>MOD(I111+H112,360)</f>
        <v>30.216999999999985</v>
      </c>
      <c r="J112" s="115">
        <v>252.667</v>
      </c>
      <c r="K112" s="117">
        <f>MOD(K111+J112,360)</f>
        <v>202.53200000000288</v>
      </c>
      <c r="N112" s="128">
        <v>58.0</v>
      </c>
      <c r="O112" s="130">
        <v>2.15</v>
      </c>
      <c r="P112" s="122"/>
      <c r="Q112" s="152">
        <v>58.0</v>
      </c>
      <c r="R112" s="130">
        <v>0.183</v>
      </c>
      <c r="T112" s="128">
        <v>58.0</v>
      </c>
      <c r="U112" s="151">
        <v>0.967</v>
      </c>
      <c r="V112" s="122"/>
      <c r="W112" s="132">
        <v>58.0</v>
      </c>
      <c r="X112" s="130">
        <v>3.55</v>
      </c>
    </row>
    <row r="113" spans="8:8" ht="17.15">
      <c r="A113" s="115">
        <v>2480.0</v>
      </c>
      <c r="B113" s="115">
        <v>40.083</v>
      </c>
      <c r="C113" s="123">
        <f>MOD(C112+B113,168)</f>
        <v>82.78299999999984</v>
      </c>
      <c r="D113" s="117">
        <v>80.5</v>
      </c>
      <c r="E113" s="117">
        <f>MOD(E112+D113,360)</f>
        <v>171.05</v>
      </c>
      <c r="F113" s="116">
        <v>252.8</v>
      </c>
      <c r="G113" s="117">
        <f>MOD(G112+F113,360)</f>
        <v>211.60000000000218</v>
      </c>
      <c r="H113" s="116">
        <v>218.0</v>
      </c>
      <c r="I113" s="117">
        <f>MOD(I112+H113,360)</f>
        <v>248.21699999999998</v>
      </c>
      <c r="J113" s="115">
        <v>252.667</v>
      </c>
      <c r="K113" s="117">
        <f>MOD(K112+J113,360)</f>
        <v>95.19900000000291</v>
      </c>
      <c r="N113" s="128">
        <v>59.0</v>
      </c>
      <c r="O113" s="130">
        <v>2.15</v>
      </c>
      <c r="P113" s="122"/>
      <c r="Q113" s="152">
        <v>59.0</v>
      </c>
      <c r="R113" s="130">
        <v>0.183</v>
      </c>
      <c r="T113" s="128">
        <v>59.0</v>
      </c>
      <c r="U113" s="151">
        <v>0.917</v>
      </c>
      <c r="V113" s="122"/>
      <c r="W113" s="132">
        <v>59.0</v>
      </c>
      <c r="X113" s="130">
        <v>3.567</v>
      </c>
    </row>
    <row r="114" spans="8:8" ht="17.15">
      <c r="A114" s="115">
        <v>2490.0</v>
      </c>
      <c r="B114" s="115">
        <v>40.083</v>
      </c>
      <c r="C114" s="123">
        <f>MOD(C113+B114,168)</f>
        <v>122.86599999999984</v>
      </c>
      <c r="D114" s="117">
        <v>80.5</v>
      </c>
      <c r="E114" s="117">
        <f>MOD(E113+D114,360)</f>
        <v>251.55</v>
      </c>
      <c r="F114" s="116">
        <v>252.8</v>
      </c>
      <c r="G114" s="117">
        <f>MOD(G113+F114,360)</f>
        <v>104.4000000000022</v>
      </c>
      <c r="H114" s="116">
        <v>218.0</v>
      </c>
      <c r="I114" s="117">
        <f>MOD(I113+H114,360)</f>
        <v>106.21699999999998</v>
      </c>
      <c r="J114" s="115">
        <v>252.667</v>
      </c>
      <c r="K114" s="117">
        <f>MOD(K113+J114,360)</f>
        <v>347.86600000000294</v>
      </c>
      <c r="N114" s="128">
        <v>60.0</v>
      </c>
      <c r="O114" s="130">
        <v>2.15</v>
      </c>
      <c r="P114" s="122"/>
      <c r="Q114" s="152">
        <v>60.0</v>
      </c>
      <c r="R114" s="130">
        <v>0.183</v>
      </c>
      <c r="T114" s="128">
        <v>60.0</v>
      </c>
      <c r="U114" s="151">
        <v>0.867</v>
      </c>
      <c r="V114" s="122"/>
      <c r="W114" s="132">
        <v>60.0</v>
      </c>
      <c r="X114" s="130">
        <v>3.583</v>
      </c>
    </row>
    <row r="115" spans="8:8" ht="17.15">
      <c r="A115" s="115">
        <v>2500.0</v>
      </c>
      <c r="B115" s="115">
        <v>40.083</v>
      </c>
      <c r="C115" s="123">
        <f>MOD(C114+B115,168)</f>
        <v>162.94899999999984</v>
      </c>
      <c r="D115" s="117">
        <v>80.5</v>
      </c>
      <c r="E115" s="117">
        <f>MOD(E114+D115,360)</f>
        <v>332.05</v>
      </c>
      <c r="F115" s="116">
        <v>252.8</v>
      </c>
      <c r="G115" s="117">
        <f>MOD(G114+F115,360)</f>
        <v>357.2000000000022</v>
      </c>
      <c r="H115" s="116">
        <v>218.0</v>
      </c>
      <c r="I115" s="117">
        <f>MOD(I114+H115,360)</f>
        <v>324.217</v>
      </c>
      <c r="J115" s="115">
        <v>252.667</v>
      </c>
      <c r="K115" s="117">
        <f>MOD(K114+J115,360)</f>
        <v>240.53300000000297</v>
      </c>
      <c r="N115" s="128">
        <v>61.0</v>
      </c>
      <c r="O115" s="130">
        <v>2.15</v>
      </c>
      <c r="P115" s="122"/>
      <c r="Q115" s="152">
        <v>61.0</v>
      </c>
      <c r="R115" s="130">
        <v>0.183</v>
      </c>
      <c r="T115" s="128">
        <v>61.0</v>
      </c>
      <c r="U115" s="151">
        <v>0.817</v>
      </c>
      <c r="V115" s="122"/>
      <c r="W115" s="132">
        <v>61.0</v>
      </c>
      <c r="X115" s="130">
        <v>3.6</v>
      </c>
    </row>
    <row r="116" spans="8:8" ht="17.15">
      <c r="A116" s="115">
        <v>2510.0</v>
      </c>
      <c r="B116" s="115">
        <v>40.083</v>
      </c>
      <c r="C116" s="123">
        <f>MOD(C115+B116,168)</f>
        <v>35.03199999999984</v>
      </c>
      <c r="D116" s="117">
        <v>80.5</v>
      </c>
      <c r="E116" s="117">
        <f>MOD(E115+D116,360)</f>
        <v>52.55000000000001</v>
      </c>
      <c r="F116" s="116">
        <v>252.8</v>
      </c>
      <c r="G116" s="117">
        <f>MOD(G115+F116,360)</f>
        <v>250.00000000000227</v>
      </c>
      <c r="H116" s="116">
        <v>218.0</v>
      </c>
      <c r="I116" s="117">
        <f>MOD(I115+H116,360)</f>
        <v>182.21699999999998</v>
      </c>
      <c r="J116" s="115">
        <v>252.667</v>
      </c>
      <c r="K116" s="117">
        <f>MOD(K115+J116,360)</f>
        <v>133.200000000003</v>
      </c>
      <c r="N116" s="128">
        <v>62.0</v>
      </c>
      <c r="O116" s="130">
        <v>2.15</v>
      </c>
      <c r="P116" s="122"/>
      <c r="Q116" s="152">
        <v>62.0</v>
      </c>
      <c r="R116" s="130">
        <v>0.183</v>
      </c>
      <c r="T116" s="128">
        <v>62.0</v>
      </c>
      <c r="U116" s="151">
        <v>0.783</v>
      </c>
      <c r="V116" s="122"/>
      <c r="W116" s="132">
        <v>62.0</v>
      </c>
      <c r="X116" s="130">
        <v>3.617</v>
      </c>
    </row>
    <row r="117" spans="8:8" ht="17.15">
      <c r="A117" s="115">
        <v>2520.0</v>
      </c>
      <c r="B117" s="115">
        <v>40.083</v>
      </c>
      <c r="C117" s="123">
        <f>MOD(C116+B117,168)</f>
        <v>75.11499999999984</v>
      </c>
      <c r="D117" s="117">
        <v>80.5</v>
      </c>
      <c r="E117" s="117">
        <f>MOD(E116+D117,360)</f>
        <v>133.05</v>
      </c>
      <c r="F117" s="116">
        <v>252.8</v>
      </c>
      <c r="G117" s="117">
        <f>MOD(G116+F117,360)</f>
        <v>142.80000000000229</v>
      </c>
      <c r="H117" s="116">
        <v>218.0</v>
      </c>
      <c r="I117" s="117">
        <f>MOD(I116+H117,360)</f>
        <v>40.216999999999985</v>
      </c>
      <c r="J117" s="115">
        <v>252.667</v>
      </c>
      <c r="K117" s="117">
        <f>MOD(K116+J117,360)</f>
        <v>25.86700000000303</v>
      </c>
      <c r="N117" s="128">
        <v>63.0</v>
      </c>
      <c r="O117" s="130">
        <v>2.133</v>
      </c>
      <c r="P117" s="122"/>
      <c r="Q117" s="152">
        <v>63.0</v>
      </c>
      <c r="R117" s="130">
        <v>0.183</v>
      </c>
      <c r="T117" s="128">
        <v>63.0</v>
      </c>
      <c r="U117" s="151">
        <v>0.733</v>
      </c>
      <c r="V117" s="122"/>
      <c r="W117" s="132">
        <v>63.0</v>
      </c>
      <c r="X117" s="130">
        <v>3.633</v>
      </c>
    </row>
    <row r="118" spans="8:8" ht="17.15">
      <c r="A118" s="115">
        <v>2530.0</v>
      </c>
      <c r="B118" s="115">
        <v>40.083</v>
      </c>
      <c r="C118" s="123">
        <f>MOD(C117+B118,168)</f>
        <v>115.19799999999984</v>
      </c>
      <c r="D118" s="117">
        <v>80.5</v>
      </c>
      <c r="E118" s="117">
        <f>MOD(E117+D118,360)</f>
        <v>213.55</v>
      </c>
      <c r="F118" s="116">
        <v>252.8</v>
      </c>
      <c r="G118" s="117">
        <f>MOD(G117+F118,360)</f>
        <v>35.6000000000023</v>
      </c>
      <c r="H118" s="116">
        <v>218.0</v>
      </c>
      <c r="I118" s="117">
        <f>MOD(I117+H118,360)</f>
        <v>258.217</v>
      </c>
      <c r="J118" s="115">
        <v>252.667</v>
      </c>
      <c r="K118" s="117">
        <f>MOD(K117+J118,360)</f>
        <v>278.53400000000306</v>
      </c>
      <c r="N118" s="128">
        <v>64.0</v>
      </c>
      <c r="O118" s="130">
        <v>2.133</v>
      </c>
      <c r="P118" s="122"/>
      <c r="Q118" s="152">
        <v>64.0</v>
      </c>
      <c r="R118" s="130">
        <v>0.183</v>
      </c>
      <c r="T118" s="128">
        <v>64.0</v>
      </c>
      <c r="U118" s="151">
        <v>0.683</v>
      </c>
      <c r="V118" s="122"/>
      <c r="W118" s="132">
        <v>64.0</v>
      </c>
      <c r="X118" s="130">
        <v>3.65</v>
      </c>
    </row>
    <row r="119" spans="8:8" ht="17.15">
      <c r="A119" s="115">
        <v>2540.0</v>
      </c>
      <c r="B119" s="115">
        <v>40.083</v>
      </c>
      <c r="C119" s="123">
        <f>MOD(C118+B119,168)</f>
        <v>155.28099999999984</v>
      </c>
      <c r="D119" s="117">
        <v>80.5</v>
      </c>
      <c r="E119" s="117">
        <f>MOD(E118+D119,360)</f>
        <v>294.05</v>
      </c>
      <c r="F119" s="116">
        <v>252.8</v>
      </c>
      <c r="G119" s="117">
        <f>MOD(G118+F119,360)</f>
        <v>288.4000000000023</v>
      </c>
      <c r="H119" s="116">
        <v>218.0</v>
      </c>
      <c r="I119" s="117">
        <f>MOD(I118+H119,360)</f>
        <v>116.21699999999998</v>
      </c>
      <c r="J119" s="115">
        <v>252.667</v>
      </c>
      <c r="K119" s="117">
        <f>MOD(K118+J119,360)</f>
        <v>171.2010000000031</v>
      </c>
      <c r="N119" s="128">
        <v>65.0</v>
      </c>
      <c r="O119" s="130">
        <v>2.133</v>
      </c>
      <c r="P119" s="122"/>
      <c r="Q119" s="152">
        <v>65.0</v>
      </c>
      <c r="R119" s="130">
        <v>0.183</v>
      </c>
      <c r="T119" s="128">
        <v>65.0</v>
      </c>
      <c r="U119" s="151">
        <v>0.633</v>
      </c>
      <c r="V119" s="122"/>
      <c r="W119" s="132">
        <v>65.0</v>
      </c>
      <c r="X119" s="130">
        <v>3.667</v>
      </c>
    </row>
    <row r="120" spans="8:8" ht="17.15">
      <c r="A120" s="115">
        <v>2550.0</v>
      </c>
      <c r="B120" s="115">
        <v>40.083</v>
      </c>
      <c r="C120" s="123">
        <f>MOD(C119+B120,168)</f>
        <v>27.363999999999834</v>
      </c>
      <c r="D120" s="117">
        <v>80.5</v>
      </c>
      <c r="E120" s="117">
        <f>MOD(E119+D120,360)</f>
        <v>14.550000000000011</v>
      </c>
      <c r="F120" s="116">
        <v>252.8</v>
      </c>
      <c r="G120" s="117">
        <f>MOD(G119+F120,360)</f>
        <v>181.20000000000232</v>
      </c>
      <c r="H120" s="116">
        <v>218.0</v>
      </c>
      <c r="I120" s="117">
        <f>MOD(I119+H120,360)</f>
        <v>334.217</v>
      </c>
      <c r="J120" s="115">
        <v>252.667</v>
      </c>
      <c r="K120" s="117">
        <f>MOD(K119+J120,360)</f>
        <v>63.86800000000312</v>
      </c>
      <c r="N120" s="128">
        <v>66.0</v>
      </c>
      <c r="O120" s="130">
        <v>2.133</v>
      </c>
      <c r="P120" s="122"/>
      <c r="Q120" s="152">
        <v>66.0</v>
      </c>
      <c r="R120" s="130">
        <v>0.183</v>
      </c>
      <c r="T120" s="128">
        <v>66.0</v>
      </c>
      <c r="U120" s="151">
        <v>0.6</v>
      </c>
      <c r="V120" s="122"/>
      <c r="W120" s="132">
        <v>66.0</v>
      </c>
      <c r="X120" s="130">
        <v>3.683</v>
      </c>
    </row>
    <row r="121" spans="8:8" ht="17.15">
      <c r="A121" s="115">
        <v>2560.0</v>
      </c>
      <c r="B121" s="115">
        <v>40.083</v>
      </c>
      <c r="C121" s="123">
        <f>MOD(C120+B121,168)</f>
        <v>67.44699999999983</v>
      </c>
      <c r="D121" s="117">
        <v>80.5</v>
      </c>
      <c r="E121" s="117">
        <f>MOD(E120+D121,360)</f>
        <v>95.05000000000001</v>
      </c>
      <c r="F121" s="116">
        <v>252.8</v>
      </c>
      <c r="G121" s="117">
        <f>MOD(G120+F121,360)</f>
        <v>74.00000000000233</v>
      </c>
      <c r="H121" s="116">
        <v>218.0</v>
      </c>
      <c r="I121" s="117">
        <f>MOD(I120+H121,360)</f>
        <v>192.21699999999998</v>
      </c>
      <c r="J121" s="115">
        <v>252.667</v>
      </c>
      <c r="K121" s="117">
        <f>MOD(K120+J121,360)</f>
        <v>316.53500000000315</v>
      </c>
      <c r="N121" s="128">
        <v>67.0</v>
      </c>
      <c r="O121" s="130">
        <v>2.133</v>
      </c>
      <c r="P121" s="122"/>
      <c r="Q121" s="152">
        <v>67.0</v>
      </c>
      <c r="R121" s="130">
        <v>0.183</v>
      </c>
      <c r="T121" s="128">
        <v>67.0</v>
      </c>
      <c r="U121" s="151">
        <v>0.567</v>
      </c>
      <c r="V121" s="122"/>
      <c r="W121" s="132">
        <v>67.0</v>
      </c>
      <c r="X121" s="130">
        <v>3.683</v>
      </c>
    </row>
    <row r="122" spans="8:8" ht="17.15">
      <c r="A122" s="115">
        <v>2570.0</v>
      </c>
      <c r="B122" s="115">
        <v>40.083</v>
      </c>
      <c r="C122" s="123">
        <f>MOD(C121+B122,168)</f>
        <v>107.52999999999983</v>
      </c>
      <c r="D122" s="117">
        <v>80.5</v>
      </c>
      <c r="E122" s="117">
        <f>MOD(E121+D122,360)</f>
        <v>175.55</v>
      </c>
      <c r="F122" s="116">
        <v>252.8</v>
      </c>
      <c r="G122" s="117">
        <f>MOD(G121+F122,360)</f>
        <v>326.80000000000234</v>
      </c>
      <c r="H122" s="116">
        <v>218.0</v>
      </c>
      <c r="I122" s="117">
        <f>MOD(I121+H122,360)</f>
        <v>50.216999999999985</v>
      </c>
      <c r="J122" s="115">
        <v>252.667</v>
      </c>
      <c r="K122" s="117">
        <f>MOD(K121+J122,360)</f>
        <v>209.20200000000318</v>
      </c>
      <c r="N122" s="128">
        <v>68.0</v>
      </c>
      <c r="O122" s="130">
        <v>2.117</v>
      </c>
      <c r="P122" s="122"/>
      <c r="Q122" s="152">
        <v>68.0</v>
      </c>
      <c r="R122" s="130">
        <v>0.167</v>
      </c>
      <c r="T122" s="128">
        <v>68.0</v>
      </c>
      <c r="U122" s="151">
        <v>0.533</v>
      </c>
      <c r="V122" s="122"/>
      <c r="W122" s="132">
        <v>68.0</v>
      </c>
      <c r="X122" s="130">
        <v>3.7</v>
      </c>
    </row>
    <row r="123" spans="8:8" ht="17.15">
      <c r="A123" s="115">
        <v>2580.0</v>
      </c>
      <c r="B123" s="115">
        <v>40.083</v>
      </c>
      <c r="C123" s="123">
        <f>MOD(C122+B123,168)</f>
        <v>147.61299999999983</v>
      </c>
      <c r="D123" s="117">
        <v>80.5</v>
      </c>
      <c r="E123" s="117">
        <f>MOD(E122+D123,360)</f>
        <v>256.05</v>
      </c>
      <c r="F123" s="116">
        <v>252.8</v>
      </c>
      <c r="G123" s="117">
        <f>MOD(G122+F123,360)</f>
        <v>219.6000000000024</v>
      </c>
      <c r="H123" s="116">
        <v>218.0</v>
      </c>
      <c r="I123" s="117">
        <f>MOD(I122+H123,360)</f>
        <v>268.217</v>
      </c>
      <c r="J123" s="115">
        <v>252.667</v>
      </c>
      <c r="K123" s="117">
        <f>MOD(K122+J123,360)</f>
        <v>101.86900000000321</v>
      </c>
      <c r="N123" s="128">
        <v>69.0</v>
      </c>
      <c r="O123" s="130">
        <v>2.117</v>
      </c>
      <c r="P123" s="122"/>
      <c r="Q123" s="152">
        <v>69.0</v>
      </c>
      <c r="R123" s="130">
        <v>0.167</v>
      </c>
      <c r="T123" s="128">
        <v>69.0</v>
      </c>
      <c r="U123" s="151">
        <v>0.483</v>
      </c>
      <c r="V123" s="122"/>
      <c r="W123" s="132">
        <v>69.0</v>
      </c>
      <c r="X123" s="130">
        <v>3.717</v>
      </c>
    </row>
    <row r="124" spans="8:8" ht="17.15">
      <c r="A124" s="115">
        <v>2590.0</v>
      </c>
      <c r="B124" s="115">
        <v>40.083</v>
      </c>
      <c r="C124" s="123">
        <f>MOD(C123+B124,168)</f>
        <v>19.695999999999827</v>
      </c>
      <c r="D124" s="117">
        <v>80.5</v>
      </c>
      <c r="E124" s="117">
        <f>MOD(E123+D124,360)</f>
        <v>336.55</v>
      </c>
      <c r="F124" s="116">
        <v>252.8</v>
      </c>
      <c r="G124" s="117">
        <f>MOD(G123+F124,360)</f>
        <v>112.40000000000242</v>
      </c>
      <c r="H124" s="116">
        <v>218.0</v>
      </c>
      <c r="I124" s="117">
        <f>MOD(I123+H124,360)</f>
        <v>126.21699999999998</v>
      </c>
      <c r="J124" s="115">
        <v>252.667</v>
      </c>
      <c r="K124" s="117">
        <f>MOD(K123+J124,360)</f>
        <v>354.53600000000324</v>
      </c>
      <c r="N124" s="128">
        <v>70.0</v>
      </c>
      <c r="O124" s="130">
        <v>2.117</v>
      </c>
      <c r="P124" s="122"/>
      <c r="Q124" s="152">
        <v>70.0</v>
      </c>
      <c r="R124" s="130">
        <v>0.167</v>
      </c>
      <c r="T124" s="128">
        <v>70.0</v>
      </c>
      <c r="U124" s="151">
        <v>0.45</v>
      </c>
      <c r="V124" s="122"/>
      <c r="W124" s="132">
        <v>70.0</v>
      </c>
      <c r="X124" s="130">
        <v>3.733</v>
      </c>
    </row>
    <row r="125" spans="8:8" ht="17.15">
      <c r="A125" s="115">
        <v>2600.0</v>
      </c>
      <c r="B125" s="115">
        <v>40.083</v>
      </c>
      <c r="C125" s="123">
        <f>MOD(C124+B125,168)</f>
        <v>59.778999999999826</v>
      </c>
      <c r="D125" s="117">
        <v>80.5</v>
      </c>
      <c r="E125" s="117">
        <f>MOD(E124+D125,360)</f>
        <v>57.05000000000001</v>
      </c>
      <c r="F125" s="116">
        <v>252.8</v>
      </c>
      <c r="G125" s="117">
        <f>MOD(G124+F125,360)</f>
        <v>5.200000000002433</v>
      </c>
      <c r="H125" s="116">
        <v>218.0</v>
      </c>
      <c r="I125" s="117">
        <f>MOD(I124+H125,360)</f>
        <v>344.217</v>
      </c>
      <c r="J125" s="115">
        <v>252.667</v>
      </c>
      <c r="K125" s="117">
        <f>MOD(K124+J125,360)</f>
        <v>247.20300000000327</v>
      </c>
      <c r="N125" s="128">
        <v>71.0</v>
      </c>
      <c r="O125" s="130">
        <v>2.117</v>
      </c>
      <c r="P125" s="122"/>
      <c r="Q125" s="152">
        <v>71.0</v>
      </c>
      <c r="R125" s="130">
        <v>0.167</v>
      </c>
      <c r="T125" s="128">
        <v>71.0</v>
      </c>
      <c r="U125" s="151">
        <v>0.433</v>
      </c>
      <c r="V125" s="122"/>
      <c r="W125" s="132">
        <v>71.0</v>
      </c>
      <c r="X125" s="130">
        <v>3.75</v>
      </c>
    </row>
    <row r="126" spans="8:8" ht="17.15">
      <c r="A126" s="115">
        <v>2610.0</v>
      </c>
      <c r="B126" s="115">
        <v>40.083</v>
      </c>
      <c r="C126" s="123">
        <f>MOD(C125+B126,168)</f>
        <v>99.86199999999982</v>
      </c>
      <c r="D126" s="117">
        <v>80.5</v>
      </c>
      <c r="E126" s="117">
        <f>MOD(E125+D126,360)</f>
        <v>137.55</v>
      </c>
      <c r="F126" s="116">
        <v>252.8</v>
      </c>
      <c r="G126" s="117">
        <f>MOD(G125+F126,360)</f>
        <v>258.00000000000244</v>
      </c>
      <c r="H126" s="116">
        <v>218.0</v>
      </c>
      <c r="I126" s="117">
        <f>MOD(I125+H126,360)</f>
        <v>202.21699999999998</v>
      </c>
      <c r="J126" s="115">
        <v>252.667</v>
      </c>
      <c r="K126" s="117">
        <f>MOD(K125+J126,360)</f>
        <v>139.8700000000033</v>
      </c>
      <c r="N126" s="128">
        <v>72.0</v>
      </c>
      <c r="O126" s="130">
        <v>2.117</v>
      </c>
      <c r="P126" s="122"/>
      <c r="Q126" s="152">
        <v>72.0</v>
      </c>
      <c r="R126" s="130">
        <v>0.167</v>
      </c>
      <c r="T126" s="128">
        <v>72.0</v>
      </c>
      <c r="U126" s="151">
        <v>0.417</v>
      </c>
      <c r="V126" s="122"/>
      <c r="W126" s="132">
        <v>72.0</v>
      </c>
      <c r="X126" s="130">
        <v>3.767</v>
      </c>
    </row>
    <row r="127" spans="8:8" ht="17.15">
      <c r="A127" s="115">
        <v>2620.0</v>
      </c>
      <c r="B127" s="115">
        <v>40.083</v>
      </c>
      <c r="C127" s="123">
        <f>MOD(C126+B127,168)</f>
        <v>139.94499999999982</v>
      </c>
      <c r="D127" s="117">
        <v>80.5</v>
      </c>
      <c r="E127" s="117">
        <f>MOD(E126+D127,360)</f>
        <v>218.05</v>
      </c>
      <c r="F127" s="116">
        <v>252.8</v>
      </c>
      <c r="G127" s="117">
        <f>MOD(G126+F127,360)</f>
        <v>150.80000000000246</v>
      </c>
      <c r="H127" s="116">
        <v>218.0</v>
      </c>
      <c r="I127" s="117">
        <f>MOD(I126+H127,360)</f>
        <v>60.216999999999985</v>
      </c>
      <c r="J127" s="115">
        <v>252.667</v>
      </c>
      <c r="K127" s="117">
        <f>MOD(K126+J127,360)</f>
        <v>32.53700000000333</v>
      </c>
      <c r="N127" s="128">
        <v>73.0</v>
      </c>
      <c r="O127" s="130">
        <v>2.1</v>
      </c>
      <c r="P127" s="122"/>
      <c r="Q127" s="152">
        <v>73.0</v>
      </c>
      <c r="R127" s="130">
        <v>0.167</v>
      </c>
      <c r="T127" s="128">
        <v>73.0</v>
      </c>
      <c r="U127" s="151">
        <v>0.383</v>
      </c>
      <c r="V127" s="122"/>
      <c r="W127" s="132">
        <v>73.0</v>
      </c>
      <c r="X127" s="130">
        <v>3.767</v>
      </c>
    </row>
    <row r="128" spans="8:8" ht="17.15">
      <c r="A128" s="115">
        <v>2630.0</v>
      </c>
      <c r="B128" s="115">
        <v>40.083</v>
      </c>
      <c r="C128" s="123">
        <f>MOD(C127+B128,168)</f>
        <v>12.027999999999821</v>
      </c>
      <c r="D128" s="117">
        <v>80.5</v>
      </c>
      <c r="E128" s="117">
        <f>MOD(E127+D128,360)</f>
        <v>298.55</v>
      </c>
      <c r="F128" s="116">
        <v>252.8</v>
      </c>
      <c r="G128" s="117">
        <f>MOD(G127+F128,360)</f>
        <v>43.60000000000247</v>
      </c>
      <c r="H128" s="116">
        <v>218.0</v>
      </c>
      <c r="I128" s="117">
        <f>MOD(I127+H128,360)</f>
        <v>278.217</v>
      </c>
      <c r="J128" s="115">
        <v>252.667</v>
      </c>
      <c r="K128" s="117">
        <f>MOD(K127+J128,360)</f>
        <v>285.20400000000336</v>
      </c>
      <c r="N128" s="128">
        <v>74.0</v>
      </c>
      <c r="O128" s="130">
        <v>2.1</v>
      </c>
      <c r="P128" s="122"/>
      <c r="Q128" s="152">
        <v>74.0</v>
      </c>
      <c r="R128" s="130">
        <v>0.167</v>
      </c>
      <c r="T128" s="128">
        <v>74.0</v>
      </c>
      <c r="U128" s="151">
        <v>0.35</v>
      </c>
      <c r="V128" s="122"/>
      <c r="W128" s="132">
        <v>74.0</v>
      </c>
      <c r="X128" s="130">
        <v>3.783</v>
      </c>
    </row>
    <row r="129" spans="8:8" ht="17.15">
      <c r="A129" s="115">
        <v>2640.0</v>
      </c>
      <c r="B129" s="115">
        <v>40.083</v>
      </c>
      <c r="C129" s="123">
        <f>MOD(C128+B129,168)</f>
        <v>52.11099999999982</v>
      </c>
      <c r="D129" s="117">
        <v>80.5</v>
      </c>
      <c r="E129" s="117">
        <f>MOD(E128+D129,360)</f>
        <v>19.05000000000001</v>
      </c>
      <c r="F129" s="116">
        <v>252.8</v>
      </c>
      <c r="G129" s="117">
        <f>MOD(G128+F129,360)</f>
        <v>296.4000000000025</v>
      </c>
      <c r="H129" s="116">
        <v>218.0</v>
      </c>
      <c r="I129" s="117">
        <f>MOD(I128+H129,360)</f>
        <v>136.21699999999998</v>
      </c>
      <c r="J129" s="115">
        <v>252.667</v>
      </c>
      <c r="K129" s="117">
        <f>MOD(K128+J129,360)</f>
        <v>177.8710000000034</v>
      </c>
      <c r="N129" s="128">
        <v>75.0</v>
      </c>
      <c r="O129" s="130">
        <v>2.1</v>
      </c>
      <c r="P129" s="122"/>
      <c r="Q129" s="152">
        <v>75.0</v>
      </c>
      <c r="R129" s="130">
        <v>0.167</v>
      </c>
      <c r="T129" s="128">
        <v>75.0</v>
      </c>
      <c r="U129" s="151">
        <v>0.3</v>
      </c>
      <c r="V129" s="122"/>
      <c r="W129" s="132">
        <v>75.0</v>
      </c>
      <c r="X129" s="130">
        <v>3.8</v>
      </c>
    </row>
    <row r="130" spans="8:8" ht="17.15">
      <c r="A130" s="115">
        <v>2650.0</v>
      </c>
      <c r="B130" s="115">
        <v>40.083</v>
      </c>
      <c r="C130" s="123">
        <f>MOD(C129+B130,168)</f>
        <v>92.19399999999982</v>
      </c>
      <c r="D130" s="117">
        <v>80.5</v>
      </c>
      <c r="E130" s="117">
        <f>MOD(E129+D130,360)</f>
        <v>99.55000000000001</v>
      </c>
      <c r="F130" s="116">
        <v>252.8</v>
      </c>
      <c r="G130" s="117">
        <f>MOD(G129+F130,360)</f>
        <v>189.20000000000255</v>
      </c>
      <c r="H130" s="116">
        <v>218.0</v>
      </c>
      <c r="I130" s="117">
        <f>MOD(I129+H130,360)</f>
        <v>354.217</v>
      </c>
      <c r="J130" s="115">
        <v>252.667</v>
      </c>
      <c r="K130" s="117">
        <f>MOD(K129+J130,360)</f>
        <v>70.53800000000342</v>
      </c>
      <c r="N130" s="128">
        <v>76.0</v>
      </c>
      <c r="O130" s="130">
        <v>2.1</v>
      </c>
      <c r="P130" s="122"/>
      <c r="Q130" s="152">
        <v>76.0</v>
      </c>
      <c r="R130" s="130">
        <v>0.167</v>
      </c>
      <c r="T130" s="128">
        <v>76.0</v>
      </c>
      <c r="U130" s="151">
        <v>0.283</v>
      </c>
      <c r="V130" s="122"/>
      <c r="W130" s="132">
        <v>76.0</v>
      </c>
      <c r="X130" s="130">
        <v>3.8</v>
      </c>
    </row>
    <row r="131" spans="8:8" ht="17.15">
      <c r="A131" s="115">
        <v>2660.0</v>
      </c>
      <c r="B131" s="115">
        <v>40.083</v>
      </c>
      <c r="C131" s="123">
        <f>MOD(C130+B131,168)</f>
        <v>132.27699999999982</v>
      </c>
      <c r="D131" s="117">
        <v>80.5</v>
      </c>
      <c r="E131" s="117">
        <f>MOD(E130+D131,360)</f>
        <v>180.05</v>
      </c>
      <c r="F131" s="116">
        <v>252.8</v>
      </c>
      <c r="G131" s="117">
        <f>MOD(G130+F131,360)</f>
        <v>82.00000000000256</v>
      </c>
      <c r="H131" s="116">
        <v>218.0</v>
      </c>
      <c r="I131" s="117">
        <f>MOD(I130+H131,360)</f>
        <v>212.21699999999998</v>
      </c>
      <c r="J131" s="115">
        <v>252.667</v>
      </c>
      <c r="K131" s="117">
        <f>MOD(K130+J131,360)</f>
        <v>323.20500000000345</v>
      </c>
      <c r="N131" s="128">
        <v>77.0</v>
      </c>
      <c r="O131" s="130">
        <v>2.1</v>
      </c>
      <c r="P131" s="122"/>
      <c r="Q131" s="152">
        <v>77.0</v>
      </c>
      <c r="R131" s="130">
        <v>0.167</v>
      </c>
      <c r="T131" s="128">
        <v>77.0</v>
      </c>
      <c r="U131" s="151">
        <v>0.267</v>
      </c>
      <c r="V131" s="122"/>
      <c r="W131" s="132">
        <v>77.0</v>
      </c>
      <c r="X131" s="130">
        <v>3.8</v>
      </c>
    </row>
    <row r="132" spans="8:8" ht="17.15">
      <c r="A132" s="115">
        <v>2670.0</v>
      </c>
      <c r="B132" s="115">
        <v>40.083</v>
      </c>
      <c r="C132" s="123">
        <f>MOD(C131+B132,168)</f>
        <v>4.359999999999815</v>
      </c>
      <c r="D132" s="117">
        <v>80.5</v>
      </c>
      <c r="E132" s="117">
        <f>MOD(E131+D132,360)</f>
        <v>260.55</v>
      </c>
      <c r="F132" s="116">
        <v>252.8</v>
      </c>
      <c r="G132" s="117">
        <f>MOD(G131+F132,360)</f>
        <v>334.80000000000257</v>
      </c>
      <c r="H132" s="116">
        <v>218.0</v>
      </c>
      <c r="I132" s="117">
        <f>MOD(I131+H132,360)</f>
        <v>70.21699999999998</v>
      </c>
      <c r="J132" s="115">
        <v>252.667</v>
      </c>
      <c r="K132" s="117">
        <f>MOD(K131+J132,360)</f>
        <v>215.87200000000348</v>
      </c>
      <c r="N132" s="128">
        <v>78.0</v>
      </c>
      <c r="O132" s="130">
        <v>2.083</v>
      </c>
      <c r="P132" s="122"/>
      <c r="Q132" s="152">
        <v>78.0</v>
      </c>
      <c r="R132" s="130">
        <v>0.15</v>
      </c>
      <c r="T132" s="128">
        <v>78.0</v>
      </c>
      <c r="U132" s="151">
        <v>0.25</v>
      </c>
      <c r="V132" s="122"/>
      <c r="W132" s="132">
        <v>78.0</v>
      </c>
      <c r="X132" s="130">
        <v>3.817</v>
      </c>
    </row>
    <row r="133" spans="8:8" ht="17.15">
      <c r="A133" s="115">
        <v>2680.0</v>
      </c>
      <c r="B133" s="115">
        <v>40.083</v>
      </c>
      <c r="C133" s="123">
        <f>MOD(C132+B133,168)</f>
        <v>44.44299999999981</v>
      </c>
      <c r="D133" s="117">
        <v>80.5</v>
      </c>
      <c r="E133" s="117">
        <f>MOD(E132+D133,360)</f>
        <v>341.05</v>
      </c>
      <c r="F133" s="116">
        <v>252.8</v>
      </c>
      <c r="G133" s="117">
        <f>MOD(G132+F133,360)</f>
        <v>227.60000000000264</v>
      </c>
      <c r="H133" s="116">
        <v>218.0</v>
      </c>
      <c r="I133" s="117">
        <f>MOD(I132+H133,360)</f>
        <v>288.217</v>
      </c>
      <c r="J133" s="115">
        <v>252.667</v>
      </c>
      <c r="K133" s="117">
        <f>MOD(K132+J133,360)</f>
        <v>108.53900000000351</v>
      </c>
      <c r="N133" s="128">
        <v>79.0</v>
      </c>
      <c r="O133" s="130">
        <v>2.083</v>
      </c>
      <c r="P133" s="122"/>
      <c r="Q133" s="152">
        <v>79.0</v>
      </c>
      <c r="R133" s="130">
        <v>0.15</v>
      </c>
      <c r="T133" s="128">
        <v>79.0</v>
      </c>
      <c r="U133" s="151">
        <v>0.217</v>
      </c>
      <c r="V133" s="122"/>
      <c r="W133" s="132">
        <v>79.0</v>
      </c>
      <c r="X133" s="130">
        <v>3.817</v>
      </c>
    </row>
    <row r="134" spans="8:8" ht="17.15">
      <c r="A134" s="115">
        <v>2690.0</v>
      </c>
      <c r="B134" s="115">
        <v>40.083</v>
      </c>
      <c r="C134" s="123">
        <f>MOD(C133+B134,168)</f>
        <v>84.52599999999981</v>
      </c>
      <c r="D134" s="117">
        <v>80.5</v>
      </c>
      <c r="E134" s="117">
        <f>MOD(E133+D134,360)</f>
        <v>61.55000000000001</v>
      </c>
      <c r="F134" s="116">
        <v>252.8</v>
      </c>
      <c r="G134" s="117">
        <f>MOD(G133+F134,360)</f>
        <v>120.40000000000265</v>
      </c>
      <c r="H134" s="116">
        <v>218.0</v>
      </c>
      <c r="I134" s="117">
        <f>MOD(I133+H134,360)</f>
        <v>146.21699999999998</v>
      </c>
      <c r="J134" s="115">
        <v>252.667</v>
      </c>
      <c r="K134" s="117">
        <f>MOD(K133+J134,360)</f>
        <v>1.2060000000035416</v>
      </c>
      <c r="N134" s="128">
        <v>80.0</v>
      </c>
      <c r="O134" s="130">
        <v>2.083</v>
      </c>
      <c r="P134" s="122"/>
      <c r="Q134" s="152">
        <v>80.0</v>
      </c>
      <c r="R134" s="130">
        <v>0.15</v>
      </c>
      <c r="T134" s="128">
        <v>80.0</v>
      </c>
      <c r="U134" s="151">
        <v>0.183</v>
      </c>
      <c r="V134" s="122"/>
      <c r="W134" s="132">
        <v>80.0</v>
      </c>
      <c r="X134" s="130">
        <v>3.833</v>
      </c>
    </row>
    <row r="135" spans="8:8" ht="17.15">
      <c r="A135" s="115">
        <v>2700.0</v>
      </c>
      <c r="B135" s="115">
        <v>40.083</v>
      </c>
      <c r="C135" s="123">
        <f>MOD(C134+B135,168)</f>
        <v>124.60899999999981</v>
      </c>
      <c r="D135" s="117">
        <v>80.5</v>
      </c>
      <c r="E135" s="117">
        <f>MOD(E134+D135,360)</f>
        <v>142.05</v>
      </c>
      <c r="F135" s="116">
        <v>252.8</v>
      </c>
      <c r="G135" s="117">
        <f>MOD(G134+F135,360)</f>
        <v>13.20000000000266</v>
      </c>
      <c r="H135" s="116">
        <v>218.0</v>
      </c>
      <c r="I135" s="117">
        <f>MOD(I134+H135,360)</f>
        <v>4.2169999999999845</v>
      </c>
      <c r="J135" s="115">
        <v>252.667</v>
      </c>
      <c r="K135" s="117">
        <f>MOD(K134+J135,360)</f>
        <v>253.87300000000354</v>
      </c>
      <c r="N135" s="128">
        <v>81.0</v>
      </c>
      <c r="O135" s="130">
        <v>2.083</v>
      </c>
      <c r="P135" s="122"/>
      <c r="Q135" s="152">
        <v>81.0</v>
      </c>
      <c r="R135" s="130">
        <v>0.15</v>
      </c>
      <c r="T135" s="128">
        <v>81.0</v>
      </c>
      <c r="U135" s="151">
        <v>0.15</v>
      </c>
      <c r="V135" s="122"/>
      <c r="W135" s="132">
        <v>81.0</v>
      </c>
      <c r="X135" s="130">
        <v>3.833</v>
      </c>
    </row>
    <row r="136" spans="8:8" ht="17.15">
      <c r="A136" s="115">
        <v>2710.0</v>
      </c>
      <c r="B136" s="115">
        <v>40.083</v>
      </c>
      <c r="C136" s="123">
        <f>MOD(C135+B136,168)</f>
        <v>164.6919999999998</v>
      </c>
      <c r="D136" s="117">
        <v>80.5</v>
      </c>
      <c r="E136" s="117">
        <f>MOD(E135+D136,360)</f>
        <v>222.55</v>
      </c>
      <c r="F136" s="116">
        <v>252.8</v>
      </c>
      <c r="G136" s="117">
        <f>MOD(G135+F136,360)</f>
        <v>266.0000000000027</v>
      </c>
      <c r="H136" s="116">
        <v>218.0</v>
      </c>
      <c r="I136" s="117">
        <f>MOD(I135+H136,360)</f>
        <v>222.21699999999998</v>
      </c>
      <c r="J136" s="115">
        <v>252.667</v>
      </c>
      <c r="K136" s="117">
        <f>MOD(K135+J136,360)</f>
        <v>146.54000000000354</v>
      </c>
      <c r="N136" s="128">
        <v>82.0</v>
      </c>
      <c r="O136" s="130">
        <v>2.083</v>
      </c>
      <c r="P136" s="122"/>
      <c r="Q136" s="152">
        <v>82.0</v>
      </c>
      <c r="R136" s="130">
        <v>0.15</v>
      </c>
      <c r="T136" s="128">
        <v>82.0</v>
      </c>
      <c r="U136" s="151">
        <v>0.133</v>
      </c>
      <c r="V136" s="122"/>
      <c r="W136" s="132">
        <v>82.0</v>
      </c>
      <c r="X136" s="130">
        <v>3.85</v>
      </c>
    </row>
    <row r="137" spans="8:8" ht="17.15">
      <c r="A137" s="115">
        <v>2720.0</v>
      </c>
      <c r="B137" s="115">
        <v>40.083</v>
      </c>
      <c r="C137" s="123">
        <f>MOD(C136+B137,168)</f>
        <v>36.77499999999981</v>
      </c>
      <c r="D137" s="117">
        <v>80.5</v>
      </c>
      <c r="E137" s="117">
        <f>MOD(E136+D137,360)</f>
        <v>303.05</v>
      </c>
      <c r="F137" s="116">
        <v>252.8</v>
      </c>
      <c r="G137" s="117">
        <f>MOD(G136+F137,360)</f>
        <v>158.80000000000268</v>
      </c>
      <c r="H137" s="116">
        <v>218.0</v>
      </c>
      <c r="I137" s="117">
        <f>MOD(I136+H137,360)</f>
        <v>80.21699999999998</v>
      </c>
      <c r="J137" s="115">
        <v>252.667</v>
      </c>
      <c r="K137" s="117">
        <f>MOD(K136+J137,360)</f>
        <v>39.20700000000352</v>
      </c>
      <c r="N137" s="128">
        <v>83.0</v>
      </c>
      <c r="O137" s="130">
        <v>2.067</v>
      </c>
      <c r="P137" s="122"/>
      <c r="Q137" s="152">
        <v>83.0</v>
      </c>
      <c r="R137" s="130">
        <v>0.15</v>
      </c>
      <c r="T137" s="128">
        <v>83.0</v>
      </c>
      <c r="U137" s="151">
        <v>0.117</v>
      </c>
      <c r="V137" s="122"/>
      <c r="W137" s="132">
        <v>83.0</v>
      </c>
      <c r="X137" s="130">
        <v>3.85</v>
      </c>
    </row>
    <row r="138" spans="8:8" ht="17.15">
      <c r="A138" s="115">
        <v>2730.0</v>
      </c>
      <c r="B138" s="115">
        <v>40.083</v>
      </c>
      <c r="C138" s="123">
        <f>MOD(C137+B138,168)</f>
        <v>76.8579999999998</v>
      </c>
      <c r="D138" s="117">
        <v>80.5</v>
      </c>
      <c r="E138" s="117">
        <f>MOD(E137+D138,360)</f>
        <v>23.55000000000001</v>
      </c>
      <c r="F138" s="116">
        <v>252.8</v>
      </c>
      <c r="G138" s="117">
        <f>MOD(G137+F138,360)</f>
        <v>51.600000000002694</v>
      </c>
      <c r="H138" s="116">
        <v>218.0</v>
      </c>
      <c r="I138" s="117">
        <f>MOD(I137+H138,360)</f>
        <v>298.217</v>
      </c>
      <c r="J138" s="115">
        <v>252.667</v>
      </c>
      <c r="K138" s="117">
        <f>MOD(K137+J138,360)</f>
        <v>291.87400000000355</v>
      </c>
      <c r="N138" s="128">
        <v>84.0</v>
      </c>
      <c r="O138" s="130">
        <v>2.067</v>
      </c>
      <c r="P138" s="122"/>
      <c r="Q138" s="152">
        <v>84.0</v>
      </c>
      <c r="R138" s="130">
        <v>0.15</v>
      </c>
      <c r="T138" s="128">
        <v>84.0</v>
      </c>
      <c r="U138" s="151">
        <v>0.1</v>
      </c>
      <c r="V138" s="122"/>
      <c r="W138" s="132">
        <v>84.0</v>
      </c>
      <c r="X138" s="130">
        <v>3.85</v>
      </c>
    </row>
    <row r="139" spans="8:8" ht="17.15">
      <c r="A139" s="115">
        <v>2740.0</v>
      </c>
      <c r="B139" s="115">
        <v>40.083</v>
      </c>
      <c r="C139" s="123">
        <f>MOD(C138+B139,168)</f>
        <v>116.9409999999998</v>
      </c>
      <c r="D139" s="117">
        <v>80.5</v>
      </c>
      <c r="E139" s="117">
        <f>MOD(E138+D139,360)</f>
        <v>104.05000000000001</v>
      </c>
      <c r="F139" s="116">
        <v>252.8</v>
      </c>
      <c r="G139" s="117">
        <f>MOD(G138+F139,360)</f>
        <v>304.4000000000027</v>
      </c>
      <c r="H139" s="116">
        <v>218.0</v>
      </c>
      <c r="I139" s="117">
        <f>MOD(I138+H139,360)</f>
        <v>156.21699999999998</v>
      </c>
      <c r="J139" s="115">
        <v>252.667</v>
      </c>
      <c r="K139" s="117">
        <f>MOD(K138+J139,360)</f>
        <v>184.54100000000358</v>
      </c>
      <c r="N139" s="128">
        <v>85.0</v>
      </c>
      <c r="O139" s="130">
        <v>2.067</v>
      </c>
      <c r="P139" s="122"/>
      <c r="Q139" s="152">
        <v>85.0</v>
      </c>
      <c r="R139" s="130">
        <v>0.15</v>
      </c>
      <c r="T139" s="128">
        <v>85.0</v>
      </c>
      <c r="U139" s="151">
        <v>0.083</v>
      </c>
      <c r="V139" s="122"/>
      <c r="W139" s="132">
        <v>85.0</v>
      </c>
      <c r="X139" s="130">
        <v>3.867</v>
      </c>
    </row>
    <row r="140" spans="8:8" ht="17.15">
      <c r="A140" s="115">
        <v>2750.0</v>
      </c>
      <c r="B140" s="115">
        <v>40.083</v>
      </c>
      <c r="C140" s="123">
        <f>MOD(C139+B140,168)</f>
        <v>157.0239999999998</v>
      </c>
      <c r="D140" s="117">
        <v>80.5</v>
      </c>
      <c r="E140" s="117">
        <f>MOD(E139+D140,360)</f>
        <v>184.55</v>
      </c>
      <c r="F140" s="116">
        <v>252.8</v>
      </c>
      <c r="G140" s="117">
        <f>MOD(G139+F140,360)</f>
        <v>197.20000000000277</v>
      </c>
      <c r="H140" s="116">
        <v>218.0</v>
      </c>
      <c r="I140" s="117">
        <f>MOD(I139+H140,360)</f>
        <v>14.216999999999985</v>
      </c>
      <c r="J140" s="115">
        <v>252.667</v>
      </c>
      <c r="K140" s="117">
        <f>MOD(K139+J140,360)</f>
        <v>77.20800000000361</v>
      </c>
      <c r="N140" s="128">
        <v>86.0</v>
      </c>
      <c r="O140" s="130">
        <v>2.067</v>
      </c>
      <c r="P140" s="122"/>
      <c r="Q140" s="152">
        <v>86.0</v>
      </c>
      <c r="R140" s="130">
        <v>0.15</v>
      </c>
      <c r="T140" s="128">
        <v>86.0</v>
      </c>
      <c r="U140" s="151">
        <v>0.067</v>
      </c>
      <c r="V140" s="122"/>
      <c r="W140" s="132">
        <v>86.0</v>
      </c>
      <c r="X140" s="130">
        <v>3.867</v>
      </c>
    </row>
    <row r="141" spans="8:8" ht="17.15">
      <c r="A141" s="115">
        <v>2760.0</v>
      </c>
      <c r="B141" s="115">
        <v>40.083</v>
      </c>
      <c r="C141" s="123">
        <f>MOD(C140+B141,168)</f>
        <v>29.1069999999998</v>
      </c>
      <c r="D141" s="117">
        <v>80.5</v>
      </c>
      <c r="E141" s="117">
        <f>MOD(E140+D141,360)</f>
        <v>265.05</v>
      </c>
      <c r="F141" s="116">
        <v>252.8</v>
      </c>
      <c r="G141" s="117">
        <f>MOD(G140+F141,360)</f>
        <v>90.00000000000279</v>
      </c>
      <c r="H141" s="116">
        <v>218.0</v>
      </c>
      <c r="I141" s="117">
        <f>MOD(I140+H141,360)</f>
        <v>232.21699999999998</v>
      </c>
      <c r="J141" s="115">
        <v>252.667</v>
      </c>
      <c r="K141" s="117">
        <f>MOD(K140+J141,360)</f>
        <v>329.87500000000364</v>
      </c>
      <c r="N141" s="128">
        <v>87.0</v>
      </c>
      <c r="O141" s="130">
        <v>2.067</v>
      </c>
      <c r="P141" s="122"/>
      <c r="Q141" s="152">
        <v>87.0</v>
      </c>
      <c r="R141" s="130">
        <v>0.15</v>
      </c>
      <c r="T141" s="128">
        <v>87.0</v>
      </c>
      <c r="U141" s="151">
        <v>0.05</v>
      </c>
      <c r="V141" s="122"/>
      <c r="W141" s="132">
        <v>87.0</v>
      </c>
      <c r="X141" s="130">
        <v>3.867</v>
      </c>
    </row>
    <row r="142" spans="8:8" ht="17.15">
      <c r="A142" s="115">
        <v>2770.0</v>
      </c>
      <c r="B142" s="115">
        <v>40.083</v>
      </c>
      <c r="C142" s="123">
        <f>MOD(C141+B142,168)</f>
        <v>69.1899999999998</v>
      </c>
      <c r="D142" s="117">
        <v>80.5</v>
      </c>
      <c r="E142" s="117">
        <f>MOD(E141+D142,360)</f>
        <v>345.55</v>
      </c>
      <c r="F142" s="116">
        <v>252.8</v>
      </c>
      <c r="G142" s="117">
        <f>MOD(G141+F142,360)</f>
        <v>342.8000000000028</v>
      </c>
      <c r="H142" s="116">
        <v>218.0</v>
      </c>
      <c r="I142" s="117">
        <f>MOD(I141+H142,360)</f>
        <v>90.21699999999998</v>
      </c>
      <c r="J142" s="115">
        <v>252.667</v>
      </c>
      <c r="K142" s="117">
        <f>MOD(K141+J142,360)</f>
        <v>222.54200000000367</v>
      </c>
      <c r="N142" s="128">
        <v>88.0</v>
      </c>
      <c r="O142" s="130">
        <v>2.05</v>
      </c>
      <c r="P142" s="122"/>
      <c r="Q142" s="152">
        <v>88.0</v>
      </c>
      <c r="R142" s="130">
        <v>0.133</v>
      </c>
      <c r="T142" s="128">
        <v>88.0</v>
      </c>
      <c r="U142" s="151">
        <v>0.05</v>
      </c>
      <c r="V142" s="122"/>
      <c r="W142" s="132">
        <v>88.0</v>
      </c>
      <c r="X142" s="130">
        <v>3.867</v>
      </c>
    </row>
    <row r="143" spans="8:8" ht="17.15">
      <c r="A143" s="115">
        <v>2780.0</v>
      </c>
      <c r="B143" s="115">
        <v>40.083</v>
      </c>
      <c r="C143" s="123">
        <f>MOD(C142+B143,168)</f>
        <v>109.2729999999998</v>
      </c>
      <c r="D143" s="117">
        <v>80.5</v>
      </c>
      <c r="E143" s="117">
        <f>MOD(E142+D143,360)</f>
        <v>66.05000000000001</v>
      </c>
      <c r="F143" s="116">
        <v>252.8</v>
      </c>
      <c r="G143" s="117">
        <f>MOD(G142+F143,360)</f>
        <v>235.60000000000286</v>
      </c>
      <c r="H143" s="116">
        <v>218.0</v>
      </c>
      <c r="I143" s="117">
        <f>MOD(I142+H143,360)</f>
        <v>308.217</v>
      </c>
      <c r="J143" s="115">
        <v>252.667</v>
      </c>
      <c r="K143" s="117">
        <f>MOD(K142+J143,360)</f>
        <v>115.2090000000037</v>
      </c>
      <c r="N143" s="128">
        <v>89.0</v>
      </c>
      <c r="O143" s="130">
        <v>2.05</v>
      </c>
      <c r="P143" s="122"/>
      <c r="Q143" s="152">
        <v>89.0</v>
      </c>
      <c r="R143" s="130">
        <v>0.133</v>
      </c>
      <c r="T143" s="128">
        <v>89.0</v>
      </c>
      <c r="U143" s="151">
        <v>0.033</v>
      </c>
      <c r="V143" s="122"/>
      <c r="W143" s="132">
        <v>89.0</v>
      </c>
      <c r="X143" s="130">
        <v>3.867</v>
      </c>
    </row>
    <row r="144" spans="8:8" ht="17.15">
      <c r="A144" s="115">
        <v>2790.0</v>
      </c>
      <c r="B144" s="115">
        <v>40.083</v>
      </c>
      <c r="C144" s="123">
        <f>MOD(C143+B144,168)</f>
        <v>149.3559999999998</v>
      </c>
      <c r="D144" s="117">
        <v>80.5</v>
      </c>
      <c r="E144" s="117">
        <f>MOD(E143+D144,360)</f>
        <v>146.55</v>
      </c>
      <c r="F144" s="116">
        <v>252.8</v>
      </c>
      <c r="G144" s="117">
        <f>MOD(G143+F144,360)</f>
        <v>128.40000000000288</v>
      </c>
      <c r="H144" s="116">
        <v>218.0</v>
      </c>
      <c r="I144" s="117">
        <f>MOD(I143+H144,360)</f>
        <v>166.21699999999998</v>
      </c>
      <c r="J144" s="115">
        <v>252.667</v>
      </c>
      <c r="K144" s="117">
        <f>MOD(K143+J144,360)</f>
        <v>7.876000000003728</v>
      </c>
      <c r="N144" s="128">
        <v>90.0</v>
      </c>
      <c r="O144" s="130">
        <v>2.05</v>
      </c>
      <c r="P144" s="122"/>
      <c r="Q144" s="152">
        <v>90.0</v>
      </c>
      <c r="R144" s="130">
        <v>0.133</v>
      </c>
      <c r="T144" s="128">
        <v>90.0</v>
      </c>
      <c r="U144" s="151">
        <v>0.033</v>
      </c>
      <c r="V144" s="122"/>
      <c r="W144" s="132">
        <v>90.0</v>
      </c>
      <c r="X144" s="130">
        <v>3.867</v>
      </c>
    </row>
    <row r="145" spans="8:8" ht="17.15">
      <c r="A145" s="115">
        <v>2800.0</v>
      </c>
      <c r="B145" s="115">
        <v>40.083</v>
      </c>
      <c r="C145" s="123">
        <f>MOD(C144+B145,168)</f>
        <v>21.438999999999794</v>
      </c>
      <c r="D145" s="117">
        <v>80.5</v>
      </c>
      <c r="E145" s="117">
        <f>MOD(E144+D145,360)</f>
        <v>227.05</v>
      </c>
      <c r="F145" s="116">
        <v>252.8</v>
      </c>
      <c r="G145" s="117">
        <f>MOD(G144+F145,360)</f>
        <v>21.200000000002888</v>
      </c>
      <c r="H145" s="116">
        <v>218.0</v>
      </c>
      <c r="I145" s="117">
        <f>MOD(I144+H145,360)</f>
        <v>24.216999999999985</v>
      </c>
      <c r="J145" s="115">
        <v>252.667</v>
      </c>
      <c r="K145" s="117">
        <f>MOD(K144+J145,360)</f>
        <v>260.54300000000376</v>
      </c>
      <c r="N145" s="128">
        <v>91.0</v>
      </c>
      <c r="O145" s="130">
        <v>2.05</v>
      </c>
      <c r="P145" s="122"/>
      <c r="Q145" s="152">
        <v>91.0</v>
      </c>
      <c r="R145" s="130">
        <v>0.133</v>
      </c>
      <c r="T145" s="128">
        <v>91.0</v>
      </c>
      <c r="U145" s="151">
        <v>0.033</v>
      </c>
      <c r="V145" s="122"/>
      <c r="W145" s="132">
        <v>91.0</v>
      </c>
      <c r="X145" s="130">
        <v>3.867</v>
      </c>
    </row>
    <row r="146" spans="8:8" ht="17.15">
      <c r="A146" s="115">
        <v>2810.0</v>
      </c>
      <c r="B146" s="115">
        <v>40.083</v>
      </c>
      <c r="C146" s="123">
        <f>MOD(C145+B146,168)</f>
        <v>61.52199999999979</v>
      </c>
      <c r="D146" s="117">
        <v>80.5</v>
      </c>
      <c r="E146" s="117">
        <f>MOD(E145+D146,360)</f>
        <v>307.55</v>
      </c>
      <c r="F146" s="116">
        <v>252.8</v>
      </c>
      <c r="G146" s="117">
        <f>MOD(G145+F146,360)</f>
        <v>274.0000000000029</v>
      </c>
      <c r="H146" s="116">
        <v>218.0</v>
      </c>
      <c r="I146" s="117">
        <f>MOD(I145+H146,360)</f>
        <v>242.21699999999998</v>
      </c>
      <c r="J146" s="115">
        <v>252.667</v>
      </c>
      <c r="K146" s="117">
        <f>MOD(K145+J146,360)</f>
        <v>153.2100000000038</v>
      </c>
      <c r="N146" s="128">
        <v>92.0</v>
      </c>
      <c r="O146" s="130">
        <v>2.05</v>
      </c>
      <c r="P146" s="122"/>
      <c r="Q146" s="152">
        <v>92.0</v>
      </c>
      <c r="R146" s="130">
        <v>0.133</v>
      </c>
      <c r="T146" s="128">
        <v>92.0</v>
      </c>
      <c r="U146" s="151">
        <v>0.017</v>
      </c>
      <c r="V146" s="122"/>
      <c r="W146" s="132">
        <v>92.0</v>
      </c>
      <c r="X146" s="130">
        <v>3.867</v>
      </c>
    </row>
    <row r="147" spans="8:8" ht="17.15">
      <c r="A147" s="115">
        <v>2820.0</v>
      </c>
      <c r="B147" s="115">
        <v>40.083</v>
      </c>
      <c r="C147" s="123">
        <f>MOD(C146+B147,168)</f>
        <v>101.60499999999979</v>
      </c>
      <c r="D147" s="117">
        <v>80.5</v>
      </c>
      <c r="E147" s="117">
        <f>MOD(E146+D147,360)</f>
        <v>28.05000000000001</v>
      </c>
      <c r="F147" s="116">
        <v>252.8</v>
      </c>
      <c r="G147" s="117">
        <f>MOD(G146+F147,360)</f>
        <v>166.8000000000029</v>
      </c>
      <c r="H147" s="116">
        <v>218.0</v>
      </c>
      <c r="I147" s="117">
        <f>MOD(I146+H147,360)</f>
        <v>100.21699999999998</v>
      </c>
      <c r="J147" s="115">
        <v>252.667</v>
      </c>
      <c r="K147" s="117">
        <f>MOD(K146+J147,360)</f>
        <v>45.87700000000382</v>
      </c>
      <c r="N147" s="128">
        <v>93.0</v>
      </c>
      <c r="O147" s="130">
        <v>2.033</v>
      </c>
      <c r="P147" s="122"/>
      <c r="Q147" s="152">
        <v>93.0</v>
      </c>
      <c r="R147" s="130">
        <v>0.133</v>
      </c>
      <c r="T147" s="128">
        <v>93.0</v>
      </c>
      <c r="U147" s="151">
        <v>0.017</v>
      </c>
      <c r="V147" s="122"/>
      <c r="W147" s="132">
        <v>93.0</v>
      </c>
      <c r="X147" s="130">
        <v>3.867</v>
      </c>
    </row>
    <row r="148" spans="8:8" ht="17.15">
      <c r="A148" s="115">
        <v>2830.0</v>
      </c>
      <c r="B148" s="115">
        <v>40.083</v>
      </c>
      <c r="C148" s="123">
        <f>MOD(C147+B148,168)</f>
        <v>141.6879999999998</v>
      </c>
      <c r="D148" s="117">
        <v>80.5</v>
      </c>
      <c r="E148" s="117">
        <f>MOD(E147+D148,360)</f>
        <v>108.55000000000001</v>
      </c>
      <c r="F148" s="116">
        <v>252.8</v>
      </c>
      <c r="G148" s="117">
        <f>MOD(G147+F148,360)</f>
        <v>59.60000000000292</v>
      </c>
      <c r="H148" s="116">
        <v>218.0</v>
      </c>
      <c r="I148" s="117">
        <f>MOD(I147+H148,360)</f>
        <v>318.217</v>
      </c>
      <c r="J148" s="115">
        <v>252.667</v>
      </c>
      <c r="K148" s="117">
        <f>MOD(K147+J148,360)</f>
        <v>298.54400000000385</v>
      </c>
      <c r="N148" s="128">
        <v>94.0</v>
      </c>
      <c r="O148" s="130">
        <v>2.033</v>
      </c>
      <c r="P148" s="122"/>
      <c r="Q148" s="152">
        <v>94.0</v>
      </c>
      <c r="R148" s="130">
        <v>0.133</v>
      </c>
      <c r="T148" s="128">
        <v>94.0</v>
      </c>
      <c r="U148" s="151">
        <v>0.0</v>
      </c>
      <c r="V148" s="122"/>
      <c r="W148" s="132">
        <v>94.0</v>
      </c>
      <c r="X148" s="130">
        <v>3.867</v>
      </c>
    </row>
    <row r="149" spans="8:8" ht="17.15">
      <c r="A149" s="115">
        <v>2840.0</v>
      </c>
      <c r="B149" s="115">
        <v>40.083</v>
      </c>
      <c r="C149" s="123">
        <f>MOD(C148+B149,168)</f>
        <v>13.770999999999788</v>
      </c>
      <c r="D149" s="117">
        <v>80.5</v>
      </c>
      <c r="E149" s="117">
        <f>MOD(E148+D149,360)</f>
        <v>189.05</v>
      </c>
      <c r="F149" s="116">
        <v>252.8</v>
      </c>
      <c r="G149" s="117">
        <f>MOD(G148+F149,360)</f>
        <v>312.40000000000293</v>
      </c>
      <c r="H149" s="116">
        <v>218.0</v>
      </c>
      <c r="I149" s="117">
        <f>MOD(I148+H149,360)</f>
        <v>176.21699999999998</v>
      </c>
      <c r="J149" s="115">
        <v>252.667</v>
      </c>
      <c r="K149" s="117">
        <f>MOD(K148+J149,360)</f>
        <v>191.21100000000388</v>
      </c>
      <c r="N149" s="128">
        <v>95.0</v>
      </c>
      <c r="O149" s="130">
        <v>2.033</v>
      </c>
      <c r="P149" s="122"/>
      <c r="Q149" s="152">
        <v>95.0</v>
      </c>
      <c r="R149" s="130">
        <v>0.133</v>
      </c>
      <c r="T149" s="128">
        <v>95.0</v>
      </c>
      <c r="U149" s="151">
        <v>0.0</v>
      </c>
      <c r="V149" s="122"/>
      <c r="W149" s="132">
        <v>95.0</v>
      </c>
      <c r="X149" s="130">
        <v>3.867</v>
      </c>
    </row>
    <row r="150" spans="8:8" ht="17.15">
      <c r="A150" s="115">
        <v>2850.0</v>
      </c>
      <c r="B150" s="115">
        <v>40.083</v>
      </c>
      <c r="C150" s="123">
        <f>MOD(C149+B150,168)</f>
        <v>53.853999999999786</v>
      </c>
      <c r="D150" s="117">
        <v>80.5</v>
      </c>
      <c r="E150" s="117">
        <f>MOD(E149+D150,360)</f>
        <v>269.55</v>
      </c>
      <c r="F150" s="116">
        <v>252.8</v>
      </c>
      <c r="G150" s="117">
        <f>MOD(G149+F150,360)</f>
        <v>205.200000000003</v>
      </c>
      <c r="H150" s="116">
        <v>218.0</v>
      </c>
      <c r="I150" s="117">
        <f>MOD(I149+H150,360)</f>
        <v>34.216999999999985</v>
      </c>
      <c r="J150" s="115">
        <v>252.667</v>
      </c>
      <c r="K150" s="117">
        <f>MOD(K149+J150,360)</f>
        <v>83.87800000000391</v>
      </c>
      <c r="N150" s="128">
        <v>96.0</v>
      </c>
      <c r="O150" s="130">
        <v>2.033</v>
      </c>
      <c r="P150" s="122"/>
      <c r="Q150" s="152">
        <v>96.0</v>
      </c>
      <c r="R150" s="130">
        <v>0.133</v>
      </c>
      <c r="T150" s="128">
        <v>96.0</v>
      </c>
      <c r="U150" s="151">
        <v>0.0</v>
      </c>
      <c r="V150" s="122"/>
      <c r="W150" s="132">
        <v>96.0</v>
      </c>
      <c r="X150" s="130">
        <v>3.867</v>
      </c>
    </row>
    <row r="151" spans="8:8" ht="17.15">
      <c r="A151" s="115">
        <v>2860.0</v>
      </c>
      <c r="B151" s="115">
        <v>40.083</v>
      </c>
      <c r="C151" s="123">
        <f>MOD(C150+B151,168)</f>
        <v>93.93699999999978</v>
      </c>
      <c r="D151" s="117">
        <v>80.5</v>
      </c>
      <c r="E151" s="117">
        <f>MOD(E150+D151,360)</f>
        <v>350.05</v>
      </c>
      <c r="F151" s="116">
        <v>252.8</v>
      </c>
      <c r="G151" s="117">
        <f>MOD(G150+F151,360)</f>
        <v>98.00000000000301</v>
      </c>
      <c r="H151" s="116">
        <v>218.0</v>
      </c>
      <c r="I151" s="117">
        <f>MOD(I150+H151,360)</f>
        <v>252.21699999999998</v>
      </c>
      <c r="J151" s="115">
        <v>252.667</v>
      </c>
      <c r="K151" s="117">
        <f>MOD(K150+J151,360)</f>
        <v>336.54500000000394</v>
      </c>
      <c r="N151" s="128">
        <v>97.0</v>
      </c>
      <c r="O151" s="130">
        <v>2.033</v>
      </c>
      <c r="P151" s="122"/>
      <c r="Q151" s="152">
        <v>97.0</v>
      </c>
      <c r="R151" s="130">
        <v>0.133</v>
      </c>
      <c r="T151" s="128">
        <v>97.0</v>
      </c>
      <c r="U151" s="151">
        <v>0.0</v>
      </c>
      <c r="V151" s="122"/>
      <c r="W151" s="132">
        <v>97.0</v>
      </c>
      <c r="X151" s="130">
        <v>3.867</v>
      </c>
    </row>
    <row r="152" spans="8:8" ht="17.15">
      <c r="A152" s="115">
        <v>2870.0</v>
      </c>
      <c r="B152" s="115">
        <v>40.083</v>
      </c>
      <c r="C152" s="123">
        <f>MOD(C151+B152,168)</f>
        <v>134.01999999999978</v>
      </c>
      <c r="D152" s="117">
        <v>80.5</v>
      </c>
      <c r="E152" s="117">
        <f>MOD(E151+D152,360)</f>
        <v>70.55000000000001</v>
      </c>
      <c r="F152" s="116">
        <v>252.8</v>
      </c>
      <c r="G152" s="117">
        <f>MOD(G151+F152,360)</f>
        <v>350.800000000003</v>
      </c>
      <c r="H152" s="116">
        <v>218.0</v>
      </c>
      <c r="I152" s="117">
        <f>MOD(I151+H152,360)</f>
        <v>110.21699999999998</v>
      </c>
      <c r="J152" s="115">
        <v>252.667</v>
      </c>
      <c r="K152" s="117">
        <f>MOD(K151+J152,360)</f>
        <v>229.21200000000397</v>
      </c>
      <c r="N152" s="128">
        <v>98.0</v>
      </c>
      <c r="O152" s="130">
        <v>2.017</v>
      </c>
      <c r="P152" s="122"/>
      <c r="Q152" s="152">
        <v>98.0</v>
      </c>
      <c r="R152" s="130">
        <v>0.117</v>
      </c>
      <c r="T152" s="128">
        <v>98.0</v>
      </c>
      <c r="U152" s="151">
        <v>0.017</v>
      </c>
      <c r="V152" s="122"/>
      <c r="W152" s="132">
        <v>98.0</v>
      </c>
      <c r="X152" s="130">
        <v>3.867</v>
      </c>
    </row>
    <row r="153" spans="8:8" ht="17.15">
      <c r="A153" s="115">
        <v>2880.0</v>
      </c>
      <c r="B153" s="115">
        <v>40.083</v>
      </c>
      <c r="C153" s="123">
        <f>MOD(C152+B153,168)</f>
        <v>6.102999999999781</v>
      </c>
      <c r="D153" s="117">
        <v>80.5</v>
      </c>
      <c r="E153" s="117">
        <f>MOD(E152+D153,360)</f>
        <v>151.05</v>
      </c>
      <c r="F153" s="116">
        <v>252.8</v>
      </c>
      <c r="G153" s="117">
        <f>MOD(G152+F153,360)</f>
        <v>243.6000000000031</v>
      </c>
      <c r="H153" s="116">
        <v>218.0</v>
      </c>
      <c r="I153" s="117">
        <f>MOD(I152+H153,360)</f>
        <v>328.217</v>
      </c>
      <c r="J153" s="115">
        <v>252.667</v>
      </c>
      <c r="K153" s="117">
        <f>MOD(K152+J153,360)</f>
        <v>121.879000000004</v>
      </c>
      <c r="N153" s="128">
        <v>99.0</v>
      </c>
      <c r="O153" s="130">
        <v>2.017</v>
      </c>
      <c r="P153" s="122"/>
      <c r="Q153" s="152">
        <v>99.0</v>
      </c>
      <c r="R153" s="130">
        <v>0.117</v>
      </c>
      <c r="T153" s="128">
        <v>99.0</v>
      </c>
      <c r="U153" s="151">
        <v>0.017</v>
      </c>
      <c r="V153" s="122"/>
      <c r="W153" s="132">
        <v>99.0</v>
      </c>
      <c r="X153" s="130">
        <v>3.867</v>
      </c>
    </row>
    <row r="154" spans="8:8" ht="17.15">
      <c r="A154" s="115">
        <v>2890.0</v>
      </c>
      <c r="B154" s="115">
        <v>40.083</v>
      </c>
      <c r="C154" s="123">
        <f>MOD(C153+B154,168)</f>
        <v>46.18599999999978</v>
      </c>
      <c r="D154" s="117">
        <v>80.5</v>
      </c>
      <c r="E154" s="117">
        <f>MOD(E153+D154,360)</f>
        <v>231.55</v>
      </c>
      <c r="F154" s="116">
        <v>252.8</v>
      </c>
      <c r="G154" s="117">
        <f>MOD(G153+F154,360)</f>
        <v>136.4000000000031</v>
      </c>
      <c r="H154" s="116">
        <v>218.0</v>
      </c>
      <c r="I154" s="117">
        <f>MOD(I153+H154,360)</f>
        <v>186.21699999999998</v>
      </c>
      <c r="J154" s="115">
        <v>252.667</v>
      </c>
      <c r="K154" s="117">
        <f>MOD(K153+J154,360)</f>
        <v>14.546000000004028</v>
      </c>
      <c r="N154" s="128">
        <v>100.0</v>
      </c>
      <c r="O154" s="130">
        <v>2.017</v>
      </c>
      <c r="P154" s="122"/>
      <c r="Q154" s="152">
        <v>100.0</v>
      </c>
      <c r="R154" s="130">
        <v>0.117</v>
      </c>
      <c r="T154" s="128">
        <v>100.0</v>
      </c>
      <c r="U154" s="151">
        <v>0.033</v>
      </c>
      <c r="V154" s="122"/>
      <c r="W154" s="132">
        <v>100.0</v>
      </c>
      <c r="X154" s="130">
        <v>3.867</v>
      </c>
    </row>
    <row r="155" spans="8:8" ht="17.15">
      <c r="A155" s="115">
        <v>2900.0</v>
      </c>
      <c r="B155" s="115">
        <v>40.083</v>
      </c>
      <c r="C155" s="123">
        <f>MOD(C154+B155,168)</f>
        <v>86.26899999999978</v>
      </c>
      <c r="D155" s="117">
        <v>80.5</v>
      </c>
      <c r="E155" s="117">
        <f>MOD(E154+D155,360)</f>
        <v>312.05</v>
      </c>
      <c r="F155" s="116">
        <v>252.8</v>
      </c>
      <c r="G155" s="117">
        <f>MOD(G154+F155,360)</f>
        <v>29.200000000003115</v>
      </c>
      <c r="H155" s="116">
        <v>218.0</v>
      </c>
      <c r="I155" s="117">
        <f>MOD(I154+H155,360)</f>
        <v>44.216999999999985</v>
      </c>
      <c r="J155" s="115">
        <v>252.667</v>
      </c>
      <c r="K155" s="117">
        <f>MOD(K154+J155,360)</f>
        <v>267.21300000000406</v>
      </c>
      <c r="N155" s="128">
        <v>101.0</v>
      </c>
      <c r="O155" s="130">
        <v>2.017</v>
      </c>
      <c r="P155" s="122"/>
      <c r="Q155" s="152">
        <v>101.0</v>
      </c>
      <c r="R155" s="130">
        <v>0.117</v>
      </c>
      <c r="T155" s="128">
        <v>101.0</v>
      </c>
      <c r="U155" s="151">
        <v>0.033</v>
      </c>
      <c r="V155" s="122"/>
      <c r="W155" s="132">
        <v>101.0</v>
      </c>
      <c r="X155" s="130">
        <v>3.85</v>
      </c>
    </row>
    <row r="156" spans="8:8" ht="17.15">
      <c r="A156" s="115">
        <v>2910.0</v>
      </c>
      <c r="B156" s="115">
        <v>40.083</v>
      </c>
      <c r="C156" s="123">
        <f>MOD(C155+B156,168)</f>
        <v>126.35199999999978</v>
      </c>
      <c r="D156" s="117">
        <v>80.5</v>
      </c>
      <c r="E156" s="117">
        <f>MOD(E155+D156,360)</f>
        <v>32.55000000000001</v>
      </c>
      <c r="F156" s="116">
        <v>252.8</v>
      </c>
      <c r="G156" s="117">
        <f>MOD(G155+F156,360)</f>
        <v>282.0000000000031</v>
      </c>
      <c r="H156" s="116">
        <v>218.0</v>
      </c>
      <c r="I156" s="117">
        <f>MOD(I155+H156,360)</f>
        <v>262.217</v>
      </c>
      <c r="J156" s="115">
        <v>252.667</v>
      </c>
      <c r="K156" s="117">
        <f>MOD(K155+J156,360)</f>
        <v>159.8800000000041</v>
      </c>
      <c r="N156" s="128">
        <v>102.0</v>
      </c>
      <c r="O156" s="130">
        <v>2.017</v>
      </c>
      <c r="P156" s="122"/>
      <c r="Q156" s="152">
        <v>102.0</v>
      </c>
      <c r="R156" s="130">
        <v>0.117</v>
      </c>
      <c r="T156" s="128">
        <v>102.0</v>
      </c>
      <c r="U156" s="151">
        <v>0.05</v>
      </c>
      <c r="V156" s="122"/>
      <c r="W156" s="132">
        <v>102.0</v>
      </c>
      <c r="X156" s="130">
        <v>3.85</v>
      </c>
    </row>
    <row r="157" spans="8:8" ht="17.15">
      <c r="A157" s="115">
        <v>2920.0</v>
      </c>
      <c r="B157" s="115">
        <v>40.083</v>
      </c>
      <c r="C157" s="123">
        <f>MOD(C156+B157,168)</f>
        <v>166.43499999999977</v>
      </c>
      <c r="D157" s="117">
        <v>80.5</v>
      </c>
      <c r="E157" s="117">
        <f>MOD(E156+D157,360)</f>
        <v>113.05000000000001</v>
      </c>
      <c r="F157" s="116">
        <v>252.8</v>
      </c>
      <c r="G157" s="117">
        <f>MOD(G156+F157,360)</f>
        <v>174.80000000000314</v>
      </c>
      <c r="H157" s="116">
        <v>218.0</v>
      </c>
      <c r="I157" s="117">
        <f>MOD(I156+H157,360)</f>
        <v>120.21699999999998</v>
      </c>
      <c r="J157" s="115">
        <v>252.667</v>
      </c>
      <c r="K157" s="117">
        <f>MOD(K156+J157,360)</f>
        <v>52.54700000000412</v>
      </c>
      <c r="N157" s="128">
        <v>103.0</v>
      </c>
      <c r="O157" s="130">
        <v>1.983</v>
      </c>
      <c r="P157" s="122"/>
      <c r="Q157" s="152">
        <v>103.0</v>
      </c>
      <c r="R157" s="130">
        <v>0.117</v>
      </c>
      <c r="T157" s="128">
        <v>103.0</v>
      </c>
      <c r="U157" s="151">
        <v>0.067</v>
      </c>
      <c r="V157" s="122"/>
      <c r="W157" s="132">
        <v>103.0</v>
      </c>
      <c r="X157" s="130">
        <v>3.85</v>
      </c>
    </row>
    <row r="158" spans="8:8" ht="17.15">
      <c r="A158" s="115">
        <v>2930.0</v>
      </c>
      <c r="B158" s="115">
        <v>40.083</v>
      </c>
      <c r="C158" s="123">
        <f>MOD(C157+B158,168)</f>
        <v>38.51799999999977</v>
      </c>
      <c r="D158" s="117">
        <v>80.5</v>
      </c>
      <c r="E158" s="117">
        <f>MOD(E157+D158,360)</f>
        <v>193.55</v>
      </c>
      <c r="F158" s="116">
        <v>252.8</v>
      </c>
      <c r="G158" s="117">
        <f>MOD(G157+F158,360)</f>
        <v>67.60000000000315</v>
      </c>
      <c r="H158" s="116">
        <v>218.0</v>
      </c>
      <c r="I158" s="117">
        <f>MOD(I157+H158,360)</f>
        <v>338.217</v>
      </c>
      <c r="J158" s="115">
        <v>252.667</v>
      </c>
      <c r="K158" s="117">
        <f>MOD(K157+J158,360)</f>
        <v>305.21400000000415</v>
      </c>
      <c r="N158" s="128">
        <v>104.0</v>
      </c>
      <c r="O158" s="130">
        <v>1.983</v>
      </c>
      <c r="P158" s="122"/>
      <c r="Q158" s="152">
        <v>104.0</v>
      </c>
      <c r="R158" s="130">
        <v>0.117</v>
      </c>
      <c r="T158" s="128">
        <v>104.0</v>
      </c>
      <c r="U158" s="151">
        <v>0.083</v>
      </c>
      <c r="V158" s="122"/>
      <c r="W158" s="132">
        <v>104.0</v>
      </c>
      <c r="X158" s="130">
        <v>3.833</v>
      </c>
    </row>
    <row r="159" spans="8:8" ht="17.15">
      <c r="A159" s="115">
        <v>2940.0</v>
      </c>
      <c r="B159" s="115">
        <v>40.083</v>
      </c>
      <c r="C159" s="123">
        <f>MOD(C158+B159,168)</f>
        <v>78.60099999999977</v>
      </c>
      <c r="D159" s="117">
        <v>80.5</v>
      </c>
      <c r="E159" s="117">
        <f>MOD(E158+D159,360)</f>
        <v>274.05</v>
      </c>
      <c r="F159" s="116">
        <v>252.8</v>
      </c>
      <c r="G159" s="117">
        <f>MOD(G158+F159,360)</f>
        <v>320.40000000000316</v>
      </c>
      <c r="H159" s="116">
        <v>218.0</v>
      </c>
      <c r="I159" s="117">
        <f>MOD(I158+H159,360)</f>
        <v>196.21699999999998</v>
      </c>
      <c r="J159" s="115">
        <v>252.667</v>
      </c>
      <c r="K159" s="117">
        <f>MOD(K158+J159,360)</f>
        <v>197.88100000000418</v>
      </c>
      <c r="N159" s="128">
        <v>105.0</v>
      </c>
      <c r="O159" s="130">
        <v>1.983</v>
      </c>
      <c r="P159" s="122"/>
      <c r="Q159" s="152">
        <v>105.0</v>
      </c>
      <c r="R159" s="130">
        <v>0.117</v>
      </c>
      <c r="T159" s="128">
        <v>105.0</v>
      </c>
      <c r="U159" s="151">
        <v>0.1</v>
      </c>
      <c r="V159" s="122"/>
      <c r="W159" s="132">
        <v>105.0</v>
      </c>
      <c r="X159" s="130">
        <v>3.833</v>
      </c>
    </row>
    <row r="160" spans="8:8" ht="17.15">
      <c r="A160" s="115">
        <v>2950.0</v>
      </c>
      <c r="B160" s="115">
        <v>40.083</v>
      </c>
      <c r="C160" s="123">
        <f>MOD(C159+B160,168)</f>
        <v>118.68399999999977</v>
      </c>
      <c r="D160" s="117">
        <v>80.5</v>
      </c>
      <c r="E160" s="117">
        <f>MOD(E159+D160,360)</f>
        <v>354.55</v>
      </c>
      <c r="F160" s="116">
        <v>252.8</v>
      </c>
      <c r="G160" s="117">
        <f>MOD(G159+F160,360)</f>
        <v>213.20000000000323</v>
      </c>
      <c r="H160" s="116">
        <v>218.0</v>
      </c>
      <c r="I160" s="117">
        <f>MOD(I159+H160,360)</f>
        <v>54.216999999999985</v>
      </c>
      <c r="J160" s="115">
        <v>252.667</v>
      </c>
      <c r="K160" s="117">
        <f>MOD(K159+J160,360)</f>
        <v>90.54800000000421</v>
      </c>
      <c r="N160" s="128">
        <v>106.0</v>
      </c>
      <c r="O160" s="130">
        <v>1.983</v>
      </c>
      <c r="P160" s="122"/>
      <c r="Q160" s="152">
        <v>106.0</v>
      </c>
      <c r="R160" s="130">
        <v>0.117</v>
      </c>
      <c r="T160" s="128">
        <v>106.0</v>
      </c>
      <c r="U160" s="151">
        <v>0.117</v>
      </c>
      <c r="V160" s="122"/>
      <c r="W160" s="132">
        <v>106.0</v>
      </c>
      <c r="X160" s="130">
        <v>3.817</v>
      </c>
    </row>
    <row r="161" spans="8:8" ht="17.15">
      <c r="A161" s="115">
        <v>2960.0</v>
      </c>
      <c r="B161" s="115">
        <v>40.083</v>
      </c>
      <c r="C161" s="123">
        <f>MOD(C160+B161,168)</f>
        <v>158.76699999999977</v>
      </c>
      <c r="D161" s="117">
        <v>80.5</v>
      </c>
      <c r="E161" s="117">
        <f>MOD(E160+D161,360)</f>
        <v>75.05000000000001</v>
      </c>
      <c r="F161" s="116">
        <v>252.8</v>
      </c>
      <c r="G161" s="117">
        <f>MOD(G160+F161,360)</f>
        <v>106.00000000000324</v>
      </c>
      <c r="H161" s="116">
        <v>218.0</v>
      </c>
      <c r="I161" s="117">
        <f>MOD(I160+H161,360)</f>
        <v>272.217</v>
      </c>
      <c r="J161" s="115">
        <v>252.667</v>
      </c>
      <c r="K161" s="117">
        <f>MOD(K160+J161,360)</f>
        <v>343.21500000000424</v>
      </c>
      <c r="N161" s="128">
        <v>107.0</v>
      </c>
      <c r="O161" s="130">
        <v>1.983</v>
      </c>
      <c r="P161" s="122"/>
      <c r="Q161" s="152">
        <v>107.0</v>
      </c>
      <c r="R161" s="130">
        <v>0.117</v>
      </c>
      <c r="T161" s="128">
        <v>107.0</v>
      </c>
      <c r="U161" s="151">
        <v>0.133</v>
      </c>
      <c r="V161" s="122"/>
      <c r="W161" s="132">
        <v>107.0</v>
      </c>
      <c r="X161" s="130">
        <v>3.8</v>
      </c>
    </row>
    <row r="162" spans="8:8" ht="17.15">
      <c r="A162" s="115">
        <v>2970.0</v>
      </c>
      <c r="B162" s="115">
        <v>40.083</v>
      </c>
      <c r="C162" s="123">
        <f>MOD(C161+B162,168)</f>
        <v>30.849999999999767</v>
      </c>
      <c r="D162" s="117">
        <v>80.5</v>
      </c>
      <c r="E162" s="117">
        <f>MOD(E161+D162,360)</f>
        <v>155.55</v>
      </c>
      <c r="F162" s="116">
        <v>252.8</v>
      </c>
      <c r="G162" s="117">
        <f>MOD(G161+F162,360)</f>
        <v>358.80000000000325</v>
      </c>
      <c r="H162" s="116">
        <v>218.0</v>
      </c>
      <c r="I162" s="117">
        <f>MOD(I161+H162,360)</f>
        <v>130.21699999999998</v>
      </c>
      <c r="J162" s="115">
        <v>252.667</v>
      </c>
      <c r="K162" s="117">
        <f>MOD(K161+J162,360)</f>
        <v>235.88200000000427</v>
      </c>
      <c r="N162" s="128">
        <v>108.0</v>
      </c>
      <c r="O162" s="130">
        <v>1.95</v>
      </c>
      <c r="P162" s="122"/>
      <c r="Q162" s="152">
        <v>108.0</v>
      </c>
      <c r="R162" s="130">
        <v>0.1</v>
      </c>
      <c r="T162" s="128">
        <v>108.0</v>
      </c>
      <c r="U162" s="151">
        <v>0.15</v>
      </c>
      <c r="V162" s="122"/>
      <c r="W162" s="132">
        <v>108.0</v>
      </c>
      <c r="X162" s="130">
        <v>3.8</v>
      </c>
    </row>
    <row r="163" spans="8:8" ht="17.15">
      <c r="A163" s="115">
        <v>2980.0</v>
      </c>
      <c r="B163" s="115">
        <v>40.083</v>
      </c>
      <c r="C163" s="123">
        <f>MOD(C162+B163,168)</f>
        <v>70.93299999999977</v>
      </c>
      <c r="D163" s="117">
        <v>80.5</v>
      </c>
      <c r="E163" s="117">
        <f>MOD(E162+D163,360)</f>
        <v>236.05</v>
      </c>
      <c r="F163" s="116">
        <v>252.8</v>
      </c>
      <c r="G163" s="117">
        <f>MOD(G162+F163,360)</f>
        <v>251.60000000000332</v>
      </c>
      <c r="H163" s="116">
        <v>218.0</v>
      </c>
      <c r="I163" s="117">
        <f>MOD(I162+H163,360)</f>
        <v>348.217</v>
      </c>
      <c r="J163" s="115">
        <v>252.667</v>
      </c>
      <c r="K163" s="117">
        <f>MOD(K162+J163,360)</f>
        <v>128.5490000000043</v>
      </c>
      <c r="N163" s="128">
        <v>109.0</v>
      </c>
      <c r="O163" s="130">
        <v>1.95</v>
      </c>
      <c r="P163" s="122"/>
      <c r="Q163" s="152">
        <v>109.0</v>
      </c>
      <c r="R163" s="130">
        <v>0.1</v>
      </c>
      <c r="T163" s="128">
        <v>109.0</v>
      </c>
      <c r="U163" s="151">
        <v>0.167</v>
      </c>
      <c r="V163" s="122"/>
      <c r="W163" s="132">
        <v>109.0</v>
      </c>
      <c r="X163" s="130">
        <v>3.783</v>
      </c>
    </row>
    <row r="164" spans="8:8" ht="17.15">
      <c r="A164" s="115">
        <v>2990.0</v>
      </c>
      <c r="B164" s="115">
        <v>40.083</v>
      </c>
      <c r="C164" s="123">
        <f>MOD(C163+B164,168)</f>
        <v>111.01599999999976</v>
      </c>
      <c r="D164" s="117">
        <v>80.5</v>
      </c>
      <c r="E164" s="117">
        <f>MOD(E163+D164,360)</f>
        <v>316.55</v>
      </c>
      <c r="F164" s="116">
        <v>252.8</v>
      </c>
      <c r="G164" s="117">
        <f>MOD(G163+F164,360)</f>
        <v>144.40000000000333</v>
      </c>
      <c r="H164" s="116">
        <v>218.0</v>
      </c>
      <c r="I164" s="117">
        <f>MOD(I163+H164,360)</f>
        <v>206.21699999999998</v>
      </c>
      <c r="J164" s="115">
        <v>252.667</v>
      </c>
      <c r="K164" s="117">
        <f>MOD(K163+J164,360)</f>
        <v>21.21600000000433</v>
      </c>
      <c r="N164" s="128">
        <v>110.0</v>
      </c>
      <c r="O164" s="130">
        <v>1.95</v>
      </c>
      <c r="P164" s="122"/>
      <c r="Q164" s="152">
        <v>110.0</v>
      </c>
      <c r="R164" s="130">
        <v>0.1</v>
      </c>
      <c r="T164" s="128">
        <v>110.0</v>
      </c>
      <c r="U164" s="151">
        <v>0.183</v>
      </c>
      <c r="V164" s="122"/>
      <c r="W164" s="132">
        <v>110.0</v>
      </c>
      <c r="X164" s="130">
        <v>3.783</v>
      </c>
    </row>
    <row r="165" spans="8:8" ht="17.15">
      <c r="A165" s="115">
        <v>3000.0</v>
      </c>
      <c r="B165" s="115">
        <v>40.083</v>
      </c>
      <c r="C165" s="123">
        <f>MOD(C164+B165,168)</f>
        <v>151.09899999999976</v>
      </c>
      <c r="D165" s="117">
        <v>80.5</v>
      </c>
      <c r="E165" s="117">
        <f>MOD(E164+D165,360)</f>
        <v>37.05000000000001</v>
      </c>
      <c r="F165" s="116">
        <v>252.8</v>
      </c>
      <c r="G165" s="117">
        <f>MOD(G164+F165,360)</f>
        <v>37.20000000000334</v>
      </c>
      <c r="H165" s="116">
        <v>218.0</v>
      </c>
      <c r="I165" s="117">
        <f>MOD(I164+H165,360)</f>
        <v>64.21699999999998</v>
      </c>
      <c r="J165" s="115">
        <v>252.667</v>
      </c>
      <c r="K165" s="117">
        <f>MOD(K164+J165,360)</f>
        <v>273.88300000000436</v>
      </c>
      <c r="N165" s="128">
        <v>111.0</v>
      </c>
      <c r="O165" s="130">
        <v>1.95</v>
      </c>
      <c r="P165" s="122"/>
      <c r="Q165" s="152">
        <v>111.0</v>
      </c>
      <c r="R165" s="130">
        <v>0.1</v>
      </c>
      <c r="T165" s="128">
        <v>111.0</v>
      </c>
      <c r="U165" s="151">
        <v>0.2</v>
      </c>
      <c r="V165" s="122"/>
      <c r="W165" s="132">
        <v>111.0</v>
      </c>
      <c r="X165" s="130">
        <v>3.767</v>
      </c>
    </row>
    <row r="166" spans="8:8" ht="17.15">
      <c r="A166" s="115">
        <v>3010.0</v>
      </c>
      <c r="B166" s="115">
        <v>40.083</v>
      </c>
      <c r="C166" s="123">
        <f>MOD(C165+B166,168)</f>
        <v>23.18199999999976</v>
      </c>
      <c r="D166" s="117">
        <v>80.5</v>
      </c>
      <c r="E166" s="117">
        <f>MOD(E165+D166,360)</f>
        <v>117.55000000000001</v>
      </c>
      <c r="F166" s="116">
        <v>252.8</v>
      </c>
      <c r="G166" s="117">
        <f>MOD(G165+F166,360)</f>
        <v>290.00000000000335</v>
      </c>
      <c r="H166" s="116">
        <v>218.0</v>
      </c>
      <c r="I166" s="117">
        <f>MOD(I165+H166,360)</f>
        <v>282.217</v>
      </c>
      <c r="J166" s="115">
        <v>252.667</v>
      </c>
      <c r="K166" s="117">
        <f>MOD(K165+J166,360)</f>
        <v>166.5500000000044</v>
      </c>
      <c r="N166" s="128">
        <v>112.0</v>
      </c>
      <c r="O166" s="130">
        <v>1.95</v>
      </c>
      <c r="P166" s="122"/>
      <c r="Q166" s="152">
        <v>112.0</v>
      </c>
      <c r="R166" s="130">
        <v>0.1</v>
      </c>
      <c r="T166" s="128">
        <v>112.0</v>
      </c>
      <c r="U166" s="151">
        <v>0.25</v>
      </c>
      <c r="V166" s="122"/>
      <c r="W166" s="132">
        <v>112.0</v>
      </c>
      <c r="X166" s="130">
        <v>3.75</v>
      </c>
    </row>
    <row r="167" spans="8:8" ht="17.15">
      <c r="A167" s="115">
        <v>3020.0</v>
      </c>
      <c r="B167" s="115">
        <v>40.083</v>
      </c>
      <c r="C167" s="123">
        <f>MOD(C166+B167,168)</f>
        <v>63.26499999999976</v>
      </c>
      <c r="D167" s="117">
        <v>80.5</v>
      </c>
      <c r="E167" s="117">
        <f>MOD(E166+D167,360)</f>
        <v>198.05</v>
      </c>
      <c r="F167" s="116">
        <v>252.8</v>
      </c>
      <c r="G167" s="117">
        <f>MOD(G166+F167,360)</f>
        <v>182.80000000000337</v>
      </c>
      <c r="H167" s="116">
        <v>218.0</v>
      </c>
      <c r="I167" s="117">
        <f>MOD(I166+H167,360)</f>
        <v>140.21699999999998</v>
      </c>
      <c r="J167" s="115">
        <v>252.667</v>
      </c>
      <c r="K167" s="117">
        <f>MOD(K166+J167,360)</f>
        <v>59.21700000000442</v>
      </c>
      <c r="N167" s="128">
        <v>113.0</v>
      </c>
      <c r="O167" s="130">
        <v>1.933</v>
      </c>
      <c r="P167" s="122"/>
      <c r="Q167" s="152">
        <v>113.0</v>
      </c>
      <c r="R167" s="130">
        <v>0.1</v>
      </c>
      <c r="T167" s="128">
        <v>113.0</v>
      </c>
      <c r="U167" s="151">
        <v>0.267</v>
      </c>
      <c r="V167" s="122"/>
      <c r="W167" s="132">
        <v>113.0</v>
      </c>
      <c r="X167" s="130">
        <v>3.75</v>
      </c>
    </row>
    <row r="168" spans="8:8" ht="17.15">
      <c r="A168" s="115">
        <v>3030.0</v>
      </c>
      <c r="B168" s="115">
        <v>40.083</v>
      </c>
      <c r="C168" s="123">
        <f>MOD(C167+B168,168)</f>
        <v>103.34799999999976</v>
      </c>
      <c r="D168" s="117">
        <v>80.5</v>
      </c>
      <c r="E168" s="117">
        <f>MOD(E167+D168,360)</f>
        <v>278.55</v>
      </c>
      <c r="F168" s="116">
        <v>252.8</v>
      </c>
      <c r="G168" s="117">
        <f>MOD(G167+F168,360)</f>
        <v>75.60000000000338</v>
      </c>
      <c r="H168" s="116">
        <v>218.0</v>
      </c>
      <c r="I168" s="117">
        <f>MOD(I167+H168,360)</f>
        <v>358.217</v>
      </c>
      <c r="J168" s="115">
        <v>252.667</v>
      </c>
      <c r="K168" s="117">
        <f>MOD(K167+J168,360)</f>
        <v>311.88400000000445</v>
      </c>
      <c r="N168" s="128">
        <v>114.0</v>
      </c>
      <c r="O168" s="130">
        <v>1.933</v>
      </c>
      <c r="P168" s="122"/>
      <c r="Q168" s="152">
        <v>114.0</v>
      </c>
      <c r="R168" s="130">
        <v>0.1</v>
      </c>
      <c r="T168" s="128">
        <v>114.0</v>
      </c>
      <c r="U168" s="151">
        <v>0.3</v>
      </c>
      <c r="V168" s="122"/>
      <c r="W168" s="132">
        <v>114.0</v>
      </c>
      <c r="X168" s="130">
        <v>3.733</v>
      </c>
    </row>
    <row r="169" spans="8:8" ht="17.15">
      <c r="A169" s="115">
        <v>3040.0</v>
      </c>
      <c r="B169" s="115">
        <v>40.083</v>
      </c>
      <c r="C169" s="123">
        <f>MOD(C168+B169,168)</f>
        <v>143.43099999999976</v>
      </c>
      <c r="D169" s="117">
        <v>80.5</v>
      </c>
      <c r="E169" s="117">
        <f>MOD(E168+D169,360)</f>
        <v>359.05</v>
      </c>
      <c r="F169" s="116">
        <v>252.8</v>
      </c>
      <c r="G169" s="117">
        <f>MOD(G168+F169,360)</f>
        <v>328.4000000000034</v>
      </c>
      <c r="H169" s="116">
        <v>218.0</v>
      </c>
      <c r="I169" s="117">
        <f>MOD(I168+H169,360)</f>
        <v>216.21699999999998</v>
      </c>
      <c r="J169" s="115">
        <v>252.667</v>
      </c>
      <c r="K169" s="117">
        <f>MOD(K168+J169,360)</f>
        <v>204.55100000000448</v>
      </c>
      <c r="N169" s="128">
        <v>115.0</v>
      </c>
      <c r="O169" s="130">
        <v>1.933</v>
      </c>
      <c r="P169" s="122"/>
      <c r="Q169" s="152">
        <v>115.0</v>
      </c>
      <c r="R169" s="130">
        <v>0.1</v>
      </c>
      <c r="T169" s="128">
        <v>115.0</v>
      </c>
      <c r="U169" s="151">
        <v>0.317</v>
      </c>
      <c r="V169" s="122"/>
      <c r="W169" s="132">
        <v>115.0</v>
      </c>
      <c r="X169" s="130">
        <v>3.717</v>
      </c>
    </row>
    <row r="170" spans="8:8" ht="17.15">
      <c r="A170" s="115">
        <v>3050.0</v>
      </c>
      <c r="B170" s="115">
        <v>40.083</v>
      </c>
      <c r="C170" s="123">
        <f>MOD(C169+B170,168)</f>
        <v>15.513999999999754</v>
      </c>
      <c r="D170" s="117">
        <v>80.5</v>
      </c>
      <c r="E170" s="117">
        <f>MOD(E169+D170,360)</f>
        <v>79.55000000000001</v>
      </c>
      <c r="F170" s="116">
        <v>252.8</v>
      </c>
      <c r="G170" s="117">
        <f>MOD(G169+F170,360)</f>
        <v>221.20000000000346</v>
      </c>
      <c r="H170" s="116">
        <v>218.0</v>
      </c>
      <c r="I170" s="117">
        <f>MOD(I169+H170,360)</f>
        <v>74.21699999999998</v>
      </c>
      <c r="J170" s="115">
        <v>252.667</v>
      </c>
      <c r="K170" s="117">
        <f>MOD(K169+J170,360)</f>
        <v>97.21800000000451</v>
      </c>
      <c r="N170" s="128">
        <v>116.0</v>
      </c>
      <c r="O170" s="130">
        <v>1.933</v>
      </c>
      <c r="P170" s="122"/>
      <c r="Q170" s="152">
        <v>116.0</v>
      </c>
      <c r="R170" s="130">
        <v>0.1</v>
      </c>
      <c r="T170" s="128">
        <v>116.0</v>
      </c>
      <c r="U170" s="151">
        <v>0.35</v>
      </c>
      <c r="V170" s="122"/>
      <c r="W170" s="132">
        <v>116.0</v>
      </c>
      <c r="X170" s="130">
        <v>3.717</v>
      </c>
    </row>
    <row r="171" spans="8:8" ht="17.15">
      <c r="A171" s="115">
        <v>3060.0</v>
      </c>
      <c r="B171" s="115">
        <v>40.083</v>
      </c>
      <c r="C171" s="123">
        <f>MOD(C170+B171,168)</f>
        <v>55.59699999999975</v>
      </c>
      <c r="D171" s="117">
        <v>80.5</v>
      </c>
      <c r="E171" s="117">
        <f>MOD(E170+D171,360)</f>
        <v>160.05</v>
      </c>
      <c r="F171" s="116">
        <v>252.8</v>
      </c>
      <c r="G171" s="117">
        <f>MOD(G170+F171,360)</f>
        <v>114.00000000000347</v>
      </c>
      <c r="H171" s="116">
        <v>218.0</v>
      </c>
      <c r="I171" s="117">
        <f>MOD(I170+H171,360)</f>
        <v>292.217</v>
      </c>
      <c r="J171" s="115">
        <v>252.667</v>
      </c>
      <c r="K171" s="117">
        <f>MOD(K170+J171,360)</f>
        <v>349.88500000000454</v>
      </c>
      <c r="N171" s="128">
        <v>117.0</v>
      </c>
      <c r="O171" s="130">
        <v>1.933</v>
      </c>
      <c r="P171" s="122"/>
      <c r="Q171" s="152">
        <v>117.0</v>
      </c>
      <c r="R171" s="130">
        <v>0.1</v>
      </c>
      <c r="T171" s="128">
        <v>117.0</v>
      </c>
      <c r="U171" s="151">
        <v>0.383</v>
      </c>
      <c r="V171" s="122"/>
      <c r="W171" s="132">
        <v>117.0</v>
      </c>
      <c r="X171" s="130">
        <v>3.7</v>
      </c>
    </row>
    <row r="172" spans="8:8" ht="17.15">
      <c r="A172" s="115">
        <v>3070.0</v>
      </c>
      <c r="B172" s="115">
        <v>40.083</v>
      </c>
      <c r="C172" s="123">
        <f>MOD(C171+B172,168)</f>
        <v>95.67999999999975</v>
      </c>
      <c r="D172" s="117">
        <v>80.5</v>
      </c>
      <c r="E172" s="117">
        <f>MOD(E171+D172,360)</f>
        <v>240.55</v>
      </c>
      <c r="F172" s="116">
        <v>252.8</v>
      </c>
      <c r="G172" s="117">
        <f>MOD(G171+F172,360)</f>
        <v>6.800000000003479</v>
      </c>
      <c r="H172" s="116">
        <v>218.0</v>
      </c>
      <c r="I172" s="117">
        <f>MOD(I171+H172,360)</f>
        <v>150.21699999999998</v>
      </c>
      <c r="J172" s="115">
        <v>252.667</v>
      </c>
      <c r="K172" s="117">
        <f>MOD(K171+J172,360)</f>
        <v>242.55200000000457</v>
      </c>
      <c r="N172" s="128">
        <v>118.0</v>
      </c>
      <c r="O172" s="130">
        <v>1.917</v>
      </c>
      <c r="P172" s="122"/>
      <c r="Q172" s="152">
        <v>118.0</v>
      </c>
      <c r="R172" s="130">
        <v>0.1</v>
      </c>
      <c r="T172" s="128">
        <v>118.0</v>
      </c>
      <c r="U172" s="151">
        <v>0.417</v>
      </c>
      <c r="V172" s="122"/>
      <c r="W172" s="132">
        <v>118.0</v>
      </c>
      <c r="X172" s="130">
        <v>3.683</v>
      </c>
    </row>
    <row r="173" spans="8:8" ht="17.15">
      <c r="A173" s="115">
        <v>3080.0</v>
      </c>
      <c r="B173" s="115">
        <v>40.083</v>
      </c>
      <c r="C173" s="123">
        <f>MOD(C172+B173,168)</f>
        <v>135.76299999999975</v>
      </c>
      <c r="D173" s="117">
        <v>80.5</v>
      </c>
      <c r="E173" s="117">
        <f>MOD(E172+D173,360)</f>
        <v>321.05</v>
      </c>
      <c r="F173" s="116">
        <v>252.8</v>
      </c>
      <c r="G173" s="117">
        <f>MOD(G172+F173,360)</f>
        <v>259.6000000000035</v>
      </c>
      <c r="H173" s="116">
        <v>218.0</v>
      </c>
      <c r="I173" s="117">
        <f>MOD(I172+H173,360)</f>
        <v>8.216999999999985</v>
      </c>
      <c r="J173" s="115">
        <v>252.667</v>
      </c>
      <c r="K173" s="117">
        <f>MOD(K172+J173,360)</f>
        <v>135.2190000000046</v>
      </c>
      <c r="N173" s="128">
        <v>119.0</v>
      </c>
      <c r="O173" s="130">
        <v>1.917</v>
      </c>
      <c r="P173" s="122"/>
      <c r="Q173" s="152">
        <v>119.0</v>
      </c>
      <c r="R173" s="130">
        <v>0.1</v>
      </c>
      <c r="T173" s="128">
        <v>119.0</v>
      </c>
      <c r="U173" s="151">
        <v>0.45</v>
      </c>
      <c r="V173" s="122"/>
      <c r="W173" s="132">
        <v>119.0</v>
      </c>
      <c r="X173" s="130">
        <v>3.66</v>
      </c>
    </row>
    <row r="174" spans="8:8" ht="17.15">
      <c r="A174" s="115">
        <v>3090.0</v>
      </c>
      <c r="B174" s="115">
        <v>40.083</v>
      </c>
      <c r="C174" s="123">
        <f>MOD(C173+B174,168)</f>
        <v>7.845999999999748</v>
      </c>
      <c r="D174" s="117">
        <v>80.5</v>
      </c>
      <c r="E174" s="117">
        <f>MOD(E173+D174,360)</f>
        <v>41.55000000000001</v>
      </c>
      <c r="F174" s="116">
        <v>252.8</v>
      </c>
      <c r="G174" s="117">
        <f>MOD(G173+F174,360)</f>
        <v>152.4000000000035</v>
      </c>
      <c r="H174" s="116">
        <v>218.0</v>
      </c>
      <c r="I174" s="117">
        <f>MOD(I173+H174,360)</f>
        <v>226.21699999999998</v>
      </c>
      <c r="J174" s="115">
        <v>252.667</v>
      </c>
      <c r="K174" s="117">
        <f>MOD(K173+J174,360)</f>
        <v>27.88600000000463</v>
      </c>
      <c r="N174" s="128">
        <v>120.0</v>
      </c>
      <c r="O174" s="130">
        <v>1.917</v>
      </c>
      <c r="P174" s="122"/>
      <c r="Q174" s="152">
        <v>120.0</v>
      </c>
      <c r="R174" s="130">
        <v>0.1</v>
      </c>
      <c r="T174" s="128">
        <v>120.0</v>
      </c>
      <c r="U174" s="151">
        <v>0.5</v>
      </c>
      <c r="V174" s="122"/>
      <c r="W174" s="132">
        <v>120.0</v>
      </c>
      <c r="X174" s="130">
        <v>3.65</v>
      </c>
    </row>
    <row r="175" spans="8:8" ht="17.15">
      <c r="A175" s="115">
        <v>3100.0</v>
      </c>
      <c r="B175" s="115">
        <v>40.083</v>
      </c>
      <c r="C175" s="123">
        <f>MOD(C174+B175,168)</f>
        <v>47.928999999999746</v>
      </c>
      <c r="D175" s="117">
        <v>80.5</v>
      </c>
      <c r="E175" s="117">
        <f>MOD(E174+D175,360)</f>
        <v>122.05000000000001</v>
      </c>
      <c r="F175" s="116">
        <v>252.8</v>
      </c>
      <c r="G175" s="117">
        <f>MOD(G174+F175,360)</f>
        <v>45.20000000000351</v>
      </c>
      <c r="H175" s="116">
        <v>218.0</v>
      </c>
      <c r="I175" s="117">
        <f>MOD(I174+H175,360)</f>
        <v>84.21699999999998</v>
      </c>
      <c r="J175" s="115">
        <v>252.667</v>
      </c>
      <c r="K175" s="117">
        <f>MOD(K174+J175,360)</f>
        <v>280.55300000000466</v>
      </c>
      <c r="N175" s="128">
        <v>121.0</v>
      </c>
      <c r="O175" s="130">
        <v>1.917</v>
      </c>
      <c r="P175" s="122"/>
      <c r="Q175" s="152">
        <v>121.0</v>
      </c>
      <c r="R175" s="130">
        <v>0.1</v>
      </c>
      <c r="T175" s="128">
        <v>121.0</v>
      </c>
      <c r="U175" s="151">
        <v>0.533</v>
      </c>
      <c r="V175" s="122"/>
      <c r="W175" s="132">
        <v>121.0</v>
      </c>
      <c r="X175" s="130">
        <v>3.633</v>
      </c>
    </row>
    <row r="176" spans="8:8" ht="17.15">
      <c r="A176" s="115">
        <v>3110.0</v>
      </c>
      <c r="B176" s="115">
        <v>40.083</v>
      </c>
      <c r="C176" s="123">
        <f>MOD(C175+B176,168)</f>
        <v>88.01199999999974</v>
      </c>
      <c r="D176" s="117">
        <v>80.5</v>
      </c>
      <c r="E176" s="117">
        <f>MOD(E175+D176,360)</f>
        <v>202.55</v>
      </c>
      <c r="F176" s="116">
        <v>252.8</v>
      </c>
      <c r="G176" s="117">
        <f>MOD(G175+F176,360)</f>
        <v>298.0000000000035</v>
      </c>
      <c r="H176" s="116">
        <v>218.0</v>
      </c>
      <c r="I176" s="117">
        <f>MOD(I175+H176,360)</f>
        <v>302.217</v>
      </c>
      <c r="J176" s="115">
        <v>252.667</v>
      </c>
      <c r="K176" s="117">
        <f>MOD(K175+J176,360)</f>
        <v>173.2200000000047</v>
      </c>
      <c r="N176" s="128">
        <v>122.0</v>
      </c>
      <c r="O176" s="130">
        <v>1.917</v>
      </c>
      <c r="P176" s="122"/>
      <c r="Q176" s="152">
        <v>122.0</v>
      </c>
      <c r="R176" s="130">
        <v>0.1</v>
      </c>
      <c r="T176" s="128">
        <v>122.0</v>
      </c>
      <c r="U176" s="151">
        <v>0.583</v>
      </c>
      <c r="V176" s="122"/>
      <c r="W176" s="132">
        <v>122.0</v>
      </c>
      <c r="X176" s="130">
        <v>3.617</v>
      </c>
    </row>
    <row r="177" spans="8:8" ht="17.15">
      <c r="A177" s="115">
        <v>3120.0</v>
      </c>
      <c r="B177" s="115">
        <v>40.083</v>
      </c>
      <c r="C177" s="123">
        <f>MOD(C176+B177,168)</f>
        <v>128.09499999999974</v>
      </c>
      <c r="D177" s="117">
        <v>80.5</v>
      </c>
      <c r="E177" s="117">
        <f>MOD(E176+D177,360)</f>
        <v>283.05</v>
      </c>
      <c r="F177" s="116">
        <v>252.8</v>
      </c>
      <c r="G177" s="117">
        <f>MOD(G176+F177,360)</f>
        <v>190.8000000000036</v>
      </c>
      <c r="H177" s="116">
        <v>218.0</v>
      </c>
      <c r="I177" s="117">
        <f>MOD(I176+H177,360)</f>
        <v>160.21699999999998</v>
      </c>
      <c r="J177" s="115">
        <v>252.667</v>
      </c>
      <c r="K177" s="117">
        <f>MOD(K176+J177,360)</f>
        <v>65.88700000000472</v>
      </c>
      <c r="N177" s="128">
        <v>123.0</v>
      </c>
      <c r="O177" s="130">
        <v>1.9</v>
      </c>
      <c r="P177" s="122"/>
      <c r="Q177" s="152">
        <v>123.0</v>
      </c>
      <c r="R177" s="130">
        <v>0.083</v>
      </c>
      <c r="T177" s="128">
        <v>123.0</v>
      </c>
      <c r="U177" s="151">
        <v>0.617</v>
      </c>
      <c r="V177" s="122"/>
      <c r="W177" s="132">
        <v>123.0</v>
      </c>
      <c r="X177" s="130">
        <v>3.6</v>
      </c>
    </row>
    <row r="178" spans="8:8" ht="17.15">
      <c r="A178" s="115">
        <v>3130.0</v>
      </c>
      <c r="B178" s="115">
        <v>40.083</v>
      </c>
      <c r="C178" s="123">
        <f>MOD(C177+B178,168)</f>
        <v>0.17799999999974148</v>
      </c>
      <c r="D178" s="117">
        <v>80.5</v>
      </c>
      <c r="E178" s="117">
        <f>MOD(E177+D178,360)</f>
        <v>3.5500000000000114</v>
      </c>
      <c r="F178" s="116">
        <v>252.8</v>
      </c>
      <c r="G178" s="117">
        <f>MOD(G177+F178,360)</f>
        <v>83.6000000000036</v>
      </c>
      <c r="H178" s="116">
        <v>218.0</v>
      </c>
      <c r="I178" s="117">
        <f>MOD(I177+H178,360)</f>
        <v>18.216999999999985</v>
      </c>
      <c r="J178" s="115">
        <v>252.667</v>
      </c>
      <c r="K178" s="117">
        <f>MOD(K177+J178,360)</f>
        <v>318.55400000000475</v>
      </c>
      <c r="N178" s="128">
        <v>124.0</v>
      </c>
      <c r="O178" s="130">
        <v>1.9</v>
      </c>
      <c r="P178" s="122"/>
      <c r="Q178" s="152">
        <v>124.0</v>
      </c>
      <c r="R178" s="130">
        <v>0.083</v>
      </c>
      <c r="T178" s="128">
        <v>124.0</v>
      </c>
      <c r="U178" s="151">
        <v>0.667</v>
      </c>
      <c r="V178" s="122"/>
      <c r="W178" s="132">
        <v>124.0</v>
      </c>
      <c r="X178" s="130">
        <v>3.583</v>
      </c>
    </row>
    <row r="179" spans="8:8" ht="17.15">
      <c r="A179" s="115">
        <v>3140.0</v>
      </c>
      <c r="B179" s="115">
        <v>40.083</v>
      </c>
      <c r="C179" s="123">
        <f>MOD(C178+B179,168)</f>
        <v>40.26099999999974</v>
      </c>
      <c r="D179" s="117">
        <v>80.5</v>
      </c>
      <c r="E179" s="117">
        <f>MOD(E178+D179,360)</f>
        <v>84.05000000000001</v>
      </c>
      <c r="F179" s="116">
        <v>252.8</v>
      </c>
      <c r="G179" s="117">
        <f>MOD(G178+F179,360)</f>
        <v>336.4000000000036</v>
      </c>
      <c r="H179" s="116">
        <v>218.0</v>
      </c>
      <c r="I179" s="117">
        <f>MOD(I178+H179,360)</f>
        <v>236.21699999999998</v>
      </c>
      <c r="J179" s="115">
        <v>252.667</v>
      </c>
      <c r="K179" s="117">
        <f>MOD(K178+J179,360)</f>
        <v>211.22100000000478</v>
      </c>
      <c r="N179" s="128">
        <v>125.0</v>
      </c>
      <c r="O179" s="130">
        <v>1.9</v>
      </c>
      <c r="P179" s="122"/>
      <c r="Q179" s="152">
        <v>125.0</v>
      </c>
      <c r="R179" s="130">
        <v>0.083</v>
      </c>
      <c r="T179" s="128">
        <v>125.0</v>
      </c>
      <c r="U179" s="151">
        <v>0.717</v>
      </c>
      <c r="V179" s="122"/>
      <c r="W179" s="132">
        <v>125.0</v>
      </c>
      <c r="X179" s="130">
        <v>3.567</v>
      </c>
    </row>
    <row r="180" spans="8:8" ht="17.15">
      <c r="A180" s="115">
        <v>3150.0</v>
      </c>
      <c r="B180" s="115">
        <v>40.083</v>
      </c>
      <c r="C180" s="123">
        <f>MOD(C179+B180,168)</f>
        <v>80.34399999999974</v>
      </c>
      <c r="D180" s="117">
        <v>80.5</v>
      </c>
      <c r="E180" s="117">
        <f>MOD(E179+D180,360)</f>
        <v>164.55</v>
      </c>
      <c r="F180" s="116">
        <v>252.8</v>
      </c>
      <c r="G180" s="117">
        <f>MOD(G179+F180,360)</f>
        <v>229.20000000000368</v>
      </c>
      <c r="H180" s="116">
        <v>218.0</v>
      </c>
      <c r="I180" s="117">
        <f>MOD(I179+H180,360)</f>
        <v>94.21699999999998</v>
      </c>
      <c r="J180" s="115">
        <v>252.667</v>
      </c>
      <c r="K180" s="117">
        <f>MOD(K179+J180,360)</f>
        <v>103.88800000000481</v>
      </c>
      <c r="N180" s="128">
        <v>126.0</v>
      </c>
      <c r="O180" s="130">
        <v>1.9</v>
      </c>
      <c r="P180" s="122"/>
      <c r="Q180" s="152">
        <v>126.0</v>
      </c>
      <c r="R180" s="130">
        <v>0.083</v>
      </c>
      <c r="T180" s="128">
        <v>126.0</v>
      </c>
      <c r="U180" s="151">
        <v>0.767</v>
      </c>
      <c r="V180" s="122"/>
      <c r="W180" s="132">
        <v>126.0</v>
      </c>
      <c r="X180" s="130">
        <v>3.55</v>
      </c>
    </row>
    <row r="181" spans="8:8" ht="17.15">
      <c r="A181" s="115">
        <v>3160.0</v>
      </c>
      <c r="B181" s="115">
        <v>40.083</v>
      </c>
      <c r="C181" s="123">
        <f>MOD(C180+B181,168)</f>
        <v>120.42699999999974</v>
      </c>
      <c r="D181" s="117">
        <v>80.5</v>
      </c>
      <c r="E181" s="117">
        <f>MOD(E180+D181,360)</f>
        <v>245.05</v>
      </c>
      <c r="F181" s="116">
        <v>252.8</v>
      </c>
      <c r="G181" s="117">
        <f>MOD(G180+F181,360)</f>
        <v>122.0000000000037</v>
      </c>
      <c r="H181" s="116">
        <v>218.0</v>
      </c>
      <c r="I181" s="117">
        <f>MOD(I180+H181,360)</f>
        <v>312.217</v>
      </c>
      <c r="J181" s="115">
        <v>252.667</v>
      </c>
      <c r="K181" s="117">
        <f>MOD(K180+J181,360)</f>
        <v>356.55500000000484</v>
      </c>
      <c r="N181" s="128">
        <v>127.0</v>
      </c>
      <c r="O181" s="130">
        <v>1.9</v>
      </c>
      <c r="P181" s="122"/>
      <c r="Q181" s="152">
        <v>127.0</v>
      </c>
      <c r="R181" s="130">
        <v>0.083</v>
      </c>
      <c r="T181" s="128">
        <v>127.0</v>
      </c>
      <c r="U181" s="151">
        <v>0.817</v>
      </c>
      <c r="V181" s="122"/>
      <c r="W181" s="132">
        <v>127.0</v>
      </c>
      <c r="X181" s="130">
        <v>3.533</v>
      </c>
    </row>
    <row r="182" spans="8:8" ht="17.15">
      <c r="A182" s="115">
        <v>3170.0</v>
      </c>
      <c r="B182" s="115">
        <v>40.083</v>
      </c>
      <c r="C182" s="123">
        <f>MOD(C181+B182,168)</f>
        <v>160.50999999999974</v>
      </c>
      <c r="D182" s="117">
        <v>80.5</v>
      </c>
      <c r="E182" s="117">
        <f>MOD(E181+D182,360)</f>
        <v>325.55</v>
      </c>
      <c r="F182" s="116">
        <v>252.8</v>
      </c>
      <c r="G182" s="117">
        <f>MOD(G181+F182,360)</f>
        <v>14.800000000003706</v>
      </c>
      <c r="H182" s="116">
        <v>218.0</v>
      </c>
      <c r="I182" s="117">
        <f>MOD(I181+H182,360)</f>
        <v>170.21699999999998</v>
      </c>
      <c r="J182" s="115">
        <v>252.667</v>
      </c>
      <c r="K182" s="117">
        <f>MOD(K181+J182,360)</f>
        <v>249.22200000000487</v>
      </c>
      <c r="N182" s="128">
        <v>128.0</v>
      </c>
      <c r="O182" s="130">
        <v>1.883</v>
      </c>
      <c r="P182" s="122"/>
      <c r="Q182" s="152">
        <v>128.0</v>
      </c>
      <c r="R182" s="130">
        <v>0.1</v>
      </c>
      <c r="T182" s="128">
        <v>128.0</v>
      </c>
      <c r="U182" s="151">
        <v>0.867</v>
      </c>
      <c r="V182" s="122"/>
      <c r="W182" s="132">
        <v>128.0</v>
      </c>
      <c r="X182" s="130">
        <v>3.5</v>
      </c>
    </row>
    <row r="183" spans="8:8" ht="17.15">
      <c r="A183" s="115">
        <v>3180.0</v>
      </c>
      <c r="B183" s="115">
        <v>40.083</v>
      </c>
      <c r="C183" s="123">
        <f>MOD(C182+B183,168)</f>
        <v>32.59299999999973</v>
      </c>
      <c r="D183" s="117">
        <v>80.5</v>
      </c>
      <c r="E183" s="117">
        <f>MOD(E182+D183,360)</f>
        <v>46.05000000000001</v>
      </c>
      <c r="F183" s="116">
        <v>252.8</v>
      </c>
      <c r="G183" s="117">
        <f>MOD(G182+F183,360)</f>
        <v>267.6000000000037</v>
      </c>
      <c r="H183" s="116">
        <v>218.0</v>
      </c>
      <c r="I183" s="117">
        <f>MOD(I182+H183,360)</f>
        <v>28.216999999999985</v>
      </c>
      <c r="J183" s="115">
        <v>252.667</v>
      </c>
      <c r="K183" s="117">
        <f>MOD(K182+J183,360)</f>
        <v>141.8890000000049</v>
      </c>
      <c r="N183" s="128">
        <v>129.0</v>
      </c>
      <c r="O183" s="130">
        <v>1.883</v>
      </c>
      <c r="P183" s="122"/>
      <c r="Q183" s="152">
        <v>129.0</v>
      </c>
      <c r="R183" s="130">
        <v>0.1</v>
      </c>
      <c r="T183" s="128">
        <v>129.0</v>
      </c>
      <c r="U183" s="151">
        <v>0.917</v>
      </c>
      <c r="V183" s="122"/>
      <c r="W183" s="132">
        <v>129.0</v>
      </c>
      <c r="X183" s="130">
        <v>3.483</v>
      </c>
    </row>
    <row r="184" spans="8:8" ht="17.15">
      <c r="A184" s="115">
        <v>3190.0</v>
      </c>
      <c r="B184" s="115">
        <v>40.083</v>
      </c>
      <c r="C184" s="123">
        <f>MOD(C183+B184,168)</f>
        <v>72.67599999999973</v>
      </c>
      <c r="D184" s="117">
        <v>80.5</v>
      </c>
      <c r="E184" s="117">
        <f>MOD(E183+D184,360)</f>
        <v>126.55000000000001</v>
      </c>
      <c r="F184" s="116">
        <v>252.8</v>
      </c>
      <c r="G184" s="117">
        <f>MOD(G183+F184,360)</f>
        <v>160.40000000000373</v>
      </c>
      <c r="H184" s="116">
        <v>218.0</v>
      </c>
      <c r="I184" s="117">
        <f>MOD(I183+H184,360)</f>
        <v>246.21699999999998</v>
      </c>
      <c r="J184" s="115">
        <v>252.667</v>
      </c>
      <c r="K184" s="117">
        <f>MOD(K183+J184,360)</f>
        <v>34.55600000000493</v>
      </c>
      <c r="N184" s="128">
        <v>130.0</v>
      </c>
      <c r="O184" s="130">
        <v>1.883</v>
      </c>
      <c r="P184" s="122"/>
      <c r="Q184" s="152">
        <v>130.0</v>
      </c>
      <c r="R184" s="130">
        <v>0.1</v>
      </c>
      <c r="T184" s="128">
        <v>130.0</v>
      </c>
      <c r="U184" s="151">
        <v>0.967</v>
      </c>
      <c r="V184" s="122"/>
      <c r="W184" s="132">
        <v>130.0</v>
      </c>
      <c r="X184" s="130">
        <v>3.467</v>
      </c>
    </row>
    <row r="185" spans="8:8" ht="17.15">
      <c r="A185" s="115">
        <v>3200.0</v>
      </c>
      <c r="B185" s="115">
        <v>40.083</v>
      </c>
      <c r="C185" s="123">
        <f>MOD(C184+B185,168)</f>
        <v>112.75899999999973</v>
      </c>
      <c r="D185" s="117">
        <v>80.5</v>
      </c>
      <c r="E185" s="117">
        <f>MOD(E184+D185,360)</f>
        <v>207.05</v>
      </c>
      <c r="F185" s="116">
        <v>252.8</v>
      </c>
      <c r="G185" s="117">
        <f>MOD(G184+F185,360)</f>
        <v>53.20000000000374</v>
      </c>
      <c r="H185" s="116">
        <v>218.0</v>
      </c>
      <c r="I185" s="117">
        <f>MOD(I184+H185,360)</f>
        <v>104.21699999999998</v>
      </c>
      <c r="J185" s="115">
        <v>252.667</v>
      </c>
      <c r="K185" s="117">
        <f>MOD(K184+J185,360)</f>
        <v>287.22300000000496</v>
      </c>
      <c r="N185" s="128">
        <v>131.0</v>
      </c>
      <c r="O185" s="130">
        <v>1.883</v>
      </c>
      <c r="P185" s="122"/>
      <c r="Q185" s="152">
        <v>131.0</v>
      </c>
      <c r="R185" s="130">
        <v>0.1</v>
      </c>
      <c r="T185" s="128">
        <v>131.0</v>
      </c>
      <c r="U185" s="151">
        <v>1.033</v>
      </c>
      <c r="V185" s="122"/>
      <c r="W185" s="132">
        <v>131.0</v>
      </c>
      <c r="X185" s="130">
        <v>3.45</v>
      </c>
    </row>
    <row r="186" spans="8:8" ht="17.15">
      <c r="A186" s="115">
        <v>3210.0</v>
      </c>
      <c r="B186" s="115">
        <v>40.083</v>
      </c>
      <c r="C186" s="123">
        <f>MOD(C185+B186,168)</f>
        <v>152.84199999999973</v>
      </c>
      <c r="D186" s="117">
        <v>80.5</v>
      </c>
      <c r="E186" s="117">
        <f>MOD(E185+D186,360)</f>
        <v>287.55</v>
      </c>
      <c r="F186" s="116">
        <v>252.8</v>
      </c>
      <c r="G186" s="117">
        <f>MOD(G185+F186,360)</f>
        <v>306.00000000000375</v>
      </c>
      <c r="H186" s="116">
        <v>218.0</v>
      </c>
      <c r="I186" s="117">
        <f>MOD(I185+H186,360)</f>
        <v>322.217</v>
      </c>
      <c r="J186" s="115">
        <v>252.667</v>
      </c>
      <c r="K186" s="117">
        <f>MOD(K185+J186,360)</f>
        <v>179.890000000005</v>
      </c>
      <c r="N186" s="128">
        <v>132.0</v>
      </c>
      <c r="O186" s="130">
        <v>1.883</v>
      </c>
      <c r="P186" s="122"/>
      <c r="Q186" s="152">
        <v>132.0</v>
      </c>
      <c r="R186" s="130">
        <v>0.1</v>
      </c>
      <c r="T186" s="128">
        <v>132.0</v>
      </c>
      <c r="U186" s="151">
        <v>1.083</v>
      </c>
      <c r="V186" s="122"/>
      <c r="W186" s="132">
        <v>132.0</v>
      </c>
      <c r="X186" s="130">
        <v>3.417</v>
      </c>
    </row>
    <row r="187" spans="8:8" ht="17.15">
      <c r="A187" s="115">
        <v>3220.0</v>
      </c>
      <c r="B187" s="115">
        <v>40.083</v>
      </c>
      <c r="C187" s="123">
        <f>MOD(C186+B187,168)</f>
        <v>24.924999999999727</v>
      </c>
      <c r="D187" s="117">
        <v>80.5</v>
      </c>
      <c r="E187" s="117">
        <f>MOD(E186+D187,360)</f>
        <v>8.050000000000011</v>
      </c>
      <c r="F187" s="116">
        <v>252.8</v>
      </c>
      <c r="G187" s="117">
        <f>MOD(G186+F187,360)</f>
        <v>198.80000000000382</v>
      </c>
      <c r="H187" s="116">
        <v>218.0</v>
      </c>
      <c r="I187" s="117">
        <f>MOD(I186+H187,360)</f>
        <v>180.21699999999998</v>
      </c>
      <c r="J187" s="115">
        <v>252.667</v>
      </c>
      <c r="K187" s="117">
        <f>MOD(K186+J187,360)</f>
        <v>72.55700000000502</v>
      </c>
      <c r="N187" s="128">
        <v>133.0</v>
      </c>
      <c r="O187" s="130">
        <v>1.867</v>
      </c>
      <c r="P187" s="122"/>
      <c r="Q187" s="152">
        <v>133.0</v>
      </c>
      <c r="R187" s="130">
        <v>0.1</v>
      </c>
      <c r="T187" s="128">
        <v>133.0</v>
      </c>
      <c r="U187" s="151">
        <v>1.15</v>
      </c>
      <c r="V187" s="122"/>
      <c r="W187" s="132">
        <v>133.0</v>
      </c>
      <c r="X187" s="130">
        <v>3.4</v>
      </c>
    </row>
    <row r="188" spans="8:8" ht="17.15">
      <c r="A188" s="115">
        <v>3230.0</v>
      </c>
      <c r="B188" s="115">
        <v>40.083</v>
      </c>
      <c r="C188" s="123">
        <f>MOD(C187+B188,168)</f>
        <v>65.00799999999973</v>
      </c>
      <c r="D188" s="117">
        <v>80.5</v>
      </c>
      <c r="E188" s="117">
        <f>MOD(E187+D188,360)</f>
        <v>88.55000000000001</v>
      </c>
      <c r="F188" s="116">
        <v>252.8</v>
      </c>
      <c r="G188" s="117">
        <f>MOD(G187+F188,360)</f>
        <v>91.60000000000383</v>
      </c>
      <c r="H188" s="116">
        <v>218.0</v>
      </c>
      <c r="I188" s="117">
        <f>MOD(I187+H188,360)</f>
        <v>38.216999999999985</v>
      </c>
      <c r="J188" s="115">
        <v>252.667</v>
      </c>
      <c r="K188" s="117">
        <f>MOD(K187+J188,360)</f>
        <v>325.22400000000505</v>
      </c>
      <c r="N188" s="128">
        <v>134.0</v>
      </c>
      <c r="O188" s="130">
        <v>1.867</v>
      </c>
      <c r="P188" s="122"/>
      <c r="Q188" s="152">
        <v>134.0</v>
      </c>
      <c r="R188" s="130">
        <v>0.1</v>
      </c>
      <c r="T188" s="128">
        <v>134.0</v>
      </c>
      <c r="U188" s="151">
        <v>1.2</v>
      </c>
      <c r="V188" s="122"/>
      <c r="W188" s="132">
        <v>134.0</v>
      </c>
      <c r="X188" s="130">
        <v>3.367</v>
      </c>
    </row>
    <row r="189" spans="8:8" ht="17.15">
      <c r="A189" s="115">
        <v>3240.0</v>
      </c>
      <c r="B189" s="115">
        <v>40.083</v>
      </c>
      <c r="C189" s="123">
        <f>MOD(C188+B189,168)</f>
        <v>105.09099999999972</v>
      </c>
      <c r="D189" s="117">
        <v>80.5</v>
      </c>
      <c r="E189" s="117">
        <f>MOD(E188+D189,360)</f>
        <v>169.05</v>
      </c>
      <c r="F189" s="116">
        <v>252.8</v>
      </c>
      <c r="G189" s="117">
        <f>MOD(G188+F189,360)</f>
        <v>344.40000000000384</v>
      </c>
      <c r="H189" s="116">
        <v>218.0</v>
      </c>
      <c r="I189" s="117">
        <f>MOD(I188+H189,360)</f>
        <v>256.217</v>
      </c>
      <c r="J189" s="115">
        <v>252.667</v>
      </c>
      <c r="K189" s="117">
        <f>MOD(K188+J189,360)</f>
        <v>217.89100000000508</v>
      </c>
      <c r="N189" s="128">
        <v>135.0</v>
      </c>
      <c r="O189" s="130">
        <v>1.867</v>
      </c>
      <c r="P189" s="122"/>
      <c r="Q189" s="152">
        <v>135.0</v>
      </c>
      <c r="R189" s="130">
        <v>0.1</v>
      </c>
      <c r="T189" s="128">
        <v>135.0</v>
      </c>
      <c r="U189" s="151">
        <v>1.25</v>
      </c>
      <c r="V189" s="122"/>
      <c r="W189" s="132">
        <v>135.0</v>
      </c>
      <c r="X189" s="130">
        <v>3.35</v>
      </c>
    </row>
    <row r="190" spans="8:8" ht="17.15">
      <c r="A190" s="115">
        <v>3250.0</v>
      </c>
      <c r="B190" s="115">
        <v>40.083</v>
      </c>
      <c r="C190" s="123">
        <f>MOD(C189+B190,168)</f>
        <v>145.17399999999972</v>
      </c>
      <c r="D190" s="117">
        <v>80.5</v>
      </c>
      <c r="E190" s="117">
        <f>MOD(E189+D190,360)</f>
        <v>249.55</v>
      </c>
      <c r="F190" s="116">
        <v>252.8</v>
      </c>
      <c r="G190" s="117">
        <f>MOD(G189+F190,360)</f>
        <v>237.2000000000039</v>
      </c>
      <c r="H190" s="116">
        <v>218.0</v>
      </c>
      <c r="I190" s="117">
        <f>MOD(I189+H190,360)</f>
        <v>114.21699999999998</v>
      </c>
      <c r="J190" s="115">
        <v>252.667</v>
      </c>
      <c r="K190" s="117">
        <f>MOD(K189+J190,360)</f>
        <v>110.55800000000511</v>
      </c>
      <c r="N190" s="128">
        <v>136.0</v>
      </c>
      <c r="O190" s="130">
        <v>1.867</v>
      </c>
      <c r="P190" s="122"/>
      <c r="Q190" s="152">
        <v>136.0</v>
      </c>
      <c r="R190" s="130">
        <v>0.1</v>
      </c>
      <c r="T190" s="128">
        <v>136.0</v>
      </c>
      <c r="U190" s="151">
        <v>1.317</v>
      </c>
      <c r="V190" s="122"/>
      <c r="W190" s="132">
        <v>136.0</v>
      </c>
      <c r="X190" s="130">
        <v>3.317</v>
      </c>
    </row>
    <row r="191" spans="8:8" ht="17.15">
      <c r="A191" s="115">
        <v>3260.0</v>
      </c>
      <c r="B191" s="115">
        <v>40.083</v>
      </c>
      <c r="C191" s="123">
        <f>MOD(C190+B191,168)</f>
        <v>17.25699999999972</v>
      </c>
      <c r="D191" s="117">
        <v>80.5</v>
      </c>
      <c r="E191" s="117">
        <f>MOD(E190+D191,360)</f>
        <v>330.05</v>
      </c>
      <c r="F191" s="116">
        <v>252.8</v>
      </c>
      <c r="G191" s="117">
        <f>MOD(G190+F191,360)</f>
        <v>130.00000000000392</v>
      </c>
      <c r="H191" s="116">
        <v>218.0</v>
      </c>
      <c r="I191" s="117">
        <f>MOD(I190+H191,360)</f>
        <v>332.217</v>
      </c>
      <c r="J191" s="115">
        <v>252.667</v>
      </c>
      <c r="K191" s="117">
        <f>MOD(K190+J191,360)</f>
        <v>3.2250000000051386</v>
      </c>
      <c r="N191" s="128">
        <v>137.0</v>
      </c>
      <c r="O191" s="130">
        <v>1.867</v>
      </c>
      <c r="P191" s="122"/>
      <c r="Q191" s="152">
        <v>137.0</v>
      </c>
      <c r="R191" s="130">
        <v>0.1</v>
      </c>
      <c r="T191" s="128">
        <v>137.0</v>
      </c>
      <c r="U191" s="151">
        <v>1.383</v>
      </c>
      <c r="V191" s="122"/>
      <c r="W191" s="132">
        <v>137.0</v>
      </c>
      <c r="X191" s="130">
        <v>3.3</v>
      </c>
    </row>
    <row r="192" spans="8:8" ht="17.15">
      <c r="A192" s="115">
        <v>3270.0</v>
      </c>
      <c r="B192" s="115">
        <v>40.083</v>
      </c>
      <c r="C192" s="123">
        <f>MOD(C191+B192,168)</f>
        <v>57.33999999999972</v>
      </c>
      <c r="D192" s="117">
        <v>80.5</v>
      </c>
      <c r="E192" s="117">
        <f>MOD(E191+D192,360)</f>
        <v>50.55000000000001</v>
      </c>
      <c r="F192" s="116">
        <v>252.8</v>
      </c>
      <c r="G192" s="117">
        <f>MOD(G191+F192,360)</f>
        <v>22.800000000003934</v>
      </c>
      <c r="H192" s="116">
        <v>218.0</v>
      </c>
      <c r="I192" s="117">
        <f>MOD(I191+H192,360)</f>
        <v>190.21699999999998</v>
      </c>
      <c r="J192" s="115">
        <v>252.667</v>
      </c>
      <c r="K192" s="117">
        <f>MOD(K191+J192,360)</f>
        <v>255.89200000000514</v>
      </c>
      <c r="N192" s="128">
        <v>138.0</v>
      </c>
      <c r="O192" s="130">
        <v>1.833</v>
      </c>
      <c r="P192" s="122"/>
      <c r="Q192" s="152">
        <v>138.0</v>
      </c>
      <c r="R192" s="130">
        <v>0.1</v>
      </c>
      <c r="T192" s="128">
        <v>138.0</v>
      </c>
      <c r="U192" s="151">
        <v>1.45</v>
      </c>
      <c r="V192" s="122"/>
      <c r="W192" s="132">
        <v>138.0</v>
      </c>
      <c r="X192" s="130">
        <v>3.283</v>
      </c>
    </row>
    <row r="193" spans="8:8" ht="17.15">
      <c r="A193" s="115">
        <v>3280.0</v>
      </c>
      <c r="B193" s="115">
        <v>40.083</v>
      </c>
      <c r="C193" s="123">
        <f>MOD(C192+B193,168)</f>
        <v>97.42299999999972</v>
      </c>
      <c r="D193" s="117">
        <v>80.5</v>
      </c>
      <c r="E193" s="117">
        <f>MOD(E192+D193,360)</f>
        <v>131.05</v>
      </c>
      <c r="F193" s="116">
        <v>252.8</v>
      </c>
      <c r="G193" s="117">
        <f>MOD(G192+F193,360)</f>
        <v>275.60000000000394</v>
      </c>
      <c r="H193" s="116">
        <v>218.0</v>
      </c>
      <c r="I193" s="117">
        <f>MOD(I192+H193,360)</f>
        <v>48.216999999999985</v>
      </c>
      <c r="J193" s="115">
        <v>252.667</v>
      </c>
      <c r="K193" s="117">
        <f>MOD(K192+J193,360)</f>
        <v>148.55900000000514</v>
      </c>
      <c r="N193" s="128">
        <v>139.0</v>
      </c>
      <c r="O193" s="130">
        <v>1.833</v>
      </c>
      <c r="P193" s="122"/>
      <c r="Q193" s="152">
        <v>139.0</v>
      </c>
      <c r="R193" s="130">
        <v>0.1</v>
      </c>
      <c r="T193" s="128">
        <v>139.0</v>
      </c>
      <c r="U193" s="151">
        <v>1.517</v>
      </c>
      <c r="V193" s="122"/>
      <c r="W193" s="132">
        <v>139.0</v>
      </c>
      <c r="X193" s="130">
        <v>3.25</v>
      </c>
    </row>
    <row r="194" spans="8:8" ht="17.15">
      <c r="A194" s="115">
        <v>3290.0</v>
      </c>
      <c r="B194" s="115">
        <v>40.083</v>
      </c>
      <c r="C194" s="123">
        <f>MOD(C193+B194,168)</f>
        <v>137.50599999999972</v>
      </c>
      <c r="D194" s="117">
        <v>80.5</v>
      </c>
      <c r="E194" s="117">
        <f>MOD(E193+D194,360)</f>
        <v>211.55</v>
      </c>
      <c r="F194" s="116">
        <v>252.8</v>
      </c>
      <c r="G194" s="117">
        <f>MOD(G193+F194,360)</f>
        <v>168.40000000000396</v>
      </c>
      <c r="H194" s="116">
        <v>218.0</v>
      </c>
      <c r="I194" s="117">
        <f>MOD(I193+H194,360)</f>
        <v>266.217</v>
      </c>
      <c r="J194" s="115">
        <v>252.667</v>
      </c>
      <c r="K194" s="117">
        <f>MOD(K193+J194,360)</f>
        <v>41.226000000005115</v>
      </c>
      <c r="N194" s="128">
        <v>140.0</v>
      </c>
      <c r="O194" s="130">
        <v>1.833</v>
      </c>
      <c r="P194" s="122"/>
      <c r="Q194" s="152">
        <v>140.0</v>
      </c>
      <c r="R194" s="130">
        <v>0.1</v>
      </c>
      <c r="T194" s="128">
        <v>140.0</v>
      </c>
      <c r="U194" s="151">
        <v>1.583</v>
      </c>
      <c r="V194" s="122"/>
      <c r="W194" s="132">
        <v>140.0</v>
      </c>
      <c r="X194" s="130">
        <v>3.233</v>
      </c>
    </row>
    <row r="195" spans="8:8" ht="17.15">
      <c r="A195" s="115">
        <v>3300.0</v>
      </c>
      <c r="B195" s="115">
        <v>40.083</v>
      </c>
      <c r="C195" s="123">
        <f>MOD(C194+B195,168)</f>
        <v>9.588999999999714</v>
      </c>
      <c r="D195" s="117">
        <v>80.5</v>
      </c>
      <c r="E195" s="117">
        <f>MOD(E194+D195,360)</f>
        <v>292.05</v>
      </c>
      <c r="F195" s="116">
        <v>252.8</v>
      </c>
      <c r="G195" s="117">
        <f>MOD(G194+F195,360)</f>
        <v>61.20000000000397</v>
      </c>
      <c r="H195" s="116">
        <v>218.0</v>
      </c>
      <c r="I195" s="117">
        <f>MOD(I194+H195,360)</f>
        <v>124.21699999999998</v>
      </c>
      <c r="J195" s="115">
        <v>252.667</v>
      </c>
      <c r="K195" s="117">
        <f>MOD(K194+J195,360)</f>
        <v>293.89300000000515</v>
      </c>
      <c r="N195" s="128">
        <v>141.0</v>
      </c>
      <c r="O195" s="130">
        <v>1.833</v>
      </c>
      <c r="P195" s="122"/>
      <c r="Q195" s="152">
        <v>141.0</v>
      </c>
      <c r="R195" s="130">
        <v>0.1</v>
      </c>
      <c r="T195" s="128">
        <v>141.0</v>
      </c>
      <c r="U195" s="151">
        <v>1.65</v>
      </c>
      <c r="V195" s="122"/>
      <c r="W195" s="132">
        <v>141.0</v>
      </c>
      <c r="X195" s="130">
        <v>3.2</v>
      </c>
    </row>
    <row r="196" spans="8:8" ht="17.15">
      <c r="A196" s="115">
        <v>3310.0</v>
      </c>
      <c r="B196" s="115">
        <v>40.083</v>
      </c>
      <c r="C196" s="123">
        <f>MOD(C195+B196,168)</f>
        <v>49.67199999999971</v>
      </c>
      <c r="D196" s="117">
        <v>80.5</v>
      </c>
      <c r="E196" s="117">
        <f>MOD(E195+D196,360)</f>
        <v>12.550000000000011</v>
      </c>
      <c r="F196" s="116">
        <v>252.8</v>
      </c>
      <c r="G196" s="117">
        <f>MOD(G195+F196,360)</f>
        <v>314.000000000004</v>
      </c>
      <c r="H196" s="116">
        <v>218.0</v>
      </c>
      <c r="I196" s="117">
        <f>MOD(I195+H196,360)</f>
        <v>342.217</v>
      </c>
      <c r="J196" s="115">
        <v>252.667</v>
      </c>
      <c r="K196" s="117">
        <f>MOD(K195+J196,360)</f>
        <v>186.56000000000518</v>
      </c>
      <c r="N196" s="128">
        <v>142.0</v>
      </c>
      <c r="O196" s="130">
        <v>1.833</v>
      </c>
      <c r="P196" s="122"/>
      <c r="Q196" s="152">
        <v>142.0</v>
      </c>
      <c r="R196" s="130">
        <v>0.1</v>
      </c>
      <c r="T196" s="128">
        <v>142.0</v>
      </c>
      <c r="U196" s="151">
        <v>1.717</v>
      </c>
      <c r="V196" s="122"/>
      <c r="W196" s="132">
        <v>142.0</v>
      </c>
      <c r="X196" s="130">
        <v>3.167</v>
      </c>
    </row>
    <row r="197" spans="8:8" ht="17.15">
      <c r="A197" s="115">
        <v>3320.0</v>
      </c>
      <c r="B197" s="115">
        <v>40.083</v>
      </c>
      <c r="C197" s="123">
        <f>MOD(C196+B197,168)</f>
        <v>89.75499999999971</v>
      </c>
      <c r="D197" s="117">
        <v>80.5</v>
      </c>
      <c r="E197" s="117">
        <f>MOD(E196+D197,360)</f>
        <v>93.05000000000001</v>
      </c>
      <c r="F197" s="116">
        <v>252.8</v>
      </c>
      <c r="G197" s="117">
        <f>MOD(G196+F197,360)</f>
        <v>206.80000000000405</v>
      </c>
      <c r="H197" s="116">
        <v>218.0</v>
      </c>
      <c r="I197" s="117">
        <f>MOD(I196+H197,360)</f>
        <v>200.21699999999998</v>
      </c>
      <c r="J197" s="115">
        <v>252.667</v>
      </c>
      <c r="K197" s="117">
        <f>MOD(K196+J197,360)</f>
        <v>79.2270000000052</v>
      </c>
      <c r="N197" s="128">
        <v>143.0</v>
      </c>
      <c r="O197" s="130">
        <v>1.833</v>
      </c>
      <c r="P197" s="122"/>
      <c r="Q197" s="152">
        <v>143.0</v>
      </c>
      <c r="R197" s="130">
        <v>0.117</v>
      </c>
      <c r="T197" s="128">
        <v>143.0</v>
      </c>
      <c r="U197" s="151">
        <v>1.783</v>
      </c>
      <c r="V197" s="122"/>
      <c r="W197" s="132">
        <v>143.0</v>
      </c>
      <c r="X197" s="130">
        <v>3.133</v>
      </c>
    </row>
    <row r="198" spans="8:8" ht="17.15">
      <c r="A198" s="115">
        <v>3330.0</v>
      </c>
      <c r="B198" s="115">
        <v>40.083</v>
      </c>
      <c r="C198" s="123">
        <f>MOD(C197+B198,168)</f>
        <v>129.8379999999997</v>
      </c>
      <c r="D198" s="117">
        <v>80.5</v>
      </c>
      <c r="E198" s="117">
        <f>MOD(E197+D198,360)</f>
        <v>173.55</v>
      </c>
      <c r="F198" s="116">
        <v>252.8</v>
      </c>
      <c r="G198" s="117">
        <f>MOD(G197+F198,360)</f>
        <v>99.60000000000406</v>
      </c>
      <c r="H198" s="116">
        <v>218.0</v>
      </c>
      <c r="I198" s="117">
        <f>MOD(I197+H198,360)</f>
        <v>58.216999999999985</v>
      </c>
      <c r="J198" s="115">
        <v>252.667</v>
      </c>
      <c r="K198" s="117">
        <f>MOD(K197+J198,360)</f>
        <v>331.89400000000524</v>
      </c>
      <c r="N198" s="128">
        <v>144.0</v>
      </c>
      <c r="O198" s="130">
        <v>1.833</v>
      </c>
      <c r="P198" s="122"/>
      <c r="Q198" s="152">
        <v>144.0</v>
      </c>
      <c r="R198" s="130">
        <v>0.117</v>
      </c>
      <c r="T198" s="128">
        <v>144.0</v>
      </c>
      <c r="U198" s="151">
        <v>1.85</v>
      </c>
      <c r="V198" s="122"/>
      <c r="W198" s="132">
        <v>144.0</v>
      </c>
      <c r="X198" s="130">
        <v>3.117</v>
      </c>
    </row>
    <row r="199" spans="8:8" ht="17.15">
      <c r="A199" s="115">
        <v>3340.0</v>
      </c>
      <c r="B199" s="115">
        <v>40.083</v>
      </c>
      <c r="C199" s="123">
        <f>MOD(C198+B199,168)</f>
        <v>1.920999999999708</v>
      </c>
      <c r="D199" s="117">
        <v>80.5</v>
      </c>
      <c r="E199" s="117">
        <f>MOD(E198+D199,360)</f>
        <v>254.05</v>
      </c>
      <c r="F199" s="116">
        <v>252.8</v>
      </c>
      <c r="G199" s="117">
        <f>MOD(G198+F199,360)</f>
        <v>352.40000000000407</v>
      </c>
      <c r="H199" s="116">
        <v>218.0</v>
      </c>
      <c r="I199" s="117">
        <f>MOD(I198+H199,360)</f>
        <v>276.217</v>
      </c>
      <c r="J199" s="115">
        <v>252.667</v>
      </c>
      <c r="K199" s="117">
        <f>MOD(K198+J199,360)</f>
        <v>224.56100000000527</v>
      </c>
      <c r="N199" s="128">
        <v>145.0</v>
      </c>
      <c r="O199" s="130">
        <v>1.833</v>
      </c>
      <c r="P199" s="122"/>
      <c r="Q199" s="152">
        <v>145.0</v>
      </c>
      <c r="R199" s="130">
        <v>0.117</v>
      </c>
      <c r="T199" s="128">
        <v>145.0</v>
      </c>
      <c r="U199" s="151">
        <v>1.933</v>
      </c>
      <c r="V199" s="122"/>
      <c r="W199" s="132">
        <v>145.0</v>
      </c>
      <c r="X199" s="130">
        <v>3.083</v>
      </c>
    </row>
    <row r="200" spans="8:8" ht="17.15">
      <c r="A200" s="115">
        <v>3350.0</v>
      </c>
      <c r="B200" s="115">
        <v>40.083</v>
      </c>
      <c r="C200" s="123">
        <f>MOD(C199+B200,168)</f>
        <v>42.00399999999971</v>
      </c>
      <c r="D200" s="117">
        <v>80.5</v>
      </c>
      <c r="E200" s="117">
        <f>MOD(E199+D200,360)</f>
        <v>334.55</v>
      </c>
      <c r="F200" s="116">
        <v>252.8</v>
      </c>
      <c r="G200" s="117">
        <f>MOD(G199+F200,360)</f>
        <v>245.20000000000414</v>
      </c>
      <c r="H200" s="116">
        <v>218.0</v>
      </c>
      <c r="I200" s="117">
        <f>MOD(I199+H200,360)</f>
        <v>134.21699999999998</v>
      </c>
      <c r="J200" s="115">
        <v>252.667</v>
      </c>
      <c r="K200" s="117">
        <f>MOD(K199+J200,360)</f>
        <v>117.2280000000053</v>
      </c>
      <c r="N200" s="128">
        <v>146.0</v>
      </c>
      <c r="O200" s="130">
        <v>1.833</v>
      </c>
      <c r="P200" s="122"/>
      <c r="Q200" s="152">
        <v>146.0</v>
      </c>
      <c r="R200" s="130">
        <v>0.117</v>
      </c>
      <c r="T200" s="128">
        <v>146.0</v>
      </c>
      <c r="U200" s="151">
        <v>2.0</v>
      </c>
      <c r="V200" s="122"/>
      <c r="W200" s="132">
        <v>146.0</v>
      </c>
      <c r="X200" s="130">
        <v>3.05</v>
      </c>
    </row>
    <row r="201" spans="8:8" ht="17.15">
      <c r="A201" s="115">
        <v>3360.0</v>
      </c>
      <c r="B201" s="115">
        <v>40.083</v>
      </c>
      <c r="C201" s="123">
        <f>MOD(C200+B201,168)</f>
        <v>82.0869999999997</v>
      </c>
      <c r="D201" s="117">
        <v>80.5</v>
      </c>
      <c r="E201" s="117">
        <f>MOD(E200+D201,360)</f>
        <v>55.05000000000001</v>
      </c>
      <c r="F201" s="116">
        <v>252.8</v>
      </c>
      <c r="G201" s="117">
        <f>MOD(G200+F201,360)</f>
        <v>138.00000000000415</v>
      </c>
      <c r="H201" s="116">
        <v>218.0</v>
      </c>
      <c r="I201" s="117">
        <f>MOD(I200+H201,360)</f>
        <v>352.217</v>
      </c>
      <c r="J201" s="115">
        <v>252.667</v>
      </c>
      <c r="K201" s="117">
        <f>MOD(K200+J201,360)</f>
        <v>9.895000000005325</v>
      </c>
      <c r="N201" s="128">
        <v>147.0</v>
      </c>
      <c r="O201" s="130">
        <v>1.833</v>
      </c>
      <c r="P201" s="122"/>
      <c r="Q201" s="152">
        <v>147.0</v>
      </c>
      <c r="R201" s="130">
        <v>0.117</v>
      </c>
      <c r="T201" s="128">
        <v>147.0</v>
      </c>
      <c r="U201" s="151">
        <v>2.083</v>
      </c>
      <c r="V201" s="122"/>
      <c r="W201" s="132">
        <v>147.0</v>
      </c>
      <c r="X201" s="130">
        <v>3.017</v>
      </c>
    </row>
    <row r="202" spans="8:8" ht="17.15">
      <c r="A202" s="115">
        <v>3370.0</v>
      </c>
      <c r="B202" s="115">
        <v>40.083</v>
      </c>
      <c r="C202" s="123">
        <f>MOD(C201+B202,168)</f>
        <v>122.1699999999997</v>
      </c>
      <c r="D202" s="117">
        <v>80.5</v>
      </c>
      <c r="E202" s="117">
        <f>MOD(E201+D202,360)</f>
        <v>135.55</v>
      </c>
      <c r="F202" s="116">
        <v>252.8</v>
      </c>
      <c r="G202" s="117">
        <f>MOD(G201+F202,360)</f>
        <v>30.80000000000416</v>
      </c>
      <c r="H202" s="116">
        <v>218.0</v>
      </c>
      <c r="I202" s="117">
        <f>MOD(I201+H202,360)</f>
        <v>210.21699999999998</v>
      </c>
      <c r="J202" s="115">
        <v>252.667</v>
      </c>
      <c r="K202" s="117">
        <f>MOD(K201+J202,360)</f>
        <v>262.56200000000536</v>
      </c>
      <c r="N202" s="128">
        <v>148.0</v>
      </c>
      <c r="O202" s="130">
        <v>1.817</v>
      </c>
      <c r="P202" s="122"/>
      <c r="Q202" s="152">
        <v>148.0</v>
      </c>
      <c r="R202" s="130">
        <v>0.117</v>
      </c>
      <c r="T202" s="128">
        <v>148.0</v>
      </c>
      <c r="U202" s="151">
        <v>2.15</v>
      </c>
      <c r="V202" s="122"/>
      <c r="W202" s="132">
        <v>148.0</v>
      </c>
      <c r="X202" s="130">
        <v>2.983</v>
      </c>
    </row>
    <row r="203" spans="8:8" ht="17.15">
      <c r="A203" s="115">
        <v>3380.0</v>
      </c>
      <c r="B203" s="115">
        <v>40.083</v>
      </c>
      <c r="C203" s="123">
        <f>MOD(C202+B203,168)</f>
        <v>162.2529999999997</v>
      </c>
      <c r="D203" s="117">
        <v>80.5</v>
      </c>
      <c r="E203" s="117">
        <f>MOD(E202+D203,360)</f>
        <v>216.05</v>
      </c>
      <c r="F203" s="116">
        <v>252.8</v>
      </c>
      <c r="G203" s="117">
        <f>MOD(G202+F203,360)</f>
        <v>283.6000000000042</v>
      </c>
      <c r="H203" s="116">
        <v>218.0</v>
      </c>
      <c r="I203" s="117">
        <f>MOD(I202+H203,360)</f>
        <v>68.21699999999998</v>
      </c>
      <c r="J203" s="115">
        <v>252.667</v>
      </c>
      <c r="K203" s="117">
        <f>MOD(K202+J203,360)</f>
        <v>155.22900000000539</v>
      </c>
      <c r="N203" s="128">
        <v>149.0</v>
      </c>
      <c r="O203" s="130">
        <v>1.817</v>
      </c>
      <c r="P203" s="122"/>
      <c r="Q203" s="152">
        <v>149.0</v>
      </c>
      <c r="R203" s="130">
        <v>0.117</v>
      </c>
      <c r="T203" s="128">
        <v>149.0</v>
      </c>
      <c r="U203" s="151">
        <v>2.233</v>
      </c>
      <c r="V203" s="122"/>
      <c r="W203" s="132">
        <v>149.0</v>
      </c>
      <c r="X203" s="130">
        <v>2.95</v>
      </c>
    </row>
    <row r="204" spans="8:8" ht="17.15">
      <c r="A204" s="115">
        <v>3390.0</v>
      </c>
      <c r="B204" s="115">
        <v>40.083</v>
      </c>
      <c r="C204" s="123">
        <f>MOD(C203+B204,168)</f>
        <v>34.3359999999997</v>
      </c>
      <c r="D204" s="117">
        <v>80.5</v>
      </c>
      <c r="E204" s="117">
        <f>MOD(E203+D204,360)</f>
        <v>296.55</v>
      </c>
      <c r="F204" s="116">
        <v>252.8</v>
      </c>
      <c r="G204" s="117">
        <f>MOD(G203+F204,360)</f>
        <v>176.40000000000418</v>
      </c>
      <c r="H204" s="116">
        <v>218.0</v>
      </c>
      <c r="I204" s="117">
        <f>MOD(I203+H204,360)</f>
        <v>286.217</v>
      </c>
      <c r="J204" s="115">
        <v>252.667</v>
      </c>
      <c r="K204" s="117">
        <f>MOD(K203+J204,360)</f>
        <v>47.896000000005415</v>
      </c>
      <c r="N204" s="128">
        <v>150.0</v>
      </c>
      <c r="O204" s="130">
        <v>1.817</v>
      </c>
      <c r="P204" s="122"/>
      <c r="Q204" s="152">
        <v>150.0</v>
      </c>
      <c r="R204" s="130">
        <v>0.117</v>
      </c>
      <c r="T204" s="128">
        <v>150.0</v>
      </c>
      <c r="U204" s="151">
        <v>2.317</v>
      </c>
      <c r="V204" s="122"/>
      <c r="W204" s="132">
        <v>150.0</v>
      </c>
      <c r="X204" s="130">
        <v>2.933</v>
      </c>
    </row>
    <row r="205" spans="8:8" ht="17.15">
      <c r="A205" s="115">
        <v>3400.0</v>
      </c>
      <c r="B205" s="115">
        <v>40.083</v>
      </c>
      <c r="C205" s="123">
        <f>MOD(C204+B205,168)</f>
        <v>74.4189999999997</v>
      </c>
      <c r="D205" s="117">
        <v>80.5</v>
      </c>
      <c r="E205" s="117">
        <f>MOD(E204+D205,360)</f>
        <v>17.05000000000001</v>
      </c>
      <c r="F205" s="116">
        <v>252.8</v>
      </c>
      <c r="G205" s="117">
        <f>MOD(G204+F205,360)</f>
        <v>69.2000000000042</v>
      </c>
      <c r="H205" s="116">
        <v>218.0</v>
      </c>
      <c r="I205" s="117">
        <f>MOD(I204+H205,360)</f>
        <v>144.21699999999998</v>
      </c>
      <c r="J205" s="115">
        <v>252.667</v>
      </c>
      <c r="K205" s="117">
        <f>MOD(K204+J205,360)</f>
        <v>300.56300000000545</v>
      </c>
      <c r="N205" s="128">
        <v>151.0</v>
      </c>
      <c r="O205" s="130">
        <v>1.817</v>
      </c>
      <c r="P205" s="122"/>
      <c r="Q205" s="152">
        <v>151.0</v>
      </c>
      <c r="R205" s="130">
        <v>0.117</v>
      </c>
      <c r="T205" s="128">
        <v>151.0</v>
      </c>
      <c r="U205" s="151">
        <v>2.383</v>
      </c>
      <c r="V205" s="122"/>
      <c r="W205" s="132">
        <v>151.0</v>
      </c>
      <c r="X205" s="130">
        <v>2.9</v>
      </c>
    </row>
    <row r="206" spans="8:8" ht="17.15">
      <c r="A206" s="115">
        <v>3410.0</v>
      </c>
      <c r="B206" s="115">
        <v>40.083</v>
      </c>
      <c r="C206" s="123">
        <f>MOD(C205+B206,168)</f>
        <v>114.5019999999997</v>
      </c>
      <c r="D206" s="117">
        <v>80.5</v>
      </c>
      <c r="E206" s="117">
        <f>MOD(E205+D206,360)</f>
        <v>97.55000000000001</v>
      </c>
      <c r="F206" s="116">
        <v>252.8</v>
      </c>
      <c r="G206" s="117">
        <f>MOD(G205+F206,360)</f>
        <v>322.0000000000042</v>
      </c>
      <c r="H206" s="116">
        <v>218.0</v>
      </c>
      <c r="I206" s="117">
        <f>MOD(I205+H206,360)</f>
        <v>2.2169999999999845</v>
      </c>
      <c r="J206" s="115">
        <v>252.667</v>
      </c>
      <c r="K206" s="117">
        <f>MOD(K205+J206,360)</f>
        <v>193.23000000000548</v>
      </c>
      <c r="N206" s="128">
        <v>152.0</v>
      </c>
      <c r="O206" s="130">
        <v>1.817</v>
      </c>
      <c r="P206" s="122"/>
      <c r="Q206" s="152">
        <v>152.0</v>
      </c>
      <c r="R206" s="130">
        <v>0.117</v>
      </c>
      <c r="T206" s="128">
        <v>152.0</v>
      </c>
      <c r="U206" s="151">
        <v>2.45</v>
      </c>
      <c r="V206" s="122"/>
      <c r="W206" s="132">
        <v>152.0</v>
      </c>
      <c r="X206" s="130">
        <v>2.867</v>
      </c>
    </row>
    <row r="207" spans="8:8" ht="17.15">
      <c r="A207" s="115">
        <v>3420.0</v>
      </c>
      <c r="B207" s="115">
        <v>40.083</v>
      </c>
      <c r="C207" s="123">
        <f>MOD(C206+B207,168)</f>
        <v>154.5849999999997</v>
      </c>
      <c r="D207" s="117">
        <v>80.5</v>
      </c>
      <c r="E207" s="117">
        <f>MOD(E206+D207,360)</f>
        <v>178.05</v>
      </c>
      <c r="F207" s="116">
        <v>252.8</v>
      </c>
      <c r="G207" s="117">
        <f>MOD(G206+F207,360)</f>
        <v>214.80000000000427</v>
      </c>
      <c r="H207" s="116">
        <v>218.0</v>
      </c>
      <c r="I207" s="117">
        <f>MOD(I206+H207,360)</f>
        <v>220.21699999999998</v>
      </c>
      <c r="J207" s="115">
        <v>252.667</v>
      </c>
      <c r="K207" s="117">
        <f>MOD(K206+J207,360)</f>
        <v>85.8970000000055</v>
      </c>
      <c r="N207" s="128">
        <v>153.0</v>
      </c>
      <c r="O207" s="130">
        <v>1.8</v>
      </c>
      <c r="P207" s="122"/>
      <c r="Q207" s="152">
        <v>153.0</v>
      </c>
      <c r="R207" s="130">
        <v>0.133</v>
      </c>
      <c r="T207" s="128">
        <v>153.0</v>
      </c>
      <c r="U207" s="151">
        <v>2.533</v>
      </c>
      <c r="V207" s="122"/>
      <c r="W207" s="132">
        <v>153.0</v>
      </c>
      <c r="X207" s="130">
        <v>2.85</v>
      </c>
    </row>
    <row r="208" spans="8:8" ht="17.15">
      <c r="A208" s="115">
        <v>3430.0</v>
      </c>
      <c r="B208" s="115">
        <v>40.083</v>
      </c>
      <c r="C208" s="123">
        <f>MOD(C207+B208,168)</f>
        <v>26.667999999999694</v>
      </c>
      <c r="D208" s="117">
        <v>80.5</v>
      </c>
      <c r="E208" s="117">
        <f>MOD(E207+D208,360)</f>
        <v>258.55</v>
      </c>
      <c r="F208" s="116">
        <v>252.8</v>
      </c>
      <c r="G208" s="117">
        <f>MOD(G207+F208,360)</f>
        <v>107.60000000000429</v>
      </c>
      <c r="H208" s="116">
        <v>218.0</v>
      </c>
      <c r="I208" s="117">
        <f>MOD(I207+H208,360)</f>
        <v>78.21699999999998</v>
      </c>
      <c r="J208" s="115">
        <v>252.667</v>
      </c>
      <c r="K208" s="117">
        <f>MOD(K207+J208,360)</f>
        <v>338.56400000000554</v>
      </c>
      <c r="N208" s="128">
        <v>154.0</v>
      </c>
      <c r="O208" s="130">
        <v>1.8</v>
      </c>
      <c r="P208" s="122"/>
      <c r="Q208" s="152">
        <v>154.0</v>
      </c>
      <c r="R208" s="130">
        <v>0.133</v>
      </c>
      <c r="T208" s="128">
        <v>154.0</v>
      </c>
      <c r="U208" s="151">
        <v>2.617</v>
      </c>
      <c r="V208" s="122"/>
      <c r="W208" s="132">
        <v>154.0</v>
      </c>
      <c r="X208" s="130">
        <v>2.817</v>
      </c>
    </row>
    <row r="209" spans="8:8" ht="17.15">
      <c r="A209" s="115">
        <v>3440.0</v>
      </c>
      <c r="B209" s="115">
        <v>40.083</v>
      </c>
      <c r="C209" s="123">
        <f>MOD(C208+B209,168)</f>
        <v>66.75099999999969</v>
      </c>
      <c r="D209" s="117">
        <v>80.5</v>
      </c>
      <c r="E209" s="117">
        <f>MOD(E208+D209,360)</f>
        <v>339.05</v>
      </c>
      <c r="F209" s="116">
        <v>252.8</v>
      </c>
      <c r="G209" s="117">
        <f>MOD(G208+F209,360)</f>
        <v>0.40000000000429736</v>
      </c>
      <c r="H209" s="116">
        <v>218.0</v>
      </c>
      <c r="I209" s="117">
        <f>MOD(I208+H209,360)</f>
        <v>296.217</v>
      </c>
      <c r="J209" s="115">
        <v>252.667</v>
      </c>
      <c r="K209" s="117">
        <f>MOD(K208+J209,360)</f>
        <v>231.23100000000557</v>
      </c>
      <c r="N209" s="128">
        <v>155.0</v>
      </c>
      <c r="O209" s="130">
        <v>1.8</v>
      </c>
      <c r="P209" s="122"/>
      <c r="Q209" s="152">
        <v>155.0</v>
      </c>
      <c r="R209" s="130">
        <v>0.133</v>
      </c>
      <c r="T209" s="128">
        <v>155.0</v>
      </c>
      <c r="U209" s="151">
        <v>2.717</v>
      </c>
      <c r="V209" s="122"/>
      <c r="W209" s="132">
        <v>155.0</v>
      </c>
      <c r="X209" s="130">
        <v>2.783</v>
      </c>
    </row>
    <row r="210" spans="8:8" ht="17.15">
      <c r="A210" s="115">
        <v>3450.0</v>
      </c>
      <c r="B210" s="115">
        <v>40.083</v>
      </c>
      <c r="C210" s="123">
        <f>MOD(C209+B210,168)</f>
        <v>106.83399999999969</v>
      </c>
      <c r="D210" s="117">
        <v>80.5</v>
      </c>
      <c r="E210" s="117">
        <f>MOD(E209+D210,360)</f>
        <v>59.55000000000001</v>
      </c>
      <c r="F210" s="116">
        <v>252.8</v>
      </c>
      <c r="G210" s="117">
        <f>MOD(G209+F210,360)</f>
        <v>253.2000000000043</v>
      </c>
      <c r="H210" s="116">
        <v>218.0</v>
      </c>
      <c r="I210" s="117">
        <f>MOD(I209+H210,360)</f>
        <v>154.21699999999998</v>
      </c>
      <c r="J210" s="115">
        <v>252.667</v>
      </c>
      <c r="K210" s="117">
        <f>MOD(K209+J210,360)</f>
        <v>123.8980000000056</v>
      </c>
      <c r="N210" s="128">
        <v>156.0</v>
      </c>
      <c r="O210" s="130">
        <v>1.8</v>
      </c>
      <c r="P210" s="122"/>
      <c r="Q210" s="152">
        <v>156.0</v>
      </c>
      <c r="R210" s="130">
        <v>0.133</v>
      </c>
      <c r="T210" s="128">
        <v>156.0</v>
      </c>
      <c r="U210" s="151">
        <v>2.8</v>
      </c>
      <c r="V210" s="122"/>
      <c r="W210" s="132">
        <v>156.0</v>
      </c>
      <c r="X210" s="130">
        <v>2.75</v>
      </c>
    </row>
    <row r="211" spans="8:8" ht="17.15">
      <c r="A211" s="115">
        <v>3460.0</v>
      </c>
      <c r="B211" s="115">
        <v>40.083</v>
      </c>
      <c r="C211" s="123">
        <f>MOD(C210+B211,168)</f>
        <v>146.9169999999997</v>
      </c>
      <c r="D211" s="117">
        <v>80.5</v>
      </c>
      <c r="E211" s="117">
        <f>MOD(E210+D211,360)</f>
        <v>140.05</v>
      </c>
      <c r="F211" s="116">
        <v>252.8</v>
      </c>
      <c r="G211" s="117">
        <f>MOD(G210+F211,360)</f>
        <v>146.00000000000432</v>
      </c>
      <c r="H211" s="116">
        <v>218.0</v>
      </c>
      <c r="I211" s="117">
        <f>MOD(I210+H211,360)</f>
        <v>12.216999999999985</v>
      </c>
      <c r="J211" s="115">
        <v>252.667</v>
      </c>
      <c r="K211" s="117">
        <f>MOD(K210+J211,360)</f>
        <v>16.565000000005625</v>
      </c>
      <c r="N211" s="128">
        <v>157.0</v>
      </c>
      <c r="O211" s="130">
        <v>1.8</v>
      </c>
      <c r="P211" s="122"/>
      <c r="Q211" s="152">
        <v>157.0</v>
      </c>
      <c r="R211" s="130">
        <v>0.133</v>
      </c>
      <c r="T211" s="128">
        <v>157.0</v>
      </c>
      <c r="U211" s="151">
        <v>2.95</v>
      </c>
      <c r="V211" s="122"/>
      <c r="W211" s="132">
        <v>157.0</v>
      </c>
      <c r="X211" s="130">
        <v>2.717</v>
      </c>
    </row>
    <row r="212" spans="8:8" ht="17.15">
      <c r="A212" s="115">
        <v>3470.0</v>
      </c>
      <c r="B212" s="115">
        <v>40.083</v>
      </c>
      <c r="C212" s="123">
        <f>MOD(C211+B212,168)</f>
        <v>18.999999999999687</v>
      </c>
      <c r="D212" s="117">
        <v>80.5</v>
      </c>
      <c r="E212" s="117">
        <f>MOD(E211+D212,360)</f>
        <v>220.55</v>
      </c>
      <c r="F212" s="116">
        <v>252.8</v>
      </c>
      <c r="G212" s="117">
        <f>MOD(G211+F212,360)</f>
        <v>38.80000000000433</v>
      </c>
      <c r="H212" s="116">
        <v>218.0</v>
      </c>
      <c r="I212" s="117">
        <f>MOD(I211+H212,360)</f>
        <v>230.21699999999998</v>
      </c>
      <c r="J212" s="115">
        <v>252.667</v>
      </c>
      <c r="K212" s="117">
        <f>MOD(K211+J212,360)</f>
        <v>269.23200000000566</v>
      </c>
      <c r="N212" s="128">
        <v>158.0</v>
      </c>
      <c r="O212" s="130">
        <v>1.783</v>
      </c>
      <c r="P212" s="122"/>
      <c r="Q212" s="152">
        <v>158.0</v>
      </c>
      <c r="R212" s="130">
        <v>0.15</v>
      </c>
      <c r="T212" s="128">
        <v>158.0</v>
      </c>
      <c r="U212" s="151">
        <v>2.967</v>
      </c>
      <c r="V212" s="122"/>
      <c r="W212" s="132">
        <v>158.0</v>
      </c>
      <c r="X212" s="130">
        <v>2.7</v>
      </c>
    </row>
    <row r="213" spans="8:8" ht="17.15">
      <c r="A213" s="115">
        <v>3480.0</v>
      </c>
      <c r="B213" s="115">
        <v>40.083</v>
      </c>
      <c r="C213" s="123">
        <f>MOD(C212+B213,168)</f>
        <v>59.082999999999686</v>
      </c>
      <c r="D213" s="117">
        <v>80.5</v>
      </c>
      <c r="E213" s="117">
        <f>MOD(E212+D213,360)</f>
        <v>301.05</v>
      </c>
      <c r="F213" s="116">
        <v>252.8</v>
      </c>
      <c r="G213" s="117">
        <f>MOD(G212+F213,360)</f>
        <v>291.60000000000434</v>
      </c>
      <c r="H213" s="116">
        <v>218.0</v>
      </c>
      <c r="I213" s="117">
        <f>MOD(I212+H213,360)</f>
        <v>88.21699999999998</v>
      </c>
      <c r="J213" s="115">
        <v>252.667</v>
      </c>
      <c r="K213" s="117">
        <f>MOD(K212+J213,360)</f>
        <v>161.89900000000569</v>
      </c>
      <c r="N213" s="128">
        <v>159.0</v>
      </c>
      <c r="O213" s="130">
        <v>1.783</v>
      </c>
      <c r="P213" s="122"/>
      <c r="Q213" s="152">
        <v>159.0</v>
      </c>
      <c r="R213" s="130">
        <v>0.15</v>
      </c>
      <c r="T213" s="128">
        <v>159.0</v>
      </c>
      <c r="U213" s="151">
        <v>3.05</v>
      </c>
      <c r="V213" s="122"/>
      <c r="W213" s="132">
        <v>159.0</v>
      </c>
      <c r="X213" s="130">
        <v>2.667</v>
      </c>
    </row>
    <row r="214" spans="8:8" ht="17.15">
      <c r="A214" s="115">
        <v>3490.0</v>
      </c>
      <c r="B214" s="115">
        <v>40.083</v>
      </c>
      <c r="C214" s="123">
        <f>MOD(C213+B214,168)</f>
        <v>99.16599999999968</v>
      </c>
      <c r="D214" s="117">
        <v>80.5</v>
      </c>
      <c r="E214" s="117">
        <f>MOD(E213+D214,360)</f>
        <v>21.55000000000001</v>
      </c>
      <c r="F214" s="116">
        <v>252.8</v>
      </c>
      <c r="G214" s="117">
        <f>MOD(G213+F214,360)</f>
        <v>184.4000000000044</v>
      </c>
      <c r="H214" s="116">
        <v>218.0</v>
      </c>
      <c r="I214" s="117">
        <f>MOD(I213+H214,360)</f>
        <v>306.217</v>
      </c>
      <c r="J214" s="115">
        <v>252.667</v>
      </c>
      <c r="K214" s="117">
        <f>MOD(K213+J214,360)</f>
        <v>54.566000000005715</v>
      </c>
      <c r="N214" s="128">
        <v>160.0</v>
      </c>
      <c r="O214" s="130">
        <v>1.783</v>
      </c>
      <c r="P214" s="122"/>
      <c r="Q214" s="152">
        <v>160.0</v>
      </c>
      <c r="R214" s="130">
        <v>0.15</v>
      </c>
      <c r="T214" s="128">
        <v>160.0</v>
      </c>
      <c r="U214" s="151">
        <v>3.133</v>
      </c>
      <c r="V214" s="122"/>
      <c r="W214" s="132">
        <v>160.0</v>
      </c>
      <c r="X214" s="130">
        <v>2.633</v>
      </c>
    </row>
    <row r="215" spans="8:8" ht="17.15">
      <c r="A215" s="115">
        <v>3500.0</v>
      </c>
      <c r="B215" s="115">
        <v>40.083</v>
      </c>
      <c r="C215" s="123">
        <f>MOD(C214+B215,168)</f>
        <v>139.24899999999968</v>
      </c>
      <c r="D215" s="117">
        <v>80.5</v>
      </c>
      <c r="E215" s="117">
        <f>MOD(E214+D215,360)</f>
        <v>102.05000000000001</v>
      </c>
      <c r="F215" s="116">
        <v>252.8</v>
      </c>
      <c r="G215" s="117">
        <f>MOD(G214+F215,360)</f>
        <v>77.20000000000442</v>
      </c>
      <c r="H215" s="116">
        <v>218.0</v>
      </c>
      <c r="I215" s="117">
        <f>MOD(I214+H215,360)</f>
        <v>164.21699999999998</v>
      </c>
      <c r="J215" s="115">
        <v>252.667</v>
      </c>
      <c r="K215" s="117">
        <f>MOD(K214+J215,360)</f>
        <v>307.23300000000575</v>
      </c>
      <c r="N215" s="128">
        <v>161.0</v>
      </c>
      <c r="O215" s="130">
        <v>1.783</v>
      </c>
      <c r="P215" s="122"/>
      <c r="Q215" s="152">
        <v>161.0</v>
      </c>
      <c r="R215" s="130">
        <v>0.15</v>
      </c>
      <c r="T215" s="128">
        <v>161.0</v>
      </c>
      <c r="U215" s="151">
        <v>3.217</v>
      </c>
      <c r="V215" s="122"/>
      <c r="W215" s="132">
        <v>161.0</v>
      </c>
      <c r="X215" s="130">
        <v>2.6</v>
      </c>
    </row>
    <row r="216" spans="8:8" ht="17.15">
      <c r="A216" s="115">
        <v>3510.0</v>
      </c>
      <c r="B216" s="115">
        <v>40.083</v>
      </c>
      <c r="C216" s="123">
        <f>MOD(C215+B216,168)</f>
        <v>11.331999999999681</v>
      </c>
      <c r="D216" s="117">
        <v>80.5</v>
      </c>
      <c r="E216" s="117">
        <f>MOD(E215+D216,360)</f>
        <v>182.55</v>
      </c>
      <c r="F216" s="116">
        <v>252.8</v>
      </c>
      <c r="G216" s="117">
        <f>MOD(G215+F216,360)</f>
        <v>330.00000000000443</v>
      </c>
      <c r="H216" s="116">
        <v>218.0</v>
      </c>
      <c r="I216" s="117">
        <f>MOD(I215+H216,360)</f>
        <v>22.216999999999985</v>
      </c>
      <c r="J216" s="115">
        <v>252.667</v>
      </c>
      <c r="K216" s="117">
        <f>MOD(K215+J216,360)</f>
        <v>199.90000000000578</v>
      </c>
      <c r="N216" s="128">
        <v>162.0</v>
      </c>
      <c r="O216" s="130">
        <v>1.783</v>
      </c>
      <c r="P216" s="122"/>
      <c r="Q216" s="152">
        <v>162.0</v>
      </c>
      <c r="R216" s="130">
        <v>0.15</v>
      </c>
      <c r="T216" s="128">
        <v>162.0</v>
      </c>
      <c r="U216" s="151">
        <v>3.317</v>
      </c>
      <c r="V216" s="122"/>
      <c r="W216" s="132">
        <v>162.0</v>
      </c>
      <c r="X216" s="130">
        <v>2.567</v>
      </c>
    </row>
    <row r="217" spans="8:8" ht="17.15">
      <c r="A217" s="115">
        <v>3520.0</v>
      </c>
      <c r="B217" s="115">
        <v>40.083</v>
      </c>
      <c r="C217" s="123">
        <f>MOD(C216+B217,168)</f>
        <v>51.41499999999968</v>
      </c>
      <c r="D217" s="117">
        <v>80.5</v>
      </c>
      <c r="E217" s="117">
        <f>MOD(E216+D217,360)</f>
        <v>263.05</v>
      </c>
      <c r="F217" s="116">
        <v>252.8</v>
      </c>
      <c r="G217" s="117">
        <f>MOD(G216+F217,360)</f>
        <v>222.8000000000045</v>
      </c>
      <c r="H217" s="116">
        <v>218.0</v>
      </c>
      <c r="I217" s="117">
        <f>MOD(I216+H217,360)</f>
        <v>240.21699999999998</v>
      </c>
      <c r="J217" s="115">
        <v>252.667</v>
      </c>
      <c r="K217" s="117">
        <f>MOD(K216+J217,360)</f>
        <v>92.5670000000058</v>
      </c>
      <c r="N217" s="128">
        <v>163.0</v>
      </c>
      <c r="O217" s="130">
        <v>1.767</v>
      </c>
      <c r="P217" s="122"/>
      <c r="Q217" s="152">
        <v>163.0</v>
      </c>
      <c r="R217" s="130">
        <v>0.187</v>
      </c>
      <c r="T217" s="128">
        <v>163.0</v>
      </c>
      <c r="U217" s="151">
        <v>3.4</v>
      </c>
      <c r="V217" s="122"/>
      <c r="W217" s="132">
        <v>163.0</v>
      </c>
      <c r="X217" s="130">
        <v>2.533</v>
      </c>
    </row>
    <row r="218" spans="8:8" ht="17.15">
      <c r="A218" s="115">
        <v>3530.0</v>
      </c>
      <c r="B218" s="115">
        <v>40.083</v>
      </c>
      <c r="C218" s="123">
        <f>MOD(C217+B218,168)</f>
        <v>91.49799999999968</v>
      </c>
      <c r="D218" s="117">
        <v>80.5</v>
      </c>
      <c r="E218" s="117">
        <f>MOD(E217+D218,360)</f>
        <v>343.55</v>
      </c>
      <c r="F218" s="116">
        <v>252.8</v>
      </c>
      <c r="G218" s="117">
        <f>MOD(G217+F218,360)</f>
        <v>115.60000000000451</v>
      </c>
      <c r="H218" s="116">
        <v>218.0</v>
      </c>
      <c r="I218" s="117">
        <f>MOD(I217+H218,360)</f>
        <v>98.21699999999998</v>
      </c>
      <c r="J218" s="115">
        <v>252.667</v>
      </c>
      <c r="K218" s="117">
        <f>MOD(K217+J218,360)</f>
        <v>345.23400000000584</v>
      </c>
      <c r="N218" s="128">
        <v>164.0</v>
      </c>
      <c r="O218" s="130">
        <v>1.767</v>
      </c>
      <c r="P218" s="122"/>
      <c r="Q218" s="152">
        <v>164.0</v>
      </c>
      <c r="R218" s="130">
        <v>0.187</v>
      </c>
      <c r="T218" s="128">
        <v>164.0</v>
      </c>
      <c r="U218" s="151">
        <v>3.483</v>
      </c>
      <c r="V218" s="122"/>
      <c r="W218" s="132">
        <v>164.0</v>
      </c>
      <c r="X218" s="130">
        <v>2.5</v>
      </c>
    </row>
    <row r="219" spans="8:8" ht="17.15">
      <c r="A219" s="115">
        <v>3540.0</v>
      </c>
      <c r="B219" s="115">
        <v>40.083</v>
      </c>
      <c r="C219" s="123">
        <f>MOD(C218+B219,168)</f>
        <v>131.58099999999968</v>
      </c>
      <c r="D219" s="117">
        <v>80.5</v>
      </c>
      <c r="E219" s="117">
        <f>MOD(E218+D219,360)</f>
        <v>64.05000000000001</v>
      </c>
      <c r="F219" s="116">
        <v>252.8</v>
      </c>
      <c r="G219" s="117">
        <f>MOD(G218+F219,360)</f>
        <v>8.400000000004525</v>
      </c>
      <c r="H219" s="116">
        <v>218.0</v>
      </c>
      <c r="I219" s="117">
        <f>MOD(I218+H219,360)</f>
        <v>316.217</v>
      </c>
      <c r="J219" s="115">
        <v>252.667</v>
      </c>
      <c r="K219" s="117">
        <f>MOD(K218+J219,360)</f>
        <v>237.90100000000587</v>
      </c>
      <c r="N219" s="128">
        <v>165.0</v>
      </c>
      <c r="O219" s="130">
        <v>1.767</v>
      </c>
      <c r="P219" s="122"/>
      <c r="Q219" s="152">
        <v>165.0</v>
      </c>
      <c r="R219" s="130">
        <v>0.187</v>
      </c>
      <c r="T219" s="128">
        <v>165.0</v>
      </c>
      <c r="U219" s="151">
        <v>3.583</v>
      </c>
      <c r="V219" s="122"/>
      <c r="W219" s="132">
        <v>165.0</v>
      </c>
      <c r="X219" s="130">
        <v>2.467</v>
      </c>
    </row>
    <row r="220" spans="8:8" ht="17.15">
      <c r="A220" s="115">
        <v>3550.0</v>
      </c>
      <c r="B220" s="115">
        <v>40.083</v>
      </c>
      <c r="C220" s="123">
        <f>MOD(C219+B220,168)</f>
        <v>3.6639999999996746</v>
      </c>
      <c r="D220" s="117">
        <v>80.5</v>
      </c>
      <c r="E220" s="117">
        <f>MOD(E219+D220,360)</f>
        <v>144.55</v>
      </c>
      <c r="F220" s="116">
        <v>252.8</v>
      </c>
      <c r="G220" s="117">
        <f>MOD(G219+F220,360)</f>
        <v>261.20000000000454</v>
      </c>
      <c r="H220" s="116">
        <v>218.0</v>
      </c>
      <c r="I220" s="117">
        <f>MOD(I219+H220,360)</f>
        <v>174.21699999999998</v>
      </c>
      <c r="J220" s="115">
        <v>252.667</v>
      </c>
      <c r="K220" s="117">
        <f>MOD(K219+J220,360)</f>
        <v>130.5680000000059</v>
      </c>
      <c r="N220" s="128">
        <v>166.0</v>
      </c>
      <c r="O220" s="130">
        <v>1.767</v>
      </c>
      <c r="P220" s="122"/>
      <c r="Q220" s="152">
        <v>166.0</v>
      </c>
      <c r="R220" s="130">
        <v>0.187</v>
      </c>
      <c r="T220" s="128">
        <v>166.0</v>
      </c>
      <c r="U220" s="151">
        <v>3.667</v>
      </c>
      <c r="V220" s="122"/>
      <c r="W220" s="132">
        <v>166.0</v>
      </c>
      <c r="X220" s="130">
        <v>2.433</v>
      </c>
    </row>
    <row r="221" spans="8:8" ht="17.15">
      <c r="A221" s="115">
        <v>3560.0</v>
      </c>
      <c r="B221" s="115">
        <v>40.083</v>
      </c>
      <c r="C221" s="123">
        <f>MOD(C220+B221,168)</f>
        <v>43.74699999999967</v>
      </c>
      <c r="D221" s="117">
        <v>80.5</v>
      </c>
      <c r="E221" s="117">
        <f>MOD(E220+D221,360)</f>
        <v>225.05</v>
      </c>
      <c r="F221" s="116">
        <v>252.8</v>
      </c>
      <c r="G221" s="117">
        <f>MOD(G220+F221,360)</f>
        <v>154.00000000000455</v>
      </c>
      <c r="H221" s="116">
        <v>218.0</v>
      </c>
      <c r="I221" s="117">
        <f>MOD(I220+H221,360)</f>
        <v>32.216999999999985</v>
      </c>
      <c r="J221" s="115">
        <v>252.667</v>
      </c>
      <c r="K221" s="117">
        <f>MOD(K220+J221,360)</f>
        <v>23.235000000005925</v>
      </c>
      <c r="N221" s="128">
        <v>167.0</v>
      </c>
      <c r="O221" s="130">
        <v>1.767</v>
      </c>
      <c r="P221" s="122"/>
      <c r="Q221" s="152">
        <v>167.0</v>
      </c>
      <c r="R221" s="130">
        <v>0.187</v>
      </c>
      <c r="T221" s="128">
        <v>167.0</v>
      </c>
      <c r="U221" s="151">
        <v>3.75</v>
      </c>
      <c r="V221" s="122"/>
      <c r="W221" s="132">
        <v>167.0</v>
      </c>
      <c r="X221" s="130">
        <v>2.383</v>
      </c>
    </row>
    <row r="222" spans="8:8" ht="17.15">
      <c r="A222" s="115">
        <v>3570.0</v>
      </c>
      <c r="B222" s="115">
        <v>40.083</v>
      </c>
      <c r="C222" s="123">
        <f>MOD(C221+B222,168)</f>
        <v>83.82999999999967</v>
      </c>
      <c r="D222" s="117">
        <v>80.5</v>
      </c>
      <c r="E222" s="117">
        <f>MOD(E221+D222,360)</f>
        <v>305.55</v>
      </c>
      <c r="F222" s="116">
        <v>252.8</v>
      </c>
      <c r="G222" s="117">
        <f>MOD(G221+F222,360)</f>
        <v>46.80000000000456</v>
      </c>
      <c r="H222" s="116">
        <v>218.0</v>
      </c>
      <c r="I222" s="117">
        <f>MOD(I221+H222,360)</f>
        <v>250.21699999999998</v>
      </c>
      <c r="J222" s="115">
        <v>252.667</v>
      </c>
      <c r="K222" s="117">
        <f>MOD(K221+J222,360)</f>
        <v>275.90200000000596</v>
      </c>
      <c r="N222" s="128">
        <v>168.0</v>
      </c>
      <c r="O222" s="130">
        <v>1.767</v>
      </c>
      <c r="P222" s="122"/>
      <c r="Q222" s="152">
        <v>168.0</v>
      </c>
      <c r="R222" s="130">
        <v>0.183</v>
      </c>
      <c r="T222" s="128">
        <v>168.0</v>
      </c>
      <c r="U222" s="151">
        <v>3.85</v>
      </c>
      <c r="V222" s="122"/>
      <c r="W222" s="132">
        <v>168.0</v>
      </c>
      <c r="X222" s="130">
        <v>2.35</v>
      </c>
    </row>
    <row r="223" spans="8:8" ht="17.15">
      <c r="A223" s="115">
        <v>3580.0</v>
      </c>
      <c r="B223" s="115">
        <v>40.083</v>
      </c>
      <c r="C223" s="123">
        <f>MOD(C222+B223,168)</f>
        <v>123.91299999999967</v>
      </c>
      <c r="D223" s="117">
        <v>80.5</v>
      </c>
      <c r="E223" s="117">
        <f>MOD(E222+D223,360)</f>
        <v>26.05000000000001</v>
      </c>
      <c r="F223" s="116">
        <v>252.8</v>
      </c>
      <c r="G223" s="117">
        <f>MOD(G222+F223,360)</f>
        <v>299.60000000000457</v>
      </c>
      <c r="H223" s="116">
        <v>218.0</v>
      </c>
      <c r="I223" s="117">
        <f>MOD(I222+H223,360)</f>
        <v>108.21699999999998</v>
      </c>
      <c r="J223" s="115">
        <v>252.667</v>
      </c>
      <c r="K223" s="117">
        <f>MOD(K222+J223,360)</f>
        <v>168.56900000000599</v>
      </c>
      <c r="N223" s="128">
        <v>169.0</v>
      </c>
      <c r="O223" s="130">
        <v>1.767</v>
      </c>
      <c r="P223" s="122"/>
      <c r="Q223" s="152">
        <v>169.0</v>
      </c>
      <c r="R223" s="130">
        <v>0.183</v>
      </c>
      <c r="T223" s="128">
        <v>169.0</v>
      </c>
      <c r="U223" s="151">
        <v>3.933</v>
      </c>
      <c r="V223" s="122"/>
      <c r="W223" s="132">
        <v>169.0</v>
      </c>
      <c r="X223" s="130">
        <v>2.317</v>
      </c>
    </row>
    <row r="224" spans="8:8" ht="17.15">
      <c r="A224" s="115">
        <v>3590.0</v>
      </c>
      <c r="B224" s="115">
        <v>40.083</v>
      </c>
      <c r="C224" s="123">
        <f>MOD(C223+B224,168)</f>
        <v>163.99599999999967</v>
      </c>
      <c r="D224" s="117">
        <v>80.5</v>
      </c>
      <c r="E224" s="117">
        <f>MOD(E223+D224,360)</f>
        <v>106.55000000000001</v>
      </c>
      <c r="F224" s="116">
        <v>252.8</v>
      </c>
      <c r="G224" s="117">
        <f>MOD(G223+F224,360)</f>
        <v>192.40000000000464</v>
      </c>
      <c r="H224" s="116">
        <v>218.0</v>
      </c>
      <c r="I224" s="117">
        <f>MOD(I223+H224,360)</f>
        <v>326.217</v>
      </c>
      <c r="J224" s="115">
        <v>252.667</v>
      </c>
      <c r="K224" s="117">
        <f>MOD(K223+J224,360)</f>
        <v>61.236000000006015</v>
      </c>
      <c r="N224" s="128">
        <v>170.0</v>
      </c>
      <c r="O224" s="130">
        <v>1.767</v>
      </c>
      <c r="P224" s="122"/>
      <c r="Q224" s="152">
        <v>170.0</v>
      </c>
      <c r="R224" s="130">
        <v>0.183</v>
      </c>
      <c r="T224" s="128">
        <v>170.0</v>
      </c>
      <c r="U224" s="151">
        <v>4.033</v>
      </c>
      <c r="V224" s="122"/>
      <c r="W224" s="132">
        <v>170.0</v>
      </c>
      <c r="X224" s="130">
        <v>2.283</v>
      </c>
    </row>
    <row r="225" spans="8:8" ht="17.15">
      <c r="A225" s="115">
        <v>3600.0</v>
      </c>
      <c r="B225" s="115">
        <v>40.083</v>
      </c>
      <c r="C225" s="123">
        <f>MOD(C224+B225,168)</f>
        <v>36.07899999999967</v>
      </c>
      <c r="D225" s="117">
        <v>80.5</v>
      </c>
      <c r="E225" s="117">
        <f>MOD(E224+D225,360)</f>
        <v>187.05</v>
      </c>
      <c r="F225" s="116">
        <v>252.8</v>
      </c>
      <c r="G225" s="117">
        <f>MOD(G224+F225,360)</f>
        <v>85.20000000000465</v>
      </c>
      <c r="H225" s="116">
        <v>218.0</v>
      </c>
      <c r="I225" s="117">
        <f>MOD(I224+H225,360)</f>
        <v>184.21699999999998</v>
      </c>
      <c r="J225" s="115">
        <v>252.667</v>
      </c>
      <c r="K225" s="117">
        <f>MOD(K224+J225,360)</f>
        <v>313.90300000000605</v>
      </c>
      <c r="N225" s="128">
        <v>171.0</v>
      </c>
      <c r="O225" s="130">
        <v>1.767</v>
      </c>
      <c r="P225" s="122"/>
      <c r="Q225" s="152">
        <v>171.0</v>
      </c>
      <c r="R225" s="130">
        <v>0.183</v>
      </c>
      <c r="T225" s="128">
        <v>171.0</v>
      </c>
      <c r="U225" s="151">
        <v>4.117</v>
      </c>
      <c r="V225" s="122"/>
      <c r="W225" s="132">
        <v>171.0</v>
      </c>
      <c r="X225" s="130">
        <v>2.25</v>
      </c>
    </row>
    <row r="226" spans="8:8" ht="17.15">
      <c r="A226" s="115">
        <v>3610.0</v>
      </c>
      <c r="B226" s="115">
        <v>40.083</v>
      </c>
      <c r="C226" s="123">
        <f>MOD(C225+B226,168)</f>
        <v>76.16199999999967</v>
      </c>
      <c r="D226" s="117">
        <v>80.5</v>
      </c>
      <c r="E226" s="117">
        <f>MOD(E225+D226,360)</f>
        <v>267.55</v>
      </c>
      <c r="F226" s="116">
        <v>252.8</v>
      </c>
      <c r="G226" s="117">
        <f>MOD(G225+F226,360)</f>
        <v>338.00000000000466</v>
      </c>
      <c r="H226" s="116">
        <v>218.0</v>
      </c>
      <c r="I226" s="117">
        <f>MOD(I225+H226,360)</f>
        <v>42.216999999999985</v>
      </c>
      <c r="J226" s="115">
        <v>252.667</v>
      </c>
      <c r="K226" s="117">
        <f>MOD(K225+J226,360)</f>
        <v>206.57000000000608</v>
      </c>
      <c r="N226" s="128">
        <v>172.0</v>
      </c>
      <c r="O226" s="130">
        <v>1.767</v>
      </c>
      <c r="P226" s="122"/>
      <c r="Q226" s="152">
        <v>172.0</v>
      </c>
      <c r="R226" s="130">
        <v>0.183</v>
      </c>
      <c r="T226" s="128">
        <v>172.0</v>
      </c>
      <c r="U226" s="151">
        <v>4.2</v>
      </c>
      <c r="V226" s="122"/>
      <c r="W226" s="132">
        <v>172.0</v>
      </c>
      <c r="X226" s="130">
        <v>2.217</v>
      </c>
    </row>
    <row r="227" spans="8:8" ht="17.15">
      <c r="A227" s="115">
        <v>3620.0</v>
      </c>
      <c r="B227" s="115">
        <v>40.083</v>
      </c>
      <c r="C227" s="123">
        <f>MOD(C226+B227,168)</f>
        <v>116.24499999999966</v>
      </c>
      <c r="D227" s="117">
        <v>80.5</v>
      </c>
      <c r="E227" s="117">
        <f>MOD(E226+D227,360)</f>
        <v>348.05</v>
      </c>
      <c r="F227" s="116">
        <v>252.8</v>
      </c>
      <c r="G227" s="117">
        <f>MOD(G226+F227,360)</f>
        <v>230.80000000000473</v>
      </c>
      <c r="H227" s="116">
        <v>218.0</v>
      </c>
      <c r="I227" s="117">
        <f>MOD(I226+H227,360)</f>
        <v>260.217</v>
      </c>
      <c r="J227" s="115">
        <v>252.667</v>
      </c>
      <c r="K227" s="117">
        <f>MOD(K226+J227,360)</f>
        <v>99.2370000000061</v>
      </c>
      <c r="N227" s="128">
        <v>173.0</v>
      </c>
      <c r="O227" s="130">
        <v>1.75</v>
      </c>
      <c r="P227" s="122"/>
      <c r="Q227" s="152">
        <v>173.0</v>
      </c>
      <c r="R227" s="130">
        <v>0.2</v>
      </c>
      <c r="T227" s="128">
        <v>173.0</v>
      </c>
      <c r="U227" s="151">
        <v>4.283</v>
      </c>
      <c r="V227" s="122"/>
      <c r="W227" s="132">
        <v>173.0</v>
      </c>
      <c r="X227" s="130">
        <v>2.183</v>
      </c>
    </row>
    <row r="228" spans="8:8" ht="17.15">
      <c r="A228" s="115">
        <v>3630.0</v>
      </c>
      <c r="B228" s="115">
        <v>40.083</v>
      </c>
      <c r="C228" s="123">
        <f>MOD(C227+B228,168)</f>
        <v>156.32799999999966</v>
      </c>
      <c r="D228" s="117">
        <v>80.5</v>
      </c>
      <c r="E228" s="117">
        <f>MOD(E227+D228,360)</f>
        <v>68.55000000000001</v>
      </c>
      <c r="F228" s="116">
        <v>252.8</v>
      </c>
      <c r="G228" s="117">
        <f>MOD(G227+F228,360)</f>
        <v>123.60000000000474</v>
      </c>
      <c r="H228" s="116">
        <v>218.0</v>
      </c>
      <c r="I228" s="117">
        <f>MOD(I227+H228,360)</f>
        <v>118.21699999999998</v>
      </c>
      <c r="J228" s="115">
        <v>252.667</v>
      </c>
      <c r="K228" s="117">
        <f>MOD(K227+J228,360)</f>
        <v>351.90400000000614</v>
      </c>
      <c r="N228" s="128">
        <v>174.0</v>
      </c>
      <c r="O228" s="130">
        <v>1.75</v>
      </c>
      <c r="P228" s="122"/>
      <c r="Q228" s="152">
        <v>174.0</v>
      </c>
      <c r="R228" s="130">
        <v>0.2</v>
      </c>
      <c r="T228" s="128">
        <v>174.0</v>
      </c>
      <c r="U228" s="151">
        <v>4.367</v>
      </c>
      <c r="V228" s="122"/>
      <c r="W228" s="132">
        <v>174.0</v>
      </c>
      <c r="X228" s="130">
        <v>2.15</v>
      </c>
    </row>
    <row r="229" spans="8:8" ht="17.15">
      <c r="A229" s="115">
        <v>3640.0</v>
      </c>
      <c r="B229" s="115">
        <v>40.083</v>
      </c>
      <c r="C229" s="123">
        <f>MOD(C228+B229,168)</f>
        <v>28.41099999999966</v>
      </c>
      <c r="D229" s="117">
        <v>80.5</v>
      </c>
      <c r="E229" s="117">
        <f>MOD(E228+D229,360)</f>
        <v>149.05</v>
      </c>
      <c r="F229" s="116">
        <v>252.8</v>
      </c>
      <c r="G229" s="117">
        <f>MOD(G228+F229,360)</f>
        <v>16.400000000004752</v>
      </c>
      <c r="H229" s="116">
        <v>218.0</v>
      </c>
      <c r="I229" s="117">
        <f>MOD(I228+H229,360)</f>
        <v>336.217</v>
      </c>
      <c r="J229" s="115">
        <v>252.667</v>
      </c>
      <c r="K229" s="117">
        <f>MOD(K228+J229,360)</f>
        <v>244.57100000000617</v>
      </c>
      <c r="N229" s="128">
        <v>175.0</v>
      </c>
      <c r="O229" s="130">
        <v>1.75</v>
      </c>
      <c r="P229" s="122"/>
      <c r="Q229" s="152">
        <v>175.0</v>
      </c>
      <c r="R229" s="130">
        <v>0.2</v>
      </c>
      <c r="T229" s="128">
        <v>175.0</v>
      </c>
      <c r="U229" s="151">
        <v>4.45</v>
      </c>
      <c r="V229" s="122"/>
      <c r="W229" s="132">
        <v>175.0</v>
      </c>
      <c r="X229" s="130">
        <v>2.117</v>
      </c>
    </row>
    <row r="230" spans="8:8" ht="17.15">
      <c r="A230" s="115">
        <v>3650.0</v>
      </c>
      <c r="B230" s="115">
        <v>40.083</v>
      </c>
      <c r="C230" s="123">
        <f>MOD(C229+B230,168)</f>
        <v>68.49399999999966</v>
      </c>
      <c r="D230" s="117">
        <v>80.5</v>
      </c>
      <c r="E230" s="117">
        <f>MOD(E229+D230,360)</f>
        <v>229.55</v>
      </c>
      <c r="F230" s="116">
        <v>252.8</v>
      </c>
      <c r="G230" s="117">
        <f>MOD(G229+F230,360)</f>
        <v>269.20000000000476</v>
      </c>
      <c r="H230" s="116">
        <v>218.0</v>
      </c>
      <c r="I230" s="117">
        <f>MOD(I229+H230,360)</f>
        <v>194.21699999999998</v>
      </c>
      <c r="J230" s="115">
        <v>252.667</v>
      </c>
      <c r="K230" s="117">
        <f>MOD(K229+J230,360)</f>
        <v>137.2380000000062</v>
      </c>
      <c r="N230" s="128">
        <v>176.0</v>
      </c>
      <c r="O230" s="130">
        <v>1.75</v>
      </c>
      <c r="P230" s="122"/>
      <c r="Q230" s="152">
        <v>176.0</v>
      </c>
      <c r="R230" s="130">
        <v>0.2</v>
      </c>
      <c r="T230" s="128">
        <v>176.0</v>
      </c>
      <c r="U230" s="151">
        <v>4.55</v>
      </c>
      <c r="V230" s="122"/>
      <c r="W230" s="132">
        <v>176.0</v>
      </c>
      <c r="X230" s="130">
        <v>2.083</v>
      </c>
    </row>
    <row r="231" spans="8:8" ht="17.15">
      <c r="A231" s="115">
        <v>3660.0</v>
      </c>
      <c r="B231" s="115">
        <v>40.083</v>
      </c>
      <c r="C231" s="123">
        <f>MOD(C230+B231,168)</f>
        <v>108.57699999999966</v>
      </c>
      <c r="D231" s="117">
        <v>80.5</v>
      </c>
      <c r="E231" s="117">
        <f>MOD(E230+D231,360)</f>
        <v>310.05</v>
      </c>
      <c r="F231" s="116">
        <v>252.8</v>
      </c>
      <c r="G231" s="117">
        <f>MOD(G230+F231,360)</f>
        <v>162.00000000000477</v>
      </c>
      <c r="H231" s="116">
        <v>218.0</v>
      </c>
      <c r="I231" s="117">
        <f>MOD(I230+H231,360)</f>
        <v>52.216999999999985</v>
      </c>
      <c r="J231" s="115">
        <v>252.667</v>
      </c>
      <c r="K231" s="117">
        <f>MOD(K230+J231,360)</f>
        <v>29.905000000006225</v>
      </c>
      <c r="N231" s="128">
        <v>177.0</v>
      </c>
      <c r="O231" s="130">
        <v>1.75</v>
      </c>
      <c r="P231" s="122"/>
      <c r="Q231" s="152">
        <v>177.0</v>
      </c>
      <c r="R231" s="130">
        <v>0.2</v>
      </c>
      <c r="T231" s="128">
        <v>177.0</v>
      </c>
      <c r="U231" s="151">
        <v>4.65</v>
      </c>
      <c r="V231" s="122"/>
      <c r="W231" s="132">
        <v>177.0</v>
      </c>
      <c r="X231" s="130">
        <v>2.05</v>
      </c>
    </row>
    <row r="232" spans="8:8" ht="17.15">
      <c r="A232" s="115">
        <v>3670.0</v>
      </c>
      <c r="B232" s="115">
        <v>40.083</v>
      </c>
      <c r="C232" s="123">
        <f>MOD(C231+B232,168)</f>
        <v>148.65999999999966</v>
      </c>
      <c r="D232" s="117">
        <v>80.5</v>
      </c>
      <c r="E232" s="117">
        <f>MOD(E231+D232,360)</f>
        <v>30.55000000000001</v>
      </c>
      <c r="F232" s="116">
        <v>252.8</v>
      </c>
      <c r="G232" s="117">
        <f>MOD(G231+F232,360)</f>
        <v>54.800000000004786</v>
      </c>
      <c r="H232" s="116">
        <v>218.0</v>
      </c>
      <c r="I232" s="117">
        <f>MOD(I231+H232,360)</f>
        <v>270.217</v>
      </c>
      <c r="J232" s="115">
        <v>252.667</v>
      </c>
      <c r="K232" s="117">
        <f>MOD(K231+J232,360)</f>
        <v>282.57200000000626</v>
      </c>
      <c r="N232" s="128">
        <v>178.0</v>
      </c>
      <c r="O232" s="130">
        <v>1.75</v>
      </c>
      <c r="P232" s="122"/>
      <c r="Q232" s="152">
        <v>178.0</v>
      </c>
      <c r="R232" s="130">
        <v>0.217</v>
      </c>
      <c r="T232" s="128">
        <v>178.0</v>
      </c>
      <c r="U232" s="151">
        <v>4.767</v>
      </c>
      <c r="V232" s="122"/>
      <c r="W232" s="132">
        <v>178.0</v>
      </c>
      <c r="X232" s="130">
        <v>2.017</v>
      </c>
    </row>
    <row r="233" spans="8:8" ht="17.15">
      <c r="A233" s="115">
        <v>3680.0</v>
      </c>
      <c r="B233" s="115">
        <v>40.083</v>
      </c>
      <c r="C233" s="123">
        <f>MOD(C232+B233,168)</f>
        <v>20.742999999999654</v>
      </c>
      <c r="D233" s="117">
        <v>80.5</v>
      </c>
      <c r="E233" s="117">
        <f>MOD(E232+D233,360)</f>
        <v>111.05000000000001</v>
      </c>
      <c r="F233" s="116">
        <v>252.8</v>
      </c>
      <c r="G233" s="117">
        <f>MOD(G232+F233,360)</f>
        <v>307.6000000000048</v>
      </c>
      <c r="H233" s="116">
        <v>218.0</v>
      </c>
      <c r="I233" s="117">
        <f>MOD(I232+H233,360)</f>
        <v>128.21699999999998</v>
      </c>
      <c r="J233" s="115">
        <v>252.667</v>
      </c>
      <c r="K233" s="117">
        <f>MOD(K232+J233,360)</f>
        <v>175.23900000000629</v>
      </c>
      <c r="N233" s="128">
        <v>179.0</v>
      </c>
      <c r="O233" s="130">
        <v>1.75</v>
      </c>
      <c r="P233" s="122"/>
      <c r="Q233" s="152">
        <v>179.0</v>
      </c>
      <c r="R233" s="130">
        <v>0.217</v>
      </c>
      <c r="T233" s="128">
        <v>179.0</v>
      </c>
      <c r="U233" s="151">
        <v>4.867</v>
      </c>
      <c r="V233" s="122"/>
      <c r="W233" s="132">
        <v>179.0</v>
      </c>
      <c r="X233" s="130">
        <v>1.983</v>
      </c>
    </row>
    <row r="234" spans="8:8" ht="17.15">
      <c r="A234" s="115">
        <v>3690.0</v>
      </c>
      <c r="B234" s="115">
        <v>40.083</v>
      </c>
      <c r="C234" s="123">
        <f>MOD(C233+B234,168)</f>
        <v>60.82599999999965</v>
      </c>
      <c r="D234" s="117">
        <v>80.5</v>
      </c>
      <c r="E234" s="117">
        <f>MOD(E233+D234,360)</f>
        <v>191.55</v>
      </c>
      <c r="F234" s="116">
        <v>252.8</v>
      </c>
      <c r="G234" s="117">
        <f>MOD(G233+F234,360)</f>
        <v>200.40000000000487</v>
      </c>
      <c r="H234" s="116">
        <v>218.0</v>
      </c>
      <c r="I234" s="117">
        <f>MOD(I233+H234,360)</f>
        <v>346.217</v>
      </c>
      <c r="J234" s="115">
        <v>252.667</v>
      </c>
      <c r="K234" s="117">
        <f>MOD(K233+J234,360)</f>
        <v>67.90600000000632</v>
      </c>
      <c r="N234" s="128">
        <v>180.0</v>
      </c>
      <c r="O234" s="130">
        <v>1.75</v>
      </c>
      <c r="P234" s="122"/>
      <c r="Q234" s="152">
        <v>180.0</v>
      </c>
      <c r="R234" s="130">
        <v>0.217</v>
      </c>
      <c r="T234" s="128">
        <v>180.0</v>
      </c>
      <c r="U234" s="151">
        <v>4.983</v>
      </c>
      <c r="V234" s="122"/>
      <c r="W234" s="132">
        <v>180.0</v>
      </c>
      <c r="X234" s="130">
        <v>1.933</v>
      </c>
    </row>
    <row r="235" spans="8:8" ht="17.15">
      <c r="A235" s="115">
        <v>3700.0</v>
      </c>
      <c r="B235" s="115">
        <v>40.083</v>
      </c>
      <c r="C235" s="123">
        <f>MOD(C234+B235,168)</f>
        <v>100.90899999999965</v>
      </c>
      <c r="D235" s="117">
        <v>80.5</v>
      </c>
      <c r="E235" s="117">
        <f>MOD(E234+D235,360)</f>
        <v>272.05</v>
      </c>
      <c r="F235" s="116">
        <v>252.8</v>
      </c>
      <c r="G235" s="117">
        <f>MOD(G234+F235,360)</f>
        <v>93.20000000000488</v>
      </c>
      <c r="H235" s="116">
        <v>218.0</v>
      </c>
      <c r="I235" s="117">
        <f>MOD(I234+H235,360)</f>
        <v>204.21699999999998</v>
      </c>
      <c r="J235" s="115">
        <v>252.667</v>
      </c>
      <c r="K235" s="117">
        <f>MOD(K234+J235,360)</f>
        <v>320.57300000000635</v>
      </c>
      <c r="N235" s="128">
        <v>181.0</v>
      </c>
      <c r="O235" s="130">
        <v>1.75</v>
      </c>
      <c r="P235" s="122"/>
      <c r="Q235" s="152">
        <v>181.0</v>
      </c>
      <c r="R235" s="130">
        <v>0.217</v>
      </c>
      <c r="T235" s="128">
        <v>181.0</v>
      </c>
      <c r="U235" s="151">
        <v>5.083</v>
      </c>
      <c r="V235" s="122"/>
      <c r="W235" s="132">
        <v>181.0</v>
      </c>
      <c r="X235" s="130">
        <v>1.917</v>
      </c>
    </row>
    <row r="236" spans="8:8" ht="17.15">
      <c r="A236" s="115">
        <v>3710.0</v>
      </c>
      <c r="B236" s="115">
        <v>40.083</v>
      </c>
      <c r="C236" s="123">
        <f>MOD(C235+B236,168)</f>
        <v>140.99199999999965</v>
      </c>
      <c r="D236" s="117">
        <v>80.5</v>
      </c>
      <c r="E236" s="117">
        <f>MOD(E235+D236,360)</f>
        <v>352.55</v>
      </c>
      <c r="F236" s="116">
        <v>252.8</v>
      </c>
      <c r="G236" s="117">
        <f>MOD(G235+F236,360)</f>
        <v>346.0000000000049</v>
      </c>
      <c r="H236" s="116">
        <v>218.0</v>
      </c>
      <c r="I236" s="117">
        <f>MOD(I235+H236,360)</f>
        <v>62.216999999999985</v>
      </c>
      <c r="J236" s="115">
        <v>252.667</v>
      </c>
      <c r="K236" s="117">
        <f>MOD(K235+J236,360)</f>
        <v>213.24000000000638</v>
      </c>
      <c r="N236" s="128">
        <v>182.0</v>
      </c>
      <c r="O236" s="130">
        <v>1.75</v>
      </c>
      <c r="P236" s="122"/>
      <c r="Q236" s="152">
        <v>182.0</v>
      </c>
      <c r="R236" s="130">
        <v>0.217</v>
      </c>
      <c r="T236" s="128">
        <v>182.0</v>
      </c>
      <c r="U236" s="151">
        <v>5.183</v>
      </c>
      <c r="V236" s="122"/>
      <c r="W236" s="132">
        <v>182.0</v>
      </c>
      <c r="X236" s="130">
        <v>1.883</v>
      </c>
    </row>
    <row r="237" spans="8:8" ht="17.15">
      <c r="A237" s="115">
        <v>3720.0</v>
      </c>
      <c r="B237" s="115">
        <v>40.083</v>
      </c>
      <c r="C237" s="123">
        <f>MOD(C236+B237,168)</f>
        <v>13.074999999999648</v>
      </c>
      <c r="D237" s="117">
        <v>80.5</v>
      </c>
      <c r="E237" s="117">
        <f>MOD(E236+D237,360)</f>
        <v>73.05000000000001</v>
      </c>
      <c r="F237" s="116">
        <v>252.8</v>
      </c>
      <c r="G237" s="117">
        <f>MOD(G236+F237,360)</f>
        <v>238.80000000000496</v>
      </c>
      <c r="H237" s="116">
        <v>218.0</v>
      </c>
      <c r="I237" s="117">
        <f>MOD(I236+H237,360)</f>
        <v>280.217</v>
      </c>
      <c r="J237" s="115">
        <v>252.667</v>
      </c>
      <c r="K237" s="117">
        <f>MOD(K236+J237,360)</f>
        <v>105.9070000000064</v>
      </c>
      <c r="N237" s="128">
        <v>183.0</v>
      </c>
      <c r="O237" s="130">
        <v>1.75</v>
      </c>
      <c r="P237" s="122"/>
      <c r="Q237" s="152">
        <v>183.0</v>
      </c>
      <c r="R237" s="130">
        <v>0.217</v>
      </c>
      <c r="T237" s="128">
        <v>183.0</v>
      </c>
      <c r="U237" s="151">
        <v>5.267</v>
      </c>
      <c r="V237" s="122"/>
      <c r="W237" s="132">
        <v>183.0</v>
      </c>
      <c r="X237" s="130">
        <v>1.85</v>
      </c>
    </row>
    <row r="238" spans="8:8" ht="17.15">
      <c r="A238" s="115">
        <v>3730.0</v>
      </c>
      <c r="B238" s="115">
        <v>40.083</v>
      </c>
      <c r="C238" s="123">
        <f>MOD(C237+B238,168)</f>
        <v>53.157999999999646</v>
      </c>
      <c r="D238" s="117">
        <v>80.5</v>
      </c>
      <c r="E238" s="117">
        <f>MOD(E237+D238,360)</f>
        <v>153.55</v>
      </c>
      <c r="F238" s="116">
        <v>252.8</v>
      </c>
      <c r="G238" s="117">
        <f>MOD(G237+F238,360)</f>
        <v>131.60000000000497</v>
      </c>
      <c r="H238" s="116">
        <v>218.0</v>
      </c>
      <c r="I238" s="117">
        <f>MOD(I237+H238,360)</f>
        <v>138.21699999999998</v>
      </c>
      <c r="J238" s="115">
        <v>252.667</v>
      </c>
      <c r="K238" s="117">
        <f>MOD(K237+J238,360)</f>
        <v>358.57400000000644</v>
      </c>
      <c r="N238" s="128">
        <v>184.0</v>
      </c>
      <c r="O238" s="130">
        <v>1.75</v>
      </c>
      <c r="P238" s="122"/>
      <c r="Q238" s="152">
        <v>184.0</v>
      </c>
      <c r="R238" s="130">
        <v>0.217</v>
      </c>
      <c r="T238" s="128">
        <v>184.0</v>
      </c>
      <c r="U238" s="151">
        <v>5.367</v>
      </c>
      <c r="V238" s="122"/>
      <c r="W238" s="132">
        <v>184.0</v>
      </c>
      <c r="X238" s="130">
        <v>1.8</v>
      </c>
    </row>
    <row r="239" spans="8:8" ht="17.15">
      <c r="A239" s="115">
        <v>3740.0</v>
      </c>
      <c r="B239" s="115">
        <v>40.083</v>
      </c>
      <c r="C239" s="123">
        <f>MOD(C238+B239,168)</f>
        <v>93.24099999999964</v>
      </c>
      <c r="D239" s="117">
        <v>80.5</v>
      </c>
      <c r="E239" s="117">
        <f>MOD(E238+D239,360)</f>
        <v>234.05</v>
      </c>
      <c r="F239" s="116">
        <v>252.8</v>
      </c>
      <c r="G239" s="117">
        <f>MOD(G238+F239,360)</f>
        <v>24.40000000000498</v>
      </c>
      <c r="H239" s="116">
        <v>218.0</v>
      </c>
      <c r="I239" s="117">
        <f>MOD(I238+H239,360)</f>
        <v>356.217</v>
      </c>
      <c r="J239" s="115">
        <v>252.667</v>
      </c>
      <c r="K239" s="117">
        <f>MOD(K238+J239,360)</f>
        <v>251.24100000000647</v>
      </c>
      <c r="N239" s="128">
        <v>185.0</v>
      </c>
      <c r="O239" s="130">
        <v>1.75</v>
      </c>
      <c r="P239" s="122"/>
      <c r="Q239" s="152">
        <v>185.0</v>
      </c>
      <c r="R239" s="130">
        <v>0.217</v>
      </c>
      <c r="T239" s="128">
        <v>185.0</v>
      </c>
      <c r="U239" s="151">
        <v>5.45</v>
      </c>
      <c r="V239" s="122"/>
      <c r="W239" s="132">
        <v>185.0</v>
      </c>
      <c r="X239" s="130">
        <v>1.767</v>
      </c>
    </row>
    <row r="240" spans="8:8" ht="17.15">
      <c r="A240" s="115">
        <v>3750.0</v>
      </c>
      <c r="B240" s="115">
        <v>40.083</v>
      </c>
      <c r="C240" s="123">
        <f>MOD(C239+B240,168)</f>
        <v>133.32399999999964</v>
      </c>
      <c r="D240" s="117">
        <v>80.5</v>
      </c>
      <c r="E240" s="117">
        <f>MOD(E239+D240,360)</f>
        <v>314.55</v>
      </c>
      <c r="F240" s="116">
        <v>252.8</v>
      </c>
      <c r="G240" s="117">
        <f>MOD(G239+F240,360)</f>
        <v>277.200000000005</v>
      </c>
      <c r="H240" s="116">
        <v>218.0</v>
      </c>
      <c r="I240" s="117">
        <f>MOD(I239+H240,360)</f>
        <v>214.21699999999998</v>
      </c>
      <c r="J240" s="115">
        <v>252.667</v>
      </c>
      <c r="K240" s="117">
        <f>MOD(K239+J240,360)</f>
        <v>143.9080000000065</v>
      </c>
      <c r="N240" s="128">
        <v>186.0</v>
      </c>
      <c r="O240" s="130">
        <v>1.75</v>
      </c>
      <c r="P240" s="122"/>
      <c r="Q240" s="152">
        <v>186.0</v>
      </c>
      <c r="R240" s="130">
        <v>0.217</v>
      </c>
      <c r="T240" s="128">
        <v>186.0</v>
      </c>
      <c r="U240" s="151">
        <v>5.55</v>
      </c>
      <c r="V240" s="122"/>
      <c r="W240" s="132">
        <v>186.0</v>
      </c>
      <c r="X240" s="130">
        <v>1.733</v>
      </c>
    </row>
    <row r="241" spans="8:8" ht="17.15">
      <c r="A241" s="115">
        <v>3760.0</v>
      </c>
      <c r="B241" s="115">
        <v>40.083</v>
      </c>
      <c r="C241" s="123">
        <f>MOD(C240+B241,168)</f>
        <v>5.406999999999641</v>
      </c>
      <c r="D241" s="117">
        <v>80.5</v>
      </c>
      <c r="E241" s="117">
        <f>MOD(E240+D241,360)</f>
        <v>35.05000000000001</v>
      </c>
      <c r="F241" s="116">
        <v>252.8</v>
      </c>
      <c r="G241" s="117">
        <f>MOD(G240+F241,360)</f>
        <v>170.000000000005</v>
      </c>
      <c r="H241" s="116">
        <v>218.0</v>
      </c>
      <c r="I241" s="117">
        <f>MOD(I240+H241,360)</f>
        <v>72.21699999999998</v>
      </c>
      <c r="J241" s="115">
        <v>252.667</v>
      </c>
      <c r="K241" s="117">
        <f>MOD(K240+J241,360)</f>
        <v>36.575000000006526</v>
      </c>
      <c r="N241" s="128">
        <v>187.0</v>
      </c>
      <c r="O241" s="130">
        <v>1.75</v>
      </c>
      <c r="P241" s="122"/>
      <c r="Q241" s="152">
        <v>187.0</v>
      </c>
      <c r="R241" s="130">
        <v>0.217</v>
      </c>
      <c r="T241" s="128">
        <v>187.0</v>
      </c>
      <c r="U241" s="151">
        <v>5.65</v>
      </c>
      <c r="V241" s="122"/>
      <c r="W241" s="132">
        <v>187.0</v>
      </c>
      <c r="X241" s="130">
        <v>1.7</v>
      </c>
    </row>
    <row r="242" spans="8:8" ht="17.15">
      <c r="A242" s="115">
        <v>3770.0</v>
      </c>
      <c r="B242" s="115">
        <v>40.083</v>
      </c>
      <c r="C242" s="123">
        <f>MOD(C241+B242,168)</f>
        <v>45.48999999999964</v>
      </c>
      <c r="D242" s="117">
        <v>80.5</v>
      </c>
      <c r="E242" s="117">
        <f>MOD(E241+D242,360)</f>
        <v>115.55000000000001</v>
      </c>
      <c r="F242" s="116">
        <v>252.8</v>
      </c>
      <c r="G242" s="117">
        <f>MOD(G241+F242,360)</f>
        <v>62.800000000005014</v>
      </c>
      <c r="H242" s="116">
        <v>218.0</v>
      </c>
      <c r="I242" s="117">
        <f>MOD(I241+H242,360)</f>
        <v>290.217</v>
      </c>
      <c r="J242" s="115">
        <v>252.667</v>
      </c>
      <c r="K242" s="117">
        <f>MOD(K241+J242,360)</f>
        <v>289.24200000000656</v>
      </c>
      <c r="N242" s="128">
        <v>188.0</v>
      </c>
      <c r="O242" s="130">
        <v>1.75</v>
      </c>
      <c r="P242" s="122"/>
      <c r="Q242" s="152">
        <v>188.0</v>
      </c>
      <c r="R242" s="130">
        <v>0.233</v>
      </c>
      <c r="T242" s="128">
        <v>188.0</v>
      </c>
      <c r="U242" s="151">
        <v>5.756</v>
      </c>
      <c r="V242" s="122"/>
      <c r="W242" s="132">
        <v>188.0</v>
      </c>
      <c r="X242" s="130">
        <v>1.667</v>
      </c>
    </row>
    <row r="243" spans="8:8" ht="17.15">
      <c r="A243" s="115">
        <v>3780.0</v>
      </c>
      <c r="B243" s="115">
        <v>40.083</v>
      </c>
      <c r="C243" s="123">
        <f>MOD(C242+B243,168)</f>
        <v>85.57299999999964</v>
      </c>
      <c r="D243" s="117">
        <v>80.5</v>
      </c>
      <c r="E243" s="117">
        <f>MOD(E242+D243,360)</f>
        <v>196.05</v>
      </c>
      <c r="F243" s="116">
        <v>252.8</v>
      </c>
      <c r="G243" s="117">
        <f>MOD(G242+F243,360)</f>
        <v>315.600000000005</v>
      </c>
      <c r="H243" s="116">
        <v>218.0</v>
      </c>
      <c r="I243" s="117">
        <f>MOD(I242+H243,360)</f>
        <v>148.21699999999998</v>
      </c>
      <c r="J243" s="115">
        <v>252.667</v>
      </c>
      <c r="K243" s="117">
        <f>MOD(K242+J243,360)</f>
        <v>181.90900000000659</v>
      </c>
      <c r="N243" s="128">
        <v>189.0</v>
      </c>
      <c r="O243" s="130">
        <v>1.75</v>
      </c>
      <c r="P243" s="122"/>
      <c r="Q243" s="152">
        <v>189.0</v>
      </c>
      <c r="R243" s="130">
        <v>0.233</v>
      </c>
      <c r="T243" s="128">
        <v>189.0</v>
      </c>
      <c r="U243" s="151">
        <v>5.833</v>
      </c>
      <c r="V243" s="122"/>
      <c r="W243" s="132">
        <v>189.0</v>
      </c>
      <c r="X243" s="130">
        <v>1.633</v>
      </c>
    </row>
    <row r="244" spans="8:8" ht="17.15">
      <c r="A244" s="115">
        <v>3790.0</v>
      </c>
      <c r="B244" s="115">
        <v>40.083</v>
      </c>
      <c r="C244" s="123">
        <f>MOD(C243+B244,168)</f>
        <v>125.65599999999964</v>
      </c>
      <c r="D244" s="117">
        <v>80.5</v>
      </c>
      <c r="E244" s="117">
        <f>MOD(E243+D244,360)</f>
        <v>276.55</v>
      </c>
      <c r="F244" s="116">
        <v>252.8</v>
      </c>
      <c r="G244" s="117">
        <f>MOD(G243+F244,360)</f>
        <v>208.4000000000051</v>
      </c>
      <c r="H244" s="116">
        <v>218.0</v>
      </c>
      <c r="I244" s="117">
        <f>MOD(I243+H244,360)</f>
        <v>6.2169999999999845</v>
      </c>
      <c r="J244" s="115">
        <v>252.667</v>
      </c>
      <c r="K244" s="117">
        <f>MOD(K243+J244,360)</f>
        <v>74.57600000000662</v>
      </c>
      <c r="N244" s="128">
        <v>190.0</v>
      </c>
      <c r="O244" s="130">
        <v>1.75</v>
      </c>
      <c r="P244" s="122"/>
      <c r="Q244" s="152">
        <v>190.0</v>
      </c>
      <c r="R244" s="130">
        <v>0.233</v>
      </c>
      <c r="T244" s="128">
        <v>190.0</v>
      </c>
      <c r="U244" s="151">
        <v>5.933</v>
      </c>
      <c r="V244" s="122"/>
      <c r="W244" s="132">
        <v>190.0</v>
      </c>
      <c r="X244" s="130">
        <v>1.6</v>
      </c>
    </row>
    <row r="245" spans="8:8" ht="17.15">
      <c r="A245" s="115">
        <v>3800.0</v>
      </c>
      <c r="B245" s="115">
        <v>40.083</v>
      </c>
      <c r="C245" s="123">
        <f>MOD(C244+B245,168)</f>
        <v>165.73899999999963</v>
      </c>
      <c r="D245" s="117">
        <v>80.5</v>
      </c>
      <c r="E245" s="117">
        <f>MOD(E244+D245,360)</f>
        <v>357.05</v>
      </c>
      <c r="F245" s="116">
        <v>252.8</v>
      </c>
      <c r="G245" s="117">
        <f>MOD(G244+F245,360)</f>
        <v>101.2000000000051</v>
      </c>
      <c r="H245" s="116">
        <v>218.0</v>
      </c>
      <c r="I245" s="117">
        <f>MOD(I244+H245,360)</f>
        <v>224.21699999999998</v>
      </c>
      <c r="J245" s="115">
        <v>252.667</v>
      </c>
      <c r="K245" s="117">
        <f>MOD(K244+J245,360)</f>
        <v>327.24300000000665</v>
      </c>
      <c r="N245" s="128">
        <v>191.0</v>
      </c>
      <c r="O245" s="130">
        <v>1.75</v>
      </c>
      <c r="P245" s="122"/>
      <c r="Q245" s="152">
        <v>191.0</v>
      </c>
      <c r="R245" s="130">
        <v>0.233</v>
      </c>
      <c r="T245" s="128">
        <v>191.0</v>
      </c>
      <c r="U245" s="151">
        <v>6.033</v>
      </c>
      <c r="V245" s="122"/>
      <c r="W245" s="132">
        <v>191.0</v>
      </c>
      <c r="X245" s="130">
        <v>1.567</v>
      </c>
    </row>
    <row r="246" spans="8:8" ht="17.15">
      <c r="A246" s="115">
        <v>3810.0</v>
      </c>
      <c r="B246" s="115">
        <v>40.083</v>
      </c>
      <c r="C246" s="123">
        <f>MOD(C245+B246,168)</f>
        <v>37.82199999999963</v>
      </c>
      <c r="D246" s="117">
        <v>80.5</v>
      </c>
      <c r="E246" s="117">
        <f>MOD(E245+D246,360)</f>
        <v>77.55000000000001</v>
      </c>
      <c r="F246" s="116">
        <v>252.8</v>
      </c>
      <c r="G246" s="117">
        <f>MOD(G245+F246,360)</f>
        <v>354.0000000000051</v>
      </c>
      <c r="H246" s="116">
        <v>218.0</v>
      </c>
      <c r="I246" s="117">
        <f>MOD(I245+H246,360)</f>
        <v>82.21699999999998</v>
      </c>
      <c r="J246" s="115">
        <v>252.667</v>
      </c>
      <c r="K246" s="117">
        <f>MOD(K245+J246,360)</f>
        <v>219.91000000000668</v>
      </c>
      <c r="N246" s="128">
        <v>192.0</v>
      </c>
      <c r="O246" s="130">
        <v>1.75</v>
      </c>
      <c r="P246" s="122"/>
      <c r="Q246" s="152">
        <v>192.0</v>
      </c>
      <c r="R246" s="130">
        <v>0.233</v>
      </c>
      <c r="T246" s="128">
        <v>192.0</v>
      </c>
      <c r="U246" s="151">
        <v>6.133</v>
      </c>
      <c r="V246" s="122"/>
      <c r="W246" s="132">
        <v>192.0</v>
      </c>
      <c r="X246" s="130">
        <v>1.533</v>
      </c>
    </row>
    <row r="247" spans="8:8" ht="17.15">
      <c r="A247" s="115">
        <v>3820.0</v>
      </c>
      <c r="B247" s="115">
        <v>40.083</v>
      </c>
      <c r="C247" s="123">
        <f>MOD(C246+B247,168)</f>
        <v>77.90499999999963</v>
      </c>
      <c r="D247" s="117">
        <v>80.5</v>
      </c>
      <c r="E247" s="117">
        <f>MOD(E246+D247,360)</f>
        <v>158.05</v>
      </c>
      <c r="F247" s="116">
        <v>252.8</v>
      </c>
      <c r="G247" s="117">
        <f>MOD(G246+F247,360)</f>
        <v>246.80000000000518</v>
      </c>
      <c r="H247" s="116">
        <v>218.0</v>
      </c>
      <c r="I247" s="117">
        <f>MOD(I246+H247,360)</f>
        <v>300.217</v>
      </c>
      <c r="J247" s="115">
        <v>252.667</v>
      </c>
      <c r="K247" s="117">
        <f>MOD(K246+J247,360)</f>
        <v>112.5770000000067</v>
      </c>
      <c r="N247" s="128">
        <v>193.0</v>
      </c>
      <c r="O247" s="130">
        <v>1.75</v>
      </c>
      <c r="P247" s="122"/>
      <c r="Q247" s="152">
        <v>193.0</v>
      </c>
      <c r="R247" s="130">
        <v>0.25</v>
      </c>
      <c r="T247" s="128">
        <v>193.0</v>
      </c>
      <c r="U247" s="151">
        <v>6.271</v>
      </c>
      <c r="V247" s="122"/>
      <c r="W247" s="132">
        <v>193.0</v>
      </c>
      <c r="X247" s="130">
        <v>1.483</v>
      </c>
    </row>
    <row r="248" spans="8:8" ht="17.15">
      <c r="A248" s="115">
        <v>3830.0</v>
      </c>
      <c r="B248" s="115">
        <v>40.083</v>
      </c>
      <c r="C248" s="123">
        <f>MOD(C247+B248,168)</f>
        <v>117.98799999999963</v>
      </c>
      <c r="D248" s="117">
        <v>80.5</v>
      </c>
      <c r="E248" s="117">
        <f>MOD(E247+D248,360)</f>
        <v>238.55</v>
      </c>
      <c r="F248" s="116">
        <v>252.8</v>
      </c>
      <c r="G248" s="117">
        <f>MOD(G247+F248,360)</f>
        <v>139.6000000000052</v>
      </c>
      <c r="H248" s="116">
        <v>218.0</v>
      </c>
      <c r="I248" s="117">
        <f>MOD(I247+H248,360)</f>
        <v>158.21699999999998</v>
      </c>
      <c r="J248" s="115">
        <v>252.667</v>
      </c>
      <c r="K248" s="117">
        <f>MOD(K247+J248,360)</f>
        <v>5.244000000006736</v>
      </c>
      <c r="N248" s="128">
        <v>194.0</v>
      </c>
      <c r="O248" s="130">
        <v>1.75</v>
      </c>
      <c r="P248" s="122"/>
      <c r="Q248" s="152">
        <v>194.0</v>
      </c>
      <c r="R248" s="130">
        <v>0.25</v>
      </c>
      <c r="T248" s="128">
        <v>194.0</v>
      </c>
      <c r="U248" s="151">
        <v>6.317</v>
      </c>
      <c r="V248" s="122"/>
      <c r="W248" s="132">
        <v>194.0</v>
      </c>
      <c r="X248" s="130">
        <v>1.45</v>
      </c>
    </row>
    <row r="249" spans="8:8" ht="17.15">
      <c r="A249" s="115">
        <v>3840.0</v>
      </c>
      <c r="B249" s="115">
        <v>40.083</v>
      </c>
      <c r="C249" s="123">
        <f>MOD(C248+B249,168)</f>
        <v>158.07099999999963</v>
      </c>
      <c r="D249" s="117">
        <v>80.5</v>
      </c>
      <c r="E249" s="117">
        <f>MOD(E248+D249,360)</f>
        <v>319.05</v>
      </c>
      <c r="F249" s="116">
        <v>252.8</v>
      </c>
      <c r="G249" s="117">
        <f>MOD(G248+F249,360)</f>
        <v>32.40000000000521</v>
      </c>
      <c r="H249" s="116">
        <v>218.0</v>
      </c>
      <c r="I249" s="117">
        <f>MOD(I248+H249,360)</f>
        <v>16.216999999999985</v>
      </c>
      <c r="J249" s="115">
        <v>252.667</v>
      </c>
      <c r="K249" s="117">
        <f>MOD(K248+J249,360)</f>
        <v>257.91100000000677</v>
      </c>
      <c r="N249" s="128">
        <v>195.0</v>
      </c>
      <c r="O249" s="130">
        <v>1.75</v>
      </c>
      <c r="P249" s="122"/>
      <c r="Q249" s="152">
        <v>195.0</v>
      </c>
      <c r="R249" s="130">
        <v>0.25</v>
      </c>
      <c r="T249" s="128">
        <v>195.0</v>
      </c>
      <c r="U249" s="151">
        <v>6.4</v>
      </c>
      <c r="V249" s="122"/>
      <c r="W249" s="132">
        <v>195.0</v>
      </c>
      <c r="X249" s="130">
        <v>1.417</v>
      </c>
    </row>
    <row r="250" spans="8:8" ht="17.15">
      <c r="A250" s="115">
        <v>3850.0</v>
      </c>
      <c r="B250" s="115">
        <v>40.083</v>
      </c>
      <c r="C250" s="123">
        <f>MOD(C249+B250,168)</f>
        <v>30.153999999999627</v>
      </c>
      <c r="D250" s="117">
        <v>80.5</v>
      </c>
      <c r="E250" s="117">
        <f>MOD(E249+D250,360)</f>
        <v>39.55000000000001</v>
      </c>
      <c r="F250" s="116">
        <v>252.8</v>
      </c>
      <c r="G250" s="117">
        <f>MOD(G249+F250,360)</f>
        <v>285.2000000000052</v>
      </c>
      <c r="H250" s="116">
        <v>218.0</v>
      </c>
      <c r="I250" s="117">
        <f>MOD(I249+H250,360)</f>
        <v>234.21699999999998</v>
      </c>
      <c r="J250" s="115">
        <v>252.667</v>
      </c>
      <c r="K250" s="117">
        <f>MOD(K249+J250,360)</f>
        <v>150.5780000000068</v>
      </c>
      <c r="N250" s="128">
        <v>196.0</v>
      </c>
      <c r="O250" s="130">
        <v>1.75</v>
      </c>
      <c r="P250" s="122"/>
      <c r="Q250" s="152">
        <v>196.0</v>
      </c>
      <c r="R250" s="130">
        <v>0.25</v>
      </c>
      <c r="T250" s="128">
        <v>196.0</v>
      </c>
      <c r="U250" s="151">
        <v>6.5</v>
      </c>
      <c r="V250" s="122"/>
      <c r="W250" s="132">
        <v>196.0</v>
      </c>
      <c r="X250" s="130">
        <v>1.383</v>
      </c>
    </row>
    <row r="251" spans="8:8" ht="17.15">
      <c r="A251" s="115">
        <v>3860.0</v>
      </c>
      <c r="B251" s="115">
        <v>40.083</v>
      </c>
      <c r="C251" s="123">
        <f>MOD(C250+B251,168)</f>
        <v>70.23699999999963</v>
      </c>
      <c r="D251" s="117">
        <v>80.5</v>
      </c>
      <c r="E251" s="117">
        <f>MOD(E250+D251,360)</f>
        <v>120.05000000000001</v>
      </c>
      <c r="F251" s="116">
        <v>252.8</v>
      </c>
      <c r="G251" s="117">
        <f>MOD(G250+F251,360)</f>
        <v>178.00000000000523</v>
      </c>
      <c r="H251" s="116">
        <v>218.0</v>
      </c>
      <c r="I251" s="117">
        <f>MOD(I250+H251,360)</f>
        <v>92.21699999999998</v>
      </c>
      <c r="J251" s="115">
        <v>252.667</v>
      </c>
      <c r="K251" s="117">
        <f>MOD(K250+J251,360)</f>
        <v>43.245000000006826</v>
      </c>
      <c r="N251" s="128">
        <v>197.0</v>
      </c>
      <c r="O251" s="130">
        <v>1.75</v>
      </c>
      <c r="P251" s="122"/>
      <c r="Q251" s="152">
        <v>197.0</v>
      </c>
      <c r="R251" s="130">
        <v>0.25</v>
      </c>
      <c r="T251" s="128">
        <v>197.0</v>
      </c>
      <c r="U251" s="151">
        <v>6.583</v>
      </c>
      <c r="V251" s="122"/>
      <c r="W251" s="132">
        <v>197.0</v>
      </c>
      <c r="X251" s="130">
        <v>1.35</v>
      </c>
    </row>
    <row r="252" spans="8:8" ht="17.15">
      <c r="A252" s="115">
        <v>3870.0</v>
      </c>
      <c r="B252" s="115">
        <v>40.083</v>
      </c>
      <c r="C252" s="123">
        <f>MOD(C251+B252,168)</f>
        <v>110.31999999999962</v>
      </c>
      <c r="D252" s="117">
        <v>80.5</v>
      </c>
      <c r="E252" s="117">
        <f>MOD(E251+D252,360)</f>
        <v>200.55</v>
      </c>
      <c r="F252" s="116">
        <v>252.8</v>
      </c>
      <c r="G252" s="117">
        <f>MOD(G251+F252,360)</f>
        <v>70.80000000000524</v>
      </c>
      <c r="H252" s="116">
        <v>218.0</v>
      </c>
      <c r="I252" s="117">
        <f>MOD(I251+H252,360)</f>
        <v>310.217</v>
      </c>
      <c r="J252" s="115">
        <v>252.667</v>
      </c>
      <c r="K252" s="117">
        <f>MOD(K251+J252,360)</f>
        <v>295.91200000000686</v>
      </c>
      <c r="N252" s="128">
        <v>198.0</v>
      </c>
      <c r="O252" s="130">
        <v>1.75</v>
      </c>
      <c r="P252" s="122"/>
      <c r="Q252" s="152">
        <v>198.0</v>
      </c>
      <c r="R252" s="130">
        <v>0.267</v>
      </c>
      <c r="T252" s="128">
        <v>198.0</v>
      </c>
      <c r="U252" s="151">
        <v>6.667</v>
      </c>
      <c r="V252" s="122"/>
      <c r="W252" s="132">
        <v>198.0</v>
      </c>
      <c r="X252" s="130">
        <v>1.317</v>
      </c>
    </row>
    <row r="253" spans="8:8" ht="17.15">
      <c r="A253" s="115">
        <v>3880.0</v>
      </c>
      <c r="B253" s="115">
        <v>40.083</v>
      </c>
      <c r="C253" s="123">
        <f>MOD(C252+B253,168)</f>
        <v>150.40299999999962</v>
      </c>
      <c r="D253" s="117">
        <v>80.5</v>
      </c>
      <c r="E253" s="117">
        <f>MOD(E252+D253,360)</f>
        <v>281.05</v>
      </c>
      <c r="F253" s="116">
        <v>252.8</v>
      </c>
      <c r="G253" s="117">
        <f>MOD(G252+F253,360)</f>
        <v>323.60000000000525</v>
      </c>
      <c r="H253" s="116">
        <v>218.0</v>
      </c>
      <c r="I253" s="117">
        <f>MOD(I252+H253,360)</f>
        <v>168.21699999999998</v>
      </c>
      <c r="J253" s="115">
        <v>252.667</v>
      </c>
      <c r="K253" s="117">
        <f>MOD(K252+J253,360)</f>
        <v>188.57900000000689</v>
      </c>
      <c r="N253" s="128">
        <v>199.0</v>
      </c>
      <c r="O253" s="130">
        <v>1.75</v>
      </c>
      <c r="P253" s="122"/>
      <c r="Q253" s="152">
        <v>199.0</v>
      </c>
      <c r="R253" s="130">
        <v>0.267</v>
      </c>
      <c r="T253" s="128">
        <v>199.0</v>
      </c>
      <c r="U253" s="151">
        <v>6.75</v>
      </c>
      <c r="V253" s="122"/>
      <c r="W253" s="132">
        <v>199.0</v>
      </c>
      <c r="X253" s="130">
        <v>1.283</v>
      </c>
    </row>
    <row r="254" spans="8:8" ht="17.15">
      <c r="A254" s="115">
        <v>3890.0</v>
      </c>
      <c r="B254" s="115">
        <v>40.083</v>
      </c>
      <c r="C254" s="123">
        <f>MOD(C253+B254,168)</f>
        <v>22.48599999999962</v>
      </c>
      <c r="D254" s="117">
        <v>80.5</v>
      </c>
      <c r="E254" s="117">
        <f>MOD(E253+D254,360)</f>
        <v>1.5500000000000114</v>
      </c>
      <c r="F254" s="116">
        <v>252.8</v>
      </c>
      <c r="G254" s="117">
        <f>MOD(G253+F254,360)</f>
        <v>216.40000000000532</v>
      </c>
      <c r="H254" s="116">
        <v>218.0</v>
      </c>
      <c r="I254" s="117">
        <f>MOD(I253+H254,360)</f>
        <v>26.216999999999985</v>
      </c>
      <c r="J254" s="115">
        <v>252.667</v>
      </c>
      <c r="K254" s="117">
        <f>MOD(K253+J254,360)</f>
        <v>81.24600000000692</v>
      </c>
      <c r="N254" s="128">
        <v>200.0</v>
      </c>
      <c r="O254" s="130">
        <v>1.75</v>
      </c>
      <c r="P254" s="122"/>
      <c r="Q254" s="152">
        <v>200.0</v>
      </c>
      <c r="R254" s="130">
        <v>0.267</v>
      </c>
      <c r="T254" s="128">
        <v>200.0</v>
      </c>
      <c r="U254" s="151">
        <v>6.833</v>
      </c>
      <c r="V254" s="122"/>
      <c r="W254" s="132">
        <v>200.0</v>
      </c>
      <c r="X254" s="130">
        <v>1.25</v>
      </c>
    </row>
    <row r="255" spans="8:8" ht="17.15">
      <c r="A255" s="115">
        <v>3900.0</v>
      </c>
      <c r="B255" s="115">
        <v>40.083</v>
      </c>
      <c r="C255" s="123">
        <f>MOD(C254+B255,168)</f>
        <v>62.56899999999962</v>
      </c>
      <c r="D255" s="117">
        <v>80.5</v>
      </c>
      <c r="E255" s="117">
        <f>MOD(E254+D255,360)</f>
        <v>82.05000000000001</v>
      </c>
      <c r="F255" s="116">
        <v>252.8</v>
      </c>
      <c r="G255" s="117">
        <f>MOD(G254+F255,360)</f>
        <v>109.20000000000533</v>
      </c>
      <c r="H255" s="116">
        <v>218.0</v>
      </c>
      <c r="I255" s="117">
        <f>MOD(I254+H255,360)</f>
        <v>244.21699999999998</v>
      </c>
      <c r="J255" s="115">
        <v>252.667</v>
      </c>
      <c r="K255" s="117">
        <f>MOD(K254+J255,360)</f>
        <v>333.91300000000695</v>
      </c>
      <c r="N255" s="128">
        <v>201.0</v>
      </c>
      <c r="O255" s="130">
        <v>1.75</v>
      </c>
      <c r="P255" s="122"/>
      <c r="Q255" s="152">
        <v>201.0</v>
      </c>
      <c r="R255" s="130">
        <v>0.267</v>
      </c>
      <c r="T255" s="128">
        <v>201.0</v>
      </c>
      <c r="U255" s="151">
        <v>6.933</v>
      </c>
      <c r="V255" s="122"/>
      <c r="W255" s="132">
        <v>201.0</v>
      </c>
      <c r="X255" s="130">
        <v>1.217</v>
      </c>
    </row>
    <row r="256" spans="8:8" ht="17.15">
      <c r="A256" s="115">
        <v>3910.0</v>
      </c>
      <c r="B256" s="115">
        <v>40.083</v>
      </c>
      <c r="C256" s="123">
        <f>MOD(C255+B256,168)</f>
        <v>102.65199999999962</v>
      </c>
      <c r="D256" s="117">
        <v>80.5</v>
      </c>
      <c r="E256" s="117">
        <f>MOD(E255+D256,360)</f>
        <v>162.55</v>
      </c>
      <c r="F256" s="116">
        <v>252.8</v>
      </c>
      <c r="G256" s="117">
        <f>MOD(G255+F256,360)</f>
        <v>2.0000000000053433</v>
      </c>
      <c r="H256" s="116">
        <v>218.0</v>
      </c>
      <c r="I256" s="117">
        <f>MOD(I255+H256,360)</f>
        <v>102.21699999999998</v>
      </c>
      <c r="J256" s="115">
        <v>252.667</v>
      </c>
      <c r="K256" s="117">
        <f>MOD(K255+J256,360)</f>
        <v>226.58000000000698</v>
      </c>
      <c r="N256" s="128">
        <v>202.0</v>
      </c>
      <c r="O256" s="130">
        <v>1.75</v>
      </c>
      <c r="P256" s="122"/>
      <c r="Q256" s="152">
        <v>202.0</v>
      </c>
      <c r="R256" s="130">
        <v>0.267</v>
      </c>
      <c r="T256" s="128">
        <v>202.0</v>
      </c>
      <c r="U256" s="151">
        <v>7.017</v>
      </c>
      <c r="V256" s="122"/>
      <c r="W256" s="132">
        <v>202.0</v>
      </c>
      <c r="X256" s="130">
        <v>1.183</v>
      </c>
    </row>
    <row r="257" spans="8:8" ht="17.15">
      <c r="A257" s="115">
        <v>3920.0</v>
      </c>
      <c r="B257" s="115">
        <v>40.083</v>
      </c>
      <c r="C257" s="123">
        <f>MOD(C256+B257,168)</f>
        <v>142.73499999999962</v>
      </c>
      <c r="D257" s="117">
        <v>80.5</v>
      </c>
      <c r="E257" s="117">
        <f>MOD(E256+D257,360)</f>
        <v>243.05</v>
      </c>
      <c r="F257" s="116">
        <v>252.8</v>
      </c>
      <c r="G257" s="117">
        <f>MOD(G256+F257,360)</f>
        <v>254.80000000000535</v>
      </c>
      <c r="H257" s="116">
        <v>218.0</v>
      </c>
      <c r="I257" s="117">
        <f>MOD(I256+H257,360)</f>
        <v>320.217</v>
      </c>
      <c r="J257" s="115">
        <v>252.667</v>
      </c>
      <c r="K257" s="117">
        <f>MOD(K256+J257,360)</f>
        <v>119.247000000007</v>
      </c>
      <c r="N257" s="128">
        <v>203.0</v>
      </c>
      <c r="O257" s="130">
        <v>1.75</v>
      </c>
      <c r="P257" s="122"/>
      <c r="Q257" s="152">
        <v>203.0</v>
      </c>
      <c r="R257" s="130">
        <v>0.267</v>
      </c>
      <c r="T257" s="128">
        <v>203.0</v>
      </c>
      <c r="U257" s="151">
        <v>7.1</v>
      </c>
      <c r="V257" s="122"/>
      <c r="W257" s="132">
        <v>203.0</v>
      </c>
      <c r="X257" s="130">
        <v>1.167</v>
      </c>
    </row>
    <row r="258" spans="8:8" ht="17.15">
      <c r="A258" s="115">
        <v>3930.0</v>
      </c>
      <c r="B258" s="115">
        <v>40.083</v>
      </c>
      <c r="C258" s="123">
        <f>MOD(C257+B258,168)</f>
        <v>14.817999999999614</v>
      </c>
      <c r="D258" s="117">
        <v>80.5</v>
      </c>
      <c r="E258" s="117">
        <f>MOD(E257+D258,360)</f>
        <v>323.55</v>
      </c>
      <c r="F258" s="116">
        <v>252.8</v>
      </c>
      <c r="G258" s="117">
        <f>MOD(G257+F258,360)</f>
        <v>147.60000000000537</v>
      </c>
      <c r="H258" s="116">
        <v>218.0</v>
      </c>
      <c r="I258" s="117">
        <f>MOD(I257+H258,360)</f>
        <v>178.21699999999998</v>
      </c>
      <c r="J258" s="115">
        <v>252.667</v>
      </c>
      <c r="K258" s="117">
        <f>MOD(K257+J258,360)</f>
        <v>11.914000000007036</v>
      </c>
      <c r="N258" s="128">
        <v>204.0</v>
      </c>
      <c r="O258" s="130">
        <v>1.75</v>
      </c>
      <c r="P258" s="122"/>
      <c r="Q258" s="152">
        <v>204.0</v>
      </c>
      <c r="R258" s="130">
        <v>0.267</v>
      </c>
      <c r="T258" s="128">
        <v>204.0</v>
      </c>
      <c r="U258" s="151">
        <v>7.183</v>
      </c>
      <c r="V258" s="122"/>
      <c r="W258" s="132">
        <v>204.0</v>
      </c>
      <c r="X258" s="130">
        <v>1.133</v>
      </c>
    </row>
    <row r="259" spans="8:8" ht="17.15">
      <c r="A259" s="115">
        <v>3940.0</v>
      </c>
      <c r="B259" s="115">
        <v>40.083</v>
      </c>
      <c r="C259" s="123">
        <f>MOD(C258+B259,168)</f>
        <v>54.90099999999961</v>
      </c>
      <c r="D259" s="117">
        <v>80.5</v>
      </c>
      <c r="E259" s="117">
        <f>MOD(E258+D259,360)</f>
        <v>44.05000000000001</v>
      </c>
      <c r="F259" s="116">
        <v>252.8</v>
      </c>
      <c r="G259" s="117">
        <f>MOD(G258+F259,360)</f>
        <v>40.40000000000538</v>
      </c>
      <c r="H259" s="116">
        <v>218.0</v>
      </c>
      <c r="I259" s="117">
        <f>MOD(I258+H259,360)</f>
        <v>36.216999999999985</v>
      </c>
      <c r="J259" s="115">
        <v>252.667</v>
      </c>
      <c r="K259" s="117">
        <f>MOD(K258+J259,360)</f>
        <v>264.58100000000707</v>
      </c>
      <c r="N259" s="128">
        <v>205.0</v>
      </c>
      <c r="O259" s="130">
        <v>1.75</v>
      </c>
      <c r="P259" s="122"/>
      <c r="Q259" s="152">
        <v>205.0</v>
      </c>
      <c r="R259" s="130">
        <v>0.267</v>
      </c>
      <c r="T259" s="128">
        <v>205.0</v>
      </c>
      <c r="U259" s="151">
        <v>7.267</v>
      </c>
      <c r="V259" s="122"/>
      <c r="W259" s="132">
        <v>205.0</v>
      </c>
      <c r="X259" s="130">
        <v>1.1</v>
      </c>
    </row>
    <row r="260" spans="8:8" ht="17.15">
      <c r="A260" s="115">
        <v>3950.0</v>
      </c>
      <c r="B260" s="115">
        <v>40.083</v>
      </c>
      <c r="C260" s="123">
        <f>MOD(C259+B260,168)</f>
        <v>94.98399999999961</v>
      </c>
      <c r="D260" s="117">
        <v>80.5</v>
      </c>
      <c r="E260" s="117">
        <f>MOD(E259+D260,360)</f>
        <v>124.55000000000001</v>
      </c>
      <c r="F260" s="116">
        <v>252.8</v>
      </c>
      <c r="G260" s="117">
        <f>MOD(G259+F260,360)</f>
        <v>293.2000000000054</v>
      </c>
      <c r="H260" s="116">
        <v>218.0</v>
      </c>
      <c r="I260" s="117">
        <f>MOD(I259+H260,360)</f>
        <v>254.21699999999998</v>
      </c>
      <c r="J260" s="115">
        <v>252.667</v>
      </c>
      <c r="K260" s="117">
        <f>MOD(K259+J260,360)</f>
        <v>157.2480000000071</v>
      </c>
      <c r="N260" s="128">
        <v>206.0</v>
      </c>
      <c r="O260" s="130">
        <v>1.75</v>
      </c>
      <c r="P260" s="122"/>
      <c r="Q260" s="152">
        <v>206.0</v>
      </c>
      <c r="R260" s="130">
        <v>0.267</v>
      </c>
      <c r="T260" s="128">
        <v>206.0</v>
      </c>
      <c r="U260" s="151">
        <v>7.35</v>
      </c>
      <c r="V260" s="122"/>
      <c r="W260" s="132">
        <v>206.0</v>
      </c>
      <c r="X260" s="130">
        <v>1.067</v>
      </c>
    </row>
    <row r="261" spans="8:8" ht="17.15">
      <c r="A261" s="115">
        <v>3960.0</v>
      </c>
      <c r="B261" s="115">
        <v>40.083</v>
      </c>
      <c r="C261" s="123">
        <f>MOD(C260+B261,168)</f>
        <v>135.0669999999996</v>
      </c>
      <c r="D261" s="117">
        <v>80.5</v>
      </c>
      <c r="E261" s="117">
        <f>MOD(E260+D261,360)</f>
        <v>205.05</v>
      </c>
      <c r="F261" s="116">
        <v>252.8</v>
      </c>
      <c r="G261" s="117">
        <f>MOD(G260+F261,360)</f>
        <v>186.00000000000546</v>
      </c>
      <c r="H261" s="116">
        <v>218.0</v>
      </c>
      <c r="I261" s="117">
        <f>MOD(I260+H261,360)</f>
        <v>112.21699999999998</v>
      </c>
      <c r="J261" s="115">
        <v>252.667</v>
      </c>
      <c r="K261" s="117">
        <f>MOD(K260+J261,360)</f>
        <v>49.915000000007126</v>
      </c>
      <c r="N261" s="128">
        <v>207.0</v>
      </c>
      <c r="O261" s="130">
        <v>1.75</v>
      </c>
      <c r="P261" s="122"/>
      <c r="Q261" s="152">
        <v>207.0</v>
      </c>
      <c r="R261" s="130">
        <v>0.267</v>
      </c>
      <c r="T261" s="128">
        <v>207.0</v>
      </c>
      <c r="U261" s="151">
        <v>7.433</v>
      </c>
      <c r="V261" s="122"/>
      <c r="W261" s="132">
        <v>207.0</v>
      </c>
      <c r="X261" s="130">
        <v>1.033</v>
      </c>
    </row>
    <row r="262" spans="8:8" ht="17.15">
      <c r="A262" s="115">
        <v>3970.0</v>
      </c>
      <c r="B262" s="115">
        <v>40.083</v>
      </c>
      <c r="C262" s="123">
        <f>MOD(C261+B262,168)</f>
        <v>7.149999999999608</v>
      </c>
      <c r="D262" s="117">
        <v>80.5</v>
      </c>
      <c r="E262" s="117">
        <f>MOD(E261+D262,360)</f>
        <v>285.55</v>
      </c>
      <c r="F262" s="116">
        <v>252.8</v>
      </c>
      <c r="G262" s="117">
        <f>MOD(G261+F262,360)</f>
        <v>78.80000000000547</v>
      </c>
      <c r="H262" s="116">
        <v>218.0</v>
      </c>
      <c r="I262" s="117">
        <f>MOD(I261+H262,360)</f>
        <v>330.217</v>
      </c>
      <c r="J262" s="115">
        <v>252.667</v>
      </c>
      <c r="K262" s="117">
        <f>MOD(K261+J262,360)</f>
        <v>302.58200000000716</v>
      </c>
      <c r="N262" s="128">
        <v>208.0</v>
      </c>
      <c r="O262" s="130">
        <v>1.767</v>
      </c>
      <c r="P262" s="122"/>
      <c r="Q262" s="152">
        <v>208.0</v>
      </c>
      <c r="R262" s="130">
        <v>0.283</v>
      </c>
      <c r="T262" s="128">
        <v>208.0</v>
      </c>
      <c r="U262" s="151">
        <v>7.517</v>
      </c>
      <c r="V262" s="122"/>
      <c r="W262" s="132">
        <v>208.0</v>
      </c>
      <c r="X262" s="130">
        <v>1.0</v>
      </c>
    </row>
    <row r="263" spans="8:8" ht="17.15">
      <c r="A263" s="115">
        <v>3980.0</v>
      </c>
      <c r="B263" s="115">
        <v>40.083</v>
      </c>
      <c r="C263" s="123">
        <f>MOD(C262+B263,168)</f>
        <v>47.232999999999606</v>
      </c>
      <c r="D263" s="117">
        <v>80.5</v>
      </c>
      <c r="E263" s="117">
        <f>MOD(E262+D263,360)</f>
        <v>6.050000000000011</v>
      </c>
      <c r="F263" s="116">
        <v>252.8</v>
      </c>
      <c r="G263" s="117">
        <f>MOD(G262+F263,360)</f>
        <v>331.6000000000055</v>
      </c>
      <c r="H263" s="116">
        <v>218.0</v>
      </c>
      <c r="I263" s="117">
        <f>MOD(I262+H263,360)</f>
        <v>188.21699999999998</v>
      </c>
      <c r="J263" s="115">
        <v>252.667</v>
      </c>
      <c r="K263" s="117">
        <f>MOD(K262+J263,360)</f>
        <v>195.2490000000072</v>
      </c>
      <c r="N263" s="128">
        <v>209.0</v>
      </c>
      <c r="O263" s="130">
        <v>1.767</v>
      </c>
      <c r="P263" s="122"/>
      <c r="Q263" s="152">
        <v>209.0</v>
      </c>
      <c r="R263" s="130">
        <v>0.283</v>
      </c>
      <c r="T263" s="128">
        <v>209.0</v>
      </c>
      <c r="U263" s="151">
        <v>7.6</v>
      </c>
      <c r="V263" s="122"/>
      <c r="W263" s="132">
        <v>209.0</v>
      </c>
      <c r="X263" s="151">
        <v>0.967</v>
      </c>
    </row>
    <row r="264" spans="8:8" ht="17.15">
      <c r="A264" s="115">
        <v>3990.0</v>
      </c>
      <c r="B264" s="115">
        <v>40.083</v>
      </c>
      <c r="C264" s="123">
        <f>MOD(C263+B264,168)</f>
        <v>87.3159999999996</v>
      </c>
      <c r="D264" s="117">
        <v>80.5</v>
      </c>
      <c r="E264" s="117">
        <f>MOD(E263+D264,360)</f>
        <v>86.55000000000001</v>
      </c>
      <c r="F264" s="116">
        <v>252.8</v>
      </c>
      <c r="G264" s="117">
        <f>MOD(G263+F264,360)</f>
        <v>224.40000000000555</v>
      </c>
      <c r="H264" s="116">
        <v>218.0</v>
      </c>
      <c r="I264" s="117">
        <f>MOD(I263+H264,360)</f>
        <v>46.216999999999985</v>
      </c>
      <c r="J264" s="115">
        <v>252.667</v>
      </c>
      <c r="K264" s="117">
        <f>MOD(K263+J264,360)</f>
        <v>87.91600000000722</v>
      </c>
      <c r="N264" s="128">
        <v>210.0</v>
      </c>
      <c r="O264" s="130">
        <v>1.767</v>
      </c>
      <c r="P264" s="122"/>
      <c r="Q264" s="152">
        <v>210.0</v>
      </c>
      <c r="R264" s="130">
        <v>0.283</v>
      </c>
      <c r="T264" s="128">
        <v>210.0</v>
      </c>
      <c r="U264" s="151">
        <v>7.683</v>
      </c>
      <c r="V264" s="122"/>
      <c r="W264" s="132">
        <v>210.0</v>
      </c>
      <c r="X264" s="130">
        <v>0.933</v>
      </c>
    </row>
    <row r="265" spans="8:8" ht="17.15">
      <c r="A265" s="115">
        <v>4000.0</v>
      </c>
      <c r="B265" s="115">
        <v>40.083</v>
      </c>
      <c r="C265" s="123">
        <f>MOD(C264+B265,168)</f>
        <v>127.3989999999996</v>
      </c>
      <c r="D265" s="117">
        <v>80.5</v>
      </c>
      <c r="E265" s="117">
        <f>MOD(E264+D265,360)</f>
        <v>167.05</v>
      </c>
      <c r="F265" s="116">
        <v>252.8</v>
      </c>
      <c r="G265" s="117">
        <f>MOD(G264+F265,360)</f>
        <v>117.20000000000556</v>
      </c>
      <c r="H265" s="116">
        <v>218.0</v>
      </c>
      <c r="I265" s="117">
        <f>MOD(I264+H265,360)</f>
        <v>264.217</v>
      </c>
      <c r="J265" s="115">
        <v>252.667</v>
      </c>
      <c r="K265" s="117">
        <f>MOD(K264+J265,360)</f>
        <v>340.58300000000725</v>
      </c>
      <c r="N265" s="128">
        <v>211.0</v>
      </c>
      <c r="O265" s="130">
        <v>1.767</v>
      </c>
      <c r="P265" s="122"/>
      <c r="Q265" s="152">
        <v>211.0</v>
      </c>
      <c r="R265" s="130">
        <v>0.283</v>
      </c>
      <c r="T265" s="128">
        <v>211.0</v>
      </c>
      <c r="U265" s="151">
        <v>7.767</v>
      </c>
      <c r="V265" s="122"/>
      <c r="W265" s="132">
        <v>211.0</v>
      </c>
      <c r="X265" s="130">
        <v>0.9</v>
      </c>
    </row>
    <row r="266" spans="8:8" ht="17.15">
      <c r="A266" s="115">
        <v>4010.0</v>
      </c>
      <c r="B266" s="115">
        <v>40.083</v>
      </c>
      <c r="C266" s="123">
        <f>MOD(C265+B266,168)</f>
        <v>167.4819999999996</v>
      </c>
      <c r="D266" s="117">
        <v>80.5</v>
      </c>
      <c r="E266" s="117">
        <f>MOD(E265+D266,360)</f>
        <v>247.55</v>
      </c>
      <c r="F266" s="116">
        <v>252.8</v>
      </c>
      <c r="G266" s="117">
        <f>MOD(G265+F266,360)</f>
        <v>10.00000000000557</v>
      </c>
      <c r="H266" s="116">
        <v>218.0</v>
      </c>
      <c r="I266" s="117">
        <f>MOD(I265+H266,360)</f>
        <v>122.21699999999998</v>
      </c>
      <c r="J266" s="115">
        <v>252.667</v>
      </c>
      <c r="K266" s="117">
        <f>MOD(K265+J266,360)</f>
        <v>233.25000000000728</v>
      </c>
      <c r="N266" s="128">
        <v>212.0</v>
      </c>
      <c r="O266" s="130">
        <v>1.767</v>
      </c>
      <c r="P266" s="122"/>
      <c r="Q266" s="152">
        <v>212.0</v>
      </c>
      <c r="R266" s="130">
        <v>0.283</v>
      </c>
      <c r="T266" s="128">
        <v>212.0</v>
      </c>
      <c r="U266" s="151">
        <v>7.833</v>
      </c>
      <c r="V266" s="122"/>
      <c r="W266" s="132">
        <v>212.0</v>
      </c>
      <c r="X266" s="130">
        <v>0.867</v>
      </c>
    </row>
    <row r="267" spans="8:8" ht="17.15">
      <c r="A267" s="115">
        <v>4020.0</v>
      </c>
      <c r="B267" s="115">
        <v>40.083</v>
      </c>
      <c r="C267" s="123">
        <f>MOD(C266+B267,168)</f>
        <v>39.5649999999996</v>
      </c>
      <c r="D267" s="117">
        <v>80.5</v>
      </c>
      <c r="E267" s="117">
        <f>MOD(E266+D267,360)</f>
        <v>328.05</v>
      </c>
      <c r="F267" s="116">
        <v>252.8</v>
      </c>
      <c r="G267" s="117">
        <f>MOD(G266+F267,360)</f>
        <v>262.8000000000056</v>
      </c>
      <c r="H267" s="116">
        <v>218.0</v>
      </c>
      <c r="I267" s="117">
        <f>MOD(I266+H267,360)</f>
        <v>340.217</v>
      </c>
      <c r="J267" s="115">
        <v>252.667</v>
      </c>
      <c r="K267" s="117">
        <f>MOD(K266+J267,360)</f>
        <v>125.9170000000073</v>
      </c>
      <c r="N267" s="128">
        <v>213.0</v>
      </c>
      <c r="O267" s="130">
        <v>1.767</v>
      </c>
      <c r="P267" s="122"/>
      <c r="Q267" s="152">
        <v>213.0</v>
      </c>
      <c r="R267" s="130">
        <v>0.283</v>
      </c>
      <c r="T267" s="128">
        <v>213.0</v>
      </c>
      <c r="U267" s="151">
        <v>7.917</v>
      </c>
      <c r="V267" s="122"/>
      <c r="W267" s="132">
        <v>213.0</v>
      </c>
      <c r="X267" s="130">
        <v>0.833</v>
      </c>
    </row>
    <row r="268" spans="8:8" ht="17.15">
      <c r="A268" s="115">
        <v>4030.0</v>
      </c>
      <c r="B268" s="115">
        <v>40.083</v>
      </c>
      <c r="C268" s="123">
        <f>MOD(C267+B268,168)</f>
        <v>79.6479999999996</v>
      </c>
      <c r="D268" s="117">
        <v>80.5</v>
      </c>
      <c r="E268" s="117">
        <f>MOD(E267+D268,360)</f>
        <v>48.55000000000001</v>
      </c>
      <c r="F268" s="116">
        <v>252.8</v>
      </c>
      <c r="G268" s="117">
        <f>MOD(G267+F268,360)</f>
        <v>155.6000000000056</v>
      </c>
      <c r="H268" s="116">
        <v>218.0</v>
      </c>
      <c r="I268" s="117">
        <f>MOD(I267+H268,360)</f>
        <v>198.21699999999998</v>
      </c>
      <c r="J268" s="115">
        <v>252.667</v>
      </c>
      <c r="K268" s="117">
        <f>MOD(K267+J268,360)</f>
        <v>18.584000000007336</v>
      </c>
      <c r="N268" s="128">
        <v>214.0</v>
      </c>
      <c r="O268" s="130">
        <v>1.767</v>
      </c>
      <c r="P268" s="122"/>
      <c r="Q268" s="152">
        <v>214.0</v>
      </c>
      <c r="R268" s="130">
        <v>0.283</v>
      </c>
      <c r="T268" s="128">
        <v>214.0</v>
      </c>
      <c r="U268" s="151">
        <v>7.983</v>
      </c>
      <c r="V268" s="122"/>
      <c r="W268" s="132">
        <v>214.0</v>
      </c>
      <c r="X268" s="130">
        <v>0.8</v>
      </c>
    </row>
    <row r="269" spans="8:8" ht="17.15">
      <c r="A269" s="115">
        <v>4040.0</v>
      </c>
      <c r="B269" s="115">
        <v>40.083</v>
      </c>
      <c r="C269" s="123">
        <f>MOD(C268+B269,168)</f>
        <v>119.7309999999996</v>
      </c>
      <c r="D269" s="117">
        <v>80.5</v>
      </c>
      <c r="E269" s="117">
        <f>MOD(E268+D269,360)</f>
        <v>129.05</v>
      </c>
      <c r="F269" s="116">
        <v>252.8</v>
      </c>
      <c r="G269" s="117">
        <f>MOD(G268+F269,360)</f>
        <v>48.400000000005605</v>
      </c>
      <c r="H269" s="116">
        <v>218.0</v>
      </c>
      <c r="I269" s="117">
        <f>MOD(I268+H269,360)</f>
        <v>56.216999999999985</v>
      </c>
      <c r="J269" s="115">
        <v>252.667</v>
      </c>
      <c r="K269" s="117">
        <f>MOD(K268+J269,360)</f>
        <v>271.25100000000737</v>
      </c>
      <c r="N269" s="128">
        <v>215.0</v>
      </c>
      <c r="O269" s="130">
        <v>1.767</v>
      </c>
      <c r="P269" s="122"/>
      <c r="Q269" s="152">
        <v>215.0</v>
      </c>
      <c r="R269" s="130">
        <v>0.283</v>
      </c>
      <c r="T269" s="128">
        <v>215.0</v>
      </c>
      <c r="U269" s="151">
        <v>8.05</v>
      </c>
      <c r="V269" s="122"/>
      <c r="W269" s="132">
        <v>215.0</v>
      </c>
      <c r="X269" s="130">
        <v>0.783</v>
      </c>
    </row>
    <row r="270" spans="8:8" ht="17.15">
      <c r="A270" s="115">
        <v>4050.0</v>
      </c>
      <c r="B270" s="115">
        <v>40.083</v>
      </c>
      <c r="C270" s="123">
        <f>MOD(C269+B270,168)</f>
        <v>159.8139999999996</v>
      </c>
      <c r="D270" s="117">
        <v>80.5</v>
      </c>
      <c r="E270" s="117">
        <f>MOD(E269+D270,360)</f>
        <v>209.55</v>
      </c>
      <c r="F270" s="116">
        <v>252.8</v>
      </c>
      <c r="G270" s="117">
        <f>MOD(G269+F270,360)</f>
        <v>301.2000000000056</v>
      </c>
      <c r="H270" s="116">
        <v>218.0</v>
      </c>
      <c r="I270" s="117">
        <f>MOD(I269+H270,360)</f>
        <v>274.217</v>
      </c>
      <c r="J270" s="115">
        <v>252.667</v>
      </c>
      <c r="K270" s="117">
        <f>MOD(K269+J270,360)</f>
        <v>163.9180000000074</v>
      </c>
      <c r="N270" s="128">
        <v>216.0</v>
      </c>
      <c r="O270" s="130">
        <v>1.767</v>
      </c>
      <c r="P270" s="122"/>
      <c r="Q270" s="152">
        <v>216.0</v>
      </c>
      <c r="R270" s="130">
        <v>0.283</v>
      </c>
      <c r="T270" s="128">
        <v>216.0</v>
      </c>
      <c r="U270" s="151">
        <v>8.133</v>
      </c>
      <c r="V270" s="122"/>
      <c r="W270" s="132">
        <v>216.0</v>
      </c>
      <c r="X270" s="130">
        <v>0.75</v>
      </c>
    </row>
    <row r="271" spans="8:8" ht="17.15">
      <c r="A271" s="115">
        <v>4060.0</v>
      </c>
      <c r="B271" s="115">
        <v>40.083</v>
      </c>
      <c r="C271" s="123">
        <f>MOD(C270+B271,168)</f>
        <v>31.896999999999593</v>
      </c>
      <c r="D271" s="117">
        <v>80.5</v>
      </c>
      <c r="E271" s="117">
        <f>MOD(E270+D271,360)</f>
        <v>290.05</v>
      </c>
      <c r="F271" s="116">
        <v>252.8</v>
      </c>
      <c r="G271" s="117">
        <f>MOD(G270+F271,360)</f>
        <v>194.00000000000568</v>
      </c>
      <c r="H271" s="116">
        <v>218.0</v>
      </c>
      <c r="I271" s="117">
        <f>MOD(I270+H271,360)</f>
        <v>132.21699999999998</v>
      </c>
      <c r="J271" s="115">
        <v>252.667</v>
      </c>
      <c r="K271" s="117">
        <f>MOD(K270+J271,360)</f>
        <v>56.585000000007426</v>
      </c>
      <c r="N271" s="128">
        <v>217.0</v>
      </c>
      <c r="O271" s="130">
        <v>1.767</v>
      </c>
      <c r="P271" s="122"/>
      <c r="Q271" s="152">
        <v>217.0</v>
      </c>
      <c r="R271" s="130">
        <v>0.283</v>
      </c>
      <c r="T271" s="128">
        <v>217.0</v>
      </c>
      <c r="U271" s="151">
        <v>8.2</v>
      </c>
      <c r="V271" s="122"/>
      <c r="W271" s="132">
        <v>217.0</v>
      </c>
      <c r="X271" s="130">
        <v>0.717</v>
      </c>
    </row>
    <row r="272" spans="8:8" ht="17.15">
      <c r="A272" s="115">
        <v>4070.0</v>
      </c>
      <c r="B272" s="115">
        <v>40.083</v>
      </c>
      <c r="C272" s="123">
        <f>MOD(C271+B272,168)</f>
        <v>71.97999999999959</v>
      </c>
      <c r="D272" s="117">
        <v>80.5</v>
      </c>
      <c r="E272" s="117">
        <f>MOD(E271+D272,360)</f>
        <v>10.550000000000011</v>
      </c>
      <c r="F272" s="116">
        <v>252.8</v>
      </c>
      <c r="G272" s="117">
        <f>MOD(G271+F272,360)</f>
        <v>86.8000000000057</v>
      </c>
      <c r="H272" s="116">
        <v>218.0</v>
      </c>
      <c r="I272" s="117">
        <f>MOD(I271+H272,360)</f>
        <v>350.217</v>
      </c>
      <c r="J272" s="115">
        <v>252.667</v>
      </c>
      <c r="K272" s="117">
        <f>MOD(K271+J272,360)</f>
        <v>309.25200000000746</v>
      </c>
      <c r="N272" s="128">
        <v>218.0</v>
      </c>
      <c r="O272" s="130">
        <v>1.783</v>
      </c>
      <c r="P272" s="122"/>
      <c r="Q272" s="152">
        <v>218.0</v>
      </c>
      <c r="R272" s="130">
        <v>0.283</v>
      </c>
      <c r="T272" s="128">
        <v>218.0</v>
      </c>
      <c r="U272" s="151">
        <v>8.283</v>
      </c>
      <c r="V272" s="122"/>
      <c r="W272" s="132">
        <v>218.0</v>
      </c>
      <c r="X272" s="130">
        <v>0.7</v>
      </c>
    </row>
    <row r="273" spans="8:8" ht="17.15">
      <c r="A273" s="115">
        <v>4080.0</v>
      </c>
      <c r="B273" s="115">
        <v>40.083</v>
      </c>
      <c r="C273" s="123">
        <f>MOD(C272+B273,168)</f>
        <v>112.06299999999959</v>
      </c>
      <c r="D273" s="117">
        <v>80.5</v>
      </c>
      <c r="E273" s="117">
        <f>MOD(E272+D273,360)</f>
        <v>91.05000000000001</v>
      </c>
      <c r="F273" s="116">
        <v>252.8</v>
      </c>
      <c r="G273" s="117">
        <f>MOD(G272+F273,360)</f>
        <v>339.6000000000057</v>
      </c>
      <c r="H273" s="116">
        <v>218.0</v>
      </c>
      <c r="I273" s="117">
        <f>MOD(I272+H273,360)</f>
        <v>208.21699999999998</v>
      </c>
      <c r="J273" s="115">
        <v>252.667</v>
      </c>
      <c r="K273" s="117">
        <f>MOD(K272+J273,360)</f>
        <v>201.9190000000075</v>
      </c>
      <c r="N273" s="128">
        <v>219.0</v>
      </c>
      <c r="O273" s="130">
        <v>1.783</v>
      </c>
      <c r="P273" s="122"/>
      <c r="Q273" s="152">
        <v>219.0</v>
      </c>
      <c r="R273" s="130">
        <v>0.283</v>
      </c>
      <c r="T273" s="128">
        <v>219.0</v>
      </c>
      <c r="U273" s="151">
        <v>8.35</v>
      </c>
      <c r="V273" s="122"/>
      <c r="W273" s="132">
        <v>219.0</v>
      </c>
      <c r="X273" s="130">
        <v>0.667</v>
      </c>
    </row>
    <row r="274" spans="8:8" ht="17.15">
      <c r="A274" s="115">
        <v>4090.0</v>
      </c>
      <c r="B274" s="115">
        <v>40.083</v>
      </c>
      <c r="C274" s="123">
        <f>MOD(C273+B274,168)</f>
        <v>152.1459999999996</v>
      </c>
      <c r="D274" s="117">
        <v>80.5</v>
      </c>
      <c r="E274" s="117">
        <f>MOD(E273+D274,360)</f>
        <v>171.55</v>
      </c>
      <c r="F274" s="116">
        <v>252.8</v>
      </c>
      <c r="G274" s="117">
        <f>MOD(G273+F274,360)</f>
        <v>232.40000000000578</v>
      </c>
      <c r="H274" s="116">
        <v>218.0</v>
      </c>
      <c r="I274" s="117">
        <f>MOD(I273+H274,360)</f>
        <v>66.21699999999998</v>
      </c>
      <c r="J274" s="115">
        <v>252.667</v>
      </c>
      <c r="K274" s="117">
        <f>MOD(K273+J274,360)</f>
        <v>94.58600000000752</v>
      </c>
      <c r="N274" s="128">
        <v>220.0</v>
      </c>
      <c r="O274" s="130">
        <v>1.783</v>
      </c>
      <c r="P274" s="122"/>
      <c r="Q274" s="152">
        <v>220.0</v>
      </c>
      <c r="R274" s="130">
        <v>0.283</v>
      </c>
      <c r="T274" s="128">
        <v>220.0</v>
      </c>
      <c r="U274" s="151">
        <v>8.417</v>
      </c>
      <c r="V274" s="122"/>
      <c r="W274" s="132">
        <v>220.0</v>
      </c>
      <c r="X274" s="130">
        <v>0.65</v>
      </c>
    </row>
    <row r="275" spans="8:8" ht="17.15">
      <c r="A275" s="115">
        <v>4100.0</v>
      </c>
      <c r="B275" s="115">
        <v>40.083</v>
      </c>
      <c r="C275" s="123">
        <f>MOD(C274+B275,168)</f>
        <v>24.228999999999587</v>
      </c>
      <c r="D275" s="117">
        <v>80.5</v>
      </c>
      <c r="E275" s="117">
        <f>MOD(E274+D275,360)</f>
        <v>252.05</v>
      </c>
      <c r="F275" s="116">
        <v>252.8</v>
      </c>
      <c r="G275" s="117">
        <f>MOD(G274+F275,360)</f>
        <v>125.20000000000579</v>
      </c>
      <c r="H275" s="116">
        <v>218.0</v>
      </c>
      <c r="I275" s="117">
        <f>MOD(I274+H275,360)</f>
        <v>284.217</v>
      </c>
      <c r="J275" s="115">
        <v>252.667</v>
      </c>
      <c r="K275" s="117">
        <f>MOD(K274+J275,360)</f>
        <v>347.25300000000755</v>
      </c>
      <c r="N275" s="128">
        <v>221.0</v>
      </c>
      <c r="O275" s="130">
        <v>1.783</v>
      </c>
      <c r="P275" s="122"/>
      <c r="Q275" s="152">
        <v>221.0</v>
      </c>
      <c r="R275" s="130">
        <v>0.283</v>
      </c>
      <c r="T275" s="128">
        <v>221.0</v>
      </c>
      <c r="U275" s="151">
        <v>8.483</v>
      </c>
      <c r="V275" s="122"/>
      <c r="W275" s="132">
        <v>221.0</v>
      </c>
      <c r="X275" s="130">
        <v>0.617</v>
      </c>
    </row>
    <row r="276" spans="8:8" ht="17.15">
      <c r="A276" s="115">
        <v>4110.0</v>
      </c>
      <c r="B276" s="115">
        <v>40.083</v>
      </c>
      <c r="C276" s="123">
        <f>MOD(C275+B276,168)</f>
        <v>64.31199999999959</v>
      </c>
      <c r="D276" s="117">
        <v>80.5</v>
      </c>
      <c r="E276" s="117">
        <f>MOD(E275+D276,360)</f>
        <v>332.55</v>
      </c>
      <c r="F276" s="116">
        <v>252.8</v>
      </c>
      <c r="G276" s="117">
        <f>MOD(G275+F276,360)</f>
        <v>18.000000000005798</v>
      </c>
      <c r="H276" s="116">
        <v>218.0</v>
      </c>
      <c r="I276" s="117">
        <f>MOD(I275+H276,360)</f>
        <v>142.21699999999998</v>
      </c>
      <c r="J276" s="115">
        <v>252.667</v>
      </c>
      <c r="K276" s="117">
        <f>MOD(K275+J276,360)</f>
        <v>239.92000000000758</v>
      </c>
      <c r="N276" s="128">
        <v>222.0</v>
      </c>
      <c r="O276" s="130">
        <v>1.783</v>
      </c>
      <c r="P276" s="122"/>
      <c r="Q276" s="152">
        <v>222.0</v>
      </c>
      <c r="R276" s="130">
        <v>0.283</v>
      </c>
      <c r="T276" s="128">
        <v>222.0</v>
      </c>
      <c r="U276" s="151">
        <v>8.55</v>
      </c>
      <c r="V276" s="122"/>
      <c r="W276" s="132">
        <v>222.0</v>
      </c>
      <c r="X276" s="130">
        <v>0.6</v>
      </c>
    </row>
    <row r="277" spans="8:8" ht="17.15">
      <c r="A277" s="115">
        <v>4120.0</v>
      </c>
      <c r="B277" s="115">
        <v>40.083</v>
      </c>
      <c r="C277" s="123">
        <f>MOD(C276+B277,168)</f>
        <v>104.39499999999958</v>
      </c>
      <c r="D277" s="117">
        <v>80.5</v>
      </c>
      <c r="E277" s="117">
        <f>MOD(E276+D277,360)</f>
        <v>53.05000000000001</v>
      </c>
      <c r="F277" s="116">
        <v>252.8</v>
      </c>
      <c r="G277" s="117">
        <f>MOD(G276+F277,360)</f>
        <v>270.8000000000058</v>
      </c>
      <c r="H277" s="116">
        <v>218.0</v>
      </c>
      <c r="I277" s="117">
        <f>MOD(I276+H277,360)</f>
        <v>0.21699999999998454</v>
      </c>
      <c r="J277" s="115">
        <v>252.667</v>
      </c>
      <c r="K277" s="117">
        <f>MOD(K276+J277,360)</f>
        <v>132.5870000000076</v>
      </c>
      <c r="N277" s="128">
        <v>223.0</v>
      </c>
      <c r="O277" s="130">
        <v>1.8</v>
      </c>
      <c r="P277" s="122"/>
      <c r="Q277" s="152">
        <v>223.0</v>
      </c>
      <c r="R277" s="130">
        <v>0.283</v>
      </c>
      <c r="T277" s="128">
        <v>223.0</v>
      </c>
      <c r="U277" s="151">
        <v>8.617</v>
      </c>
      <c r="V277" s="122"/>
      <c r="W277" s="132">
        <v>223.0</v>
      </c>
      <c r="X277" s="130">
        <v>0.583</v>
      </c>
    </row>
    <row r="278" spans="8:8" ht="17.15">
      <c r="A278" s="115">
        <v>4130.0</v>
      </c>
      <c r="B278" s="115">
        <v>40.083</v>
      </c>
      <c r="C278" s="123">
        <f>MOD(C277+B278,168)</f>
        <v>144.47799999999958</v>
      </c>
      <c r="D278" s="117">
        <v>80.5</v>
      </c>
      <c r="E278" s="117">
        <f>MOD(E277+D278,360)</f>
        <v>133.55</v>
      </c>
      <c r="F278" s="116">
        <v>252.8</v>
      </c>
      <c r="G278" s="117">
        <f>MOD(G277+F278,360)</f>
        <v>163.60000000000582</v>
      </c>
      <c r="H278" s="116">
        <v>218.0</v>
      </c>
      <c r="I278" s="117">
        <f>MOD(I277+H278,360)</f>
        <v>218.21699999999998</v>
      </c>
      <c r="J278" s="115">
        <v>252.667</v>
      </c>
      <c r="K278" s="117">
        <f>MOD(K277+J278,360)</f>
        <v>25.254000000007636</v>
      </c>
      <c r="N278" s="128">
        <v>224.0</v>
      </c>
      <c r="O278" s="130">
        <v>1.8</v>
      </c>
      <c r="P278" s="122"/>
      <c r="Q278" s="152">
        <v>224.0</v>
      </c>
      <c r="R278" s="130">
        <v>0.283</v>
      </c>
      <c r="T278" s="128">
        <v>224.0</v>
      </c>
      <c r="U278" s="151">
        <v>8.683</v>
      </c>
      <c r="V278" s="122"/>
      <c r="W278" s="132">
        <v>224.0</v>
      </c>
      <c r="X278" s="130">
        <v>0.55</v>
      </c>
    </row>
    <row r="279" spans="8:8" ht="17.15">
      <c r="A279" s="115">
        <v>4140.0</v>
      </c>
      <c r="B279" s="115">
        <v>40.083</v>
      </c>
      <c r="C279" s="123">
        <f>MOD(C278+B279,168)</f>
        <v>16.56099999999958</v>
      </c>
      <c r="D279" s="117">
        <v>80.5</v>
      </c>
      <c r="E279" s="117">
        <f>MOD(E278+D279,360)</f>
        <v>214.05</v>
      </c>
      <c r="F279" s="116">
        <v>252.8</v>
      </c>
      <c r="G279" s="117">
        <f>MOD(G278+F279,360)</f>
        <v>56.40000000000583</v>
      </c>
      <c r="H279" s="116">
        <v>218.0</v>
      </c>
      <c r="I279" s="117">
        <f>MOD(I278+H279,360)</f>
        <v>76.21699999999998</v>
      </c>
      <c r="J279" s="115">
        <v>252.667</v>
      </c>
      <c r="K279" s="117">
        <f>MOD(K278+J279,360)</f>
        <v>277.92100000000767</v>
      </c>
      <c r="N279" s="128">
        <v>225.0</v>
      </c>
      <c r="O279" s="130">
        <v>1.8</v>
      </c>
      <c r="P279" s="122"/>
      <c r="Q279" s="152">
        <v>225.0</v>
      </c>
      <c r="R279" s="130">
        <v>0.283</v>
      </c>
      <c r="T279" s="128">
        <v>225.0</v>
      </c>
      <c r="U279" s="151">
        <v>8.733</v>
      </c>
      <c r="V279" s="122"/>
      <c r="W279" s="132">
        <v>225.0</v>
      </c>
      <c r="X279" s="130">
        <v>0.533</v>
      </c>
    </row>
    <row r="280" spans="8:8" ht="17.15">
      <c r="A280" s="115">
        <v>4150.0</v>
      </c>
      <c r="B280" s="115">
        <v>40.083</v>
      </c>
      <c r="C280" s="123">
        <f>MOD(C279+B280,168)</f>
        <v>56.64399999999958</v>
      </c>
      <c r="D280" s="117">
        <v>80.5</v>
      </c>
      <c r="E280" s="117">
        <f>MOD(E279+D280,360)</f>
        <v>294.55</v>
      </c>
      <c r="F280" s="116">
        <v>252.8</v>
      </c>
      <c r="G280" s="117">
        <f>MOD(G279+F280,360)</f>
        <v>309.20000000000584</v>
      </c>
      <c r="H280" s="116">
        <v>218.0</v>
      </c>
      <c r="I280" s="117">
        <f>MOD(I279+H280,360)</f>
        <v>294.217</v>
      </c>
      <c r="J280" s="115">
        <v>252.667</v>
      </c>
      <c r="K280" s="117">
        <f>MOD(K279+J280,360)</f>
        <v>170.5880000000077</v>
      </c>
      <c r="N280" s="128">
        <v>226.0</v>
      </c>
      <c r="O280" s="130">
        <v>1.8</v>
      </c>
      <c r="P280" s="122"/>
      <c r="Q280" s="152">
        <v>226.0</v>
      </c>
      <c r="R280" s="130">
        <v>0.283</v>
      </c>
      <c r="T280" s="128">
        <v>226.0</v>
      </c>
      <c r="U280" s="151">
        <v>8.8</v>
      </c>
      <c r="V280" s="122"/>
      <c r="W280" s="132">
        <v>226.0</v>
      </c>
      <c r="X280" s="130">
        <v>0.5</v>
      </c>
    </row>
    <row r="281" spans="8:8" ht="17.15">
      <c r="A281" s="115">
        <v>4160.0</v>
      </c>
      <c r="B281" s="115">
        <v>40.083</v>
      </c>
      <c r="C281" s="123">
        <f>MOD(C280+B281,168)</f>
        <v>96.72699999999958</v>
      </c>
      <c r="D281" s="117">
        <v>80.5</v>
      </c>
      <c r="E281" s="117">
        <f>MOD(E280+D281,360)</f>
        <v>15.050000000000011</v>
      </c>
      <c r="F281" s="116">
        <v>252.8</v>
      </c>
      <c r="G281" s="117">
        <f>MOD(G280+F281,360)</f>
        <v>202.0000000000059</v>
      </c>
      <c r="H281" s="116">
        <v>218.0</v>
      </c>
      <c r="I281" s="117">
        <f>MOD(I280+H281,360)</f>
        <v>152.21699999999998</v>
      </c>
      <c r="J281" s="115">
        <v>252.667</v>
      </c>
      <c r="K281" s="117">
        <f>MOD(K280+J281,360)</f>
        <v>63.255000000007726</v>
      </c>
      <c r="N281" s="128">
        <v>227.0</v>
      </c>
      <c r="O281" s="130">
        <v>1.8</v>
      </c>
      <c r="P281" s="122"/>
      <c r="Q281" s="152">
        <v>227.0</v>
      </c>
      <c r="R281" s="130">
        <v>0.283</v>
      </c>
      <c r="T281" s="128">
        <v>227.0</v>
      </c>
      <c r="U281" s="151">
        <v>8.85</v>
      </c>
      <c r="V281" s="122"/>
      <c r="W281" s="132">
        <v>227.0</v>
      </c>
      <c r="X281" s="130">
        <v>0.483</v>
      </c>
    </row>
    <row r="282" spans="8:8" ht="17.15">
      <c r="A282" s="115">
        <v>4170.0</v>
      </c>
      <c r="B282" s="115">
        <v>40.083</v>
      </c>
      <c r="C282" s="123">
        <f>MOD(C281+B282,168)</f>
        <v>136.80999999999958</v>
      </c>
      <c r="D282" s="117">
        <v>80.5</v>
      </c>
      <c r="E282" s="117">
        <f>MOD(E281+D282,360)</f>
        <v>95.55000000000001</v>
      </c>
      <c r="F282" s="116">
        <v>252.8</v>
      </c>
      <c r="G282" s="117">
        <f>MOD(G281+F282,360)</f>
        <v>94.80000000000592</v>
      </c>
      <c r="H282" s="116">
        <v>218.0</v>
      </c>
      <c r="I282" s="117">
        <f>MOD(I281+H282,360)</f>
        <v>10.216999999999985</v>
      </c>
      <c r="J282" s="115">
        <v>252.667</v>
      </c>
      <c r="K282" s="117">
        <f>MOD(K281+J282,360)</f>
        <v>315.92200000000776</v>
      </c>
      <c r="N282" s="128">
        <v>228.0</v>
      </c>
      <c r="O282" s="130">
        <v>1.8</v>
      </c>
      <c r="P282" s="122"/>
      <c r="Q282" s="152">
        <v>228.0</v>
      </c>
      <c r="R282" s="130">
        <v>0.283</v>
      </c>
      <c r="T282" s="128">
        <v>228.0</v>
      </c>
      <c r="U282" s="151">
        <v>8.9</v>
      </c>
      <c r="V282" s="122"/>
      <c r="W282" s="132">
        <v>228.0</v>
      </c>
      <c r="X282" s="130">
        <v>0.467</v>
      </c>
    </row>
    <row r="283" spans="8:8" ht="17.15">
      <c r="A283" s="115">
        <v>4180.0</v>
      </c>
      <c r="B283" s="115">
        <v>40.083</v>
      </c>
      <c r="C283" s="123">
        <f>MOD(C282+B283,168)</f>
        <v>8.892999999999574</v>
      </c>
      <c r="D283" s="117">
        <v>80.5</v>
      </c>
      <c r="E283" s="117">
        <f>MOD(E282+D283,360)</f>
        <v>176.05</v>
      </c>
      <c r="F283" s="116">
        <v>252.8</v>
      </c>
      <c r="G283" s="117">
        <f>MOD(G282+F283,360)</f>
        <v>347.60000000000593</v>
      </c>
      <c r="H283" s="116">
        <v>218.0</v>
      </c>
      <c r="I283" s="117">
        <f>MOD(I282+H283,360)</f>
        <v>228.21699999999998</v>
      </c>
      <c r="J283" s="115">
        <v>252.667</v>
      </c>
      <c r="K283" s="117">
        <f>MOD(K282+J283,360)</f>
        <v>208.5890000000078</v>
      </c>
      <c r="N283" s="128">
        <v>229.0</v>
      </c>
      <c r="O283" s="130">
        <v>1.8</v>
      </c>
      <c r="P283" s="122"/>
      <c r="Q283" s="152">
        <v>229.0</v>
      </c>
      <c r="R283" s="130">
        <v>0.283</v>
      </c>
      <c r="T283" s="128">
        <v>229.0</v>
      </c>
      <c r="U283" s="151">
        <v>8.967</v>
      </c>
      <c r="V283" s="122"/>
      <c r="W283" s="132">
        <v>229.0</v>
      </c>
      <c r="X283" s="130">
        <v>0.433</v>
      </c>
    </row>
    <row r="284" spans="8:8" ht="17.15">
      <c r="A284" s="115">
        <v>4190.0</v>
      </c>
      <c r="B284" s="115">
        <v>40.083</v>
      </c>
      <c r="C284" s="123">
        <f>MOD(C283+B284,168)</f>
        <v>48.97599999999957</v>
      </c>
      <c r="D284" s="117">
        <v>80.5</v>
      </c>
      <c r="E284" s="117">
        <f>MOD(E283+D284,360)</f>
        <v>256.55</v>
      </c>
      <c r="F284" s="116">
        <v>252.8</v>
      </c>
      <c r="G284" s="117">
        <f>MOD(G283+F284,360)</f>
        <v>240.400000000006</v>
      </c>
      <c r="H284" s="116">
        <v>218.0</v>
      </c>
      <c r="I284" s="117">
        <f>MOD(I283+H284,360)</f>
        <v>86.21699999999998</v>
      </c>
      <c r="J284" s="115">
        <v>252.667</v>
      </c>
      <c r="K284" s="117">
        <f>MOD(K283+J284,360)</f>
        <v>101.25600000000782</v>
      </c>
      <c r="N284" s="128">
        <v>230.0</v>
      </c>
      <c r="O284" s="130">
        <v>1.8</v>
      </c>
      <c r="P284" s="122"/>
      <c r="Q284" s="152">
        <v>230.0</v>
      </c>
      <c r="R284" s="130">
        <v>0.283</v>
      </c>
      <c r="T284" s="128">
        <v>230.0</v>
      </c>
      <c r="U284" s="151">
        <v>9.017</v>
      </c>
      <c r="V284" s="122"/>
      <c r="W284" s="132">
        <v>230.0</v>
      </c>
      <c r="X284" s="130">
        <v>0.417</v>
      </c>
    </row>
    <row r="285" spans="8:8" ht="17.15">
      <c r="A285" s="115">
        <v>4200.0</v>
      </c>
      <c r="B285" s="115">
        <v>40.083</v>
      </c>
      <c r="C285" s="123">
        <f>MOD(C284+B285,168)</f>
        <v>89.05899999999957</v>
      </c>
      <c r="D285" s="117">
        <v>80.5</v>
      </c>
      <c r="E285" s="117">
        <f>MOD(E284+D285,360)</f>
        <v>337.05</v>
      </c>
      <c r="F285" s="116">
        <v>252.8</v>
      </c>
      <c r="G285" s="117">
        <f>MOD(G284+F285,360)</f>
        <v>133.200000000006</v>
      </c>
      <c r="H285" s="116">
        <v>218.0</v>
      </c>
      <c r="I285" s="117">
        <f>MOD(I284+H285,360)</f>
        <v>304.217</v>
      </c>
      <c r="J285" s="115">
        <v>252.667</v>
      </c>
      <c r="K285" s="117">
        <f>MOD(K284+J285,360)</f>
        <v>353.92300000000785</v>
      </c>
      <c r="N285" s="128">
        <v>231.0</v>
      </c>
      <c r="O285" s="130">
        <v>1.8</v>
      </c>
      <c r="P285" s="122"/>
      <c r="Q285" s="152">
        <v>231.0</v>
      </c>
      <c r="R285" s="130">
        <v>0.283</v>
      </c>
      <c r="T285" s="128">
        <v>231.0</v>
      </c>
      <c r="U285" s="151">
        <v>9.067</v>
      </c>
      <c r="V285" s="122"/>
      <c r="W285" s="132">
        <v>231.0</v>
      </c>
      <c r="X285" s="130">
        <v>0.4</v>
      </c>
    </row>
    <row r="286" spans="8:8" ht="17.15">
      <c r="A286" s="115">
        <v>4210.0</v>
      </c>
      <c r="B286" s="115">
        <v>40.083</v>
      </c>
      <c r="C286" s="123">
        <f>MOD(C285+B286,168)</f>
        <v>129.14199999999957</v>
      </c>
      <c r="D286" s="117">
        <v>80.5</v>
      </c>
      <c r="E286" s="117">
        <f>MOD(E285+D286,360)</f>
        <v>57.55000000000001</v>
      </c>
      <c r="F286" s="116">
        <v>252.8</v>
      </c>
      <c r="G286" s="117">
        <f>MOD(G285+F286,360)</f>
        <v>26.000000000006025</v>
      </c>
      <c r="H286" s="116">
        <v>218.0</v>
      </c>
      <c r="I286" s="117">
        <f>MOD(I285+H286,360)</f>
        <v>162.21699999999998</v>
      </c>
      <c r="J286" s="115">
        <v>252.667</v>
      </c>
      <c r="K286" s="117">
        <f>MOD(K285+J286,360)</f>
        <v>246.59000000000788</v>
      </c>
      <c r="N286" s="128">
        <v>232.0</v>
      </c>
      <c r="O286" s="130">
        <v>1.8</v>
      </c>
      <c r="P286" s="122"/>
      <c r="Q286" s="152">
        <v>232.0</v>
      </c>
      <c r="R286" s="130">
        <v>0.283</v>
      </c>
      <c r="T286" s="128">
        <v>232.0</v>
      </c>
      <c r="U286" s="151">
        <v>9.117</v>
      </c>
      <c r="V286" s="122"/>
      <c r="W286" s="132">
        <v>232.0</v>
      </c>
      <c r="X286" s="130">
        <v>0.383</v>
      </c>
    </row>
    <row r="287" spans="8:8" ht="17.15">
      <c r="A287" s="115">
        <v>4220.0</v>
      </c>
      <c r="B287" s="115">
        <v>40.083</v>
      </c>
      <c r="C287" s="123">
        <f>MOD(C286+B287,168)</f>
        <v>1.224999999999568</v>
      </c>
      <c r="D287" s="117">
        <v>80.5</v>
      </c>
      <c r="E287" s="117">
        <f>MOD(E286+D287,360)</f>
        <v>138.05</v>
      </c>
      <c r="F287" s="116">
        <v>252.8</v>
      </c>
      <c r="G287" s="117">
        <f>MOD(G286+F287,360)</f>
        <v>278.80000000000604</v>
      </c>
      <c r="H287" s="116">
        <v>218.0</v>
      </c>
      <c r="I287" s="117">
        <f>MOD(I286+H287,360)</f>
        <v>20.216999999999985</v>
      </c>
      <c r="J287" s="115">
        <v>252.667</v>
      </c>
      <c r="K287" s="117">
        <f>MOD(K286+J287,360)</f>
        <v>139.2570000000079</v>
      </c>
      <c r="N287" s="128">
        <v>233.0</v>
      </c>
      <c r="O287" s="130">
        <v>1.833</v>
      </c>
      <c r="P287" s="122"/>
      <c r="Q287" s="152">
        <v>233.0</v>
      </c>
      <c r="R287" s="130">
        <v>0.267</v>
      </c>
      <c r="T287" s="128">
        <v>233.0</v>
      </c>
      <c r="U287" s="151">
        <v>9.167</v>
      </c>
      <c r="V287" s="122"/>
      <c r="W287" s="132">
        <v>233.0</v>
      </c>
      <c r="X287" s="130">
        <v>0.35</v>
      </c>
    </row>
    <row r="288" spans="8:8" ht="17.15">
      <c r="A288" s="115">
        <v>4230.0</v>
      </c>
      <c r="B288" s="115">
        <v>40.083</v>
      </c>
      <c r="C288" s="123">
        <f>MOD(C287+B288,168)</f>
        <v>41.307999999999566</v>
      </c>
      <c r="D288" s="117">
        <v>80.5</v>
      </c>
      <c r="E288" s="117">
        <f>MOD(E287+D288,360)</f>
        <v>218.55</v>
      </c>
      <c r="F288" s="116">
        <v>252.8</v>
      </c>
      <c r="G288" s="117">
        <f>MOD(G287+F288,360)</f>
        <v>171.60000000000605</v>
      </c>
      <c r="H288" s="116">
        <v>218.0</v>
      </c>
      <c r="I288" s="117">
        <f>MOD(I287+H288,360)</f>
        <v>238.21699999999998</v>
      </c>
      <c r="J288" s="115">
        <v>252.667</v>
      </c>
      <c r="K288" s="117">
        <f>MOD(K287+J288,360)</f>
        <v>31.924000000007936</v>
      </c>
      <c r="N288" s="128">
        <v>234.0</v>
      </c>
      <c r="O288" s="130">
        <v>1.833</v>
      </c>
      <c r="P288" s="122"/>
      <c r="Q288" s="152">
        <v>234.0</v>
      </c>
      <c r="R288" s="130">
        <v>0.267</v>
      </c>
      <c r="T288" s="128">
        <v>234.0</v>
      </c>
      <c r="U288" s="151">
        <v>9.217</v>
      </c>
      <c r="V288" s="122"/>
      <c r="W288" s="132">
        <v>234.0</v>
      </c>
      <c r="X288" s="130">
        <v>0.333</v>
      </c>
    </row>
    <row r="289" spans="8:8" ht="17.15">
      <c r="A289" s="115">
        <v>4240.0</v>
      </c>
      <c r="B289" s="115">
        <v>40.083</v>
      </c>
      <c r="C289" s="123">
        <f>MOD(C288+B289,168)</f>
        <v>81.39099999999956</v>
      </c>
      <c r="D289" s="117">
        <v>80.5</v>
      </c>
      <c r="E289" s="117">
        <f>MOD(E288+D289,360)</f>
        <v>299.05</v>
      </c>
      <c r="F289" s="116">
        <v>252.8</v>
      </c>
      <c r="G289" s="117">
        <f>MOD(G288+F289,360)</f>
        <v>64.40000000000606</v>
      </c>
      <c r="H289" s="116">
        <v>218.0</v>
      </c>
      <c r="I289" s="117">
        <f>MOD(I288+H289,360)</f>
        <v>96.21699999999998</v>
      </c>
      <c r="J289" s="115">
        <v>252.667</v>
      </c>
      <c r="K289" s="117">
        <f>MOD(K288+J289,360)</f>
        <v>284.59100000000797</v>
      </c>
      <c r="N289" s="128">
        <v>235.0</v>
      </c>
      <c r="O289" s="130">
        <v>1.833</v>
      </c>
      <c r="P289" s="122"/>
      <c r="Q289" s="152">
        <v>235.0</v>
      </c>
      <c r="R289" s="130">
        <v>0.267</v>
      </c>
      <c r="T289" s="128">
        <v>235.0</v>
      </c>
      <c r="U289" s="151">
        <v>9.267</v>
      </c>
      <c r="V289" s="122"/>
      <c r="W289" s="132">
        <v>235.0</v>
      </c>
      <c r="X289" s="130">
        <v>0.317</v>
      </c>
    </row>
    <row r="290" spans="8:8" ht="17.15">
      <c r="A290" s="115">
        <v>4250.0</v>
      </c>
      <c r="B290" s="115">
        <v>40.083</v>
      </c>
      <c r="C290" s="123">
        <f>MOD(C289+B290,168)</f>
        <v>121.47399999999956</v>
      </c>
      <c r="D290" s="117">
        <v>80.5</v>
      </c>
      <c r="E290" s="117">
        <f>MOD(E289+D290,360)</f>
        <v>19.55000000000001</v>
      </c>
      <c r="F290" s="116">
        <v>252.8</v>
      </c>
      <c r="G290" s="117">
        <f>MOD(G289+F290,360)</f>
        <v>317.20000000000607</v>
      </c>
      <c r="H290" s="116">
        <v>218.0</v>
      </c>
      <c r="I290" s="117">
        <f>MOD(I289+H290,360)</f>
        <v>314.217</v>
      </c>
      <c r="J290" s="115">
        <v>252.667</v>
      </c>
      <c r="K290" s="117">
        <f>MOD(K289+J290,360)</f>
        <v>177.258000000008</v>
      </c>
      <c r="N290" s="128">
        <v>236.0</v>
      </c>
      <c r="O290" s="130">
        <v>1.833</v>
      </c>
      <c r="P290" s="122"/>
      <c r="Q290" s="152">
        <v>236.0</v>
      </c>
      <c r="R290" s="130">
        <v>0.267</v>
      </c>
      <c r="T290" s="128">
        <v>236.0</v>
      </c>
      <c r="U290" s="151">
        <v>9.317</v>
      </c>
      <c r="V290" s="122"/>
      <c r="W290" s="132">
        <v>236.0</v>
      </c>
      <c r="X290" s="130">
        <v>0.3</v>
      </c>
    </row>
    <row r="291" spans="8:8" ht="17.15">
      <c r="A291" s="115">
        <v>4260.0</v>
      </c>
      <c r="B291" s="115">
        <v>40.083</v>
      </c>
      <c r="C291" s="123">
        <f>MOD(C290+B291,168)</f>
        <v>161.55699999999956</v>
      </c>
      <c r="D291" s="117">
        <v>80.5</v>
      </c>
      <c r="E291" s="117">
        <f>MOD(E290+D291,360)</f>
        <v>100.05000000000001</v>
      </c>
      <c r="F291" s="116">
        <v>252.8</v>
      </c>
      <c r="G291" s="117">
        <f>MOD(G290+F291,360)</f>
        <v>210.00000000000614</v>
      </c>
      <c r="H291" s="116">
        <v>218.0</v>
      </c>
      <c r="I291" s="117">
        <f>MOD(I290+H291,360)</f>
        <v>172.21699999999998</v>
      </c>
      <c r="J291" s="115">
        <v>252.667</v>
      </c>
      <c r="K291" s="117">
        <f>MOD(K290+J291,360)</f>
        <v>69.92500000000803</v>
      </c>
      <c r="N291" s="128">
        <v>237.0</v>
      </c>
      <c r="O291" s="130">
        <v>1.833</v>
      </c>
      <c r="P291" s="122"/>
      <c r="Q291" s="152">
        <v>237.0</v>
      </c>
      <c r="R291" s="130">
        <v>0.267</v>
      </c>
      <c r="T291" s="128">
        <v>237.0</v>
      </c>
      <c r="U291" s="151">
        <v>9.35</v>
      </c>
      <c r="V291" s="122"/>
      <c r="W291" s="132">
        <v>237.0</v>
      </c>
      <c r="X291" s="130">
        <v>0.283</v>
      </c>
    </row>
    <row r="292" spans="8:8" ht="17.15">
      <c r="A292" s="115">
        <v>4270.0</v>
      </c>
      <c r="B292" s="115">
        <v>40.083</v>
      </c>
      <c r="C292" s="123">
        <f>MOD(C291+B292,168)</f>
        <v>33.63999999999956</v>
      </c>
      <c r="D292" s="117">
        <v>80.5</v>
      </c>
      <c r="E292" s="117">
        <f>MOD(E291+D292,360)</f>
        <v>180.55</v>
      </c>
      <c r="F292" s="116">
        <v>252.8</v>
      </c>
      <c r="G292" s="117">
        <f>MOD(G291+F292,360)</f>
        <v>102.80000000000615</v>
      </c>
      <c r="H292" s="116">
        <v>218.0</v>
      </c>
      <c r="I292" s="117">
        <f>MOD(I291+H292,360)</f>
        <v>30.216999999999985</v>
      </c>
      <c r="J292" s="115">
        <v>252.667</v>
      </c>
      <c r="K292" s="117">
        <f>MOD(K291+J292,360)</f>
        <v>322.59200000000806</v>
      </c>
      <c r="N292" s="128">
        <v>238.0</v>
      </c>
      <c r="O292" s="130">
        <v>1.85</v>
      </c>
      <c r="P292" s="122"/>
      <c r="Q292" s="152">
        <v>238.0</v>
      </c>
      <c r="R292" s="130">
        <v>0.267</v>
      </c>
      <c r="T292" s="128">
        <v>238.0</v>
      </c>
      <c r="U292" s="151">
        <v>9.38</v>
      </c>
      <c r="V292" s="122"/>
      <c r="W292" s="132">
        <v>238.0</v>
      </c>
      <c r="X292" s="130">
        <v>0.267</v>
      </c>
    </row>
    <row r="293" spans="8:8" ht="17.15">
      <c r="A293" s="115">
        <v>4280.0</v>
      </c>
      <c r="B293" s="115">
        <v>40.083</v>
      </c>
      <c r="C293" s="123">
        <f>MOD(C292+B293,168)</f>
        <v>73.72299999999956</v>
      </c>
      <c r="D293" s="117">
        <v>80.5</v>
      </c>
      <c r="E293" s="117">
        <f>MOD(E292+D293,360)</f>
        <v>261.05</v>
      </c>
      <c r="F293" s="116">
        <v>252.8</v>
      </c>
      <c r="G293" s="117">
        <f>MOD(G292+F293,360)</f>
        <v>355.60000000000616</v>
      </c>
      <c r="H293" s="116">
        <v>218.0</v>
      </c>
      <c r="I293" s="117">
        <f>MOD(I292+H293,360)</f>
        <v>248.21699999999998</v>
      </c>
      <c r="J293" s="115">
        <v>252.667</v>
      </c>
      <c r="K293" s="117">
        <f>MOD(K292+J293,360)</f>
        <v>215.2590000000081</v>
      </c>
      <c r="N293" s="128">
        <v>239.0</v>
      </c>
      <c r="O293" s="130">
        <v>1.85</v>
      </c>
      <c r="P293" s="122"/>
      <c r="Q293" s="152">
        <v>239.0</v>
      </c>
      <c r="R293" s="130">
        <v>0.267</v>
      </c>
      <c r="T293" s="128">
        <v>239.0</v>
      </c>
      <c r="U293" s="151">
        <v>9.433</v>
      </c>
      <c r="V293" s="122"/>
      <c r="W293" s="132">
        <v>239.0</v>
      </c>
      <c r="X293" s="130">
        <v>0.25</v>
      </c>
    </row>
    <row r="294" spans="8:8" ht="17.15">
      <c r="A294" s="115">
        <v>4290.0</v>
      </c>
      <c r="B294" s="115">
        <v>40.083</v>
      </c>
      <c r="C294" s="123">
        <f>MOD(C293+B294,168)</f>
        <v>113.80599999999956</v>
      </c>
      <c r="D294" s="117">
        <v>80.5</v>
      </c>
      <c r="E294" s="117">
        <f>MOD(E293+D294,360)</f>
        <v>341.55</v>
      </c>
      <c r="F294" s="116">
        <v>252.8</v>
      </c>
      <c r="G294" s="117">
        <f>MOD(G293+F294,360)</f>
        <v>248.40000000000623</v>
      </c>
      <c r="H294" s="116">
        <v>218.0</v>
      </c>
      <c r="I294" s="117">
        <f>MOD(I293+H294,360)</f>
        <v>106.21699999999998</v>
      </c>
      <c r="J294" s="115">
        <v>252.667</v>
      </c>
      <c r="K294" s="117">
        <f>MOD(K293+J294,360)</f>
        <v>107.92600000000812</v>
      </c>
      <c r="N294" s="128">
        <v>240.0</v>
      </c>
      <c r="O294" s="130">
        <v>1.85</v>
      </c>
      <c r="P294" s="122"/>
      <c r="Q294" s="152">
        <v>240.0</v>
      </c>
      <c r="R294" s="130">
        <v>0.267</v>
      </c>
      <c r="T294" s="128">
        <v>240.0</v>
      </c>
      <c r="U294" s="151">
        <v>9.483</v>
      </c>
      <c r="V294" s="122"/>
      <c r="W294" s="132">
        <v>240.0</v>
      </c>
      <c r="X294" s="130">
        <v>0.233</v>
      </c>
    </row>
    <row r="295" spans="8:8" ht="17.15">
      <c r="A295" s="115">
        <v>4300.0</v>
      </c>
      <c r="B295" s="115">
        <v>40.083</v>
      </c>
      <c r="C295" s="123">
        <f>MOD(C294+B295,168)</f>
        <v>153.88899999999956</v>
      </c>
      <c r="D295" s="117">
        <v>80.5</v>
      </c>
      <c r="E295" s="117">
        <f>MOD(E294+D295,360)</f>
        <v>62.05000000000001</v>
      </c>
      <c r="F295" s="116">
        <v>252.8</v>
      </c>
      <c r="G295" s="117">
        <f>MOD(G294+F295,360)</f>
        <v>141.20000000000624</v>
      </c>
      <c r="H295" s="116">
        <v>218.0</v>
      </c>
      <c r="I295" s="117">
        <f>MOD(I294+H295,360)</f>
        <v>324.217</v>
      </c>
      <c r="J295" s="115">
        <v>252.667</v>
      </c>
      <c r="K295" s="117">
        <f>MOD(K294+J295,360)</f>
        <v>0.5930000000081463</v>
      </c>
      <c r="N295" s="128">
        <v>241.0</v>
      </c>
      <c r="O295" s="130">
        <v>1.85</v>
      </c>
      <c r="P295" s="122"/>
      <c r="Q295" s="152">
        <v>241.0</v>
      </c>
      <c r="R295" s="130">
        <v>0.267</v>
      </c>
      <c r="T295" s="128">
        <v>241.0</v>
      </c>
      <c r="U295" s="151">
        <v>9.517</v>
      </c>
      <c r="V295" s="122"/>
      <c r="W295" s="132">
        <v>241.0</v>
      </c>
      <c r="X295" s="130">
        <v>0.217</v>
      </c>
    </row>
    <row r="296" spans="8:8" ht="17.15">
      <c r="A296" s="115">
        <v>4310.0</v>
      </c>
      <c r="B296" s="115">
        <v>40.083</v>
      </c>
      <c r="C296" s="123">
        <f>MOD(C295+B296,168)</f>
        <v>25.971999999999554</v>
      </c>
      <c r="D296" s="117">
        <v>80.5</v>
      </c>
      <c r="E296" s="117">
        <f>MOD(E295+D296,360)</f>
        <v>142.55</v>
      </c>
      <c r="F296" s="116">
        <v>252.8</v>
      </c>
      <c r="G296" s="117">
        <f>MOD(G295+F296,360)</f>
        <v>34.00000000000625</v>
      </c>
      <c r="H296" s="116">
        <v>218.0</v>
      </c>
      <c r="I296" s="117">
        <f>MOD(I295+H296,360)</f>
        <v>182.21699999999998</v>
      </c>
      <c r="J296" s="115">
        <v>252.667</v>
      </c>
      <c r="K296" s="117">
        <f>MOD(K295+J296,360)</f>
        <v>253.26000000000815</v>
      </c>
      <c r="N296" s="128">
        <v>242.0</v>
      </c>
      <c r="O296" s="130">
        <v>1.85</v>
      </c>
      <c r="P296" s="122"/>
      <c r="Q296" s="152">
        <v>242.0</v>
      </c>
      <c r="R296" s="130">
        <v>0.267</v>
      </c>
      <c r="T296" s="128">
        <v>242.0</v>
      </c>
      <c r="U296" s="151">
        <v>9.55</v>
      </c>
      <c r="V296" s="122"/>
      <c r="W296" s="132">
        <v>242.0</v>
      </c>
      <c r="X296" s="130">
        <v>0.2</v>
      </c>
    </row>
    <row r="297" spans="8:8" ht="17.15">
      <c r="A297" s="115">
        <v>4320.0</v>
      </c>
      <c r="B297" s="115">
        <v>40.083</v>
      </c>
      <c r="C297" s="123">
        <f>MOD(C296+B297,168)</f>
        <v>66.05499999999955</v>
      </c>
      <c r="D297" s="117">
        <v>80.5</v>
      </c>
      <c r="E297" s="117">
        <f>MOD(E296+D297,360)</f>
        <v>223.05</v>
      </c>
      <c r="F297" s="116">
        <v>252.8</v>
      </c>
      <c r="G297" s="117">
        <f>MOD(G296+F297,360)</f>
        <v>286.80000000000626</v>
      </c>
      <c r="H297" s="116">
        <v>218.0</v>
      </c>
      <c r="I297" s="117">
        <f>MOD(I296+H297,360)</f>
        <v>40.216999999999985</v>
      </c>
      <c r="J297" s="115">
        <v>252.667</v>
      </c>
      <c r="K297" s="117">
        <f>MOD(K296+J297,360)</f>
        <v>145.92700000000815</v>
      </c>
      <c r="N297" s="128">
        <v>243.0</v>
      </c>
      <c r="O297" s="130">
        <v>1.867</v>
      </c>
      <c r="P297" s="122"/>
      <c r="Q297" s="152">
        <v>243.0</v>
      </c>
      <c r="R297" s="130">
        <v>0.25</v>
      </c>
      <c r="T297" s="128">
        <v>243.0</v>
      </c>
      <c r="U297" s="151">
        <v>9.6</v>
      </c>
      <c r="V297" s="122"/>
      <c r="W297" s="132">
        <v>243.0</v>
      </c>
      <c r="X297" s="130">
        <v>0.183</v>
      </c>
    </row>
    <row r="298" spans="8:8" ht="17.15">
      <c r="A298" s="115">
        <v>4330.0</v>
      </c>
      <c r="B298" s="115">
        <v>40.083</v>
      </c>
      <c r="C298" s="123">
        <f>MOD(C297+B298,168)</f>
        <v>106.13799999999955</v>
      </c>
      <c r="D298" s="117">
        <v>80.5</v>
      </c>
      <c r="E298" s="117">
        <f>MOD(E297+D298,360)</f>
        <v>303.55</v>
      </c>
      <c r="F298" s="116">
        <v>252.8</v>
      </c>
      <c r="G298" s="117">
        <f>MOD(G297+F298,360)</f>
        <v>179.60000000000628</v>
      </c>
      <c r="H298" s="116">
        <v>218.0</v>
      </c>
      <c r="I298" s="117">
        <f>MOD(I297+H298,360)</f>
        <v>258.217</v>
      </c>
      <c r="J298" s="115">
        <v>252.667</v>
      </c>
      <c r="K298" s="117">
        <f>MOD(K297+J298,360)</f>
        <v>38.59400000000812</v>
      </c>
      <c r="N298" s="128">
        <v>244.0</v>
      </c>
      <c r="O298" s="130">
        <v>1.867</v>
      </c>
      <c r="P298" s="122"/>
      <c r="Q298" s="152">
        <v>244.0</v>
      </c>
      <c r="R298" s="130">
        <v>0.25</v>
      </c>
      <c r="T298" s="128">
        <v>244.0</v>
      </c>
      <c r="U298" s="151">
        <v>9.633</v>
      </c>
      <c r="V298" s="122"/>
      <c r="W298" s="132">
        <v>244.0</v>
      </c>
      <c r="X298" s="130">
        <v>0.167</v>
      </c>
    </row>
    <row r="299" spans="8:8" ht="17.15">
      <c r="A299" s="115">
        <v>4340.0</v>
      </c>
      <c r="B299" s="115">
        <v>40.083</v>
      </c>
      <c r="C299" s="123">
        <f>MOD(C298+B299,168)</f>
        <v>146.22099999999955</v>
      </c>
      <c r="D299" s="117">
        <v>80.5</v>
      </c>
      <c r="E299" s="117">
        <f>MOD(E298+D299,360)</f>
        <v>24.05000000000001</v>
      </c>
      <c r="F299" s="116">
        <v>252.8</v>
      </c>
      <c r="G299" s="117">
        <f>MOD(G298+F299,360)</f>
        <v>72.40000000000629</v>
      </c>
      <c r="H299" s="116">
        <v>218.0</v>
      </c>
      <c r="I299" s="117">
        <f>MOD(I298+H299,360)</f>
        <v>116.21699999999998</v>
      </c>
      <c r="J299" s="115">
        <v>252.667</v>
      </c>
      <c r="K299" s="117">
        <f>MOD(K298+J299,360)</f>
        <v>291.26100000000815</v>
      </c>
      <c r="N299" s="128">
        <v>245.0</v>
      </c>
      <c r="O299" s="130">
        <v>1.867</v>
      </c>
      <c r="P299" s="122"/>
      <c r="Q299" s="152">
        <v>245.0</v>
      </c>
      <c r="R299" s="130">
        <v>0.25</v>
      </c>
      <c r="T299" s="128">
        <v>245.0</v>
      </c>
      <c r="U299" s="151">
        <v>9.667</v>
      </c>
      <c r="V299" s="122"/>
      <c r="W299" s="132">
        <v>245.0</v>
      </c>
      <c r="X299" s="130">
        <v>0.15</v>
      </c>
    </row>
    <row r="300" spans="8:8" ht="17.15">
      <c r="A300" s="115">
        <v>4350.0</v>
      </c>
      <c r="B300" s="115">
        <v>40.083</v>
      </c>
      <c r="C300" s="123">
        <f>MOD(C299+B300,168)</f>
        <v>18.303999999999547</v>
      </c>
      <c r="D300" s="117">
        <v>80.5</v>
      </c>
      <c r="E300" s="117">
        <f>MOD(E299+D300,360)</f>
        <v>104.55000000000001</v>
      </c>
      <c r="F300" s="116">
        <v>252.8</v>
      </c>
      <c r="G300" s="117">
        <f>MOD(G299+F300,360)</f>
        <v>325.2000000000063</v>
      </c>
      <c r="H300" s="116">
        <v>218.0</v>
      </c>
      <c r="I300" s="117">
        <f>MOD(I299+H300,360)</f>
        <v>334.217</v>
      </c>
      <c r="J300" s="115">
        <v>252.667</v>
      </c>
      <c r="K300" s="117">
        <f>MOD(K299+J300,360)</f>
        <v>183.92800000000818</v>
      </c>
      <c r="N300" s="128">
        <v>246.0</v>
      </c>
      <c r="O300" s="130">
        <v>1.867</v>
      </c>
      <c r="P300" s="122"/>
      <c r="Q300" s="152">
        <v>246.0</v>
      </c>
      <c r="R300" s="130">
        <v>0.25</v>
      </c>
      <c r="T300" s="128">
        <v>246.0</v>
      </c>
      <c r="U300" s="151">
        <v>9.683</v>
      </c>
      <c r="V300" s="122"/>
      <c r="W300" s="132">
        <v>246.0</v>
      </c>
      <c r="X300" s="130">
        <v>0.15</v>
      </c>
    </row>
    <row r="301" spans="8:8" ht="17.15">
      <c r="A301" s="115">
        <v>4360.0</v>
      </c>
      <c r="B301" s="115">
        <v>40.083</v>
      </c>
      <c r="C301" s="123">
        <f>MOD(C300+B301,168)</f>
        <v>58.386999999999546</v>
      </c>
      <c r="D301" s="117">
        <v>80.5</v>
      </c>
      <c r="E301" s="117">
        <f>MOD(E300+D301,360)</f>
        <v>185.05</v>
      </c>
      <c r="F301" s="116">
        <v>252.8</v>
      </c>
      <c r="G301" s="117">
        <f>MOD(G300+F301,360)</f>
        <v>218.00000000000637</v>
      </c>
      <c r="H301" s="116">
        <v>218.0</v>
      </c>
      <c r="I301" s="117">
        <f>MOD(I300+H301,360)</f>
        <v>192.21699999999998</v>
      </c>
      <c r="J301" s="115">
        <v>252.667</v>
      </c>
      <c r="K301" s="117">
        <f>MOD(K300+J301,360)</f>
        <v>76.59500000000821</v>
      </c>
      <c r="N301" s="128">
        <v>247.0</v>
      </c>
      <c r="O301" s="130">
        <v>1.867</v>
      </c>
      <c r="P301" s="122"/>
      <c r="Q301" s="152">
        <v>247.0</v>
      </c>
      <c r="R301" s="130">
        <v>0.25</v>
      </c>
      <c r="T301" s="128">
        <v>247.0</v>
      </c>
      <c r="U301" s="151">
        <v>9.7</v>
      </c>
      <c r="V301" s="122"/>
      <c r="W301" s="132">
        <v>247.0</v>
      </c>
      <c r="X301" s="130">
        <v>0.133</v>
      </c>
    </row>
    <row r="302" spans="8:8" ht="17.15">
      <c r="A302" s="115">
        <v>4370.0</v>
      </c>
      <c r="B302" s="115">
        <v>40.083</v>
      </c>
      <c r="C302" s="123">
        <f>MOD(C301+B302,168)</f>
        <v>98.46999999999954</v>
      </c>
      <c r="D302" s="117">
        <v>80.5</v>
      </c>
      <c r="E302" s="117">
        <f>MOD(E301+D302,360)</f>
        <v>265.55</v>
      </c>
      <c r="F302" s="116">
        <v>252.8</v>
      </c>
      <c r="G302" s="117">
        <f>MOD(G301+F302,360)</f>
        <v>110.80000000000638</v>
      </c>
      <c r="H302" s="116">
        <v>218.0</v>
      </c>
      <c r="I302" s="117">
        <f>MOD(I301+H302,360)</f>
        <v>50.216999999999985</v>
      </c>
      <c r="J302" s="115">
        <v>252.667</v>
      </c>
      <c r="K302" s="117">
        <f>MOD(K301+J302,360)</f>
        <v>329.26200000000824</v>
      </c>
      <c r="N302" s="128">
        <v>248.0</v>
      </c>
      <c r="O302" s="130">
        <v>1.883</v>
      </c>
      <c r="P302" s="122"/>
      <c r="Q302" s="152">
        <v>248.0</v>
      </c>
      <c r="R302" s="130">
        <v>0.233</v>
      </c>
      <c r="T302" s="128">
        <v>248.0</v>
      </c>
      <c r="U302" s="151">
        <v>9.733</v>
      </c>
      <c r="V302" s="122"/>
      <c r="W302" s="132">
        <v>248.0</v>
      </c>
      <c r="X302" s="130">
        <v>0.117</v>
      </c>
    </row>
    <row r="303" spans="8:8" ht="17.15">
      <c r="A303" s="115">
        <v>4380.0</v>
      </c>
      <c r="B303" s="115">
        <v>40.083</v>
      </c>
      <c r="C303" s="123">
        <f>MOD(C302+B303,168)</f>
        <v>138.55299999999954</v>
      </c>
      <c r="D303" s="117">
        <v>80.5</v>
      </c>
      <c r="E303" s="117">
        <f>MOD(E302+D303,360)</f>
        <v>346.05</v>
      </c>
      <c r="F303" s="116">
        <v>252.8</v>
      </c>
      <c r="G303" s="117">
        <f>MOD(G302+F303,360)</f>
        <v>3.600000000006389</v>
      </c>
      <c r="H303" s="116">
        <v>218.0</v>
      </c>
      <c r="I303" s="117">
        <f>MOD(I302+H303,360)</f>
        <v>268.217</v>
      </c>
      <c r="J303" s="115">
        <v>252.667</v>
      </c>
      <c r="K303" s="117">
        <f>MOD(K302+J303,360)</f>
        <v>221.92900000000827</v>
      </c>
      <c r="N303" s="128">
        <v>249.0</v>
      </c>
      <c r="O303" s="130">
        <v>1.883</v>
      </c>
      <c r="P303" s="122"/>
      <c r="Q303" s="152">
        <v>249.0</v>
      </c>
      <c r="R303" s="130">
        <v>0.233</v>
      </c>
      <c r="T303" s="128">
        <v>249.0</v>
      </c>
      <c r="U303" s="151">
        <v>9.767</v>
      </c>
      <c r="V303" s="122"/>
      <c r="W303" s="132">
        <v>249.0</v>
      </c>
      <c r="X303" s="130">
        <v>0.117</v>
      </c>
    </row>
    <row r="304" spans="8:8" ht="17.15">
      <c r="A304" s="115">
        <v>4390.0</v>
      </c>
      <c r="B304" s="115">
        <v>40.083</v>
      </c>
      <c r="C304" s="123">
        <f>MOD(C303+B304,168)</f>
        <v>10.635999999999541</v>
      </c>
      <c r="D304" s="117">
        <v>80.5</v>
      </c>
      <c r="E304" s="117">
        <f>MOD(E303+D304,360)</f>
        <v>66.55000000000001</v>
      </c>
      <c r="F304" s="116">
        <v>252.8</v>
      </c>
      <c r="G304" s="117">
        <f>MOD(G303+F304,360)</f>
        <v>256.4000000000064</v>
      </c>
      <c r="H304" s="116">
        <v>218.0</v>
      </c>
      <c r="I304" s="117">
        <f>MOD(I303+H304,360)</f>
        <v>126.21699999999998</v>
      </c>
      <c r="J304" s="115">
        <v>252.667</v>
      </c>
      <c r="K304" s="117">
        <f>MOD(K303+J304,360)</f>
        <v>114.5960000000083</v>
      </c>
      <c r="N304" s="128">
        <v>250.0</v>
      </c>
      <c r="O304" s="130">
        <v>1.883</v>
      </c>
      <c r="P304" s="122"/>
      <c r="Q304" s="152">
        <v>250.0</v>
      </c>
      <c r="R304" s="130">
        <v>0.233</v>
      </c>
      <c r="T304" s="128">
        <v>250.0</v>
      </c>
      <c r="U304" s="151">
        <v>9.8</v>
      </c>
      <c r="V304" s="122"/>
      <c r="W304" s="132">
        <v>250.0</v>
      </c>
      <c r="X304" s="130">
        <v>0.1</v>
      </c>
    </row>
    <row r="305" spans="8:8" ht="17.15">
      <c r="A305" s="115">
        <v>4400.0</v>
      </c>
      <c r="B305" s="115">
        <v>40.083</v>
      </c>
      <c r="C305" s="123">
        <f>MOD(C304+B305,168)</f>
        <v>50.71899999999954</v>
      </c>
      <c r="D305" s="117">
        <v>80.5</v>
      </c>
      <c r="E305" s="117">
        <f>MOD(E304+D305,360)</f>
        <v>147.05</v>
      </c>
      <c r="F305" s="116">
        <v>252.8</v>
      </c>
      <c r="G305" s="117">
        <f>MOD(G304+F305,360)</f>
        <v>149.2000000000064</v>
      </c>
      <c r="H305" s="116">
        <v>218.0</v>
      </c>
      <c r="I305" s="117">
        <f>MOD(I304+H305,360)</f>
        <v>344.217</v>
      </c>
      <c r="J305" s="115">
        <v>252.667</v>
      </c>
      <c r="K305" s="117">
        <f>MOD(K304+J305,360)</f>
        <v>7.263000000008333</v>
      </c>
      <c r="N305" s="128">
        <v>251.0</v>
      </c>
      <c r="O305" s="130">
        <v>1.883</v>
      </c>
      <c r="P305" s="122"/>
      <c r="Q305" s="152">
        <v>251.0</v>
      </c>
      <c r="R305" s="130">
        <v>0.233</v>
      </c>
      <c r="T305" s="128">
        <v>251.0</v>
      </c>
      <c r="U305" s="151">
        <v>9.817</v>
      </c>
      <c r="V305" s="122"/>
      <c r="W305" s="132">
        <v>251.0</v>
      </c>
      <c r="X305" s="130">
        <v>0.1</v>
      </c>
    </row>
    <row r="306" spans="8:8" ht="17.15">
      <c r="A306" s="115">
        <v>4410.0</v>
      </c>
      <c r="B306" s="115">
        <v>40.083</v>
      </c>
      <c r="C306" s="123">
        <f>MOD(C305+B306,168)</f>
        <v>90.80199999999954</v>
      </c>
      <c r="D306" s="117">
        <v>80.5</v>
      </c>
      <c r="E306" s="117">
        <f>MOD(E305+D306,360)</f>
        <v>227.55</v>
      </c>
      <c r="F306" s="116">
        <v>252.8</v>
      </c>
      <c r="G306" s="117">
        <f>MOD(G305+F306,360)</f>
        <v>42.00000000000642</v>
      </c>
      <c r="H306" s="116">
        <v>218.0</v>
      </c>
      <c r="I306" s="117">
        <f>MOD(I305+H306,360)</f>
        <v>202.21699999999998</v>
      </c>
      <c r="J306" s="115">
        <v>252.667</v>
      </c>
      <c r="K306" s="117">
        <f>MOD(K305+J306,360)</f>
        <v>259.93000000000836</v>
      </c>
      <c r="N306" s="128">
        <v>252.0</v>
      </c>
      <c r="O306" s="130">
        <v>1.883</v>
      </c>
      <c r="P306" s="122"/>
      <c r="Q306" s="152">
        <v>252.0</v>
      </c>
      <c r="R306" s="130">
        <v>0.233</v>
      </c>
      <c r="T306" s="128">
        <v>252.0</v>
      </c>
      <c r="U306" s="151">
        <v>9.833</v>
      </c>
      <c r="V306" s="122"/>
      <c r="W306" s="132">
        <v>252.0</v>
      </c>
      <c r="X306" s="130">
        <v>0.083</v>
      </c>
    </row>
    <row r="307" spans="8:8" ht="17.15">
      <c r="A307" s="115">
        <v>4420.0</v>
      </c>
      <c r="B307" s="115">
        <v>40.083</v>
      </c>
      <c r="C307" s="123">
        <f>MOD(C306+B307,168)</f>
        <v>130.88499999999954</v>
      </c>
      <c r="D307" s="117">
        <v>80.5</v>
      </c>
      <c r="E307" s="117">
        <f>MOD(E306+D307,360)</f>
        <v>308.05</v>
      </c>
      <c r="F307" s="116">
        <v>252.8</v>
      </c>
      <c r="G307" s="117">
        <f>MOD(G306+F307,360)</f>
        <v>294.80000000000643</v>
      </c>
      <c r="H307" s="116">
        <v>218.0</v>
      </c>
      <c r="I307" s="117">
        <f>MOD(I306+H307,360)</f>
        <v>60.216999999999985</v>
      </c>
      <c r="J307" s="115">
        <v>252.667</v>
      </c>
      <c r="K307" s="117">
        <f>MOD(K306+J307,360)</f>
        <v>152.5970000000084</v>
      </c>
      <c r="N307" s="128">
        <v>253.0</v>
      </c>
      <c r="O307" s="130">
        <v>1.9</v>
      </c>
      <c r="P307" s="122"/>
      <c r="Q307" s="152">
        <v>253.0</v>
      </c>
      <c r="R307" s="130">
        <v>0.217</v>
      </c>
      <c r="T307" s="128">
        <v>253.0</v>
      </c>
      <c r="U307" s="151">
        <v>9.85</v>
      </c>
      <c r="V307" s="122"/>
      <c r="W307" s="132">
        <v>253.0</v>
      </c>
      <c r="X307" s="130">
        <v>0.067</v>
      </c>
    </row>
    <row r="308" spans="8:8" ht="17.15">
      <c r="A308" s="115">
        <v>4430.0</v>
      </c>
      <c r="B308" s="115">
        <v>40.083</v>
      </c>
      <c r="C308" s="123">
        <f>MOD(C307+B308,168)</f>
        <v>2.9679999999995346</v>
      </c>
      <c r="D308" s="117">
        <v>80.5</v>
      </c>
      <c r="E308" s="117">
        <f>MOD(E307+D308,360)</f>
        <v>28.55000000000001</v>
      </c>
      <c r="F308" s="116">
        <v>252.8</v>
      </c>
      <c r="G308" s="117">
        <f>MOD(G307+F308,360)</f>
        <v>187.6000000000065</v>
      </c>
      <c r="H308" s="116">
        <v>218.0</v>
      </c>
      <c r="I308" s="117">
        <f>MOD(I307+H308,360)</f>
        <v>278.217</v>
      </c>
      <c r="J308" s="115">
        <v>252.667</v>
      </c>
      <c r="K308" s="117">
        <f>MOD(K307+J308,360)</f>
        <v>45.26400000000842</v>
      </c>
      <c r="N308" s="128">
        <v>254.0</v>
      </c>
      <c r="O308" s="130">
        <v>1.9</v>
      </c>
      <c r="P308" s="122"/>
      <c r="Q308" s="152">
        <v>254.0</v>
      </c>
      <c r="R308" s="130">
        <v>0.217</v>
      </c>
      <c r="T308" s="128">
        <v>254.0</v>
      </c>
      <c r="U308" s="151">
        <v>9.867</v>
      </c>
      <c r="V308" s="122"/>
      <c r="W308" s="132">
        <v>254.0</v>
      </c>
      <c r="X308" s="130">
        <v>0.067</v>
      </c>
    </row>
    <row r="309" spans="8:8" ht="17.15">
      <c r="A309" s="115">
        <v>4440.0</v>
      </c>
      <c r="B309" s="115">
        <v>40.083</v>
      </c>
      <c r="C309" s="123">
        <f>MOD(C308+B309,168)</f>
        <v>43.05099999999953</v>
      </c>
      <c r="D309" s="117">
        <v>80.5</v>
      </c>
      <c r="E309" s="117">
        <f>MOD(E308+D309,360)</f>
        <v>109.05000000000001</v>
      </c>
      <c r="F309" s="116">
        <v>252.8</v>
      </c>
      <c r="G309" s="117">
        <f>MOD(G308+F309,360)</f>
        <v>80.40000000000651</v>
      </c>
      <c r="H309" s="116">
        <v>218.0</v>
      </c>
      <c r="I309" s="117">
        <f>MOD(I308+H309,360)</f>
        <v>136.21699999999998</v>
      </c>
      <c r="J309" s="115">
        <v>252.667</v>
      </c>
      <c r="K309" s="117">
        <f>MOD(K308+J309,360)</f>
        <v>297.93100000000845</v>
      </c>
      <c r="N309" s="128">
        <v>255.0</v>
      </c>
      <c r="O309" s="130">
        <v>1.9</v>
      </c>
      <c r="P309" s="122"/>
      <c r="Q309" s="152">
        <v>255.0</v>
      </c>
      <c r="R309" s="130">
        <v>0.217</v>
      </c>
      <c r="T309" s="128">
        <v>255.0</v>
      </c>
      <c r="U309" s="151">
        <v>9.886</v>
      </c>
      <c r="V309" s="122"/>
      <c r="W309" s="132">
        <v>255.0</v>
      </c>
      <c r="X309" s="130">
        <v>0.05</v>
      </c>
    </row>
    <row r="310" spans="8:8" ht="17.15">
      <c r="A310" s="115">
        <v>4450.0</v>
      </c>
      <c r="B310" s="115">
        <v>40.083</v>
      </c>
      <c r="C310" s="123">
        <f>MOD(C309+B310,168)</f>
        <v>83.13399999999953</v>
      </c>
      <c r="D310" s="117">
        <v>80.5</v>
      </c>
      <c r="E310" s="117">
        <f>MOD(E309+D310,360)</f>
        <v>189.55</v>
      </c>
      <c r="F310" s="116">
        <v>252.8</v>
      </c>
      <c r="G310" s="117">
        <f>MOD(G309+F310,360)</f>
        <v>333.2000000000065</v>
      </c>
      <c r="H310" s="116">
        <v>218.0</v>
      </c>
      <c r="I310" s="117">
        <f>MOD(I309+H310,360)</f>
        <v>354.217</v>
      </c>
      <c r="J310" s="115">
        <v>252.667</v>
      </c>
      <c r="K310" s="117">
        <f>MOD(K309+J310,360)</f>
        <v>190.59800000000848</v>
      </c>
      <c r="N310" s="128">
        <v>256.0</v>
      </c>
      <c r="O310" s="130">
        <v>1.9</v>
      </c>
      <c r="P310" s="122"/>
      <c r="Q310" s="152">
        <v>256.0</v>
      </c>
      <c r="R310" s="130">
        <v>0.217</v>
      </c>
      <c r="T310" s="128">
        <v>256.0</v>
      </c>
      <c r="U310" s="151">
        <v>9.9</v>
      </c>
      <c r="V310" s="122"/>
      <c r="W310" s="132">
        <v>256.0</v>
      </c>
      <c r="X310" s="130">
        <v>0.05</v>
      </c>
    </row>
    <row r="311" spans="8:8" ht="17.15">
      <c r="A311" s="115">
        <v>4460.0</v>
      </c>
      <c r="B311" s="115">
        <v>40.083</v>
      </c>
      <c r="C311" s="123">
        <f>MOD(C310+B311,168)</f>
        <v>123.21699999999953</v>
      </c>
      <c r="D311" s="117">
        <v>80.5</v>
      </c>
      <c r="E311" s="117">
        <f>MOD(E310+D311,360)</f>
        <v>270.05</v>
      </c>
      <c r="F311" s="116">
        <v>252.8</v>
      </c>
      <c r="G311" s="117">
        <f>MOD(G310+F311,360)</f>
        <v>226.0000000000066</v>
      </c>
      <c r="H311" s="116">
        <v>218.0</v>
      </c>
      <c r="I311" s="117">
        <f>MOD(I310+H311,360)</f>
        <v>212.21699999999998</v>
      </c>
      <c r="J311" s="115">
        <v>252.667</v>
      </c>
      <c r="K311" s="117">
        <f>MOD(K310+J311,360)</f>
        <v>83.26500000000851</v>
      </c>
      <c r="N311" s="128">
        <v>257.0</v>
      </c>
      <c r="O311" s="130">
        <v>1.9</v>
      </c>
      <c r="P311" s="122"/>
      <c r="Q311" s="152">
        <v>257.0</v>
      </c>
      <c r="R311" s="130">
        <v>0.217</v>
      </c>
      <c r="T311" s="128">
        <v>257.0</v>
      </c>
      <c r="U311" s="151">
        <v>9.917</v>
      </c>
      <c r="V311" s="122"/>
      <c r="W311" s="132">
        <v>257.0</v>
      </c>
      <c r="X311" s="130">
        <v>0.033</v>
      </c>
    </row>
    <row r="312" spans="8:8" ht="17.15">
      <c r="A312" s="115">
        <v>4470.0</v>
      </c>
      <c r="B312" s="115">
        <v>40.083</v>
      </c>
      <c r="C312" s="123">
        <f>MOD(C311+B312,168)</f>
        <v>163.29999999999953</v>
      </c>
      <c r="D312" s="117">
        <v>80.5</v>
      </c>
      <c r="E312" s="117">
        <f>MOD(E311+D312,360)</f>
        <v>350.55</v>
      </c>
      <c r="F312" s="116">
        <v>252.8</v>
      </c>
      <c r="G312" s="117">
        <f>MOD(G311+F312,360)</f>
        <v>118.8000000000066</v>
      </c>
      <c r="H312" s="116">
        <v>218.0</v>
      </c>
      <c r="I312" s="117">
        <f>MOD(I311+H312,360)</f>
        <v>70.21699999999998</v>
      </c>
      <c r="J312" s="115">
        <v>252.667</v>
      </c>
      <c r="K312" s="117">
        <f>MOD(K311+J312,360)</f>
        <v>335.93200000000854</v>
      </c>
      <c r="N312" s="128">
        <v>258.0</v>
      </c>
      <c r="O312" s="130">
        <v>1.917</v>
      </c>
      <c r="P312" s="122"/>
      <c r="Q312" s="152">
        <v>258.0</v>
      </c>
      <c r="R312" s="130">
        <v>0.183</v>
      </c>
      <c r="T312" s="128">
        <v>258.0</v>
      </c>
      <c r="U312" s="151">
        <v>9.933</v>
      </c>
      <c r="V312" s="122"/>
      <c r="W312" s="132">
        <v>258.0</v>
      </c>
      <c r="X312" s="130">
        <v>0.033</v>
      </c>
    </row>
    <row r="313" spans="8:8" ht="17.15">
      <c r="A313" s="115">
        <v>4480.0</v>
      </c>
      <c r="B313" s="115">
        <v>40.083</v>
      </c>
      <c r="C313" s="123">
        <f>MOD(C312+B313,168)</f>
        <v>35.38299999999953</v>
      </c>
      <c r="D313" s="117">
        <v>80.5</v>
      </c>
      <c r="E313" s="117">
        <f>MOD(E312+D313,360)</f>
        <v>71.05000000000001</v>
      </c>
      <c r="F313" s="116">
        <v>252.8</v>
      </c>
      <c r="G313" s="117">
        <f>MOD(G312+F313,360)</f>
        <v>11.600000000006617</v>
      </c>
      <c r="H313" s="116">
        <v>218.0</v>
      </c>
      <c r="I313" s="117">
        <f>MOD(I312+H313,360)</f>
        <v>288.217</v>
      </c>
      <c r="J313" s="115">
        <v>252.667</v>
      </c>
      <c r="K313" s="117">
        <f>MOD(K312+J313,360)</f>
        <v>228.59900000000857</v>
      </c>
      <c r="N313" s="128">
        <v>259.0</v>
      </c>
      <c r="O313" s="130">
        <v>1.917</v>
      </c>
      <c r="P313" s="122"/>
      <c r="Q313" s="152">
        <v>259.0</v>
      </c>
      <c r="R313" s="130">
        <v>0.183</v>
      </c>
      <c r="T313" s="128">
        <v>259.0</v>
      </c>
      <c r="U313" s="151">
        <v>9.95</v>
      </c>
      <c r="V313" s="122"/>
      <c r="W313" s="132">
        <v>259.0</v>
      </c>
      <c r="X313" s="130">
        <v>0.017</v>
      </c>
    </row>
    <row r="314" spans="8:8" ht="17.15">
      <c r="A314" s="115">
        <v>4490.0</v>
      </c>
      <c r="B314" s="115">
        <v>40.083</v>
      </c>
      <c r="C314" s="123">
        <f>MOD(C313+B314,168)</f>
        <v>75.46599999999953</v>
      </c>
      <c r="D314" s="117">
        <v>80.5</v>
      </c>
      <c r="E314" s="117">
        <f>MOD(E313+D314,360)</f>
        <v>151.55</v>
      </c>
      <c r="F314" s="116">
        <v>252.8</v>
      </c>
      <c r="G314" s="117">
        <f>MOD(G313+F314,360)</f>
        <v>264.4000000000066</v>
      </c>
      <c r="H314" s="116">
        <v>218.0</v>
      </c>
      <c r="I314" s="117">
        <f>MOD(I313+H314,360)</f>
        <v>146.21699999999998</v>
      </c>
      <c r="J314" s="115">
        <v>252.667</v>
      </c>
      <c r="K314" s="117">
        <f>MOD(K313+J314,360)</f>
        <v>121.2660000000086</v>
      </c>
      <c r="N314" s="128">
        <v>260.0</v>
      </c>
      <c r="O314" s="130">
        <v>1.917</v>
      </c>
      <c r="P314" s="122"/>
      <c r="Q314" s="152">
        <v>260.0</v>
      </c>
      <c r="R314" s="130">
        <v>0.183</v>
      </c>
      <c r="T314" s="128">
        <v>260.0</v>
      </c>
      <c r="U314" s="151">
        <v>9.95</v>
      </c>
      <c r="V314" s="122"/>
      <c r="W314" s="132">
        <v>260.0</v>
      </c>
      <c r="X314" s="130">
        <v>0.017</v>
      </c>
    </row>
    <row r="315" spans="8:8" ht="17.15">
      <c r="A315" s="115">
        <v>4500.0</v>
      </c>
      <c r="B315" s="115">
        <v>40.083</v>
      </c>
      <c r="C315" s="123">
        <f>MOD(C314+B315,168)</f>
        <v>115.54899999999952</v>
      </c>
      <c r="D315" s="117">
        <v>80.5</v>
      </c>
      <c r="E315" s="117">
        <f>MOD(E314+D315,360)</f>
        <v>232.05</v>
      </c>
      <c r="F315" s="116">
        <v>252.8</v>
      </c>
      <c r="G315" s="117">
        <f>MOD(G314+F315,360)</f>
        <v>157.20000000000664</v>
      </c>
      <c r="H315" s="116">
        <v>218.0</v>
      </c>
      <c r="I315" s="117">
        <f>MOD(I314+H315,360)</f>
        <v>4.2169999999999845</v>
      </c>
      <c r="J315" s="115">
        <v>252.667</v>
      </c>
      <c r="K315" s="117">
        <f>MOD(K314+J315,360)</f>
        <v>13.933000000008633</v>
      </c>
      <c r="N315" s="128">
        <v>261.0</v>
      </c>
      <c r="O315" s="130">
        <v>1.917</v>
      </c>
      <c r="P315" s="122"/>
      <c r="Q315" s="152">
        <v>261.0</v>
      </c>
      <c r="R315" s="130">
        <v>0.183</v>
      </c>
      <c r="T315" s="128">
        <v>261.0</v>
      </c>
      <c r="U315" s="151">
        <v>9.967</v>
      </c>
      <c r="V315" s="122"/>
      <c r="W315" s="132">
        <v>261.0</v>
      </c>
      <c r="X315" s="130">
        <v>0.017</v>
      </c>
    </row>
    <row r="316" spans="8:8" ht="17.15">
      <c r="A316" s="115">
        <v>4510.0</v>
      </c>
      <c r="B316" s="115">
        <v>40.083</v>
      </c>
      <c r="C316" s="123">
        <f>MOD(C315+B316,168)</f>
        <v>155.63199999999952</v>
      </c>
      <c r="D316" s="117">
        <v>80.5</v>
      </c>
      <c r="E316" s="117">
        <f>MOD(E315+D316,360)</f>
        <v>312.55</v>
      </c>
      <c r="F316" s="116">
        <v>252.8</v>
      </c>
      <c r="G316" s="117">
        <f>MOD(G315+F316,360)</f>
        <v>50.00000000000665</v>
      </c>
      <c r="H316" s="116">
        <v>218.0</v>
      </c>
      <c r="I316" s="117">
        <f>MOD(I315+H316,360)</f>
        <v>222.21699999999998</v>
      </c>
      <c r="J316" s="115">
        <v>252.667</v>
      </c>
      <c r="K316" s="117">
        <f>MOD(K315+J316,360)</f>
        <v>266.60000000000866</v>
      </c>
      <c r="N316" s="128">
        <v>262.0</v>
      </c>
      <c r="O316" s="130">
        <v>1.917</v>
      </c>
      <c r="P316" s="122"/>
      <c r="Q316" s="152">
        <v>262.0</v>
      </c>
      <c r="R316" s="130">
        <v>0.183</v>
      </c>
      <c r="T316" s="128">
        <v>262.0</v>
      </c>
      <c r="U316" s="151">
        <v>9.967</v>
      </c>
      <c r="V316" s="122"/>
      <c r="W316" s="132">
        <v>262.0</v>
      </c>
      <c r="X316" s="130">
        <v>0.017</v>
      </c>
    </row>
    <row r="317" spans="8:8" ht="17.15">
      <c r="A317" s="115">
        <v>4520.0</v>
      </c>
      <c r="B317" s="115">
        <v>40.083</v>
      </c>
      <c r="C317" s="123">
        <f>MOD(C316+B317,168)</f>
        <v>27.71499999999952</v>
      </c>
      <c r="D317" s="117">
        <v>80.5</v>
      </c>
      <c r="E317" s="117">
        <f>MOD(E316+D317,360)</f>
        <v>33.05000000000001</v>
      </c>
      <c r="F317" s="116">
        <v>252.8</v>
      </c>
      <c r="G317" s="117">
        <f>MOD(G316+F317,360)</f>
        <v>302.80000000000666</v>
      </c>
      <c r="H317" s="116">
        <v>218.0</v>
      </c>
      <c r="I317" s="117">
        <f>MOD(I316+H317,360)</f>
        <v>80.21699999999998</v>
      </c>
      <c r="J317" s="115">
        <v>252.667</v>
      </c>
      <c r="K317" s="117">
        <f>MOD(K316+J317,360)</f>
        <v>159.2670000000087</v>
      </c>
      <c r="N317" s="128">
        <v>263.0</v>
      </c>
      <c r="O317" s="130">
        <v>1.933</v>
      </c>
      <c r="P317" s="122"/>
      <c r="Q317" s="152">
        <v>263.0</v>
      </c>
      <c r="R317" s="130">
        <v>0.167</v>
      </c>
      <c r="T317" s="128">
        <v>263.0</v>
      </c>
      <c r="U317" s="151">
        <v>9.983</v>
      </c>
      <c r="V317" s="122"/>
      <c r="W317" s="132">
        <v>263.0</v>
      </c>
      <c r="X317" s="130">
        <v>0.0</v>
      </c>
    </row>
    <row r="318" spans="8:8" ht="17.15">
      <c r="A318" s="115">
        <v>4530.0</v>
      </c>
      <c r="B318" s="115">
        <v>40.083</v>
      </c>
      <c r="C318" s="123">
        <f>MOD(C317+B318,168)</f>
        <v>67.79799999999952</v>
      </c>
      <c r="D318" s="117">
        <v>80.5</v>
      </c>
      <c r="E318" s="117">
        <f>MOD(E317+D318,360)</f>
        <v>113.55000000000001</v>
      </c>
      <c r="F318" s="116">
        <v>252.8</v>
      </c>
      <c r="G318" s="117">
        <f>MOD(G317+F318,360)</f>
        <v>195.60000000000673</v>
      </c>
      <c r="H318" s="116">
        <v>218.0</v>
      </c>
      <c r="I318" s="117">
        <f>MOD(I317+H318,360)</f>
        <v>298.217</v>
      </c>
      <c r="J318" s="115">
        <v>252.667</v>
      </c>
      <c r="K318" s="117">
        <f>MOD(K317+J318,360)</f>
        <v>51.93400000000872</v>
      </c>
      <c r="N318" s="128">
        <v>264.0</v>
      </c>
      <c r="O318" s="130">
        <v>1.933</v>
      </c>
      <c r="P318" s="122"/>
      <c r="Q318" s="152">
        <v>264.0</v>
      </c>
      <c r="R318" s="130">
        <v>0.167</v>
      </c>
      <c r="T318" s="128">
        <v>264.0</v>
      </c>
      <c r="U318" s="151">
        <v>9.983</v>
      </c>
      <c r="V318" s="122"/>
      <c r="W318" s="132">
        <v>264.0</v>
      </c>
      <c r="X318" s="130">
        <v>0.0</v>
      </c>
    </row>
    <row r="319" spans="8:8" ht="17.15">
      <c r="A319" s="115">
        <v>4540.0</v>
      </c>
      <c r="B319" s="115">
        <v>40.083</v>
      </c>
      <c r="C319" s="123">
        <f>MOD(C318+B319,168)</f>
        <v>107.88099999999952</v>
      </c>
      <c r="D319" s="117">
        <v>80.5</v>
      </c>
      <c r="E319" s="117">
        <f>MOD(E318+D319,360)</f>
        <v>194.05</v>
      </c>
      <c r="F319" s="116">
        <v>252.8</v>
      </c>
      <c r="G319" s="117">
        <f>MOD(G318+F319,360)</f>
        <v>88.40000000000674</v>
      </c>
      <c r="H319" s="116">
        <v>218.0</v>
      </c>
      <c r="I319" s="117">
        <f>MOD(I318+H319,360)</f>
        <v>156.21699999999998</v>
      </c>
      <c r="J319" s="115">
        <v>252.667</v>
      </c>
      <c r="K319" s="117">
        <f>MOD(K318+J319,360)</f>
        <v>304.60100000000875</v>
      </c>
      <c r="N319" s="128">
        <v>265.0</v>
      </c>
      <c r="O319" s="130">
        <v>1.933</v>
      </c>
      <c r="P319" s="122"/>
      <c r="Q319" s="152">
        <v>265.0</v>
      </c>
      <c r="R319" s="130">
        <v>0.167</v>
      </c>
      <c r="T319" s="128">
        <v>265.0</v>
      </c>
      <c r="U319" s="151">
        <v>10.0</v>
      </c>
      <c r="V319" s="122"/>
      <c r="W319" s="132">
        <v>265.0</v>
      </c>
      <c r="X319" s="130">
        <v>0.0</v>
      </c>
    </row>
    <row r="320" spans="8:8" ht="17.15">
      <c r="A320" s="115">
        <v>4550.0</v>
      </c>
      <c r="B320" s="115">
        <v>40.083</v>
      </c>
      <c r="C320" s="123">
        <f>MOD(C319+B320,168)</f>
        <v>147.96399999999952</v>
      </c>
      <c r="D320" s="117">
        <v>80.5</v>
      </c>
      <c r="E320" s="117">
        <f>MOD(E319+D320,360)</f>
        <v>274.55</v>
      </c>
      <c r="F320" s="116">
        <v>252.8</v>
      </c>
      <c r="G320" s="117">
        <f>MOD(G319+F320,360)</f>
        <v>341.20000000000675</v>
      </c>
      <c r="H320" s="116">
        <v>218.0</v>
      </c>
      <c r="I320" s="117">
        <f>MOD(I319+H320,360)</f>
        <v>14.216999999999985</v>
      </c>
      <c r="J320" s="115">
        <v>252.667</v>
      </c>
      <c r="K320" s="117">
        <f>MOD(K319+J320,360)</f>
        <v>197.26800000000878</v>
      </c>
      <c r="N320" s="128">
        <v>266.0</v>
      </c>
      <c r="O320" s="130">
        <v>1.933</v>
      </c>
      <c r="P320" s="122"/>
      <c r="Q320" s="152">
        <v>266.0</v>
      </c>
      <c r="R320" s="130">
        <v>0.167</v>
      </c>
      <c r="T320" s="128">
        <v>266.0</v>
      </c>
      <c r="U320" s="151">
        <v>10.0</v>
      </c>
      <c r="V320" s="122"/>
      <c r="W320" s="132">
        <v>266.0</v>
      </c>
      <c r="X320" s="130">
        <v>0.0</v>
      </c>
    </row>
    <row r="321" spans="8:8" ht="17.15">
      <c r="A321" s="115">
        <v>4560.0</v>
      </c>
      <c r="B321" s="115">
        <v>40.083</v>
      </c>
      <c r="C321" s="123">
        <f>MOD(C320+B321,168)</f>
        <v>20.046999999999514</v>
      </c>
      <c r="D321" s="117">
        <v>80.5</v>
      </c>
      <c r="E321" s="117">
        <f>MOD(E320+D321,360)</f>
        <v>355.05</v>
      </c>
      <c r="F321" s="116">
        <v>252.8</v>
      </c>
      <c r="G321" s="117">
        <f>MOD(G320+F321,360)</f>
        <v>234.00000000000682</v>
      </c>
      <c r="H321" s="116">
        <v>218.0</v>
      </c>
      <c r="I321" s="117">
        <f>MOD(I320+H321,360)</f>
        <v>232.21699999999998</v>
      </c>
      <c r="J321" s="115">
        <v>252.667</v>
      </c>
      <c r="K321" s="117">
        <f>MOD(K320+J321,360)</f>
        <v>89.93500000000881</v>
      </c>
      <c r="N321" s="128">
        <v>267.0</v>
      </c>
      <c r="O321" s="130">
        <v>1.933</v>
      </c>
      <c r="P321" s="122"/>
      <c r="Q321" s="152">
        <v>267.0</v>
      </c>
      <c r="R321" s="130">
        <v>0.167</v>
      </c>
      <c r="T321" s="128">
        <v>267.0</v>
      </c>
      <c r="U321" s="151">
        <v>10.0</v>
      </c>
      <c r="V321" s="122"/>
      <c r="W321" s="132">
        <v>267.0</v>
      </c>
      <c r="X321" s="130">
        <v>0.0</v>
      </c>
    </row>
    <row r="322" spans="8:8" ht="17.15">
      <c r="A322" s="115">
        <v>4570.0</v>
      </c>
      <c r="B322" s="115">
        <v>40.083</v>
      </c>
      <c r="C322" s="123">
        <f>MOD(C321+B322,168)</f>
        <v>60.12999999999951</v>
      </c>
      <c r="D322" s="117">
        <v>80.5</v>
      </c>
      <c r="E322" s="117">
        <f>MOD(E321+D322,360)</f>
        <v>75.55000000000001</v>
      </c>
      <c r="F322" s="116">
        <v>252.8</v>
      </c>
      <c r="G322" s="117">
        <f>MOD(G321+F322,360)</f>
        <v>126.80000000000683</v>
      </c>
      <c r="H322" s="116">
        <v>218.0</v>
      </c>
      <c r="I322" s="117">
        <f>MOD(I321+H322,360)</f>
        <v>90.21699999999998</v>
      </c>
      <c r="J322" s="115">
        <v>252.667</v>
      </c>
      <c r="K322" s="117">
        <f>MOD(K321+J322,360)</f>
        <v>342.60200000000884</v>
      </c>
      <c r="N322" s="128">
        <v>268.0</v>
      </c>
      <c r="O322" s="130">
        <v>1.967</v>
      </c>
      <c r="P322" s="122"/>
      <c r="Q322" s="152">
        <v>268.0</v>
      </c>
      <c r="R322" s="130">
        <v>0.15</v>
      </c>
      <c r="T322" s="128">
        <v>268.0</v>
      </c>
      <c r="U322" s="151">
        <v>9.983</v>
      </c>
      <c r="V322" s="122"/>
      <c r="W322" s="132">
        <v>268.0</v>
      </c>
      <c r="X322" s="130">
        <v>0.0</v>
      </c>
    </row>
    <row r="323" spans="8:8" ht="17.15">
      <c r="A323" s="115">
        <v>4580.0</v>
      </c>
      <c r="B323" s="115">
        <v>40.083</v>
      </c>
      <c r="C323" s="123">
        <f>MOD(C322+B323,168)</f>
        <v>100.21299999999951</v>
      </c>
      <c r="D323" s="117">
        <v>80.5</v>
      </c>
      <c r="E323" s="117">
        <f>MOD(E322+D323,360)</f>
        <v>156.05</v>
      </c>
      <c r="F323" s="116">
        <v>252.8</v>
      </c>
      <c r="G323" s="117">
        <f>MOD(G322+F323,360)</f>
        <v>19.600000000006844</v>
      </c>
      <c r="H323" s="116">
        <v>218.0</v>
      </c>
      <c r="I323" s="117">
        <f>MOD(I322+H323,360)</f>
        <v>308.217</v>
      </c>
      <c r="J323" s="115">
        <v>252.667</v>
      </c>
      <c r="K323" s="117">
        <f>MOD(K322+J323,360)</f>
        <v>235.26900000000887</v>
      </c>
      <c r="N323" s="128">
        <v>269.0</v>
      </c>
      <c r="O323" s="130">
        <v>1.967</v>
      </c>
      <c r="P323" s="122"/>
      <c r="Q323" s="152">
        <v>269.0</v>
      </c>
      <c r="R323" s="130">
        <v>0.15</v>
      </c>
      <c r="T323" s="128">
        <v>269.0</v>
      </c>
      <c r="U323" s="151">
        <v>9.983</v>
      </c>
      <c r="V323" s="122"/>
      <c r="W323" s="132">
        <v>269.0</v>
      </c>
      <c r="X323" s="130">
        <v>0.0</v>
      </c>
    </row>
    <row r="324" spans="8:8" ht="17.15">
      <c r="A324" s="115">
        <v>4590.0</v>
      </c>
      <c r="B324" s="115">
        <v>40.083</v>
      </c>
      <c r="C324" s="123">
        <f>MOD(C323+B324,168)</f>
        <v>140.2959999999995</v>
      </c>
      <c r="D324" s="117">
        <v>80.5</v>
      </c>
      <c r="E324" s="117">
        <f>MOD(E323+D324,360)</f>
        <v>236.55</v>
      </c>
      <c r="F324" s="116">
        <v>252.8</v>
      </c>
      <c r="G324" s="117">
        <f>MOD(G323+F324,360)</f>
        <v>272.40000000000686</v>
      </c>
      <c r="H324" s="116">
        <v>218.0</v>
      </c>
      <c r="I324" s="117">
        <f>MOD(I323+H324,360)</f>
        <v>166.21699999999998</v>
      </c>
      <c r="J324" s="115">
        <v>252.667</v>
      </c>
      <c r="K324" s="117">
        <f>MOD(K323+J324,360)</f>
        <v>127.9360000000089</v>
      </c>
      <c r="N324" s="128">
        <v>270.0</v>
      </c>
      <c r="O324" s="130">
        <v>1.967</v>
      </c>
      <c r="P324" s="122"/>
      <c r="Q324" s="152">
        <v>270.0</v>
      </c>
      <c r="R324" s="130">
        <v>0.15</v>
      </c>
      <c r="T324" s="128">
        <v>270.0</v>
      </c>
      <c r="U324" s="151">
        <v>9.983</v>
      </c>
      <c r="V324" s="122"/>
      <c r="W324" s="132">
        <v>270.0</v>
      </c>
      <c r="X324" s="130">
        <v>0.0</v>
      </c>
    </row>
    <row r="325" spans="8:8" ht="17.15">
      <c r="A325" s="115">
        <v>4600.0</v>
      </c>
      <c r="B325" s="115">
        <v>40.083</v>
      </c>
      <c r="C325" s="123">
        <f>MOD(C324+B325,168)</f>
        <v>12.378999999999508</v>
      </c>
      <c r="D325" s="117">
        <v>80.5</v>
      </c>
      <c r="E325" s="117">
        <f>MOD(E324+D325,360)</f>
        <v>317.05</v>
      </c>
      <c r="F325" s="116">
        <v>252.8</v>
      </c>
      <c r="G325" s="117">
        <f>MOD(G324+F325,360)</f>
        <v>165.20000000000687</v>
      </c>
      <c r="H325" s="116">
        <v>217.9999999999999</v>
      </c>
      <c r="I325" s="117">
        <f>MOD(I324+H325,360)</f>
        <v>24.21699999999987</v>
      </c>
      <c r="J325" s="115">
        <v>252.667</v>
      </c>
      <c r="K325" s="117">
        <f>MOD(K324+J325,360)</f>
        <v>20.603000000008933</v>
      </c>
      <c r="N325" s="128">
        <v>271.0</v>
      </c>
      <c r="O325" s="130">
        <v>1.967</v>
      </c>
      <c r="P325" s="122"/>
      <c r="Q325" s="152">
        <v>271.0</v>
      </c>
      <c r="R325" s="130">
        <v>0.15</v>
      </c>
      <c r="T325" s="128">
        <v>271.0</v>
      </c>
      <c r="U325" s="151">
        <v>9.983</v>
      </c>
      <c r="V325" s="122"/>
      <c r="W325" s="132">
        <v>271.0</v>
      </c>
      <c r="X325" s="130">
        <v>0.0</v>
      </c>
    </row>
    <row r="326" spans="8:8" ht="15.1">
      <c r="N326" s="128">
        <v>272.0</v>
      </c>
      <c r="O326" s="130">
        <v>1.967</v>
      </c>
      <c r="P326" s="122"/>
      <c r="Q326" s="152">
        <v>272.0</v>
      </c>
      <c r="R326" s="130">
        <v>0.15</v>
      </c>
      <c r="T326" s="128">
        <v>272.0</v>
      </c>
      <c r="U326" s="151">
        <v>9.967</v>
      </c>
      <c r="V326" s="122"/>
      <c r="W326" s="132">
        <v>272.0</v>
      </c>
      <c r="X326" s="130">
        <v>0.0</v>
      </c>
    </row>
    <row r="327" spans="8:8" ht="15.1">
      <c r="N327" s="128">
        <v>273.0</v>
      </c>
      <c r="O327" s="130">
        <v>1.983</v>
      </c>
      <c r="P327" s="122"/>
      <c r="Q327" s="152">
        <v>273.0</v>
      </c>
      <c r="R327" s="130">
        <v>0.117</v>
      </c>
      <c r="T327" s="128">
        <v>273.0</v>
      </c>
      <c r="U327" s="151">
        <v>9.95</v>
      </c>
      <c r="V327" s="122"/>
      <c r="W327" s="132">
        <v>273.0</v>
      </c>
      <c r="X327" s="130">
        <v>0.0</v>
      </c>
    </row>
    <row r="328" spans="8:8" ht="15.1">
      <c r="N328" s="128">
        <v>274.0</v>
      </c>
      <c r="O328" s="130">
        <v>1.983</v>
      </c>
      <c r="P328" s="122"/>
      <c r="Q328" s="152">
        <v>274.0</v>
      </c>
      <c r="R328" s="130">
        <v>0.117</v>
      </c>
      <c r="T328" s="128">
        <v>274.0</v>
      </c>
      <c r="U328" s="151">
        <v>9.95</v>
      </c>
      <c r="V328" s="122"/>
      <c r="W328" s="132">
        <v>274.0</v>
      </c>
      <c r="X328" s="130">
        <v>0.017</v>
      </c>
    </row>
    <row r="329" spans="8:8" ht="15.1">
      <c r="N329" s="128">
        <v>275.0</v>
      </c>
      <c r="O329" s="130">
        <v>1.983</v>
      </c>
      <c r="P329" s="122"/>
      <c r="Q329" s="152">
        <v>275.0</v>
      </c>
      <c r="R329" s="130">
        <v>0.117</v>
      </c>
      <c r="T329" s="128">
        <v>275.0</v>
      </c>
      <c r="U329" s="151">
        <v>9.933</v>
      </c>
      <c r="V329" s="122"/>
      <c r="W329" s="132">
        <v>275.0</v>
      </c>
      <c r="X329" s="130">
        <v>0.017</v>
      </c>
    </row>
    <row r="330" spans="8:8" ht="15.1">
      <c r="N330" s="128">
        <v>276.0</v>
      </c>
      <c r="O330" s="130">
        <v>1.983</v>
      </c>
      <c r="P330" s="122"/>
      <c r="Q330" s="152">
        <v>276.0</v>
      </c>
      <c r="R330" s="130">
        <v>0.117</v>
      </c>
      <c r="T330" s="128">
        <v>276.0</v>
      </c>
      <c r="U330" s="151">
        <v>9.9</v>
      </c>
      <c r="V330" s="122"/>
      <c r="W330" s="132">
        <v>276.0</v>
      </c>
      <c r="X330" s="130">
        <v>0.017</v>
      </c>
    </row>
    <row r="331" spans="8:8" ht="15.1">
      <c r="N331" s="128">
        <v>277.0</v>
      </c>
      <c r="O331" s="130">
        <v>1.983</v>
      </c>
      <c r="P331" s="122"/>
      <c r="Q331" s="152">
        <v>277.0</v>
      </c>
      <c r="R331" s="130">
        <v>0.117</v>
      </c>
      <c r="T331" s="128">
        <v>277.0</v>
      </c>
      <c r="U331" s="151">
        <v>9.883</v>
      </c>
      <c r="V331" s="122"/>
      <c r="W331" s="132">
        <v>277.0</v>
      </c>
      <c r="X331" s="130">
        <v>0.033</v>
      </c>
    </row>
    <row r="332" spans="8:8" ht="15.1">
      <c r="N332" s="128">
        <v>278.0</v>
      </c>
      <c r="O332" s="130">
        <v>1.983</v>
      </c>
      <c r="P332" s="122"/>
      <c r="Q332" s="152">
        <v>278.0</v>
      </c>
      <c r="R332" s="130">
        <v>0.1</v>
      </c>
      <c r="T332" s="128">
        <v>278.0</v>
      </c>
      <c r="U332" s="151">
        <v>9.867</v>
      </c>
      <c r="V332" s="122"/>
      <c r="W332" s="132">
        <v>278.0</v>
      </c>
      <c r="X332" s="130">
        <v>0.033</v>
      </c>
    </row>
    <row r="333" spans="8:8" ht="15.1">
      <c r="N333" s="128">
        <v>279.0</v>
      </c>
      <c r="O333" s="130">
        <v>1.983</v>
      </c>
      <c r="P333" s="122"/>
      <c r="Q333" s="152">
        <v>279.0</v>
      </c>
      <c r="R333" s="130">
        <v>0.1</v>
      </c>
      <c r="T333" s="128">
        <v>279.0</v>
      </c>
      <c r="U333" s="151">
        <v>9.833</v>
      </c>
      <c r="V333" s="122"/>
      <c r="W333" s="132">
        <v>279.0</v>
      </c>
      <c r="X333" s="130">
        <v>0.033</v>
      </c>
    </row>
    <row r="334" spans="8:8" ht="15.1">
      <c r="N334" s="128">
        <v>280.0</v>
      </c>
      <c r="O334" s="130">
        <v>1.983</v>
      </c>
      <c r="P334" s="122"/>
      <c r="Q334" s="152">
        <v>280.0</v>
      </c>
      <c r="R334" s="130">
        <v>0.1</v>
      </c>
      <c r="T334" s="128">
        <v>280.0</v>
      </c>
      <c r="U334" s="151">
        <v>9.8</v>
      </c>
      <c r="V334" s="122"/>
      <c r="W334" s="132">
        <v>280.0</v>
      </c>
      <c r="X334" s="130">
        <v>0.05</v>
      </c>
    </row>
    <row r="335" spans="8:8" ht="15.1">
      <c r="N335" s="128">
        <v>281.0</v>
      </c>
      <c r="O335" s="130">
        <v>1.983</v>
      </c>
      <c r="P335" s="122"/>
      <c r="Q335" s="152">
        <v>281.0</v>
      </c>
      <c r="R335" s="130">
        <v>0.1</v>
      </c>
      <c r="T335" s="128">
        <v>281.0</v>
      </c>
      <c r="U335" s="151">
        <v>9.783</v>
      </c>
      <c r="V335" s="122"/>
      <c r="W335" s="132">
        <v>281.0</v>
      </c>
      <c r="X335" s="130">
        <v>0.05</v>
      </c>
    </row>
    <row r="336" spans="8:8" ht="15.1">
      <c r="N336" s="128">
        <v>282.0</v>
      </c>
      <c r="O336" s="130">
        <v>1.983</v>
      </c>
      <c r="P336" s="122"/>
      <c r="Q336" s="152">
        <v>282.0</v>
      </c>
      <c r="R336" s="130">
        <v>0.1</v>
      </c>
      <c r="T336" s="128">
        <v>282.0</v>
      </c>
      <c r="U336" s="151">
        <v>9.767</v>
      </c>
      <c r="V336" s="122"/>
      <c r="W336" s="132">
        <v>282.0</v>
      </c>
      <c r="X336" s="130">
        <v>0.067</v>
      </c>
    </row>
    <row r="337" spans="8:8" ht="15.1">
      <c r="N337" s="128">
        <v>283.0</v>
      </c>
      <c r="O337" s="130">
        <v>2.0</v>
      </c>
      <c r="P337" s="122"/>
      <c r="Q337" s="152">
        <v>283.0</v>
      </c>
      <c r="R337" s="130">
        <v>0.083</v>
      </c>
      <c r="T337" s="128">
        <v>283.0</v>
      </c>
      <c r="U337" s="151">
        <v>9.733</v>
      </c>
      <c r="V337" s="122"/>
      <c r="W337" s="132">
        <v>283.0</v>
      </c>
      <c r="X337" s="130">
        <v>0.067</v>
      </c>
    </row>
    <row r="338" spans="8:8" ht="15.1">
      <c r="N338" s="128">
        <v>284.0</v>
      </c>
      <c r="O338" s="130">
        <v>2.0</v>
      </c>
      <c r="P338" s="122"/>
      <c r="Q338" s="152">
        <v>284.0</v>
      </c>
      <c r="R338" s="130">
        <v>0.083</v>
      </c>
      <c r="T338" s="128">
        <v>284.0</v>
      </c>
      <c r="U338" s="151">
        <v>9.717</v>
      </c>
      <c r="V338" s="122"/>
      <c r="W338" s="132">
        <v>284.0</v>
      </c>
      <c r="X338" s="130">
        <v>0.083</v>
      </c>
    </row>
    <row r="339" spans="8:8" ht="15.1">
      <c r="N339" s="128">
        <v>285.0</v>
      </c>
      <c r="O339" s="130">
        <v>2.0</v>
      </c>
      <c r="P339" s="122"/>
      <c r="Q339" s="152">
        <v>285.0</v>
      </c>
      <c r="R339" s="130">
        <v>0.083</v>
      </c>
      <c r="T339" s="128">
        <v>285.0</v>
      </c>
      <c r="U339" s="151">
        <v>9.683</v>
      </c>
      <c r="V339" s="122"/>
      <c r="W339" s="132">
        <v>285.0</v>
      </c>
      <c r="X339" s="130">
        <v>0.1</v>
      </c>
    </row>
    <row r="340" spans="8:8" ht="15.1">
      <c r="N340" s="128">
        <v>286.0</v>
      </c>
      <c r="O340" s="130">
        <v>2.0</v>
      </c>
      <c r="P340" s="122"/>
      <c r="Q340" s="152">
        <v>286.0</v>
      </c>
      <c r="R340" s="130">
        <v>0.083</v>
      </c>
      <c r="T340" s="128">
        <v>286.0</v>
      </c>
      <c r="U340" s="151">
        <v>9.65</v>
      </c>
      <c r="V340" s="122"/>
      <c r="W340" s="132">
        <v>286.0</v>
      </c>
      <c r="X340" s="130">
        <v>0.1</v>
      </c>
    </row>
    <row r="341" spans="8:8" ht="15.1">
      <c r="N341" s="128">
        <v>287.0</v>
      </c>
      <c r="O341" s="130">
        <v>2.0</v>
      </c>
      <c r="P341" s="122"/>
      <c r="Q341" s="152">
        <v>287.0</v>
      </c>
      <c r="R341" s="130">
        <v>0.083</v>
      </c>
      <c r="T341" s="128">
        <v>287.0</v>
      </c>
      <c r="U341" s="151">
        <v>9.617</v>
      </c>
      <c r="V341" s="122"/>
      <c r="W341" s="132">
        <v>287.0</v>
      </c>
      <c r="X341" s="130">
        <v>0.117</v>
      </c>
    </row>
    <row r="342" spans="8:8" ht="15.1">
      <c r="N342" s="128">
        <v>288.0</v>
      </c>
      <c r="O342" s="130">
        <v>2.017</v>
      </c>
      <c r="P342" s="122"/>
      <c r="Q342" s="152">
        <v>288.0</v>
      </c>
      <c r="R342" s="130">
        <v>0.067</v>
      </c>
      <c r="T342" s="128">
        <v>288.0</v>
      </c>
      <c r="U342" s="151">
        <v>9.583</v>
      </c>
      <c r="V342" s="122"/>
      <c r="W342" s="132">
        <v>288.0</v>
      </c>
      <c r="X342" s="130">
        <v>0.117</v>
      </c>
    </row>
    <row r="343" spans="8:8" ht="15.1">
      <c r="N343" s="128">
        <v>289.0</v>
      </c>
      <c r="O343" s="130">
        <v>2.017</v>
      </c>
      <c r="P343" s="122"/>
      <c r="Q343" s="152">
        <v>289.0</v>
      </c>
      <c r="R343" s="130">
        <v>0.067</v>
      </c>
      <c r="T343" s="128">
        <v>289.0</v>
      </c>
      <c r="U343" s="151">
        <v>9.55</v>
      </c>
      <c r="V343" s="122"/>
      <c r="W343" s="132">
        <v>289.0</v>
      </c>
      <c r="X343" s="130">
        <v>0.133</v>
      </c>
    </row>
    <row r="344" spans="8:8" ht="15.1">
      <c r="N344" s="128">
        <v>290.0</v>
      </c>
      <c r="O344" s="130">
        <v>2.017</v>
      </c>
      <c r="P344" s="122"/>
      <c r="Q344" s="152">
        <v>290.0</v>
      </c>
      <c r="R344" s="130">
        <v>0.067</v>
      </c>
      <c r="T344" s="128">
        <v>290.0</v>
      </c>
      <c r="U344" s="151">
        <v>9.517</v>
      </c>
      <c r="V344" s="122"/>
      <c r="W344" s="132">
        <v>290.0</v>
      </c>
      <c r="X344" s="130">
        <v>0.15</v>
      </c>
    </row>
    <row r="345" spans="8:8" ht="15.1">
      <c r="N345" s="128">
        <v>291.0</v>
      </c>
      <c r="O345" s="130">
        <v>2.017</v>
      </c>
      <c r="P345" s="122"/>
      <c r="Q345" s="152">
        <v>291.0</v>
      </c>
      <c r="R345" s="130">
        <v>0.067</v>
      </c>
      <c r="T345" s="128">
        <v>291.0</v>
      </c>
      <c r="U345" s="151">
        <v>9.483</v>
      </c>
      <c r="V345" s="122"/>
      <c r="W345" s="132">
        <v>291.0</v>
      </c>
      <c r="X345" s="130">
        <v>0.15</v>
      </c>
    </row>
    <row r="346" spans="8:8" ht="15.1">
      <c r="N346" s="128">
        <v>292.0</v>
      </c>
      <c r="O346" s="130">
        <v>2.017</v>
      </c>
      <c r="P346" s="122"/>
      <c r="Q346" s="152">
        <v>292.0</v>
      </c>
      <c r="R346" s="130">
        <v>0.067</v>
      </c>
      <c r="T346" s="128">
        <v>292.0</v>
      </c>
      <c r="U346" s="151">
        <v>9.45</v>
      </c>
      <c r="V346" s="122"/>
      <c r="W346" s="132">
        <v>292.0</v>
      </c>
      <c r="X346" s="130">
        <v>0.167</v>
      </c>
    </row>
    <row r="347" spans="8:8" ht="15.1">
      <c r="N347" s="128">
        <v>293.0</v>
      </c>
      <c r="O347" s="130">
        <v>2.033</v>
      </c>
      <c r="P347" s="122"/>
      <c r="Q347" s="152">
        <v>293.0</v>
      </c>
      <c r="R347" s="130">
        <v>0.05</v>
      </c>
      <c r="T347" s="128">
        <v>293.0</v>
      </c>
      <c r="U347" s="151">
        <v>9.417</v>
      </c>
      <c r="V347" s="122"/>
      <c r="W347" s="132">
        <v>293.0</v>
      </c>
      <c r="X347" s="130">
        <v>0.183</v>
      </c>
    </row>
    <row r="348" spans="8:8" ht="15.1">
      <c r="N348" s="128">
        <v>294.0</v>
      </c>
      <c r="O348" s="130">
        <v>2.033</v>
      </c>
      <c r="P348" s="122"/>
      <c r="Q348" s="152">
        <v>294.0</v>
      </c>
      <c r="R348" s="130">
        <v>0.05</v>
      </c>
      <c r="T348" s="128">
        <v>294.0</v>
      </c>
      <c r="U348" s="151">
        <v>9.383</v>
      </c>
      <c r="V348" s="122"/>
      <c r="W348" s="132">
        <v>294.0</v>
      </c>
      <c r="X348" s="130">
        <v>0.2</v>
      </c>
    </row>
    <row r="349" spans="8:8" ht="15.1">
      <c r="N349" s="128">
        <v>295.0</v>
      </c>
      <c r="O349" s="130">
        <v>2.033</v>
      </c>
      <c r="P349" s="122"/>
      <c r="Q349" s="152">
        <v>295.0</v>
      </c>
      <c r="R349" s="130">
        <v>0.05</v>
      </c>
      <c r="T349" s="128">
        <v>295.0</v>
      </c>
      <c r="U349" s="151">
        <v>9.333</v>
      </c>
      <c r="V349" s="122"/>
      <c r="W349" s="132">
        <v>295.0</v>
      </c>
      <c r="X349" s="130">
        <v>0.217</v>
      </c>
    </row>
    <row r="350" spans="8:8" ht="15.1">
      <c r="N350" s="128">
        <v>296.0</v>
      </c>
      <c r="O350" s="130">
        <v>2.033</v>
      </c>
      <c r="P350" s="122"/>
      <c r="Q350" s="152">
        <v>296.0</v>
      </c>
      <c r="R350" s="130">
        <v>0.05</v>
      </c>
      <c r="T350" s="128">
        <v>296.0</v>
      </c>
      <c r="U350" s="151">
        <v>9.283</v>
      </c>
      <c r="V350" s="122"/>
      <c r="W350" s="132">
        <v>296.0</v>
      </c>
      <c r="X350" s="130">
        <v>0.233</v>
      </c>
    </row>
    <row r="351" spans="8:8" ht="15.1">
      <c r="N351" s="128">
        <v>297.0</v>
      </c>
      <c r="O351" s="130">
        <v>2.033</v>
      </c>
      <c r="P351" s="122"/>
      <c r="Q351" s="152">
        <v>297.0</v>
      </c>
      <c r="R351" s="130">
        <v>0.05</v>
      </c>
      <c r="T351" s="128">
        <v>297.0</v>
      </c>
      <c r="U351" s="151">
        <v>9.25</v>
      </c>
      <c r="V351" s="122"/>
      <c r="W351" s="132">
        <v>297.0</v>
      </c>
      <c r="X351" s="130">
        <v>0.25</v>
      </c>
    </row>
    <row r="352" spans="8:8" ht="15.1">
      <c r="N352" s="128">
        <v>298.0</v>
      </c>
      <c r="O352" s="130">
        <v>2.05</v>
      </c>
      <c r="P352" s="122"/>
      <c r="Q352" s="152">
        <v>298.0</v>
      </c>
      <c r="R352" s="130">
        <v>0.033</v>
      </c>
      <c r="T352" s="128">
        <v>298.0</v>
      </c>
      <c r="U352" s="151">
        <v>9.217</v>
      </c>
      <c r="V352" s="122"/>
      <c r="W352" s="132">
        <v>298.0</v>
      </c>
      <c r="X352" s="130">
        <v>0.267</v>
      </c>
    </row>
    <row r="353" spans="8:8" ht="15.1">
      <c r="N353" s="128">
        <v>299.0</v>
      </c>
      <c r="O353" s="130">
        <v>2.05</v>
      </c>
      <c r="P353" s="122"/>
      <c r="Q353" s="152">
        <v>299.0</v>
      </c>
      <c r="R353" s="130">
        <v>0.033</v>
      </c>
      <c r="T353" s="128">
        <v>299.0</v>
      </c>
      <c r="U353" s="151">
        <v>9.167</v>
      </c>
      <c r="V353" s="122"/>
      <c r="W353" s="132">
        <v>299.0</v>
      </c>
      <c r="X353" s="130">
        <v>0.283</v>
      </c>
    </row>
    <row r="354" spans="8:8" ht="15.1">
      <c r="N354" s="128">
        <v>300.0</v>
      </c>
      <c r="O354" s="130">
        <v>2.05</v>
      </c>
      <c r="P354" s="122"/>
      <c r="Q354" s="152">
        <v>300.0</v>
      </c>
      <c r="R354" s="130">
        <v>0.033</v>
      </c>
      <c r="T354" s="128">
        <v>300.0</v>
      </c>
      <c r="U354" s="151">
        <v>9.117</v>
      </c>
      <c r="V354" s="122"/>
      <c r="W354" s="132">
        <v>300.0</v>
      </c>
      <c r="X354" s="130">
        <v>0.3</v>
      </c>
    </row>
    <row r="355" spans="8:8" ht="15.1">
      <c r="N355" s="128">
        <v>301.0</v>
      </c>
      <c r="O355" s="130">
        <v>2.05</v>
      </c>
      <c r="P355" s="122"/>
      <c r="Q355" s="152">
        <v>301.0</v>
      </c>
      <c r="R355" s="130">
        <v>0.033</v>
      </c>
      <c r="T355" s="128">
        <v>301.0</v>
      </c>
      <c r="U355" s="151">
        <v>9.067</v>
      </c>
      <c r="V355" s="122"/>
      <c r="W355" s="132">
        <v>301.0</v>
      </c>
      <c r="X355" s="130">
        <v>0.317</v>
      </c>
    </row>
    <row r="356" spans="8:8" ht="15.1">
      <c r="N356" s="128">
        <v>302.0</v>
      </c>
      <c r="O356" s="130">
        <v>2.05</v>
      </c>
      <c r="P356" s="122"/>
      <c r="Q356" s="152">
        <v>302.0</v>
      </c>
      <c r="R356" s="130">
        <v>0.033</v>
      </c>
      <c r="T356" s="128">
        <v>302.0</v>
      </c>
      <c r="U356" s="151">
        <v>9.017</v>
      </c>
      <c r="V356" s="122"/>
      <c r="W356" s="132">
        <v>302.0</v>
      </c>
      <c r="X356" s="130">
        <v>0.333</v>
      </c>
    </row>
    <row r="357" spans="8:8" ht="15.1">
      <c r="N357" s="128">
        <v>303.0</v>
      </c>
      <c r="O357" s="130">
        <v>2.067</v>
      </c>
      <c r="P357" s="122"/>
      <c r="Q357" s="152">
        <v>303.0</v>
      </c>
      <c r="R357" s="130">
        <v>0.017</v>
      </c>
      <c r="T357" s="128">
        <v>303.0</v>
      </c>
      <c r="U357" s="151">
        <v>8.967</v>
      </c>
      <c r="V357" s="122"/>
      <c r="W357" s="132">
        <v>303.0</v>
      </c>
      <c r="X357" s="130">
        <v>0.36</v>
      </c>
    </row>
    <row r="358" spans="8:8" ht="15.1">
      <c r="N358" s="128">
        <v>304.0</v>
      </c>
      <c r="O358" s="130">
        <v>2.067</v>
      </c>
      <c r="P358" s="122"/>
      <c r="Q358" s="152">
        <v>304.0</v>
      </c>
      <c r="R358" s="130">
        <v>0.017</v>
      </c>
      <c r="T358" s="128">
        <v>304.0</v>
      </c>
      <c r="U358" s="151">
        <v>8.917</v>
      </c>
      <c r="V358" s="122"/>
      <c r="W358" s="132">
        <v>304.0</v>
      </c>
      <c r="X358" s="130">
        <v>0.383</v>
      </c>
    </row>
    <row r="359" spans="8:8" ht="15.1">
      <c r="N359" s="128">
        <v>305.0</v>
      </c>
      <c r="O359" s="130">
        <v>2.067</v>
      </c>
      <c r="P359" s="122"/>
      <c r="Q359" s="152">
        <v>305.0</v>
      </c>
      <c r="R359" s="130">
        <v>0.017</v>
      </c>
      <c r="T359" s="128">
        <v>305.0</v>
      </c>
      <c r="U359" s="151">
        <v>8.867</v>
      </c>
      <c r="V359" s="122"/>
      <c r="W359" s="132">
        <v>305.0</v>
      </c>
      <c r="X359" s="130">
        <v>0.4</v>
      </c>
    </row>
    <row r="360" spans="8:8" ht="15.1">
      <c r="N360" s="128">
        <v>306.0</v>
      </c>
      <c r="O360" s="130">
        <v>2.067</v>
      </c>
      <c r="P360" s="122"/>
      <c r="Q360" s="152">
        <v>306.0</v>
      </c>
      <c r="R360" s="130">
        <v>0.017</v>
      </c>
      <c r="T360" s="128">
        <v>306.0</v>
      </c>
      <c r="U360" s="151">
        <v>8.817</v>
      </c>
      <c r="V360" s="122"/>
      <c r="W360" s="132">
        <v>306.0</v>
      </c>
      <c r="X360" s="130">
        <v>0.417</v>
      </c>
    </row>
    <row r="361" spans="8:8" ht="15.1">
      <c r="N361" s="128">
        <v>307.0</v>
      </c>
      <c r="O361" s="130">
        <v>2.067</v>
      </c>
      <c r="P361" s="122"/>
      <c r="Q361" s="152">
        <v>307.0</v>
      </c>
      <c r="R361" s="130">
        <v>0.017</v>
      </c>
      <c r="T361" s="128">
        <v>307.0</v>
      </c>
      <c r="U361" s="151">
        <v>8.767</v>
      </c>
      <c r="V361" s="122"/>
      <c r="W361" s="132">
        <v>307.0</v>
      </c>
      <c r="X361" s="130">
        <v>0.433</v>
      </c>
    </row>
    <row r="362" spans="8:8" ht="15.1">
      <c r="N362" s="128">
        <v>308.0</v>
      </c>
      <c r="O362" s="130">
        <v>2.1</v>
      </c>
      <c r="P362" s="122"/>
      <c r="Q362" s="152">
        <v>308.0</v>
      </c>
      <c r="R362" s="130">
        <v>0.017</v>
      </c>
      <c r="T362" s="128">
        <v>308.0</v>
      </c>
      <c r="U362" s="151">
        <v>8.717</v>
      </c>
      <c r="V362" s="122"/>
      <c r="W362" s="132">
        <v>308.0</v>
      </c>
      <c r="X362" s="130">
        <v>0.467</v>
      </c>
    </row>
    <row r="363" spans="8:8" ht="15.1">
      <c r="N363" s="128">
        <v>309.0</v>
      </c>
      <c r="O363" s="130">
        <v>2.1</v>
      </c>
      <c r="P363" s="122"/>
      <c r="Q363" s="152">
        <v>309.0</v>
      </c>
      <c r="R363" s="130">
        <v>0.017</v>
      </c>
      <c r="T363" s="128">
        <v>309.0</v>
      </c>
      <c r="U363" s="151">
        <v>8.667</v>
      </c>
      <c r="V363" s="122"/>
      <c r="W363" s="132">
        <v>309.0</v>
      </c>
      <c r="X363" s="130">
        <v>0.483</v>
      </c>
    </row>
    <row r="364" spans="8:8" ht="15.1">
      <c r="N364" s="128">
        <v>310.0</v>
      </c>
      <c r="O364" s="130">
        <v>2.1</v>
      </c>
      <c r="P364" s="122"/>
      <c r="Q364" s="152">
        <v>310.0</v>
      </c>
      <c r="R364" s="130">
        <v>0.017</v>
      </c>
      <c r="T364" s="128">
        <v>310.0</v>
      </c>
      <c r="U364" s="151">
        <v>8.6</v>
      </c>
      <c r="V364" s="122"/>
      <c r="W364" s="132">
        <v>310.0</v>
      </c>
      <c r="X364" s="130">
        <v>0.5</v>
      </c>
    </row>
    <row r="365" spans="8:8" ht="15.1">
      <c r="N365" s="128">
        <v>311.0</v>
      </c>
      <c r="O365" s="130">
        <v>2.1</v>
      </c>
      <c r="P365" s="122"/>
      <c r="Q365" s="152">
        <v>311.0</v>
      </c>
      <c r="R365" s="130">
        <v>0.017</v>
      </c>
      <c r="T365" s="128">
        <v>311.0</v>
      </c>
      <c r="U365" s="151">
        <v>8.5</v>
      </c>
      <c r="V365" s="122"/>
      <c r="W365" s="132">
        <v>311.0</v>
      </c>
      <c r="X365" s="130">
        <v>0.517</v>
      </c>
    </row>
    <row r="366" spans="8:8" ht="15.1">
      <c r="N366" s="128">
        <v>312.0</v>
      </c>
      <c r="O366" s="130">
        <v>2.1</v>
      </c>
      <c r="P366" s="122"/>
      <c r="Q366" s="152">
        <v>312.0</v>
      </c>
      <c r="R366" s="130">
        <v>0.017</v>
      </c>
      <c r="T366" s="128">
        <v>312.0</v>
      </c>
      <c r="U366" s="151">
        <v>8.483</v>
      </c>
      <c r="V366" s="122"/>
      <c r="W366" s="132">
        <v>312.0</v>
      </c>
      <c r="X366" s="130">
        <v>0.55</v>
      </c>
    </row>
    <row r="367" spans="8:8" ht="15.1">
      <c r="N367" s="128">
        <v>313.0</v>
      </c>
      <c r="O367" s="130">
        <v>2.1</v>
      </c>
      <c r="P367" s="122"/>
      <c r="Q367" s="152">
        <v>313.0</v>
      </c>
      <c r="R367" s="130">
        <v>0.0</v>
      </c>
      <c r="T367" s="128">
        <v>313.0</v>
      </c>
      <c r="U367" s="151">
        <v>8.417</v>
      </c>
      <c r="V367" s="122"/>
      <c r="W367" s="132">
        <v>313.0</v>
      </c>
      <c r="X367" s="130">
        <v>0.567</v>
      </c>
    </row>
    <row r="368" spans="8:8" ht="15.1">
      <c r="N368" s="128">
        <v>314.0</v>
      </c>
      <c r="O368" s="130">
        <v>2.1</v>
      </c>
      <c r="P368" s="122"/>
      <c r="Q368" s="152">
        <v>314.0</v>
      </c>
      <c r="R368" s="130">
        <v>0.0</v>
      </c>
      <c r="T368" s="128">
        <v>314.0</v>
      </c>
      <c r="U368" s="151">
        <v>8.367</v>
      </c>
      <c r="V368" s="122"/>
      <c r="W368" s="132">
        <v>314.0</v>
      </c>
      <c r="X368" s="130">
        <v>0.6</v>
      </c>
    </row>
    <row r="369" spans="8:8" ht="15.1">
      <c r="N369" s="128">
        <v>315.0</v>
      </c>
      <c r="O369" s="130">
        <v>2.1</v>
      </c>
      <c r="P369" s="122"/>
      <c r="Q369" s="152">
        <v>315.0</v>
      </c>
      <c r="R369" s="130">
        <v>0.0</v>
      </c>
      <c r="T369" s="128">
        <v>315.0</v>
      </c>
      <c r="U369" s="151">
        <v>8.3</v>
      </c>
      <c r="V369" s="122"/>
      <c r="W369" s="132">
        <v>315.0</v>
      </c>
      <c r="X369" s="130">
        <v>0.617</v>
      </c>
    </row>
    <row r="370" spans="8:8" ht="15.1">
      <c r="N370" s="128">
        <v>316.0</v>
      </c>
      <c r="O370" s="130">
        <v>2.1</v>
      </c>
      <c r="P370" s="122"/>
      <c r="Q370" s="152">
        <v>316.0</v>
      </c>
      <c r="R370" s="130">
        <v>0.0</v>
      </c>
      <c r="T370" s="128">
        <v>316.0</v>
      </c>
      <c r="U370" s="151">
        <v>8.25</v>
      </c>
      <c r="V370" s="122"/>
      <c r="W370" s="132">
        <v>316.0</v>
      </c>
      <c r="X370" s="130">
        <v>0.633</v>
      </c>
    </row>
    <row r="371" spans="8:8" ht="15.1">
      <c r="N371" s="128">
        <v>317.0</v>
      </c>
      <c r="O371" s="130">
        <v>2.1</v>
      </c>
      <c r="P371" s="122"/>
      <c r="Q371" s="152">
        <v>317.0</v>
      </c>
      <c r="R371" s="130">
        <v>0.0</v>
      </c>
      <c r="T371" s="128">
        <v>317.0</v>
      </c>
      <c r="U371" s="151">
        <v>8.183</v>
      </c>
      <c r="V371" s="122"/>
      <c r="W371" s="132">
        <v>317.0</v>
      </c>
      <c r="X371" s="130">
        <v>0.667</v>
      </c>
    </row>
    <row r="372" spans="8:8" ht="15.1">
      <c r="N372" s="128">
        <v>318.0</v>
      </c>
      <c r="O372" s="130">
        <v>2.117</v>
      </c>
      <c r="P372" s="122"/>
      <c r="Q372" s="152">
        <v>318.0</v>
      </c>
      <c r="R372" s="130">
        <v>0.0</v>
      </c>
      <c r="T372" s="128">
        <v>318.0</v>
      </c>
      <c r="U372" s="151">
        <v>8.117</v>
      </c>
      <c r="V372" s="122"/>
      <c r="W372" s="132">
        <v>318.0</v>
      </c>
      <c r="X372" s="130">
        <v>0.683</v>
      </c>
    </row>
    <row r="373" spans="8:8" ht="15.1">
      <c r="N373" s="128">
        <v>319.0</v>
      </c>
      <c r="O373" s="130">
        <v>2.117</v>
      </c>
      <c r="P373" s="122"/>
      <c r="Q373" s="152">
        <v>319.0</v>
      </c>
      <c r="R373" s="130">
        <v>0.0</v>
      </c>
      <c r="T373" s="128">
        <v>319.0</v>
      </c>
      <c r="U373" s="151">
        <v>8.05</v>
      </c>
      <c r="V373" s="122"/>
      <c r="W373" s="132">
        <v>319.0</v>
      </c>
      <c r="X373" s="130">
        <v>0.717</v>
      </c>
    </row>
    <row r="374" spans="8:8" ht="15.1">
      <c r="N374" s="128">
        <v>320.0</v>
      </c>
      <c r="O374" s="130">
        <v>2.117</v>
      </c>
      <c r="P374" s="122"/>
      <c r="Q374" s="152">
        <v>320.0</v>
      </c>
      <c r="R374" s="130">
        <v>0.0</v>
      </c>
      <c r="T374" s="128">
        <v>320.0</v>
      </c>
      <c r="U374" s="151">
        <v>7.983</v>
      </c>
      <c r="V374" s="122"/>
      <c r="W374" s="132">
        <v>320.0</v>
      </c>
      <c r="X374" s="130">
        <v>0.733</v>
      </c>
    </row>
    <row r="375" spans="8:8" ht="15.1">
      <c r="N375" s="128">
        <v>321.0</v>
      </c>
      <c r="O375" s="130">
        <v>2.117</v>
      </c>
      <c r="P375" s="122"/>
      <c r="Q375" s="152">
        <v>321.0</v>
      </c>
      <c r="R375" s="130">
        <v>0.0</v>
      </c>
      <c r="T375" s="128">
        <v>321.0</v>
      </c>
      <c r="U375" s="151">
        <v>7.917</v>
      </c>
      <c r="V375" s="122"/>
      <c r="W375" s="132">
        <v>321.0</v>
      </c>
      <c r="X375" s="130">
        <v>0.767</v>
      </c>
    </row>
    <row r="376" spans="8:8" ht="15.1">
      <c r="N376" s="128">
        <v>322.0</v>
      </c>
      <c r="O376" s="130">
        <v>2.117</v>
      </c>
      <c r="P376" s="122"/>
      <c r="Q376" s="152">
        <v>322.0</v>
      </c>
      <c r="R376" s="130">
        <v>0.0</v>
      </c>
      <c r="T376" s="128">
        <v>322.0</v>
      </c>
      <c r="U376" s="151">
        <v>7.85</v>
      </c>
      <c r="V376" s="122"/>
      <c r="W376" s="132">
        <v>322.0</v>
      </c>
      <c r="X376" s="130">
        <v>0.783</v>
      </c>
    </row>
    <row r="377" spans="8:8" ht="15.1">
      <c r="N377" s="128">
        <v>323.0</v>
      </c>
      <c r="O377" s="130">
        <v>2.133</v>
      </c>
      <c r="P377" s="122"/>
      <c r="Q377" s="152">
        <v>323.0</v>
      </c>
      <c r="R377" s="130">
        <v>0.0</v>
      </c>
      <c r="T377" s="128">
        <v>323.0</v>
      </c>
      <c r="U377" s="151">
        <v>7.783</v>
      </c>
      <c r="V377" s="122"/>
      <c r="W377" s="132">
        <v>323.0</v>
      </c>
      <c r="X377" s="130">
        <v>0.817</v>
      </c>
    </row>
    <row r="378" spans="8:8" ht="15.1">
      <c r="N378" s="128">
        <v>324.0</v>
      </c>
      <c r="O378" s="130">
        <v>2.133</v>
      </c>
      <c r="P378" s="122"/>
      <c r="Q378" s="152">
        <v>324.0</v>
      </c>
      <c r="R378" s="130">
        <v>0.0</v>
      </c>
      <c r="T378" s="128">
        <v>324.0</v>
      </c>
      <c r="U378" s="151">
        <v>7.717</v>
      </c>
      <c r="V378" s="122"/>
      <c r="W378" s="132">
        <v>324.0</v>
      </c>
      <c r="X378" s="130">
        <v>0.833</v>
      </c>
    </row>
    <row r="379" spans="8:8" ht="15.1">
      <c r="N379" s="128">
        <v>325.0</v>
      </c>
      <c r="O379" s="130">
        <v>2.133</v>
      </c>
      <c r="P379" s="122"/>
      <c r="Q379" s="152">
        <v>325.0</v>
      </c>
      <c r="R379" s="130">
        <v>0.0</v>
      </c>
      <c r="T379" s="128">
        <v>325.0</v>
      </c>
      <c r="U379" s="151">
        <v>7.65</v>
      </c>
      <c r="V379" s="122"/>
      <c r="W379" s="132">
        <v>325.0</v>
      </c>
      <c r="X379" s="130">
        <v>0.867</v>
      </c>
    </row>
    <row r="380" spans="8:8" ht="15.1">
      <c r="N380" s="128">
        <v>326.0</v>
      </c>
      <c r="O380" s="130">
        <v>2.133</v>
      </c>
      <c r="P380" s="122"/>
      <c r="Q380" s="152">
        <v>326.0</v>
      </c>
      <c r="R380" s="130">
        <v>0.0</v>
      </c>
      <c r="T380" s="128">
        <v>326.0</v>
      </c>
      <c r="U380" s="151">
        <v>7.583</v>
      </c>
      <c r="V380" s="122"/>
      <c r="W380" s="132">
        <v>326.0</v>
      </c>
      <c r="X380" s="130">
        <v>0.883</v>
      </c>
    </row>
    <row r="381" spans="8:8" ht="15.1">
      <c r="N381" s="128">
        <v>327.0</v>
      </c>
      <c r="O381" s="130">
        <v>2.133</v>
      </c>
      <c r="P381" s="122"/>
      <c r="Q381" s="152">
        <v>327.0</v>
      </c>
      <c r="R381" s="130">
        <v>0.0</v>
      </c>
      <c r="T381" s="128">
        <v>327.0</v>
      </c>
      <c r="U381" s="151">
        <v>7.517</v>
      </c>
      <c r="V381" s="122"/>
      <c r="W381" s="132">
        <v>327.0</v>
      </c>
      <c r="X381" s="130">
        <v>0.917</v>
      </c>
    </row>
    <row r="382" spans="8:8" ht="15.1">
      <c r="N382" s="128">
        <v>328.0</v>
      </c>
      <c r="O382" s="130">
        <v>2.15</v>
      </c>
      <c r="P382" s="122"/>
      <c r="Q382" s="152">
        <v>328.0</v>
      </c>
      <c r="R382" s="130">
        <v>0.0</v>
      </c>
      <c r="T382" s="128">
        <v>328.0</v>
      </c>
      <c r="U382" s="151">
        <v>7.45</v>
      </c>
      <c r="V382" s="122"/>
      <c r="W382" s="132">
        <v>328.0</v>
      </c>
      <c r="X382" s="130">
        <v>0.933</v>
      </c>
    </row>
    <row r="383" spans="8:8" ht="15.1">
      <c r="N383" s="128">
        <v>329.0</v>
      </c>
      <c r="O383" s="130">
        <v>2.15</v>
      </c>
      <c r="P383" s="122"/>
      <c r="Q383" s="152">
        <v>329.0</v>
      </c>
      <c r="R383" s="130">
        <v>0.0</v>
      </c>
      <c r="T383" s="128">
        <v>329.0</v>
      </c>
      <c r="U383" s="151">
        <v>7.383</v>
      </c>
      <c r="V383" s="122"/>
      <c r="W383" s="132">
        <v>329.0</v>
      </c>
      <c r="X383" s="130">
        <v>0.967</v>
      </c>
    </row>
    <row r="384" spans="8:8" ht="15.1">
      <c r="N384" s="128">
        <v>330.0</v>
      </c>
      <c r="O384" s="130">
        <v>2.15</v>
      </c>
      <c r="P384" s="122"/>
      <c r="Q384" s="152">
        <v>330.0</v>
      </c>
      <c r="R384" s="130">
        <v>0.0</v>
      </c>
      <c r="T384" s="128">
        <v>330.0</v>
      </c>
      <c r="U384" s="151">
        <v>7.3</v>
      </c>
      <c r="V384" s="122"/>
      <c r="W384" s="132">
        <v>330.0</v>
      </c>
      <c r="X384" s="130">
        <v>1.0</v>
      </c>
    </row>
    <row r="385" spans="8:8" ht="15.1">
      <c r="N385" s="128">
        <v>331.0</v>
      </c>
      <c r="O385" s="130">
        <v>2.15</v>
      </c>
      <c r="P385" s="122"/>
      <c r="Q385" s="152">
        <v>331.0</v>
      </c>
      <c r="R385" s="130">
        <v>0.0</v>
      </c>
      <c r="T385" s="128">
        <v>331.0</v>
      </c>
      <c r="U385" s="151">
        <v>7.233</v>
      </c>
      <c r="V385" s="122"/>
      <c r="W385" s="132">
        <v>331.0</v>
      </c>
      <c r="X385" s="130">
        <v>1.033</v>
      </c>
    </row>
    <row r="386" spans="8:8" ht="15.1">
      <c r="N386" s="128">
        <v>332.0</v>
      </c>
      <c r="O386" s="130">
        <v>2.15</v>
      </c>
      <c r="P386" s="122"/>
      <c r="Q386" s="152">
        <v>332.0</v>
      </c>
      <c r="R386" s="130">
        <v>0.0</v>
      </c>
      <c r="T386" s="128">
        <v>332.0</v>
      </c>
      <c r="U386" s="151">
        <v>7.15</v>
      </c>
      <c r="V386" s="122"/>
      <c r="W386" s="132">
        <v>332.0</v>
      </c>
      <c r="X386" s="130">
        <v>1.067</v>
      </c>
    </row>
    <row r="387" spans="8:8" ht="15.1">
      <c r="N387" s="128">
        <v>333.0</v>
      </c>
      <c r="O387" s="130">
        <v>2.167</v>
      </c>
      <c r="P387" s="122"/>
      <c r="Q387" s="152">
        <v>333.0</v>
      </c>
      <c r="R387" s="130">
        <v>0.017</v>
      </c>
      <c r="T387" s="128">
        <v>333.0</v>
      </c>
      <c r="U387" s="151">
        <v>7.083</v>
      </c>
      <c r="V387" s="122"/>
      <c r="W387" s="132">
        <v>333.0</v>
      </c>
      <c r="X387" s="130">
        <v>1.083</v>
      </c>
    </row>
    <row r="388" spans="8:8" ht="15.1">
      <c r="N388" s="128">
        <v>334.0</v>
      </c>
      <c r="O388" s="130">
        <v>2.167</v>
      </c>
      <c r="P388" s="122"/>
      <c r="Q388" s="152">
        <v>334.0</v>
      </c>
      <c r="R388" s="130">
        <v>0.017</v>
      </c>
      <c r="T388" s="128">
        <v>334.0</v>
      </c>
      <c r="U388" s="151">
        <v>7.0</v>
      </c>
      <c r="V388" s="122"/>
      <c r="W388" s="132">
        <v>334.0</v>
      </c>
      <c r="X388" s="130">
        <v>1.117</v>
      </c>
    </row>
    <row r="389" spans="8:8" ht="15.1">
      <c r="N389" s="128">
        <v>335.0</v>
      </c>
      <c r="O389" s="130">
        <v>2.167</v>
      </c>
      <c r="P389" s="122"/>
      <c r="Q389" s="152">
        <v>335.0</v>
      </c>
      <c r="R389" s="130">
        <v>0.017</v>
      </c>
      <c r="T389" s="128">
        <v>335.0</v>
      </c>
      <c r="U389" s="151">
        <v>6.933</v>
      </c>
      <c r="V389" s="122"/>
      <c r="W389" s="132">
        <v>335.0</v>
      </c>
      <c r="X389" s="130">
        <v>1.15</v>
      </c>
    </row>
    <row r="390" spans="8:8" ht="15.1">
      <c r="N390" s="128">
        <v>336.0</v>
      </c>
      <c r="O390" s="130">
        <v>2.167</v>
      </c>
      <c r="P390" s="122"/>
      <c r="Q390" s="152">
        <v>336.0</v>
      </c>
      <c r="R390" s="130">
        <v>0.017</v>
      </c>
      <c r="T390" s="128">
        <v>336.0</v>
      </c>
      <c r="U390" s="151">
        <v>6.867</v>
      </c>
      <c r="V390" s="122"/>
      <c r="W390" s="132">
        <v>336.0</v>
      </c>
      <c r="X390" s="130">
        <v>1.183</v>
      </c>
    </row>
    <row r="391" spans="8:8" ht="15.1">
      <c r="N391" s="128">
        <v>337.0</v>
      </c>
      <c r="O391" s="130">
        <v>2.167</v>
      </c>
      <c r="P391" s="122"/>
      <c r="Q391" s="152">
        <v>337.0</v>
      </c>
      <c r="R391" s="130">
        <v>0.017</v>
      </c>
      <c r="T391" s="128">
        <v>337.0</v>
      </c>
      <c r="U391" s="151">
        <v>6.8</v>
      </c>
      <c r="V391" s="122"/>
      <c r="W391" s="132">
        <v>337.0</v>
      </c>
      <c r="X391" s="130">
        <v>1.217</v>
      </c>
    </row>
    <row r="392" spans="8:8" ht="15.1">
      <c r="N392" s="128">
        <v>338.0</v>
      </c>
      <c r="O392" s="130">
        <v>2.183</v>
      </c>
      <c r="P392" s="122"/>
      <c r="Q392" s="152">
        <v>338.0</v>
      </c>
      <c r="R392" s="130">
        <v>0.017</v>
      </c>
      <c r="T392" s="128">
        <v>338.0</v>
      </c>
      <c r="U392" s="151">
        <v>6.717</v>
      </c>
      <c r="V392" s="122"/>
      <c r="W392" s="132">
        <v>338.0</v>
      </c>
      <c r="X392" s="130">
        <v>1.233</v>
      </c>
    </row>
    <row r="393" spans="8:8" ht="15.1">
      <c r="N393" s="128">
        <v>339.0</v>
      </c>
      <c r="O393" s="130">
        <v>2.183</v>
      </c>
      <c r="P393" s="122"/>
      <c r="Q393" s="152">
        <v>339.0</v>
      </c>
      <c r="R393" s="130">
        <v>0.017</v>
      </c>
      <c r="T393" s="128">
        <v>339.0</v>
      </c>
      <c r="U393" s="151">
        <v>6.65</v>
      </c>
      <c r="V393" s="122"/>
      <c r="W393" s="132">
        <v>339.0</v>
      </c>
      <c r="X393" s="130">
        <v>1.267</v>
      </c>
    </row>
    <row r="394" spans="8:8" ht="15.1">
      <c r="N394" s="128">
        <v>340.0</v>
      </c>
      <c r="O394" s="130">
        <v>2.183</v>
      </c>
      <c r="P394" s="122"/>
      <c r="Q394" s="152">
        <v>340.0</v>
      </c>
      <c r="R394" s="130">
        <v>0.017</v>
      </c>
      <c r="T394" s="128">
        <v>340.0</v>
      </c>
      <c r="U394" s="151">
        <v>6.583</v>
      </c>
      <c r="V394" s="122"/>
      <c r="W394" s="132">
        <v>340.0</v>
      </c>
      <c r="X394" s="130">
        <v>1.3</v>
      </c>
    </row>
    <row r="395" spans="8:8" ht="15.1">
      <c r="N395" s="128">
        <v>341.0</v>
      </c>
      <c r="O395" s="130">
        <v>2.183</v>
      </c>
      <c r="P395" s="122"/>
      <c r="Q395" s="152">
        <v>341.0</v>
      </c>
      <c r="R395" s="130">
        <v>0.017</v>
      </c>
      <c r="T395" s="128">
        <v>341.0</v>
      </c>
      <c r="U395" s="151">
        <v>6.5</v>
      </c>
      <c r="V395" s="122"/>
      <c r="W395" s="132">
        <v>341.0</v>
      </c>
      <c r="X395" s="130">
        <v>1.333</v>
      </c>
    </row>
    <row r="396" spans="8:8" ht="15.1">
      <c r="N396" s="128">
        <v>342.0</v>
      </c>
      <c r="O396" s="130">
        <v>2.183</v>
      </c>
      <c r="P396" s="122"/>
      <c r="Q396" s="152">
        <v>342.0</v>
      </c>
      <c r="R396" s="130">
        <v>0.017</v>
      </c>
      <c r="T396" s="128">
        <v>342.0</v>
      </c>
      <c r="U396" s="151">
        <v>6.4</v>
      </c>
      <c r="V396" s="122"/>
      <c r="W396" s="132">
        <v>342.0</v>
      </c>
      <c r="X396" s="130">
        <v>1.367</v>
      </c>
    </row>
    <row r="397" spans="8:8" ht="15.1">
      <c r="N397" s="128">
        <v>343.0</v>
      </c>
      <c r="O397" s="130">
        <v>2.2</v>
      </c>
      <c r="P397" s="122"/>
      <c r="Q397" s="152">
        <v>343.0</v>
      </c>
      <c r="R397" s="130">
        <v>0.033</v>
      </c>
      <c r="T397" s="128">
        <v>343.0</v>
      </c>
      <c r="U397" s="151">
        <v>6.35</v>
      </c>
      <c r="V397" s="122"/>
      <c r="W397" s="132">
        <v>343.0</v>
      </c>
      <c r="X397" s="130">
        <v>1.383</v>
      </c>
    </row>
    <row r="398" spans="8:8" ht="15.1">
      <c r="N398" s="128">
        <v>344.0</v>
      </c>
      <c r="O398" s="130">
        <v>2.2</v>
      </c>
      <c r="P398" s="122"/>
      <c r="Q398" s="152">
        <v>344.0</v>
      </c>
      <c r="R398" s="130">
        <v>0.033</v>
      </c>
      <c r="T398" s="128">
        <v>344.0</v>
      </c>
      <c r="U398" s="151">
        <v>6.267</v>
      </c>
      <c r="V398" s="122"/>
      <c r="W398" s="132">
        <v>344.0</v>
      </c>
      <c r="X398" s="130">
        <v>1.4</v>
      </c>
    </row>
    <row r="399" spans="8:8" ht="15.1">
      <c r="N399" s="128">
        <v>345.0</v>
      </c>
      <c r="O399" s="130">
        <v>2.2</v>
      </c>
      <c r="P399" s="122"/>
      <c r="Q399" s="152">
        <v>345.0</v>
      </c>
      <c r="R399" s="130">
        <v>0.033</v>
      </c>
      <c r="T399" s="128">
        <v>345.0</v>
      </c>
      <c r="U399" s="151">
        <v>6.183</v>
      </c>
      <c r="V399" s="122"/>
      <c r="W399" s="132">
        <v>345.0</v>
      </c>
      <c r="X399" s="130">
        <v>1.45</v>
      </c>
    </row>
    <row r="400" spans="8:8" ht="15.1">
      <c r="N400" s="128">
        <v>346.0</v>
      </c>
      <c r="O400" s="130">
        <v>2.2</v>
      </c>
      <c r="P400" s="122"/>
      <c r="Q400" s="152">
        <v>346.0</v>
      </c>
      <c r="R400" s="130">
        <v>0.033</v>
      </c>
      <c r="T400" s="128">
        <v>346.0</v>
      </c>
      <c r="U400" s="151">
        <v>6.1</v>
      </c>
      <c r="V400" s="122"/>
      <c r="W400" s="132">
        <v>346.0</v>
      </c>
      <c r="X400" s="130">
        <v>1.483</v>
      </c>
    </row>
    <row r="401" spans="8:8" ht="15.1">
      <c r="N401" s="128">
        <v>347.0</v>
      </c>
      <c r="O401" s="130">
        <v>2.2</v>
      </c>
      <c r="P401" s="122"/>
      <c r="Q401" s="152">
        <v>347.0</v>
      </c>
      <c r="R401" s="130">
        <v>0.033</v>
      </c>
      <c r="T401" s="128">
        <v>347.0</v>
      </c>
      <c r="U401" s="151">
        <v>6.017</v>
      </c>
      <c r="V401" s="122"/>
      <c r="W401" s="132">
        <v>347.0</v>
      </c>
      <c r="X401" s="130">
        <v>1.517</v>
      </c>
    </row>
    <row r="402" spans="8:8" ht="15.1">
      <c r="N402" s="128">
        <v>348.0</v>
      </c>
      <c r="O402" s="130">
        <v>2.2</v>
      </c>
      <c r="P402" s="122"/>
      <c r="Q402" s="152">
        <v>348.0</v>
      </c>
      <c r="R402" s="130">
        <v>0.05</v>
      </c>
      <c r="T402" s="128">
        <v>348.0</v>
      </c>
      <c r="U402" s="151">
        <v>5.95</v>
      </c>
      <c r="V402" s="122"/>
      <c r="W402" s="132">
        <v>348.0</v>
      </c>
      <c r="X402" s="130">
        <v>1.55</v>
      </c>
    </row>
    <row r="403" spans="8:8" ht="15.1">
      <c r="N403" s="128">
        <v>349.0</v>
      </c>
      <c r="O403" s="130">
        <v>2.2</v>
      </c>
      <c r="P403" s="122"/>
      <c r="Q403" s="152">
        <v>349.0</v>
      </c>
      <c r="R403" s="130">
        <v>0.05</v>
      </c>
      <c r="T403" s="128">
        <v>349.0</v>
      </c>
      <c r="U403" s="151">
        <v>5.867</v>
      </c>
      <c r="V403" s="122"/>
      <c r="W403" s="132">
        <v>349.0</v>
      </c>
      <c r="X403" s="130">
        <v>1.583</v>
      </c>
    </row>
    <row r="404" spans="8:8" ht="15.1">
      <c r="N404" s="128">
        <v>350.0</v>
      </c>
      <c r="O404" s="130">
        <v>2.2</v>
      </c>
      <c r="P404" s="122"/>
      <c r="Q404" s="152">
        <v>350.0</v>
      </c>
      <c r="R404" s="130">
        <v>0.05</v>
      </c>
      <c r="T404" s="128">
        <v>350.0</v>
      </c>
      <c r="U404" s="151">
        <v>5.783</v>
      </c>
      <c r="V404" s="122"/>
      <c r="W404" s="132">
        <v>350.0</v>
      </c>
      <c r="X404" s="130">
        <v>1.617</v>
      </c>
    </row>
    <row r="405" spans="8:8" ht="15.1">
      <c r="N405" s="128">
        <v>351.0</v>
      </c>
      <c r="O405" s="130">
        <v>2.2</v>
      </c>
      <c r="P405" s="122"/>
      <c r="Q405" s="152">
        <v>351.0</v>
      </c>
      <c r="R405" s="130">
        <v>0.05</v>
      </c>
      <c r="T405" s="128">
        <v>351.0</v>
      </c>
      <c r="U405" s="151">
        <v>5.7</v>
      </c>
      <c r="V405" s="122"/>
      <c r="W405" s="132">
        <v>351.0</v>
      </c>
      <c r="X405" s="130">
        <v>1.65</v>
      </c>
    </row>
    <row r="406" spans="8:8" ht="15.1">
      <c r="N406" s="128">
        <v>352.0</v>
      </c>
      <c r="O406" s="130">
        <v>2.2</v>
      </c>
      <c r="P406" s="122"/>
      <c r="Q406" s="152">
        <v>352.0</v>
      </c>
      <c r="R406" s="130">
        <v>0.05</v>
      </c>
      <c r="T406" s="128">
        <v>352.0</v>
      </c>
      <c r="U406" s="151">
        <v>5.617</v>
      </c>
      <c r="V406" s="122"/>
      <c r="W406" s="132">
        <v>352.0</v>
      </c>
      <c r="X406" s="130">
        <v>1.683</v>
      </c>
    </row>
    <row r="407" spans="8:8" ht="15.1">
      <c r="N407" s="128">
        <v>353.0</v>
      </c>
      <c r="O407" s="130">
        <v>2.2</v>
      </c>
      <c r="P407" s="122"/>
      <c r="Q407" s="152">
        <v>353.0</v>
      </c>
      <c r="R407" s="130">
        <v>0.05</v>
      </c>
      <c r="T407" s="128">
        <v>353.0</v>
      </c>
      <c r="U407" s="151">
        <v>5.55</v>
      </c>
      <c r="V407" s="122"/>
      <c r="W407" s="132">
        <v>353.0</v>
      </c>
      <c r="X407" s="130">
        <v>1.717</v>
      </c>
    </row>
    <row r="408" spans="8:8" ht="15.1">
      <c r="N408" s="128">
        <v>354.0</v>
      </c>
      <c r="O408" s="130">
        <v>2.2</v>
      </c>
      <c r="P408" s="122"/>
      <c r="Q408" s="152">
        <v>354.0</v>
      </c>
      <c r="R408" s="130">
        <v>0.05</v>
      </c>
      <c r="T408" s="128">
        <v>354.0</v>
      </c>
      <c r="U408" s="151">
        <v>5.467</v>
      </c>
      <c r="V408" s="122"/>
      <c r="W408" s="132">
        <v>354.0</v>
      </c>
      <c r="X408" s="130">
        <v>1.75</v>
      </c>
    </row>
    <row r="409" spans="8:8" ht="15.1">
      <c r="N409" s="128">
        <v>355.0</v>
      </c>
      <c r="O409" s="130">
        <v>2.2</v>
      </c>
      <c r="P409" s="122"/>
      <c r="Q409" s="152">
        <v>355.0</v>
      </c>
      <c r="R409" s="130">
        <v>0.05</v>
      </c>
      <c r="T409" s="128">
        <v>355.0</v>
      </c>
      <c r="U409" s="151">
        <v>5.383</v>
      </c>
      <c r="V409" s="122"/>
      <c r="W409" s="132">
        <v>355.0</v>
      </c>
      <c r="X409" s="130">
        <v>1.767</v>
      </c>
    </row>
    <row r="410" spans="8:8" ht="15.1">
      <c r="N410" s="128">
        <v>356.0</v>
      </c>
      <c r="O410" s="130">
        <v>2.2</v>
      </c>
      <c r="P410" s="122"/>
      <c r="Q410" s="152">
        <v>356.0</v>
      </c>
      <c r="R410" s="130">
        <v>0.05</v>
      </c>
      <c r="T410" s="128">
        <v>356.0</v>
      </c>
      <c r="U410" s="151">
        <v>5.3</v>
      </c>
      <c r="V410" s="122"/>
      <c r="W410" s="132">
        <v>356.0</v>
      </c>
      <c r="X410" s="130">
        <v>1.8</v>
      </c>
    </row>
    <row r="411" spans="8:8" ht="15.1">
      <c r="N411" s="128">
        <v>357.0</v>
      </c>
      <c r="O411" s="130">
        <v>2.2</v>
      </c>
      <c r="P411" s="122"/>
      <c r="Q411" s="152">
        <v>357.0</v>
      </c>
      <c r="R411" s="130">
        <v>0.05</v>
      </c>
      <c r="T411" s="128">
        <v>357.0</v>
      </c>
      <c r="U411" s="151">
        <v>5.217</v>
      </c>
      <c r="V411" s="122"/>
      <c r="W411" s="132">
        <v>357.0</v>
      </c>
      <c r="X411" s="130">
        <v>1.833</v>
      </c>
    </row>
    <row r="412" spans="8:8" ht="15.1">
      <c r="N412" s="128">
        <v>358.0</v>
      </c>
      <c r="O412" s="130">
        <v>2.217</v>
      </c>
      <c r="P412" s="122"/>
      <c r="Q412" s="152">
        <v>358.0</v>
      </c>
      <c r="R412" s="130">
        <v>0.067</v>
      </c>
      <c r="T412" s="128">
        <v>358.0</v>
      </c>
      <c r="U412" s="151">
        <v>5.15</v>
      </c>
      <c r="V412" s="122"/>
      <c r="W412" s="132">
        <v>358.0</v>
      </c>
      <c r="X412" s="130">
        <v>1.867</v>
      </c>
    </row>
    <row r="413" spans="8:8" ht="15.1">
      <c r="N413" s="128">
        <v>359.0</v>
      </c>
      <c r="O413" s="130">
        <v>2.217</v>
      </c>
      <c r="P413" s="122"/>
      <c r="Q413" s="152">
        <v>359.0</v>
      </c>
      <c r="R413" s="130">
        <v>0.067</v>
      </c>
      <c r="T413" s="128">
        <v>359.0</v>
      </c>
      <c r="U413" s="151">
        <v>5.067</v>
      </c>
      <c r="V413" s="122"/>
      <c r="W413" s="132">
        <v>359.0</v>
      </c>
      <c r="X413" s="130">
        <v>1.9</v>
      </c>
    </row>
    <row r="414" spans="8:8" ht="15.1">
      <c r="N414" s="128">
        <v>360.0</v>
      </c>
      <c r="O414" s="130">
        <v>2.217</v>
      </c>
      <c r="P414" s="122"/>
      <c r="Q414" s="152">
        <v>360.0</v>
      </c>
      <c r="R414" s="130">
        <v>0.067</v>
      </c>
      <c r="T414" s="128">
        <v>360.0</v>
      </c>
      <c r="U414" s="151">
        <v>4.983</v>
      </c>
      <c r="W414" s="132">
        <v>360.0</v>
      </c>
      <c r="X414" s="130">
        <v>1.933</v>
      </c>
    </row>
    <row r="415" spans="8:8">
      <c r="N415" s="122"/>
      <c r="O415" s="122"/>
      <c r="P415" s="122"/>
      <c r="Q415" s="122"/>
      <c r="R415" s="122"/>
    </row>
  </sheetData>
  <mergeCells count="4">
    <mergeCell ref="A3:K4"/>
    <mergeCell ref="N32:S33"/>
    <mergeCell ref="M17:R18"/>
    <mergeCell ref="M3:R4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QI426"/>
  <sheetViews>
    <sheetView workbookViewId="0" topLeftCell="A330" zoomScale="57">
      <selection activeCell="M118" sqref="M118"/>
    </sheetView>
  </sheetViews>
  <sheetFormatPr defaultRowHeight="14.25" defaultColWidth="10"/>
  <cols>
    <col min="1" max="1" customWidth="1" bestFit="1" width="10.0" style="0"/>
    <col min="2" max="2" customWidth="1" width="27.140625" style="0"/>
    <col min="3" max="3" customWidth="1" width="5.1601562" style="0"/>
    <col min="4" max="4" customWidth="1" width="8.0" style="0"/>
    <col min="6" max="6" customWidth="1" width="13.0" style="0"/>
    <col min="9" max="9" customWidth="1" width="15.832031" style="0"/>
    <col min="10" max="10" customWidth="1" width="15.832031" style="0"/>
    <col min="12" max="12" customWidth="1" width="17.199219" style="0"/>
    <col min="13" max="13" customWidth="1" width="14.3984375" style="0"/>
    <col min="14" max="14" customWidth="1" width="14.199219" style="0"/>
    <col min="15" max="15" customWidth="1" width="16.597656" style="0"/>
    <col min="16" max="16" customWidth="1" width="15.796875" style="0"/>
    <col min="17" max="17" customWidth="1" width="16.398438" style="0"/>
    <col min="18" max="18" customWidth="1" width="19.0" style="0"/>
    <col min="19" max="19" customWidth="1" width="12.5" style="0"/>
    <col min="20" max="20" customWidth="1" width="13.5" style="0"/>
    <col min="21" max="21" customWidth="1" width="16.421875" style="0"/>
    <col min="22" max="22" customWidth="1" bestFit="1" width="14.003906" style="0"/>
    <col min="23" max="23" customWidth="1" bestFit="1" width="11.8515625" style="0"/>
    <col min="24" max="24" customWidth="1" bestFit="1" width="11.125" style="0"/>
    <col min="28" max="28" customWidth="1" bestFit="1" width="10.0" style="0"/>
    <col min="29" max="29" customWidth="1" width="14.375" style="0"/>
    <col min="30" max="30" customWidth="1" bestFit="1" width="4.5039062" style="0"/>
  </cols>
  <sheetData>
    <row r="2" spans="8:8" ht="30.0" customHeight="1">
      <c r="B2" s="153" t="s">
        <v>2285</v>
      </c>
      <c r="C2" s="153"/>
      <c r="D2" s="153"/>
      <c r="E2" s="153"/>
      <c r="F2" s="153"/>
      <c r="G2" s="153"/>
    </row>
    <row r="3" spans="8:8" ht="14.35">
      <c r="B3" s="154" t="s">
        <v>3899</v>
      </c>
      <c r="C3" s="154" t="s">
        <v>3900</v>
      </c>
      <c r="D3" s="154" t="s">
        <v>3901</v>
      </c>
      <c r="E3" s="154" t="s">
        <v>3902</v>
      </c>
      <c r="F3" s="155" t="s">
        <v>3903</v>
      </c>
      <c r="G3" s="156" t="s">
        <v>5917</v>
      </c>
    </row>
    <row r="4" spans="8:8" ht="16.6">
      <c r="B4" s="157" t="s">
        <v>3904</v>
      </c>
      <c r="C4" s="157" t="s">
        <v>3905</v>
      </c>
      <c r="D4" s="157" t="s">
        <v>3906</v>
      </c>
      <c r="E4" s="158">
        <v>97.35</v>
      </c>
      <c r="F4" s="159" t="s">
        <v>3907</v>
      </c>
      <c r="G4" s="160">
        <v>3.3</v>
      </c>
      <c r="I4" s="161" t="s">
        <v>5513</v>
      </c>
      <c r="J4" s="161"/>
    </row>
    <row r="5" spans="8:8" ht="20.0" customHeight="1">
      <c r="B5" s="157" t="s">
        <v>3908</v>
      </c>
      <c r="C5" s="157" t="s">
        <v>3909</v>
      </c>
      <c r="D5" s="157" t="s">
        <v>3910</v>
      </c>
      <c r="E5" s="157">
        <v>96.733</v>
      </c>
      <c r="F5" s="159" t="s">
        <v>3911</v>
      </c>
      <c r="G5" s="156">
        <v>4.683</v>
      </c>
      <c r="I5" s="162">
        <v>0.0</v>
      </c>
      <c r="J5" s="162">
        <v>1.933</v>
      </c>
      <c r="L5" s="103" t="s">
        <v>5514</v>
      </c>
      <c r="M5" s="103"/>
      <c r="N5" s="103"/>
      <c r="O5" s="103"/>
      <c r="P5" s="103"/>
      <c r="Q5" s="103"/>
      <c r="R5" s="103"/>
      <c r="T5" s="161" t="s">
        <v>5515</v>
      </c>
      <c r="U5" s="161"/>
      <c r="V5" s="161"/>
      <c r="W5" s="161"/>
      <c r="X5" s="161"/>
    </row>
    <row r="6" spans="8:8" ht="15.85">
      <c r="B6" s="157" t="s">
        <v>3912</v>
      </c>
      <c r="C6" s="157" t="s">
        <v>3913</v>
      </c>
      <c r="D6" s="157" t="s">
        <v>3914</v>
      </c>
      <c r="E6" s="158">
        <v>97.6</v>
      </c>
      <c r="F6" s="159" t="s">
        <v>3915</v>
      </c>
      <c r="G6" s="156"/>
      <c r="I6" s="163">
        <v>1.0</v>
      </c>
      <c r="J6" s="163">
        <v>1.983</v>
      </c>
      <c r="L6" s="164" t="s">
        <v>1870</v>
      </c>
      <c r="M6" s="164" t="s">
        <v>1871</v>
      </c>
      <c r="N6" s="164" t="s">
        <v>1872</v>
      </c>
      <c r="O6" s="164" t="s">
        <v>1873</v>
      </c>
      <c r="P6" s="164" t="s">
        <v>1874</v>
      </c>
      <c r="Q6" s="164" t="s">
        <v>1868</v>
      </c>
      <c r="R6" s="164" t="s">
        <v>1869</v>
      </c>
      <c r="T6" s="165" t="s">
        <v>1980</v>
      </c>
      <c r="U6" s="165" t="s">
        <v>1981</v>
      </c>
      <c r="V6" s="165" t="s">
        <v>1972</v>
      </c>
      <c r="W6" s="165" t="s">
        <v>1978</v>
      </c>
      <c r="X6" s="165" t="s">
        <v>1979</v>
      </c>
      <c r="Z6" t="s">
        <v>2041</v>
      </c>
      <c r="AA6">
        <v>30.0</v>
      </c>
      <c r="AD6" s="166"/>
      <c r="AE6" s="166">
        <v>0.0</v>
      </c>
      <c r="AF6" s="166">
        <v>3.0</v>
      </c>
      <c r="AG6" s="166">
        <v>44.0</v>
      </c>
      <c r="AH6" s="166"/>
      <c r="AI6" s="166"/>
      <c r="AJ6" s="166"/>
      <c r="AK6" s="166"/>
      <c r="AL6" s="166"/>
      <c r="AM6" s="166"/>
      <c r="AN6" s="166"/>
      <c r="AO6" s="166"/>
      <c r="AP6" s="166"/>
    </row>
    <row r="7" spans="8:8" ht="15.3">
      <c r="B7" s="157" t="s">
        <v>3916</v>
      </c>
      <c r="C7" s="157" t="s">
        <v>3917</v>
      </c>
      <c r="D7" s="157" t="s">
        <v>3918</v>
      </c>
      <c r="E7" s="157">
        <v>96.833</v>
      </c>
      <c r="F7" s="159" t="s">
        <v>3919</v>
      </c>
      <c r="G7" s="156"/>
      <c r="I7" s="163">
        <v>2.0</v>
      </c>
      <c r="J7" s="163">
        <v>2.017</v>
      </c>
      <c r="L7" s="164" t="s">
        <v>1871</v>
      </c>
      <c r="M7" s="164" t="s">
        <v>1872</v>
      </c>
      <c r="N7" s="164" t="s">
        <v>1873</v>
      </c>
      <c r="O7" s="164" t="s">
        <v>1874</v>
      </c>
      <c r="P7" s="164" t="s">
        <v>1868</v>
      </c>
      <c r="Q7" s="164" t="s">
        <v>1869</v>
      </c>
      <c r="R7" s="164" t="s">
        <v>1870</v>
      </c>
      <c r="T7" s="165" t="s">
        <v>1981</v>
      </c>
      <c r="U7" s="165" t="s">
        <v>1972</v>
      </c>
      <c r="V7" s="165" t="s">
        <v>1978</v>
      </c>
      <c r="W7" s="165" t="s">
        <v>1979</v>
      </c>
      <c r="X7" s="165" t="s">
        <v>1980</v>
      </c>
      <c r="Z7" t="s">
        <v>2040</v>
      </c>
      <c r="AA7">
        <v>29.0</v>
      </c>
      <c r="AD7" s="166"/>
      <c r="AE7" s="166"/>
      <c r="AF7" s="167">
        <f>AE6+AF6/60+AG6/3600</f>
        <v>0.06222222222222221</v>
      </c>
      <c r="AG7" s="166"/>
      <c r="AH7" s="166"/>
      <c r="AI7" s="166"/>
      <c r="AJ7" s="166"/>
      <c r="AK7" s="166"/>
      <c r="AL7" s="166"/>
      <c r="AM7" s="166"/>
      <c r="AN7" s="166"/>
      <c r="AO7" s="166"/>
      <c r="AP7" s="166"/>
    </row>
    <row r="8" spans="8:8" ht="15.3">
      <c r="B8" s="157" t="s">
        <v>3920</v>
      </c>
      <c r="C8" s="157" t="s">
        <v>3921</v>
      </c>
      <c r="D8" s="157" t="s">
        <v>3922</v>
      </c>
      <c r="E8" s="158">
        <v>96.15</v>
      </c>
      <c r="F8" s="159" t="s">
        <v>3923</v>
      </c>
      <c r="G8" s="156"/>
      <c r="I8" s="163">
        <v>3.0</v>
      </c>
      <c r="J8" s="168">
        <v>2.05</v>
      </c>
      <c r="L8" s="164" t="s">
        <v>1872</v>
      </c>
      <c r="M8" s="164" t="s">
        <v>1873</v>
      </c>
      <c r="N8" s="164" t="s">
        <v>1874</v>
      </c>
      <c r="O8" s="164" t="s">
        <v>1868</v>
      </c>
      <c r="P8" s="164" t="s">
        <v>1869</v>
      </c>
      <c r="Q8" s="164" t="s">
        <v>1870</v>
      </c>
      <c r="R8" s="164" t="s">
        <v>1871</v>
      </c>
      <c r="T8" s="165" t="s">
        <v>1972</v>
      </c>
      <c r="U8" s="165" t="s">
        <v>1978</v>
      </c>
      <c r="V8" s="165" t="s">
        <v>1979</v>
      </c>
      <c r="W8" s="165" t="s">
        <v>1980</v>
      </c>
      <c r="X8" s="165" t="s">
        <v>1981</v>
      </c>
      <c r="AD8" s="166" t="s">
        <v>2232</v>
      </c>
      <c r="AE8" s="166" t="s">
        <v>2234</v>
      </c>
      <c r="AF8" s="166" t="s">
        <v>2233</v>
      </c>
      <c r="AG8" s="166" t="s">
        <v>2235</v>
      </c>
      <c r="AH8" s="166" t="s">
        <v>2236</v>
      </c>
      <c r="AI8" s="166" t="s">
        <v>56</v>
      </c>
      <c r="AJ8" s="166" t="s">
        <v>2237</v>
      </c>
      <c r="AK8" s="166" t="s">
        <v>2238</v>
      </c>
      <c r="AL8" s="166" t="s">
        <v>2239</v>
      </c>
      <c r="AM8" s="166" t="s">
        <v>2240</v>
      </c>
      <c r="AN8" s="169" t="s">
        <v>2241</v>
      </c>
      <c r="AO8" s="166" t="s">
        <v>2242</v>
      </c>
      <c r="AP8" s="166" t="s">
        <v>2243</v>
      </c>
    </row>
    <row r="9" spans="8:8" ht="15.3">
      <c r="B9" s="157" t="s">
        <v>3924</v>
      </c>
      <c r="C9" s="157" t="s">
        <v>3925</v>
      </c>
      <c r="D9" s="157" t="s">
        <v>3926</v>
      </c>
      <c r="E9" s="157">
        <v>95.467</v>
      </c>
      <c r="F9" s="159" t="s">
        <v>3927</v>
      </c>
      <c r="G9" s="156"/>
      <c r="I9" s="163">
        <v>4.0</v>
      </c>
      <c r="J9" s="163">
        <v>2.083</v>
      </c>
      <c r="L9" s="164" t="s">
        <v>1873</v>
      </c>
      <c r="M9" s="164" t="s">
        <v>1874</v>
      </c>
      <c r="N9" s="164" t="s">
        <v>1868</v>
      </c>
      <c r="O9" s="164" t="s">
        <v>1976</v>
      </c>
      <c r="P9" s="164" t="s">
        <v>1870</v>
      </c>
      <c r="Q9" s="164" t="s">
        <v>1871</v>
      </c>
      <c r="R9" s="164" t="s">
        <v>1872</v>
      </c>
      <c r="T9" s="165" t="s">
        <v>1978</v>
      </c>
      <c r="U9" s="165" t="s">
        <v>1979</v>
      </c>
      <c r="V9" s="165" t="s">
        <v>1980</v>
      </c>
      <c r="W9" s="165" t="s">
        <v>1981</v>
      </c>
      <c r="X9" s="165" t="s">
        <v>1972</v>
      </c>
      <c r="AD9" s="170">
        <v>1.0</v>
      </c>
      <c r="AE9" s="170">
        <v>0.053</v>
      </c>
      <c r="AF9" s="170"/>
      <c r="AG9" s="170"/>
      <c r="AH9" s="170"/>
      <c r="AI9" s="170"/>
      <c r="AJ9" s="170"/>
      <c r="AK9" s="170"/>
      <c r="AL9" s="170"/>
      <c r="AM9" s="170"/>
      <c r="AN9" s="171"/>
      <c r="AO9" s="170"/>
      <c r="AP9" s="170"/>
    </row>
    <row r="10" spans="8:8" ht="15.3">
      <c r="B10" s="157" t="s">
        <v>3928</v>
      </c>
      <c r="C10" s="157" t="s">
        <v>3929</v>
      </c>
      <c r="D10" s="157" t="s">
        <v>3930</v>
      </c>
      <c r="E10" s="157">
        <v>95.933</v>
      </c>
      <c r="F10" s="159" t="s">
        <v>3931</v>
      </c>
      <c r="G10" s="156"/>
      <c r="I10" s="163">
        <v>5.0</v>
      </c>
      <c r="J10" s="168">
        <v>2.1</v>
      </c>
      <c r="L10" s="164" t="s">
        <v>1874</v>
      </c>
      <c r="M10" s="164" t="s">
        <v>1868</v>
      </c>
      <c r="N10" s="164" t="s">
        <v>1869</v>
      </c>
      <c r="O10" s="164" t="s">
        <v>1870</v>
      </c>
      <c r="P10" s="164" t="s">
        <v>1871</v>
      </c>
      <c r="Q10" s="164" t="s">
        <v>1872</v>
      </c>
      <c r="R10" s="164" t="s">
        <v>1873</v>
      </c>
      <c r="T10" s="165" t="s">
        <v>1979</v>
      </c>
      <c r="U10" s="165" t="s">
        <v>1980</v>
      </c>
      <c r="V10" s="165" t="s">
        <v>1981</v>
      </c>
      <c r="W10" s="165" t="s">
        <v>1972</v>
      </c>
      <c r="X10" s="165" t="s">
        <v>1978</v>
      </c>
      <c r="AD10" s="170">
        <v>2.0</v>
      </c>
      <c r="AE10" s="170">
        <v>0.061</v>
      </c>
      <c r="AF10" s="170"/>
      <c r="AG10" s="170"/>
      <c r="AH10" s="170"/>
      <c r="AI10" s="170"/>
      <c r="AJ10" s="170"/>
      <c r="AK10" s="170"/>
      <c r="AL10" s="170"/>
      <c r="AM10" s="170"/>
      <c r="AN10" s="171"/>
      <c r="AO10" s="170"/>
      <c r="AP10" s="170"/>
    </row>
    <row r="11" spans="8:8" ht="15.3">
      <c r="B11" s="157" t="s">
        <v>3932</v>
      </c>
      <c r="C11" s="157" t="s">
        <v>3933</v>
      </c>
      <c r="D11" s="157" t="s">
        <v>3934</v>
      </c>
      <c r="E11" s="157">
        <v>97.217</v>
      </c>
      <c r="F11" s="159" t="s">
        <v>3935</v>
      </c>
      <c r="G11" s="156"/>
      <c r="I11" s="163">
        <v>6.0</v>
      </c>
      <c r="J11" s="163">
        <v>2.133</v>
      </c>
      <c r="L11" s="164" t="s">
        <v>1868</v>
      </c>
      <c r="M11" s="164" t="s">
        <v>1869</v>
      </c>
      <c r="N11" s="164" t="s">
        <v>1870</v>
      </c>
      <c r="O11" s="164" t="s">
        <v>1871</v>
      </c>
      <c r="P11" s="164" t="s">
        <v>1872</v>
      </c>
      <c r="Q11" s="164" t="s">
        <v>1873</v>
      </c>
      <c r="R11" s="164" t="s">
        <v>1874</v>
      </c>
      <c r="AD11" s="170">
        <v>3.0</v>
      </c>
      <c r="AE11" s="170">
        <v>0.068</v>
      </c>
      <c r="AF11" s="170"/>
      <c r="AG11" s="170"/>
      <c r="AH11" s="170"/>
      <c r="AI11" s="170"/>
      <c r="AJ11" s="170"/>
      <c r="AK11" s="170"/>
      <c r="AL11" s="170"/>
      <c r="AM11" s="170"/>
      <c r="AN11" s="171"/>
      <c r="AO11" s="170"/>
      <c r="AP11" s="170"/>
    </row>
    <row r="12" spans="8:8" ht="15.3">
      <c r="B12" s="157" t="s">
        <v>3936</v>
      </c>
      <c r="C12" s="157" t="s">
        <v>3937</v>
      </c>
      <c r="D12" s="157" t="s">
        <v>3938</v>
      </c>
      <c r="E12" s="157">
        <v>96.017</v>
      </c>
      <c r="F12" s="159" t="s">
        <v>3939</v>
      </c>
      <c r="G12" s="156"/>
      <c r="I12" s="163">
        <v>7.0</v>
      </c>
      <c r="J12" s="163">
        <v>2.167</v>
      </c>
      <c r="L12" s="164" t="s">
        <v>1869</v>
      </c>
      <c r="M12" s="164" t="s">
        <v>1870</v>
      </c>
      <c r="N12" s="164" t="s">
        <v>1871</v>
      </c>
      <c r="O12" s="164" t="s">
        <v>1872</v>
      </c>
      <c r="P12" s="164" t="s">
        <v>1873</v>
      </c>
      <c r="Q12" s="164" t="s">
        <v>1874</v>
      </c>
      <c r="R12" s="164" t="s">
        <v>1868</v>
      </c>
      <c r="AD12" s="170">
        <v>4.0</v>
      </c>
      <c r="AE12" s="170">
        <v>0.067</v>
      </c>
      <c r="AF12" s="170"/>
      <c r="AG12" s="170"/>
      <c r="AH12" s="170"/>
      <c r="AI12" s="170"/>
      <c r="AJ12" s="170"/>
      <c r="AK12" s="170"/>
      <c r="AL12" s="170"/>
      <c r="AM12" s="170"/>
      <c r="AN12" s="171"/>
      <c r="AO12" s="170"/>
      <c r="AP12" s="170"/>
    </row>
    <row r="13" spans="8:8" ht="15.3">
      <c r="B13" s="157" t="s">
        <v>3940</v>
      </c>
      <c r="C13" s="157" t="s">
        <v>3941</v>
      </c>
      <c r="D13" s="157" t="s">
        <v>3942</v>
      </c>
      <c r="E13" s="157">
        <v>97.867</v>
      </c>
      <c r="F13" s="159" t="s">
        <v>3943</v>
      </c>
      <c r="G13" s="156"/>
      <c r="I13" s="163">
        <v>8.0</v>
      </c>
      <c r="J13" s="168">
        <v>2.2</v>
      </c>
      <c r="AD13" s="170">
        <v>5.0</v>
      </c>
      <c r="AE13" s="170">
        <v>0.083</v>
      </c>
      <c r="AF13" s="170"/>
      <c r="AG13" s="170"/>
      <c r="AH13" s="170"/>
      <c r="AI13" s="170"/>
      <c r="AJ13" s="170"/>
      <c r="AK13" s="170"/>
      <c r="AL13" s="170"/>
      <c r="AM13" s="170"/>
      <c r="AN13" s="171"/>
      <c r="AO13" s="170"/>
      <c r="AP13" s="170"/>
    </row>
    <row r="14" spans="8:8" ht="30.0" customHeight="1">
      <c r="B14" s="157" t="s">
        <v>3944</v>
      </c>
      <c r="C14" s="157" t="s">
        <v>3945</v>
      </c>
      <c r="D14" s="157" t="s">
        <v>3946</v>
      </c>
      <c r="E14" s="158">
        <v>96.717</v>
      </c>
      <c r="F14" s="159" t="s">
        <v>3947</v>
      </c>
      <c r="G14" s="156"/>
      <c r="I14" s="163">
        <v>9.0</v>
      </c>
      <c r="J14" s="163">
        <v>2.233</v>
      </c>
      <c r="L14" s="172" t="s">
        <v>5516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AD14" s="170">
        <v>6.0</v>
      </c>
      <c r="AE14" s="173">
        <v>0.09</v>
      </c>
      <c r="AF14" s="170"/>
      <c r="AG14" s="170"/>
      <c r="AH14" s="170"/>
      <c r="AI14" s="170"/>
      <c r="AJ14" s="170"/>
      <c r="AK14" s="170"/>
      <c r="AL14" s="170"/>
      <c r="AM14" s="170"/>
      <c r="AN14" s="171"/>
      <c r="AO14" s="170"/>
      <c r="AP14" s="170"/>
    </row>
    <row r="15" spans="8:8" ht="15.3">
      <c r="B15" s="157" t="s">
        <v>3948</v>
      </c>
      <c r="C15" s="157" t="s">
        <v>3949</v>
      </c>
      <c r="D15" s="157" t="s">
        <v>3950</v>
      </c>
      <c r="E15" s="158">
        <v>97.0</v>
      </c>
      <c r="F15" s="159" t="s">
        <v>3951</v>
      </c>
      <c r="G15" s="156"/>
      <c r="I15" s="163">
        <v>10.0</v>
      </c>
      <c r="J15" s="163">
        <v>2.267</v>
      </c>
      <c r="L15" s="164" t="s">
        <v>2007</v>
      </c>
      <c r="M15" s="164" t="s">
        <v>81</v>
      </c>
      <c r="N15" s="164">
        <v>31.0</v>
      </c>
      <c r="O15" s="164">
        <v>1.0</v>
      </c>
      <c r="P15" s="164">
        <v>1.0</v>
      </c>
      <c r="Q15" s="165" t="s">
        <v>1873</v>
      </c>
      <c r="R15" s="165" t="s">
        <v>1972</v>
      </c>
      <c r="S15" s="164" t="s">
        <v>2007</v>
      </c>
      <c r="T15" s="174" t="s">
        <v>65</v>
      </c>
      <c r="U15" s="164">
        <v>31.0</v>
      </c>
      <c r="V15" s="164">
        <v>4.0</v>
      </c>
      <c r="W15" s="164">
        <v>4.0</v>
      </c>
      <c r="X15" s="165" t="str">
        <f>VLOOKUP(Q15,L6:R13,4)</f>
        <v>minggu</v>
      </c>
      <c r="Y15" s="165" t="str">
        <f>VLOOKUP(R15,T6:X59,4)</f>
        <v>Legi</v>
      </c>
      <c r="AD15" s="170">
        <v>7.0</v>
      </c>
      <c r="AE15" s="170">
        <v>0.097</v>
      </c>
      <c r="AF15" s="170"/>
      <c r="AG15" s="170"/>
      <c r="AH15" s="170"/>
      <c r="AI15" s="170"/>
      <c r="AJ15" s="170"/>
      <c r="AK15" s="170"/>
      <c r="AL15" s="170"/>
      <c r="AM15" s="170"/>
      <c r="AN15" s="171"/>
      <c r="AO15" s="170"/>
      <c r="AP15" s="170"/>
    </row>
    <row r="16" spans="8:8" ht="15.3">
      <c r="B16" s="157" t="s">
        <v>3952</v>
      </c>
      <c r="C16" s="157" t="s">
        <v>3953</v>
      </c>
      <c r="D16" s="157" t="s">
        <v>3954</v>
      </c>
      <c r="E16" s="158">
        <v>97.35</v>
      </c>
      <c r="F16" s="159" t="s">
        <v>3955</v>
      </c>
      <c r="G16" s="156"/>
      <c r="I16" s="163">
        <v>11.0</v>
      </c>
      <c r="J16" s="168">
        <v>2.3</v>
      </c>
      <c r="L16" s="164" t="s">
        <v>1974</v>
      </c>
      <c r="M16" s="164" t="s">
        <v>81</v>
      </c>
      <c r="N16" s="164">
        <v>31.0</v>
      </c>
      <c r="O16" s="164">
        <v>1.0</v>
      </c>
      <c r="P16" s="164">
        <v>1.0</v>
      </c>
      <c r="Q16" s="165" t="str">
        <f>VLOOKUP(Q15,L6:R12,1)</f>
        <v>Kamis</v>
      </c>
      <c r="R16" s="165" t="str">
        <f>VLOOKUP(R15,N37:R41,1)</f>
        <v>Pon</v>
      </c>
      <c r="S16" s="164" t="s">
        <v>1974</v>
      </c>
      <c r="T16" s="174" t="s">
        <v>65</v>
      </c>
      <c r="U16" s="164">
        <v>31.0</v>
      </c>
      <c r="V16" s="164">
        <v>3.0</v>
      </c>
      <c r="W16" s="164">
        <v>3.0</v>
      </c>
      <c r="X16" s="165" t="str">
        <f>VLOOKUP(Q15,L6:R12,3)</f>
        <v>Sabtu</v>
      </c>
      <c r="Y16" s="165" t="str">
        <f>VLOOKUP(R15,T6:X58,3)</f>
        <v>Kliwon</v>
      </c>
      <c r="AD16" s="170">
        <v>8.0</v>
      </c>
      <c r="AE16" s="170">
        <v>0.104</v>
      </c>
      <c r="AF16" s="170"/>
      <c r="AG16" s="170"/>
      <c r="AH16" s="170"/>
      <c r="AI16" s="170"/>
      <c r="AJ16" s="170"/>
      <c r="AK16" s="170"/>
      <c r="AL16" s="170"/>
      <c r="AM16" s="170"/>
      <c r="AN16" s="171"/>
      <c r="AO16" s="170"/>
      <c r="AP16" s="170"/>
    </row>
    <row r="17" spans="8:8" ht="15.3">
      <c r="B17" s="157" t="s">
        <v>3956</v>
      </c>
      <c r="C17" s="157" t="s">
        <v>3957</v>
      </c>
      <c r="D17" s="157" t="s">
        <v>3958</v>
      </c>
      <c r="E17" s="157">
        <v>95.633</v>
      </c>
      <c r="F17" s="159" t="s">
        <v>3959</v>
      </c>
      <c r="G17" s="156"/>
      <c r="I17" s="163">
        <v>12.0</v>
      </c>
      <c r="J17" s="163">
        <v>2.317</v>
      </c>
      <c r="L17" s="164"/>
      <c r="M17" s="164"/>
      <c r="N17" s="164"/>
      <c r="O17" s="164"/>
      <c r="P17" s="164"/>
      <c r="Q17" s="175"/>
      <c r="R17" s="175"/>
      <c r="S17" s="164"/>
      <c r="T17" s="164"/>
      <c r="U17" s="164"/>
      <c r="V17" s="164"/>
      <c r="W17" s="164"/>
      <c r="X17" s="175"/>
      <c r="Y17" s="175"/>
      <c r="AD17" s="170">
        <v>9.0</v>
      </c>
      <c r="AE17" s="170">
        <v>0.111</v>
      </c>
      <c r="AF17" s="170"/>
      <c r="AG17" s="170"/>
      <c r="AH17" s="170"/>
      <c r="AI17" s="170"/>
      <c r="AJ17" s="170"/>
      <c r="AK17" s="170"/>
      <c r="AL17" s="170"/>
      <c r="AM17" s="170"/>
      <c r="AN17" s="171"/>
      <c r="AO17" s="170"/>
      <c r="AP17" s="170"/>
    </row>
    <row r="18" spans="8:8" ht="15.3">
      <c r="B18" s="157" t="s">
        <v>3960</v>
      </c>
      <c r="C18" s="157" t="s">
        <v>3961</v>
      </c>
      <c r="D18" s="157" t="s">
        <v>3962</v>
      </c>
      <c r="E18" s="157">
        <v>96.483</v>
      </c>
      <c r="F18" s="159" t="s">
        <v>3963</v>
      </c>
      <c r="G18" s="156"/>
      <c r="I18" s="163">
        <v>13.0</v>
      </c>
      <c r="J18" s="168">
        <v>2.35</v>
      </c>
      <c r="L18" s="164" t="s">
        <v>2007</v>
      </c>
      <c r="M18" s="164" t="s">
        <v>2008</v>
      </c>
      <c r="N18" s="164">
        <v>29.0</v>
      </c>
      <c r="O18" s="164">
        <v>4.0</v>
      </c>
      <c r="P18" s="164">
        <v>2.0</v>
      </c>
      <c r="Q18" s="165" t="str">
        <f>VLOOKUP(Q15,L6:R13,4)</f>
        <v>minggu</v>
      </c>
      <c r="R18" s="165" t="str">
        <f>VLOOKUP(R15,N37:R41,2)</f>
        <v>Wage</v>
      </c>
      <c r="S18" s="164" t="s">
        <v>2007</v>
      </c>
      <c r="T18" s="174" t="s">
        <v>68</v>
      </c>
      <c r="U18" s="164">
        <v>30.0</v>
      </c>
      <c r="V18" s="164">
        <v>7.0</v>
      </c>
      <c r="W18" s="164">
        <v>5.0</v>
      </c>
      <c r="X18" s="165" t="str">
        <f>VLOOKUP(Q15,L6:R12,7)</f>
        <v>Rabu</v>
      </c>
      <c r="Y18" s="165" t="str">
        <f>VLOOKUP(R15,T6:X10,5)</f>
        <v>Pahing</v>
      </c>
      <c r="AD18" s="170">
        <v>10.0</v>
      </c>
      <c r="AE18" s="170">
        <v>0.118</v>
      </c>
      <c r="AF18" s="170"/>
      <c r="AG18" s="170"/>
      <c r="AH18" s="170"/>
      <c r="AI18" s="170"/>
      <c r="AJ18" s="170"/>
      <c r="AK18" s="170"/>
      <c r="AL18" s="170"/>
      <c r="AM18" s="170"/>
      <c r="AN18" s="171"/>
      <c r="AO18" s="170"/>
      <c r="AP18" s="170"/>
    </row>
    <row r="19" spans="8:8" ht="15.3">
      <c r="B19" s="157" t="s">
        <v>3964</v>
      </c>
      <c r="C19" s="157" t="s">
        <v>3965</v>
      </c>
      <c r="D19" s="157" t="s">
        <v>3966</v>
      </c>
      <c r="E19" s="158">
        <v>98.0</v>
      </c>
      <c r="F19" s="159" t="s">
        <v>3967</v>
      </c>
      <c r="G19" s="156"/>
      <c r="I19" s="163">
        <v>14.0</v>
      </c>
      <c r="J19" s="163">
        <v>2.383</v>
      </c>
      <c r="L19" s="164" t="s">
        <v>1974</v>
      </c>
      <c r="M19" s="164" t="s">
        <v>2008</v>
      </c>
      <c r="N19" s="164">
        <v>28.0</v>
      </c>
      <c r="O19" s="164">
        <v>4.0</v>
      </c>
      <c r="P19" s="164">
        <v>2.0</v>
      </c>
      <c r="Q19" s="165" t="str">
        <f>VLOOKUP(Q15,L6:R12,4)</f>
        <v>minggu</v>
      </c>
      <c r="R19" s="165" t="str">
        <f>VLOOKUP(R15,N37:R41,2)</f>
        <v>Wage</v>
      </c>
      <c r="S19" s="164" t="s">
        <v>1974</v>
      </c>
      <c r="T19" s="174" t="s">
        <v>68</v>
      </c>
      <c r="U19" s="164">
        <v>30.0</v>
      </c>
      <c r="V19" s="164">
        <v>6.0</v>
      </c>
      <c r="W19" s="164">
        <v>4.0</v>
      </c>
      <c r="X19" s="165" t="str">
        <f>VLOOKUP(Q15,L6:R12,6)</f>
        <v>Selasa</v>
      </c>
      <c r="Y19" s="165" t="str">
        <f>VLOOKUP(R15,T6:X11,4)</f>
        <v>Legi</v>
      </c>
      <c r="AD19" s="170">
        <v>11.0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1"/>
      <c r="AO19" s="170"/>
      <c r="AP19" s="170"/>
    </row>
    <row r="20" spans="8:8" ht="15.3">
      <c r="B20" s="157" t="s">
        <v>3968</v>
      </c>
      <c r="C20" s="157" t="s">
        <v>3969</v>
      </c>
      <c r="D20" s="157" t="s">
        <v>3970</v>
      </c>
      <c r="E20" s="158">
        <v>96.95</v>
      </c>
      <c r="F20" s="159" t="s">
        <v>3971</v>
      </c>
      <c r="G20" s="156"/>
      <c r="I20" s="163">
        <v>15.0</v>
      </c>
      <c r="J20" s="163">
        <v>2.417</v>
      </c>
      <c r="L20" s="164"/>
      <c r="M20" s="164"/>
      <c r="N20" s="164"/>
      <c r="O20" s="164"/>
      <c r="P20" s="164"/>
      <c r="Q20" s="175"/>
      <c r="R20" s="175"/>
      <c r="S20" s="164"/>
      <c r="T20" s="164"/>
      <c r="U20" s="164"/>
      <c r="V20" s="164"/>
      <c r="W20" s="164"/>
      <c r="X20" s="175"/>
      <c r="Y20" s="175"/>
      <c r="AD20" s="170">
        <v>12.0</v>
      </c>
      <c r="AE20" s="170"/>
      <c r="AF20" s="170"/>
      <c r="AG20" s="170"/>
      <c r="AH20" s="170"/>
      <c r="AI20" s="170"/>
      <c r="AJ20" s="170"/>
      <c r="AK20" s="170"/>
      <c r="AL20" s="170"/>
      <c r="AM20" s="170"/>
      <c r="AN20" s="171"/>
      <c r="AO20" s="170"/>
      <c r="AP20" s="170"/>
    </row>
    <row r="21" spans="8:8" ht="15.3">
      <c r="B21" s="157" t="s">
        <v>3972</v>
      </c>
      <c r="C21" s="157" t="s">
        <v>3973</v>
      </c>
      <c r="D21" s="157" t="s">
        <v>3974</v>
      </c>
      <c r="E21" s="157">
        <v>96.183</v>
      </c>
      <c r="F21" s="159" t="s">
        <v>3975</v>
      </c>
      <c r="G21" s="156"/>
      <c r="I21" s="163">
        <v>16.0</v>
      </c>
      <c r="J21" s="168">
        <v>2.45</v>
      </c>
      <c r="L21" s="164" t="s">
        <v>2007</v>
      </c>
      <c r="M21" s="164" t="s">
        <v>87</v>
      </c>
      <c r="N21" s="164">
        <v>31.0</v>
      </c>
      <c r="O21" s="164">
        <v>5.0</v>
      </c>
      <c r="P21" s="164">
        <v>1.0</v>
      </c>
      <c r="Q21" s="165" t="str">
        <f>VLOOKUP(Q15,L6:R12,5)</f>
        <v>Senin</v>
      </c>
      <c r="R21" s="165" t="str">
        <f>VLOOKUP(R15,N37:R41,1)</f>
        <v>Pon</v>
      </c>
      <c r="S21" s="164" t="s">
        <v>2007</v>
      </c>
      <c r="T21" s="174" t="s">
        <v>71</v>
      </c>
      <c r="U21" s="164">
        <v>31.0</v>
      </c>
      <c r="V21" s="164">
        <v>2.0</v>
      </c>
      <c r="W21" s="164">
        <v>5.0</v>
      </c>
      <c r="X21" s="165" t="str">
        <f>VLOOKUP(Q15,L6:R12,2)</f>
        <v>Jumat</v>
      </c>
      <c r="Y21" s="165" t="str">
        <f>VLOOKUP(R15,T6:X10,5)</f>
        <v>Pahing</v>
      </c>
      <c r="AD21" s="170">
        <v>13.0</v>
      </c>
      <c r="AE21" s="170"/>
      <c r="AF21" s="170"/>
      <c r="AG21" s="170"/>
      <c r="AH21" s="170"/>
      <c r="AI21" s="170"/>
      <c r="AJ21" s="170"/>
      <c r="AK21" s="170"/>
      <c r="AL21" s="170"/>
      <c r="AM21" s="170"/>
      <c r="AN21" s="171"/>
      <c r="AO21" s="170"/>
      <c r="AP21" s="170"/>
    </row>
    <row r="22" spans="8:8" ht="15.3">
      <c r="B22" s="157" t="s">
        <v>3976</v>
      </c>
      <c r="C22" s="157" t="s">
        <v>3977</v>
      </c>
      <c r="D22" s="157" t="s">
        <v>3978</v>
      </c>
      <c r="E22" s="158">
        <v>98.7</v>
      </c>
      <c r="F22" s="159" t="s">
        <v>3979</v>
      </c>
      <c r="G22" s="156"/>
      <c r="I22" s="163">
        <v>17.0</v>
      </c>
      <c r="J22" s="163">
        <v>2.483</v>
      </c>
      <c r="L22" s="164" t="s">
        <v>1974</v>
      </c>
      <c r="M22" s="164" t="s">
        <v>87</v>
      </c>
      <c r="N22" s="164">
        <v>31.0</v>
      </c>
      <c r="O22" s="164">
        <v>4.0</v>
      </c>
      <c r="P22" s="164">
        <v>5.0</v>
      </c>
      <c r="Q22" s="165" t="str">
        <f>VLOOKUP(Q15,L6:R12,4)</f>
        <v>minggu</v>
      </c>
      <c r="R22" s="165" t="str">
        <f>VLOOKUP(R15,N37:R41,5)</f>
        <v>Pahing</v>
      </c>
      <c r="S22" s="164" t="s">
        <v>1974</v>
      </c>
      <c r="T22" s="174" t="s">
        <v>71</v>
      </c>
      <c r="U22" s="164">
        <v>31.0</v>
      </c>
      <c r="V22" s="164">
        <v>1.0</v>
      </c>
      <c r="W22" s="164">
        <v>4.0</v>
      </c>
      <c r="X22" s="165" t="str">
        <f>VLOOKUP(Q15,L6:R13,1)</f>
        <v>Kamis</v>
      </c>
      <c r="Y22" s="165" t="str">
        <f>VLOOKUP(R15,T6:X11,4)</f>
        <v>Legi</v>
      </c>
      <c r="AD22" s="170">
        <v>14.0</v>
      </c>
      <c r="AE22" s="170"/>
      <c r="AF22" s="170"/>
      <c r="AG22" s="170"/>
      <c r="AH22" s="170"/>
      <c r="AI22" s="170"/>
      <c r="AJ22" s="170"/>
      <c r="AK22" s="170"/>
      <c r="AL22" s="170"/>
      <c r="AM22" s="170"/>
      <c r="AN22" s="171"/>
      <c r="AO22" s="170"/>
      <c r="AP22" s="170"/>
    </row>
    <row r="23" spans="8:8" ht="15.3">
      <c r="B23" s="157" t="s">
        <v>3980</v>
      </c>
      <c r="C23" s="157" t="s">
        <v>3981</v>
      </c>
      <c r="D23" s="157" t="s">
        <v>3982</v>
      </c>
      <c r="E23" s="158">
        <v>99.1</v>
      </c>
      <c r="F23" s="159" t="s">
        <v>3983</v>
      </c>
      <c r="G23" s="156"/>
      <c r="I23" s="176"/>
      <c r="J23" s="176"/>
      <c r="L23" s="164"/>
      <c r="M23" s="164"/>
      <c r="N23" s="164"/>
      <c r="O23" s="164"/>
      <c r="P23" s="164"/>
      <c r="Q23" s="175"/>
      <c r="R23" s="175"/>
      <c r="S23" s="164"/>
      <c r="T23" s="164"/>
      <c r="U23" s="164"/>
      <c r="V23" s="164"/>
      <c r="W23" s="164"/>
      <c r="X23" s="175"/>
      <c r="Y23" s="175"/>
      <c r="AD23" s="170">
        <v>15.0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1"/>
      <c r="AO23" s="170"/>
      <c r="AP23" s="170"/>
    </row>
    <row r="24" spans="8:8" ht="15.3">
      <c r="B24" s="157" t="s">
        <v>3984</v>
      </c>
      <c r="C24" s="157" t="s">
        <v>3985</v>
      </c>
      <c r="D24" s="157" t="s">
        <v>3986</v>
      </c>
      <c r="E24" s="157">
        <v>99.267</v>
      </c>
      <c r="F24" s="159" t="s">
        <v>3987</v>
      </c>
      <c r="G24" s="156"/>
      <c r="I24" s="163">
        <v>22.0</v>
      </c>
      <c r="J24" s="168">
        <v>2.65</v>
      </c>
      <c r="L24" s="164" t="s">
        <v>2007</v>
      </c>
      <c r="M24" s="164" t="s">
        <v>52</v>
      </c>
      <c r="N24" s="164">
        <v>30.0</v>
      </c>
      <c r="O24" s="164">
        <v>1.0</v>
      </c>
      <c r="P24" s="164">
        <v>2.0</v>
      </c>
      <c r="Q24" s="165" t="str">
        <f>VLOOKUP(Q15,L6:R13,1)</f>
        <v>Kamis</v>
      </c>
      <c r="R24" s="165" t="str">
        <f>VLOOKUP(R15,N37:R41,2)</f>
        <v>Wage</v>
      </c>
      <c r="S24" s="164" t="s">
        <v>2007</v>
      </c>
      <c r="T24" s="174" t="s">
        <v>2009</v>
      </c>
      <c r="U24" s="164">
        <v>30.0</v>
      </c>
      <c r="V24" s="164">
        <v>5.0</v>
      </c>
      <c r="W24" s="164">
        <v>1.0</v>
      </c>
      <c r="X24" s="165" t="str">
        <f>VLOOKUP(Q15,L6:R12,5)</f>
        <v>Senin</v>
      </c>
      <c r="Y24" s="165" t="str">
        <f>VLOOKUP(R15,T6:X10,1)</f>
        <v>Pon</v>
      </c>
      <c r="AD24" s="170">
        <v>16.0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1"/>
      <c r="AO24" s="170"/>
      <c r="AP24" s="170"/>
    </row>
    <row r="25" spans="8:8" ht="15.3">
      <c r="B25" s="157" t="s">
        <v>3988</v>
      </c>
      <c r="C25" s="157" t="s">
        <v>3989</v>
      </c>
      <c r="D25" s="157" t="s">
        <v>3990</v>
      </c>
      <c r="E25" s="157">
        <v>97.517</v>
      </c>
      <c r="F25" s="159" t="s">
        <v>3991</v>
      </c>
      <c r="G25" s="156"/>
      <c r="I25" s="176"/>
      <c r="J25" s="177"/>
      <c r="L25" s="164" t="s">
        <v>1974</v>
      </c>
      <c r="M25" s="164" t="s">
        <v>52</v>
      </c>
      <c r="N25" s="164">
        <v>30.0</v>
      </c>
      <c r="O25" s="164">
        <v>7.0</v>
      </c>
      <c r="P25" s="164">
        <v>1.0</v>
      </c>
      <c r="Q25" s="165" t="str">
        <f>VLOOKUP(Q15,L6:R12,7)</f>
        <v>Rabu</v>
      </c>
      <c r="R25" s="165" t="str">
        <f>VLOOKUP(R15,N37:R41,1)</f>
        <v>Pon</v>
      </c>
      <c r="S25" s="164" t="s">
        <v>1974</v>
      </c>
      <c r="T25" s="174" t="s">
        <v>2009</v>
      </c>
      <c r="U25" s="164">
        <v>30.0</v>
      </c>
      <c r="V25" s="164">
        <v>4.0</v>
      </c>
      <c r="W25" s="164">
        <v>5.0</v>
      </c>
      <c r="X25" s="165" t="str">
        <f>VLOOKUP(Q15,L6:R12,4)</f>
        <v>minggu</v>
      </c>
      <c r="Y25" s="165" t="str">
        <f>VLOOKUP(R15,T6:X10,5)</f>
        <v>Pahing</v>
      </c>
      <c r="AD25" s="170">
        <v>17.0</v>
      </c>
      <c r="AE25" s="170"/>
      <c r="AF25" s="170"/>
      <c r="AG25" s="170"/>
      <c r="AH25" s="170"/>
      <c r="AI25" s="170"/>
      <c r="AJ25" s="170"/>
      <c r="AK25" s="170"/>
      <c r="AL25" s="170"/>
      <c r="AM25" s="170"/>
      <c r="AN25" s="171"/>
      <c r="AO25" s="170"/>
      <c r="AP25" s="170"/>
    </row>
    <row r="26" spans="8:8" ht="15.3">
      <c r="B26" s="157" t="s">
        <v>3992</v>
      </c>
      <c r="C26" s="157" t="s">
        <v>3993</v>
      </c>
      <c r="D26" s="157" t="s">
        <v>3994</v>
      </c>
      <c r="E26" s="158">
        <v>98.3</v>
      </c>
      <c r="F26" s="159" t="s">
        <v>3995</v>
      </c>
      <c r="G26" s="156"/>
      <c r="I26" s="163">
        <v>18.0</v>
      </c>
      <c r="J26" s="163">
        <v>2.517</v>
      </c>
      <c r="L26" s="164"/>
      <c r="M26" s="164"/>
      <c r="N26" s="164"/>
      <c r="O26" s="164"/>
      <c r="P26" s="164"/>
      <c r="Q26" s="175"/>
      <c r="R26" s="175"/>
      <c r="S26" s="164"/>
      <c r="T26" s="164"/>
      <c r="U26" s="164"/>
      <c r="V26" s="164"/>
      <c r="W26" s="164"/>
      <c r="X26" s="175"/>
      <c r="Y26" s="175"/>
      <c r="AD26" s="170">
        <v>18.0</v>
      </c>
      <c r="AE26" s="170"/>
      <c r="AF26" s="170"/>
      <c r="AG26" s="170"/>
      <c r="AH26" s="170"/>
      <c r="AI26" s="170"/>
      <c r="AJ26" s="170"/>
      <c r="AK26" s="170"/>
      <c r="AL26" s="170"/>
      <c r="AM26" s="170"/>
      <c r="AN26" s="171"/>
      <c r="AO26" s="170"/>
      <c r="AP26" s="170"/>
    </row>
    <row r="27" spans="8:8" ht="15.3">
      <c r="B27" s="157" t="s">
        <v>3996</v>
      </c>
      <c r="C27" s="157" t="s">
        <v>3997</v>
      </c>
      <c r="D27" s="157" t="s">
        <v>3998</v>
      </c>
      <c r="E27" s="158">
        <v>98.5</v>
      </c>
      <c r="F27" s="159" t="s">
        <v>3999</v>
      </c>
      <c r="G27" s="156"/>
      <c r="I27" s="163">
        <v>19.0</v>
      </c>
      <c r="J27" s="168">
        <v>2.55</v>
      </c>
      <c r="L27" s="164" t="s">
        <v>2007</v>
      </c>
      <c r="M27" s="164" t="s">
        <v>56</v>
      </c>
      <c r="N27" s="164">
        <v>31.0</v>
      </c>
      <c r="O27" s="164">
        <v>3.0</v>
      </c>
      <c r="P27" s="164">
        <v>2.0</v>
      </c>
      <c r="Q27" s="165" t="str">
        <f>VLOOKUP(Q15,L6:R12,3)</f>
        <v>Sabtu</v>
      </c>
      <c r="R27" s="165" t="str">
        <f>VLOOKUP(R15,N37:R41,2)</f>
        <v>Wage</v>
      </c>
      <c r="S27" s="164" t="s">
        <v>2007</v>
      </c>
      <c r="T27" s="174" t="s">
        <v>78</v>
      </c>
      <c r="U27" s="164">
        <v>31.0</v>
      </c>
      <c r="V27" s="164">
        <v>7.0</v>
      </c>
      <c r="W27" s="164">
        <v>1.0</v>
      </c>
      <c r="X27" s="165" t="str">
        <f>VLOOKUP(Q15,L6:R13,7)</f>
        <v>Rabu</v>
      </c>
      <c r="Y27" s="165" t="str">
        <f>VLOOKUP(R15,T6:X10,1)</f>
        <v>Pon</v>
      </c>
      <c r="AD27" s="170">
        <v>19.0</v>
      </c>
      <c r="AE27" s="170"/>
      <c r="AF27" s="170"/>
      <c r="AG27" s="170"/>
      <c r="AH27" s="170"/>
      <c r="AI27" s="170"/>
      <c r="AJ27" s="170"/>
      <c r="AK27" s="170"/>
      <c r="AL27" s="170"/>
      <c r="AM27" s="170"/>
      <c r="AN27" s="171"/>
      <c r="AO27" s="170"/>
      <c r="AP27" s="170"/>
    </row>
    <row r="28" spans="8:8" ht="15.3">
      <c r="B28" s="157" t="s">
        <v>4000</v>
      </c>
      <c r="C28" s="157" t="s">
        <v>4001</v>
      </c>
      <c r="D28" s="157" t="s">
        <v>4002</v>
      </c>
      <c r="E28" s="158">
        <v>98.7</v>
      </c>
      <c r="F28" s="159" t="s">
        <v>4003</v>
      </c>
      <c r="G28" s="156"/>
      <c r="I28" s="163">
        <v>20.0</v>
      </c>
      <c r="J28" s="163">
        <v>2.583</v>
      </c>
      <c r="L28" s="164" t="s">
        <v>1974</v>
      </c>
      <c r="M28" s="164" t="s">
        <v>56</v>
      </c>
      <c r="N28" s="164">
        <v>31.0</v>
      </c>
      <c r="O28" s="164">
        <v>2.0</v>
      </c>
      <c r="P28" s="164">
        <v>1.0</v>
      </c>
      <c r="Q28" s="165" t="str">
        <f>VLOOKUP(Q15,L6:R12,2)</f>
        <v>Jumat</v>
      </c>
      <c r="R28" s="165" t="str">
        <f>VLOOKUP(R15,N37:R41,1)</f>
        <v>Pon</v>
      </c>
      <c r="S28" s="164" t="s">
        <v>1974</v>
      </c>
      <c r="T28" s="174" t="s">
        <v>78</v>
      </c>
      <c r="U28" s="164">
        <v>31.0</v>
      </c>
      <c r="V28" s="164">
        <v>6.0</v>
      </c>
      <c r="W28" s="164">
        <v>5.0</v>
      </c>
      <c r="X28" s="165" t="str">
        <f>VLOOKUP(Q15,L6:R12,6)</f>
        <v>Selasa</v>
      </c>
      <c r="Y28" s="165" t="str">
        <f>VLOOKUP(R15,T6:X10,5)</f>
        <v>Pahing</v>
      </c>
      <c r="AD28" s="170">
        <v>20.0</v>
      </c>
      <c r="AE28" s="170"/>
      <c r="AF28" s="170"/>
      <c r="AG28" s="170"/>
      <c r="AH28" s="170"/>
      <c r="AI28" s="170"/>
      <c r="AJ28" s="170"/>
      <c r="AK28" s="170"/>
      <c r="AL28" s="170"/>
      <c r="AM28" s="170"/>
      <c r="AN28" s="171"/>
      <c r="AO28" s="170"/>
      <c r="AP28" s="170"/>
    </row>
    <row r="29" spans="8:8" ht="15.3">
      <c r="B29" s="157" t="s">
        <v>4004</v>
      </c>
      <c r="C29" s="157" t="s">
        <v>4005</v>
      </c>
      <c r="D29" s="157" t="s">
        <v>4006</v>
      </c>
      <c r="E29" s="157">
        <v>99.267</v>
      </c>
      <c r="F29" s="159" t="s">
        <v>4007</v>
      </c>
      <c r="G29" s="156"/>
      <c r="I29" s="163">
        <v>21.0</v>
      </c>
      <c r="J29" s="163">
        <v>2.617</v>
      </c>
      <c r="L29" s="164"/>
      <c r="M29" s="164"/>
      <c r="N29" s="164"/>
      <c r="O29" s="164"/>
      <c r="P29" s="164"/>
      <c r="Q29" s="175"/>
      <c r="R29" s="175"/>
      <c r="S29" s="175"/>
      <c r="T29" s="175"/>
      <c r="U29" s="175"/>
      <c r="V29" s="175"/>
      <c r="W29" s="175"/>
      <c r="X29" s="175"/>
      <c r="Y29" s="175"/>
      <c r="AD29" s="170">
        <v>21.0</v>
      </c>
      <c r="AE29" s="170"/>
      <c r="AF29" s="170"/>
      <c r="AG29" s="170"/>
      <c r="AH29" s="170"/>
      <c r="AI29" s="170"/>
      <c r="AJ29" s="170"/>
      <c r="AK29" s="170"/>
      <c r="AL29" s="170"/>
      <c r="AM29" s="170"/>
      <c r="AN29" s="171"/>
      <c r="AO29" s="170"/>
      <c r="AP29" s="170"/>
    </row>
    <row r="30" spans="8:8" ht="15.3">
      <c r="B30" s="157" t="s">
        <v>4008</v>
      </c>
      <c r="C30" s="157" t="s">
        <v>4009</v>
      </c>
      <c r="D30" s="157" t="s">
        <v>4010</v>
      </c>
      <c r="E30" s="157">
        <v>99.633</v>
      </c>
      <c r="F30" s="159" t="s">
        <v>4011</v>
      </c>
      <c r="G30" s="156"/>
      <c r="I30" s="163">
        <v>23.0</v>
      </c>
      <c r="J30" s="168">
        <v>2.667</v>
      </c>
      <c r="L30" s="164" t="s">
        <v>2007</v>
      </c>
      <c r="M30" s="164" t="s">
        <v>59</v>
      </c>
      <c r="N30" s="164">
        <v>30.0</v>
      </c>
      <c r="O30" s="164">
        <v>6.0</v>
      </c>
      <c r="P30" s="164">
        <v>3.0</v>
      </c>
      <c r="Q30" s="165" t="str">
        <f>VLOOKUP(Q15,L6:R12,6)</f>
        <v>Selasa</v>
      </c>
      <c r="R30" s="165" t="str">
        <f>VLOOKUP(R15,N37:R41,3)</f>
        <v>Kliwon</v>
      </c>
      <c r="S30" s="175"/>
      <c r="T30" s="175"/>
      <c r="U30" s="175"/>
      <c r="V30" s="175"/>
      <c r="W30" s="175"/>
      <c r="X30" s="175"/>
      <c r="Y30" s="175"/>
      <c r="AD30" s="170">
        <v>22.0</v>
      </c>
      <c r="AE30" s="170"/>
      <c r="AF30" s="170"/>
      <c r="AG30" s="170"/>
      <c r="AH30" s="170"/>
      <c r="AI30" s="170"/>
      <c r="AJ30" s="170"/>
      <c r="AK30" s="170"/>
      <c r="AL30" s="170"/>
      <c r="AM30" s="170"/>
      <c r="AN30" s="171"/>
      <c r="AO30" s="170"/>
      <c r="AP30" s="170"/>
    </row>
    <row r="31" spans="8:8" ht="15.3">
      <c r="B31" s="157" t="s">
        <v>4012</v>
      </c>
      <c r="C31" s="157" t="s">
        <v>4013</v>
      </c>
      <c r="D31" s="157" t="s">
        <v>4014</v>
      </c>
      <c r="E31" s="157">
        <v>100.167</v>
      </c>
      <c r="F31" s="159" t="s">
        <v>4015</v>
      </c>
      <c r="G31" s="156"/>
      <c r="I31" s="163">
        <v>24.0</v>
      </c>
      <c r="J31" s="168">
        <v>2.7</v>
      </c>
      <c r="L31" s="164" t="s">
        <v>1974</v>
      </c>
      <c r="M31" s="164" t="s">
        <v>59</v>
      </c>
      <c r="N31" s="164">
        <v>30.0</v>
      </c>
      <c r="O31" s="164">
        <v>5.0</v>
      </c>
      <c r="P31" s="164">
        <v>2.0</v>
      </c>
      <c r="Q31" s="165" t="str">
        <f>VLOOKUP(Q15,L6:R13,5)</f>
        <v>Senin</v>
      </c>
      <c r="R31" s="165" t="str">
        <f>VLOOKUP(R15,N37:R41,2)</f>
        <v>Wage</v>
      </c>
      <c r="S31" s="175"/>
      <c r="T31" s="175"/>
      <c r="U31" s="175"/>
      <c r="V31" s="175"/>
      <c r="W31" s="175"/>
      <c r="X31" s="175"/>
      <c r="Y31" s="175"/>
      <c r="AD31" s="170">
        <v>23.0</v>
      </c>
      <c r="AE31" s="170"/>
      <c r="AF31" s="170"/>
      <c r="AG31" s="170"/>
      <c r="AH31" s="170"/>
      <c r="AI31" s="170"/>
      <c r="AJ31" s="170"/>
      <c r="AK31" s="170"/>
      <c r="AL31" s="170"/>
      <c r="AM31" s="170"/>
      <c r="AN31" s="171"/>
      <c r="AO31" s="170"/>
      <c r="AP31" s="170"/>
    </row>
    <row r="32" spans="8:8" ht="15.3">
      <c r="B32" s="157" t="s">
        <v>4016</v>
      </c>
      <c r="C32" s="157" t="s">
        <v>4017</v>
      </c>
      <c r="D32" s="157" t="s">
        <v>4018</v>
      </c>
      <c r="E32" s="158">
        <v>98.25</v>
      </c>
      <c r="F32" s="159" t="s">
        <v>4019</v>
      </c>
      <c r="G32" s="156"/>
      <c r="I32" s="163">
        <v>25.0</v>
      </c>
      <c r="J32" s="163">
        <v>2.733</v>
      </c>
      <c r="L32" s="164"/>
      <c r="M32" s="164"/>
      <c r="N32" s="164"/>
      <c r="O32" s="164"/>
      <c r="P32" s="164"/>
      <c r="Q32" s="175"/>
      <c r="R32" s="175"/>
      <c r="S32" s="175"/>
      <c r="T32" s="175"/>
      <c r="U32" s="175"/>
      <c r="V32" s="175"/>
      <c r="W32" s="175"/>
      <c r="X32" s="175"/>
      <c r="Y32" s="175"/>
      <c r="AD32" s="170">
        <v>24.0</v>
      </c>
      <c r="AE32" s="170"/>
      <c r="AF32" s="170"/>
      <c r="AG32" s="170"/>
      <c r="AH32" s="170"/>
      <c r="AI32" s="170"/>
      <c r="AJ32" s="170"/>
      <c r="AK32" s="170"/>
      <c r="AL32" s="170"/>
      <c r="AM32" s="170"/>
      <c r="AN32" s="171"/>
      <c r="AO32" s="170"/>
      <c r="AP32" s="170"/>
    </row>
    <row r="33" spans="8:8" ht="15.3">
      <c r="B33" s="157" t="s">
        <v>4020</v>
      </c>
      <c r="C33" s="157" t="s">
        <v>4021</v>
      </c>
      <c r="D33" s="157" t="s">
        <v>4022</v>
      </c>
      <c r="E33" s="157">
        <v>99.267</v>
      </c>
      <c r="F33" s="159" t="s">
        <v>4023</v>
      </c>
      <c r="G33" s="156"/>
      <c r="I33" s="163">
        <v>26.0</v>
      </c>
      <c r="J33" s="163">
        <v>2.767</v>
      </c>
      <c r="L33" s="164" t="s">
        <v>2007</v>
      </c>
      <c r="M33" s="164" t="s">
        <v>62</v>
      </c>
      <c r="N33" s="164">
        <v>31.0</v>
      </c>
      <c r="O33" s="164">
        <v>1.0</v>
      </c>
      <c r="P33" s="164">
        <v>3.0</v>
      </c>
      <c r="Q33" s="165" t="str">
        <f>VLOOKUP(Q15,L6:R13,1)</f>
        <v>Kamis</v>
      </c>
      <c r="R33" s="165" t="str">
        <f>VLOOKUP(R15,N37:R41,3)</f>
        <v>Kliwon</v>
      </c>
      <c r="S33" s="175"/>
      <c r="T33" s="175"/>
      <c r="U33" s="175"/>
      <c r="V33" s="175"/>
      <c r="W33" s="175"/>
      <c r="X33" s="175"/>
      <c r="Y33" s="175"/>
      <c r="AD33" s="170">
        <v>25.0</v>
      </c>
      <c r="AE33" s="170"/>
      <c r="AF33" s="170"/>
      <c r="AG33" s="170"/>
      <c r="AH33" s="170"/>
      <c r="AI33" s="170"/>
      <c r="AJ33" s="170"/>
      <c r="AK33" s="170"/>
      <c r="AL33" s="170"/>
      <c r="AM33" s="170"/>
      <c r="AN33" s="171"/>
      <c r="AO33" s="170"/>
      <c r="AP33" s="170"/>
    </row>
    <row r="34" spans="8:8" ht="15.3">
      <c r="B34" s="157" t="s">
        <v>4024</v>
      </c>
      <c r="C34" s="157" t="s">
        <v>4025</v>
      </c>
      <c r="D34" s="157" t="s">
        <v>4026</v>
      </c>
      <c r="E34" s="157">
        <v>99.367</v>
      </c>
      <c r="F34" s="159" t="s">
        <v>4027</v>
      </c>
      <c r="G34" s="156"/>
      <c r="I34" s="163">
        <v>27.0</v>
      </c>
      <c r="J34" s="168">
        <v>2.8</v>
      </c>
      <c r="L34" s="164" t="s">
        <v>1974</v>
      </c>
      <c r="M34" s="164" t="s">
        <v>62</v>
      </c>
      <c r="N34" s="164">
        <v>31.0</v>
      </c>
      <c r="O34" s="164">
        <v>7.0</v>
      </c>
      <c r="P34" s="164">
        <v>2.0</v>
      </c>
      <c r="Q34" s="165" t="str">
        <f>VLOOKUP(Q15,L6:R12,7)</f>
        <v>Rabu</v>
      </c>
      <c r="R34" s="165" t="str">
        <f>VLOOKUP(R15,N37:R41,2)</f>
        <v>Wage</v>
      </c>
      <c r="S34" s="175"/>
      <c r="T34" s="175"/>
      <c r="U34" s="175"/>
      <c r="V34" s="175"/>
      <c r="W34" s="175"/>
      <c r="X34" s="175"/>
      <c r="Y34" s="175"/>
      <c r="AD34" s="170">
        <v>26.0</v>
      </c>
      <c r="AE34" s="170"/>
      <c r="AF34" s="170"/>
      <c r="AG34" s="170"/>
      <c r="AH34" s="170"/>
      <c r="AI34" s="170"/>
      <c r="AJ34" s="170"/>
      <c r="AK34" s="170"/>
      <c r="AL34" s="170"/>
      <c r="AM34" s="170"/>
      <c r="AN34" s="171"/>
      <c r="AO34" s="170"/>
      <c r="AP34" s="170"/>
    </row>
    <row r="35" spans="8:8" ht="20.0" customHeight="1">
      <c r="B35" s="157" t="s">
        <v>4028</v>
      </c>
      <c r="C35" s="157" t="s">
        <v>4029</v>
      </c>
      <c r="D35" s="157" t="s">
        <v>4030</v>
      </c>
      <c r="E35" s="157">
        <v>97.817</v>
      </c>
      <c r="F35" s="159" t="s">
        <v>4031</v>
      </c>
      <c r="G35" s="156"/>
      <c r="I35" s="163">
        <v>28.0</v>
      </c>
      <c r="J35" s="163">
        <v>2.833</v>
      </c>
      <c r="L35" s="172" t="s">
        <v>5518</v>
      </c>
      <c r="M35" s="172"/>
      <c r="N35" s="172"/>
      <c r="O35" s="172"/>
      <c r="P35" s="172"/>
      <c r="Q35" s="172"/>
      <c r="R35" s="172"/>
      <c r="S35" s="175"/>
      <c r="T35" s="175"/>
      <c r="U35" s="175"/>
      <c r="V35" s="175"/>
      <c r="W35" s="175"/>
      <c r="X35" s="175"/>
      <c r="Y35" s="175"/>
      <c r="AD35" s="170">
        <v>27.0</v>
      </c>
      <c r="AE35" s="170"/>
      <c r="AF35" s="170"/>
      <c r="AG35" s="170"/>
      <c r="AH35" s="170"/>
      <c r="AI35" s="170"/>
      <c r="AJ35" s="170"/>
      <c r="AK35" s="170"/>
      <c r="AL35" s="170"/>
      <c r="AM35" s="170"/>
      <c r="AN35" s="171"/>
      <c r="AO35" s="170"/>
      <c r="AP35" s="170"/>
    </row>
    <row r="36" spans="8:8" ht="15.3">
      <c r="B36" s="157" t="s">
        <v>4032</v>
      </c>
      <c r="C36" s="157" t="s">
        <v>4033</v>
      </c>
      <c r="D36" s="157" t="s">
        <v>4034</v>
      </c>
      <c r="E36" s="157">
        <v>98.217</v>
      </c>
      <c r="F36" s="159" t="s">
        <v>4035</v>
      </c>
      <c r="G36" s="156"/>
      <c r="I36" s="163">
        <v>29.0</v>
      </c>
      <c r="J36" s="168">
        <v>2.85</v>
      </c>
      <c r="L36" s="164">
        <v>0.0</v>
      </c>
      <c r="M36" s="165" t="s">
        <v>1868</v>
      </c>
      <c r="N36" s="165" t="s">
        <v>1979</v>
      </c>
      <c r="O36" s="16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AD36" s="170">
        <v>28.0</v>
      </c>
      <c r="AE36" s="170"/>
      <c r="AF36" s="170"/>
      <c r="AG36" s="170"/>
      <c r="AH36" s="170"/>
      <c r="AI36" s="170"/>
      <c r="AJ36" s="170"/>
      <c r="AK36" s="170"/>
      <c r="AL36" s="170"/>
      <c r="AM36" s="170"/>
      <c r="AN36" s="171"/>
      <c r="AO36" s="170"/>
      <c r="AP36" s="170"/>
    </row>
    <row r="37" spans="8:8" ht="15.3">
      <c r="B37" s="157" t="s">
        <v>4036</v>
      </c>
      <c r="C37" s="157" t="s">
        <v>4037</v>
      </c>
      <c r="D37" s="157" t="s">
        <v>4038</v>
      </c>
      <c r="E37" s="157">
        <v>98.567</v>
      </c>
      <c r="F37" s="159" t="s">
        <v>4039</v>
      </c>
      <c r="G37" s="156"/>
      <c r="I37" s="163">
        <v>30.0</v>
      </c>
      <c r="J37" s="163">
        <v>2.883</v>
      </c>
      <c r="L37" s="164">
        <v>1.0</v>
      </c>
      <c r="M37" s="165" t="s">
        <v>1869</v>
      </c>
      <c r="N37" s="165" t="s">
        <v>1980</v>
      </c>
      <c r="O37" s="165" t="s">
        <v>1981</v>
      </c>
      <c r="P37" s="165" t="s">
        <v>1972</v>
      </c>
      <c r="Q37" s="165" t="s">
        <v>1978</v>
      </c>
      <c r="R37" s="165" t="s">
        <v>1979</v>
      </c>
      <c r="S37" s="175"/>
      <c r="T37" s="175"/>
      <c r="U37" s="175"/>
      <c r="V37" s="175"/>
      <c r="W37" s="175"/>
      <c r="X37" s="175"/>
      <c r="Y37" s="175"/>
      <c r="AD37" s="170">
        <v>29.0</v>
      </c>
      <c r="AE37" s="170"/>
      <c r="AF37" s="170"/>
      <c r="AG37" s="170"/>
      <c r="AH37" s="170"/>
      <c r="AI37" s="170"/>
      <c r="AJ37" s="170"/>
      <c r="AK37" s="170"/>
      <c r="AL37" s="170"/>
      <c r="AM37" s="170"/>
      <c r="AN37" s="171"/>
      <c r="AO37" s="170"/>
      <c r="AP37" s="170"/>
    </row>
    <row r="38" spans="8:8" ht="15.3">
      <c r="B38" s="157" t="s">
        <v>4040</v>
      </c>
      <c r="C38" s="157" t="s">
        <v>4041</v>
      </c>
      <c r="D38" s="157" t="s">
        <v>4042</v>
      </c>
      <c r="E38" s="157">
        <v>98.783</v>
      </c>
      <c r="F38" s="159" t="s">
        <v>4043</v>
      </c>
      <c r="G38" s="156"/>
      <c r="I38" s="163">
        <v>31.0</v>
      </c>
      <c r="J38" s="163">
        <v>2.917</v>
      </c>
      <c r="L38" s="164">
        <v>2.0</v>
      </c>
      <c r="M38" s="165" t="s">
        <v>1870</v>
      </c>
      <c r="N38" s="165" t="s">
        <v>1981</v>
      </c>
      <c r="O38" s="165" t="s">
        <v>1972</v>
      </c>
      <c r="P38" s="165" t="s">
        <v>1978</v>
      </c>
      <c r="Q38" s="165" t="s">
        <v>1979</v>
      </c>
      <c r="R38" s="165" t="s">
        <v>1980</v>
      </c>
      <c r="S38" s="175"/>
      <c r="T38" s="175"/>
      <c r="U38" s="175"/>
      <c r="V38" s="175"/>
      <c r="W38" s="175"/>
      <c r="X38" s="175"/>
      <c r="Y38" s="175"/>
      <c r="AD38" s="170">
        <v>30.0</v>
      </c>
      <c r="AE38" s="170"/>
      <c r="AF38" s="170"/>
      <c r="AG38" s="170"/>
      <c r="AH38" s="170"/>
      <c r="AI38" s="170"/>
      <c r="AJ38" s="170"/>
      <c r="AK38" s="170"/>
      <c r="AL38" s="170"/>
      <c r="AM38" s="170"/>
      <c r="AN38" s="171"/>
      <c r="AO38" s="170"/>
      <c r="AP38" s="170"/>
    </row>
    <row r="39" spans="8:8" ht="15.3">
      <c r="B39" s="157" t="s">
        <v>4044</v>
      </c>
      <c r="C39" s="157" t="s">
        <v>4045</v>
      </c>
      <c r="D39" s="157" t="s">
        <v>4046</v>
      </c>
      <c r="E39" s="158">
        <v>99.05</v>
      </c>
      <c r="F39" s="159" t="s">
        <v>4047</v>
      </c>
      <c r="G39" s="156"/>
      <c r="I39" s="163">
        <v>32.0</v>
      </c>
      <c r="J39" s="168">
        <v>2.95</v>
      </c>
      <c r="L39" s="164">
        <v>3.0</v>
      </c>
      <c r="M39" s="165" t="s">
        <v>1871</v>
      </c>
      <c r="N39" s="165" t="s">
        <v>1972</v>
      </c>
      <c r="O39" s="165" t="s">
        <v>1978</v>
      </c>
      <c r="P39" s="165" t="s">
        <v>1979</v>
      </c>
      <c r="Q39" s="165" t="s">
        <v>1980</v>
      </c>
      <c r="R39" s="165" t="s">
        <v>1981</v>
      </c>
      <c r="S39" s="175"/>
      <c r="T39" s="175"/>
      <c r="U39" s="175"/>
      <c r="V39" s="165"/>
      <c r="W39" s="165"/>
      <c r="X39" s="175"/>
      <c r="Y39" s="175"/>
      <c r="AD39" s="170">
        <v>31.0</v>
      </c>
      <c r="AE39" s="170"/>
      <c r="AF39" s="170"/>
      <c r="AG39" s="170"/>
      <c r="AH39" s="170"/>
      <c r="AI39" s="170"/>
      <c r="AJ39" s="170"/>
      <c r="AK39" s="170"/>
      <c r="AL39" s="170"/>
      <c r="AM39" s="170"/>
      <c r="AN39" s="171"/>
      <c r="AO39" s="170"/>
      <c r="AP39" s="170"/>
    </row>
    <row r="40" spans="8:8" ht="15.3">
      <c r="B40" s="157" t="s">
        <v>4048</v>
      </c>
      <c r="C40" s="157" t="s">
        <v>4049</v>
      </c>
      <c r="D40" s="157" t="s">
        <v>4050</v>
      </c>
      <c r="E40" s="157">
        <v>99.633</v>
      </c>
      <c r="F40" s="159" t="s">
        <v>4051</v>
      </c>
      <c r="G40" s="156"/>
      <c r="I40" s="163">
        <v>33.0</v>
      </c>
      <c r="J40" s="163">
        <v>2.967</v>
      </c>
      <c r="L40" s="164">
        <v>4.0</v>
      </c>
      <c r="M40" s="165" t="s">
        <v>1872</v>
      </c>
      <c r="N40" s="165" t="s">
        <v>1978</v>
      </c>
      <c r="O40" s="165" t="s">
        <v>1979</v>
      </c>
      <c r="P40" s="165" t="s">
        <v>1980</v>
      </c>
      <c r="Q40" s="165" t="s">
        <v>1981</v>
      </c>
      <c r="R40" s="165" t="s">
        <v>1972</v>
      </c>
      <c r="S40" s="175"/>
      <c r="T40" s="175"/>
      <c r="U40" s="175"/>
      <c r="V40" s="175"/>
      <c r="W40" s="175"/>
      <c r="X40" s="175"/>
      <c r="Y40" s="175"/>
    </row>
    <row r="41" spans="8:8" ht="15.3">
      <c r="B41" s="157" t="s">
        <v>4052</v>
      </c>
      <c r="C41" s="157" t="s">
        <v>4053</v>
      </c>
      <c r="D41" s="157" t="s">
        <v>4054</v>
      </c>
      <c r="E41" s="157">
        <v>99.633</v>
      </c>
      <c r="F41" s="159" t="s">
        <v>4055</v>
      </c>
      <c r="G41" s="156"/>
      <c r="I41" s="163">
        <v>34.0</v>
      </c>
      <c r="J41" s="163">
        <v>2.983</v>
      </c>
      <c r="L41" s="164">
        <v>5.0</v>
      </c>
      <c r="M41" s="165" t="s">
        <v>1873</v>
      </c>
      <c r="N41" s="165" t="s">
        <v>1979</v>
      </c>
      <c r="O41" s="165" t="s">
        <v>1980</v>
      </c>
      <c r="P41" s="165" t="s">
        <v>1981</v>
      </c>
      <c r="Q41" s="165" t="s">
        <v>1972</v>
      </c>
      <c r="R41" s="165" t="s">
        <v>1978</v>
      </c>
      <c r="S41" s="175"/>
      <c r="T41" s="175"/>
      <c r="U41" s="175"/>
      <c r="V41" s="175"/>
      <c r="W41" s="175"/>
      <c r="X41" s="175"/>
      <c r="Y41" s="175"/>
    </row>
    <row r="42" spans="8:8" ht="19.95" customHeight="1">
      <c r="B42" s="157" t="s">
        <v>4056</v>
      </c>
      <c r="C42" s="157" t="s">
        <v>4057</v>
      </c>
      <c r="D42" s="157" t="s">
        <v>4058</v>
      </c>
      <c r="E42" s="178">
        <v>99.633</v>
      </c>
      <c r="F42" s="179" t="s">
        <v>5517</v>
      </c>
      <c r="G42" s="156"/>
      <c r="I42" s="163">
        <v>35.0</v>
      </c>
      <c r="J42" s="163">
        <v>3.017</v>
      </c>
      <c r="L42" s="164">
        <v>6.0</v>
      </c>
      <c r="M42" s="165" t="s">
        <v>1874</v>
      </c>
      <c r="N42" s="175"/>
      <c r="O42" s="175"/>
      <c r="P42" s="175"/>
      <c r="Q42" s="103" t="s">
        <v>5519</v>
      </c>
      <c r="R42" s="103"/>
      <c r="S42" s="103"/>
      <c r="T42" s="103"/>
      <c r="U42" s="103"/>
      <c r="V42" s="103"/>
      <c r="W42" s="103"/>
      <c r="X42" s="103"/>
      <c r="Y42" s="103"/>
    </row>
    <row r="43" spans="8:8" ht="15.3">
      <c r="B43" s="157" t="s">
        <v>4059</v>
      </c>
      <c r="C43" s="157" t="s">
        <v>4060</v>
      </c>
      <c r="D43" s="157" t="s">
        <v>4061</v>
      </c>
      <c r="E43" s="157">
        <v>100.167</v>
      </c>
      <c r="F43" s="159" t="s">
        <v>4062</v>
      </c>
      <c r="G43" s="156"/>
      <c r="I43" s="163">
        <v>36.0</v>
      </c>
      <c r="J43" s="168">
        <v>3.05</v>
      </c>
      <c r="L43" s="164">
        <v>7.0</v>
      </c>
      <c r="M43" s="165" t="s">
        <v>1868</v>
      </c>
      <c r="N43" s="175"/>
      <c r="O43" s="175"/>
      <c r="P43" s="175"/>
      <c r="Q43" s="175"/>
      <c r="R43" s="175"/>
      <c r="S43" s="175"/>
      <c r="T43" s="175" t="s">
        <v>2066</v>
      </c>
      <c r="U43" s="175" t="s">
        <v>2067</v>
      </c>
      <c r="V43" s="175"/>
      <c r="W43" s="175" t="s">
        <v>2067</v>
      </c>
      <c r="X43" s="175"/>
      <c r="Y43" s="175"/>
    </row>
    <row r="44" spans="8:8" ht="15.3">
      <c r="B44" s="157" t="s">
        <v>4063</v>
      </c>
      <c r="C44" s="157" t="s">
        <v>4064</v>
      </c>
      <c r="D44" s="157" t="s">
        <v>4065</v>
      </c>
      <c r="E44" s="158">
        <v>99.8</v>
      </c>
      <c r="F44" s="159" t="s">
        <v>4066</v>
      </c>
      <c r="G44" s="156"/>
      <c r="I44" s="163">
        <v>37.0</v>
      </c>
      <c r="J44" s="163">
        <v>3.083</v>
      </c>
      <c r="L44" s="139"/>
      <c r="M44" s="175"/>
      <c r="N44" s="175"/>
      <c r="O44" s="175"/>
      <c r="P44" s="175"/>
      <c r="Q44" s="175">
        <v>1.0</v>
      </c>
      <c r="R44" s="175" t="s">
        <v>2040</v>
      </c>
      <c r="S44" s="175">
        <v>354.0</v>
      </c>
      <c r="T44" s="175">
        <v>0.0</v>
      </c>
      <c r="U44" s="175">
        <v>1.0</v>
      </c>
      <c r="V44" s="175" t="s">
        <v>2049</v>
      </c>
      <c r="W44" s="175">
        <v>1.0</v>
      </c>
      <c r="X44" s="175"/>
      <c r="Y44" s="175"/>
    </row>
    <row r="45" spans="8:8" ht="15.3">
      <c r="B45" s="157" t="s">
        <v>4067</v>
      </c>
      <c r="C45" s="157" t="s">
        <v>4068</v>
      </c>
      <c r="D45" s="157" t="s">
        <v>4069</v>
      </c>
      <c r="E45" s="157">
        <v>97.383</v>
      </c>
      <c r="F45" s="159" t="s">
        <v>4070</v>
      </c>
      <c r="G45" s="156"/>
      <c r="I45" s="163">
        <v>38.0</v>
      </c>
      <c r="J45" s="163">
        <v>3.117</v>
      </c>
      <c r="L45" s="164" t="s">
        <v>2007</v>
      </c>
      <c r="M45" s="164">
        <v>31.0</v>
      </c>
      <c r="N45" s="164" t="s">
        <v>2007</v>
      </c>
      <c r="O45" s="164">
        <v>31.0</v>
      </c>
      <c r="P45" s="175"/>
      <c r="Q45" s="175">
        <v>2.0</v>
      </c>
      <c r="R45" s="175" t="s">
        <v>2041</v>
      </c>
      <c r="S45" s="175">
        <v>355.0</v>
      </c>
      <c r="T45" s="175">
        <v>1.0</v>
      </c>
      <c r="U45" s="175">
        <v>2.0</v>
      </c>
      <c r="V45" s="175" t="s">
        <v>2050</v>
      </c>
      <c r="W45" s="175">
        <v>1.0</v>
      </c>
      <c r="X45" s="175"/>
      <c r="Y45" s="175"/>
    </row>
    <row r="46" spans="8:8" ht="15.3">
      <c r="B46" s="157" t="s">
        <v>4071</v>
      </c>
      <c r="C46" s="157" t="s">
        <v>4072</v>
      </c>
      <c r="D46" s="157" t="s">
        <v>4073</v>
      </c>
      <c r="E46" s="157">
        <v>97.467</v>
      </c>
      <c r="F46" s="159" t="s">
        <v>4074</v>
      </c>
      <c r="G46" s="156"/>
      <c r="I46" s="163">
        <v>39.0</v>
      </c>
      <c r="J46" s="163">
        <v>3.133</v>
      </c>
      <c r="L46" s="164" t="s">
        <v>1974</v>
      </c>
      <c r="M46" s="164">
        <v>31.0</v>
      </c>
      <c r="N46" s="164" t="s">
        <v>1974</v>
      </c>
      <c r="O46" s="164">
        <v>31.0</v>
      </c>
      <c r="P46" s="175"/>
      <c r="Q46" s="175">
        <v>3.0</v>
      </c>
      <c r="R46" s="175" t="s">
        <v>2040</v>
      </c>
      <c r="S46" s="175">
        <v>354.0</v>
      </c>
      <c r="T46" s="175">
        <v>1.0</v>
      </c>
      <c r="U46" s="175">
        <v>3.0</v>
      </c>
      <c r="V46" s="175" t="s">
        <v>2051</v>
      </c>
      <c r="W46" s="175">
        <v>2.0</v>
      </c>
      <c r="X46" s="175"/>
      <c r="Y46" s="175"/>
    </row>
    <row r="47" spans="8:8" ht="15.3">
      <c r="B47" s="157" t="s">
        <v>4075</v>
      </c>
      <c r="C47" s="157" t="s">
        <v>4076</v>
      </c>
      <c r="D47" s="157" t="s">
        <v>4077</v>
      </c>
      <c r="E47" s="157">
        <v>100.883</v>
      </c>
      <c r="F47" s="159" t="s">
        <v>4078</v>
      </c>
      <c r="G47" s="156"/>
      <c r="I47" s="163">
        <v>40.0</v>
      </c>
      <c r="J47" s="168">
        <v>3.15</v>
      </c>
      <c r="L47" s="164"/>
      <c r="M47" s="164"/>
      <c r="N47" s="164"/>
      <c r="O47" s="164"/>
      <c r="P47" s="175"/>
      <c r="Q47" s="175">
        <v>4.0</v>
      </c>
      <c r="R47" s="175" t="s">
        <v>2040</v>
      </c>
      <c r="S47" s="175">
        <v>354.0</v>
      </c>
      <c r="T47" s="175">
        <v>1.0</v>
      </c>
      <c r="U47" s="175">
        <v>4.0</v>
      </c>
      <c r="V47" s="175" t="s">
        <v>2052</v>
      </c>
      <c r="W47" s="175">
        <v>3.0</v>
      </c>
      <c r="X47" s="175"/>
      <c r="Y47" s="175"/>
    </row>
    <row r="48" spans="8:8" ht="15.3">
      <c r="B48" s="157" t="s">
        <v>4079</v>
      </c>
      <c r="C48" s="157" t="s">
        <v>4080</v>
      </c>
      <c r="D48" s="157" t="s">
        <v>4081</v>
      </c>
      <c r="E48" s="158">
        <v>100.65</v>
      </c>
      <c r="F48" s="159" t="s">
        <v>4082</v>
      </c>
      <c r="G48" s="156"/>
      <c r="I48" s="163">
        <v>41.0</v>
      </c>
      <c r="J48" s="163">
        <v>3.167</v>
      </c>
      <c r="L48" s="164" t="s">
        <v>2007</v>
      </c>
      <c r="M48" s="164">
        <v>29.0</v>
      </c>
      <c r="N48" s="164" t="s">
        <v>2007</v>
      </c>
      <c r="O48" s="164">
        <v>30.0</v>
      </c>
      <c r="P48" s="175"/>
      <c r="Q48" s="175">
        <v>5.0</v>
      </c>
      <c r="R48" s="175" t="s">
        <v>2041</v>
      </c>
      <c r="S48" s="175">
        <v>355.0</v>
      </c>
      <c r="T48" s="175">
        <v>2.0</v>
      </c>
      <c r="U48" s="175">
        <v>5.0</v>
      </c>
      <c r="V48" s="175" t="s">
        <v>2050</v>
      </c>
      <c r="W48" s="175">
        <v>3.0</v>
      </c>
      <c r="X48" s="175"/>
      <c r="Y48" s="175"/>
    </row>
    <row r="49" spans="8:8" ht="15.3">
      <c r="B49" s="157" t="s">
        <v>4083</v>
      </c>
      <c r="C49" s="157" t="s">
        <v>4084</v>
      </c>
      <c r="D49" s="157" t="s">
        <v>4085</v>
      </c>
      <c r="E49" s="157">
        <v>100.967</v>
      </c>
      <c r="F49" s="159" t="s">
        <v>4086</v>
      </c>
      <c r="G49" s="156"/>
      <c r="I49" s="163">
        <v>42.0</v>
      </c>
      <c r="J49" s="168">
        <v>3.2</v>
      </c>
      <c r="L49" s="164" t="s">
        <v>1974</v>
      </c>
      <c r="M49" s="164">
        <v>28.0</v>
      </c>
      <c r="N49" s="164" t="s">
        <v>1974</v>
      </c>
      <c r="O49" s="164">
        <v>30.0</v>
      </c>
      <c r="P49" s="175"/>
      <c r="Q49" s="175">
        <v>6.0</v>
      </c>
      <c r="R49" s="175" t="s">
        <v>2040</v>
      </c>
      <c r="S49" s="175">
        <v>354.0</v>
      </c>
      <c r="T49" s="175">
        <v>2.0</v>
      </c>
      <c r="U49" s="175">
        <v>6.0</v>
      </c>
      <c r="V49" s="175" t="s">
        <v>2053</v>
      </c>
      <c r="W49" s="175">
        <v>4.0</v>
      </c>
      <c r="X49" s="175"/>
      <c r="Y49" s="175"/>
    </row>
    <row r="50" spans="8:8" ht="15.3">
      <c r="B50" s="157" t="s">
        <v>4087</v>
      </c>
      <c r="C50" s="157" t="s">
        <v>4088</v>
      </c>
      <c r="D50" s="157" t="s">
        <v>4089</v>
      </c>
      <c r="E50" s="157">
        <v>100.567</v>
      </c>
      <c r="F50" s="159" t="s">
        <v>4090</v>
      </c>
      <c r="G50" s="156"/>
      <c r="I50" s="163">
        <v>43.0</v>
      </c>
      <c r="J50" s="163">
        <v>3.217</v>
      </c>
      <c r="L50" s="164"/>
      <c r="M50" s="164"/>
      <c r="N50" s="164"/>
      <c r="O50" s="164"/>
      <c r="P50" s="175"/>
      <c r="Q50" s="175">
        <v>7.0</v>
      </c>
      <c r="R50" s="175" t="s">
        <v>2041</v>
      </c>
      <c r="S50" s="175">
        <v>355.0</v>
      </c>
      <c r="T50" s="175">
        <v>3.0</v>
      </c>
      <c r="U50" s="175">
        <v>7.0</v>
      </c>
      <c r="V50" s="175" t="s">
        <v>2054</v>
      </c>
      <c r="W50" s="175">
        <v>4.0</v>
      </c>
      <c r="X50" s="175"/>
      <c r="Y50" s="175"/>
    </row>
    <row r="51" spans="8:8" ht="15.3">
      <c r="B51" s="157" t="s">
        <v>4091</v>
      </c>
      <c r="C51" s="157" t="s">
        <v>4092</v>
      </c>
      <c r="D51" s="157" t="s">
        <v>4093</v>
      </c>
      <c r="E51" s="158">
        <v>100.2</v>
      </c>
      <c r="F51" s="159" t="s">
        <v>4094</v>
      </c>
      <c r="G51" s="156"/>
      <c r="I51" s="163">
        <v>44.0</v>
      </c>
      <c r="J51" s="168">
        <v>3.25</v>
      </c>
      <c r="L51" s="164" t="s">
        <v>2007</v>
      </c>
      <c r="M51" s="164">
        <v>31.0</v>
      </c>
      <c r="N51" s="164" t="s">
        <v>2007</v>
      </c>
      <c r="O51" s="164">
        <v>31.0</v>
      </c>
      <c r="P51" s="175"/>
      <c r="Q51" s="175">
        <v>8.0</v>
      </c>
      <c r="R51" s="175" t="s">
        <v>2040</v>
      </c>
      <c r="S51" s="175">
        <v>354.0</v>
      </c>
      <c r="T51" s="175">
        <v>3.0</v>
      </c>
      <c r="U51" s="175">
        <v>8.0</v>
      </c>
      <c r="V51" s="175" t="s">
        <v>2055</v>
      </c>
      <c r="W51" s="175">
        <v>5.0</v>
      </c>
      <c r="X51" s="175"/>
      <c r="Y51" s="175"/>
    </row>
    <row r="52" spans="8:8" ht="15.3">
      <c r="B52" s="157" t="s">
        <v>4095</v>
      </c>
      <c r="C52" s="157" t="s">
        <v>4096</v>
      </c>
      <c r="D52" s="157" t="s">
        <v>4097</v>
      </c>
      <c r="E52" s="157">
        <v>100.167</v>
      </c>
      <c r="F52" s="159" t="s">
        <v>4098</v>
      </c>
      <c r="G52" s="156"/>
      <c r="I52" s="163">
        <v>45.0</v>
      </c>
      <c r="J52" s="163">
        <v>3.267</v>
      </c>
      <c r="L52" s="164" t="s">
        <v>1974</v>
      </c>
      <c r="M52" s="164">
        <v>31.0</v>
      </c>
      <c r="N52" s="164" t="s">
        <v>1974</v>
      </c>
      <c r="O52" s="164">
        <v>31.0</v>
      </c>
      <c r="P52" s="175"/>
      <c r="Q52" s="175">
        <v>9.0</v>
      </c>
      <c r="R52" s="175" t="s">
        <v>2040</v>
      </c>
      <c r="S52" s="175">
        <v>354.0</v>
      </c>
      <c r="T52" s="175">
        <v>3.0</v>
      </c>
      <c r="U52" s="175">
        <v>0.0</v>
      </c>
      <c r="V52" s="175" t="s">
        <v>2055</v>
      </c>
      <c r="W52" s="175">
        <v>6.0</v>
      </c>
      <c r="X52" s="175"/>
      <c r="Y52" s="175"/>
    </row>
    <row r="53" spans="8:8" ht="15.3">
      <c r="B53" s="157" t="s">
        <v>4099</v>
      </c>
      <c r="C53" s="157" t="s">
        <v>4100</v>
      </c>
      <c r="D53" s="157" t="s">
        <v>4101</v>
      </c>
      <c r="E53" s="157">
        <v>100.517</v>
      </c>
      <c r="F53" s="159" t="s">
        <v>4102</v>
      </c>
      <c r="G53" s="156"/>
      <c r="I53" s="163">
        <v>46.0</v>
      </c>
      <c r="J53" s="163">
        <v>3.283</v>
      </c>
      <c r="L53" s="164"/>
      <c r="M53" s="164"/>
      <c r="N53" s="164"/>
      <c r="O53" s="164"/>
      <c r="P53" s="175"/>
      <c r="Q53" s="175">
        <v>10.0</v>
      </c>
      <c r="R53" s="175" t="s">
        <v>2041</v>
      </c>
      <c r="S53" s="175">
        <v>355.0</v>
      </c>
      <c r="T53" s="175">
        <v>4.0</v>
      </c>
      <c r="U53" s="175"/>
      <c r="V53" s="175"/>
      <c r="W53" s="175">
        <v>6.0</v>
      </c>
      <c r="X53" s="175"/>
      <c r="Y53" s="175"/>
    </row>
    <row r="54" spans="8:8" ht="15.3">
      <c r="B54" s="157" t="s">
        <v>4103</v>
      </c>
      <c r="C54" s="157" t="s">
        <v>4104</v>
      </c>
      <c r="D54" s="157" t="s">
        <v>4105</v>
      </c>
      <c r="E54" s="157">
        <v>100.167</v>
      </c>
      <c r="F54" s="159" t="s">
        <v>4106</v>
      </c>
      <c r="G54" s="156"/>
      <c r="I54" s="163">
        <v>47.0</v>
      </c>
      <c r="J54" s="163">
        <v>3.317</v>
      </c>
      <c r="L54" s="164" t="s">
        <v>2007</v>
      </c>
      <c r="M54" s="164">
        <v>30.0</v>
      </c>
      <c r="N54" s="164" t="s">
        <v>2007</v>
      </c>
      <c r="O54" s="164">
        <v>30.0</v>
      </c>
      <c r="P54" s="175"/>
      <c r="Q54" s="175">
        <v>11.0</v>
      </c>
      <c r="R54" s="175" t="s">
        <v>2040</v>
      </c>
      <c r="S54" s="175">
        <v>354.0</v>
      </c>
      <c r="T54" s="175">
        <v>4.0</v>
      </c>
      <c r="U54" s="175"/>
      <c r="V54" s="175"/>
      <c r="W54" s="175">
        <v>7.0</v>
      </c>
      <c r="X54" s="175"/>
      <c r="Y54" s="175"/>
    </row>
    <row r="55" spans="8:8" ht="15.3">
      <c r="B55" s="157" t="s">
        <v>4107</v>
      </c>
      <c r="C55" s="157" t="s">
        <v>4108</v>
      </c>
      <c r="D55" s="157" t="s">
        <v>4109</v>
      </c>
      <c r="E55" s="157">
        <v>98.917</v>
      </c>
      <c r="F55" s="159" t="s">
        <v>4110</v>
      </c>
      <c r="G55" s="156"/>
      <c r="I55" s="163">
        <v>48.0</v>
      </c>
      <c r="J55" s="163">
        <v>3.333</v>
      </c>
      <c r="L55" s="164" t="s">
        <v>1974</v>
      </c>
      <c r="M55" s="164">
        <v>30.0</v>
      </c>
      <c r="N55" s="164" t="s">
        <v>1974</v>
      </c>
      <c r="O55" s="164">
        <v>30.0</v>
      </c>
      <c r="P55" s="175"/>
      <c r="Q55" s="175">
        <v>12.0</v>
      </c>
      <c r="R55" s="175" t="s">
        <v>2040</v>
      </c>
      <c r="S55" s="175">
        <v>354.0</v>
      </c>
      <c r="T55" s="175">
        <v>4.0</v>
      </c>
      <c r="U55" s="175"/>
      <c r="V55" s="175"/>
      <c r="W55" s="175">
        <v>8.0</v>
      </c>
      <c r="X55" s="175"/>
      <c r="Y55" s="175"/>
    </row>
    <row r="56" spans="8:8" ht="15.3">
      <c r="B56" s="157" t="s">
        <v>4111</v>
      </c>
      <c r="C56" s="157" t="s">
        <v>4112</v>
      </c>
      <c r="D56" s="157" t="s">
        <v>4113</v>
      </c>
      <c r="E56" s="158">
        <v>101.6</v>
      </c>
      <c r="F56" s="159" t="s">
        <v>4114</v>
      </c>
      <c r="G56" s="156"/>
      <c r="I56" s="163">
        <v>49.0</v>
      </c>
      <c r="J56" s="168">
        <v>3.35</v>
      </c>
      <c r="L56" s="164"/>
      <c r="M56" s="164"/>
      <c r="N56" s="164"/>
      <c r="O56" s="164"/>
      <c r="P56" s="175"/>
      <c r="Q56" s="175">
        <v>13.0</v>
      </c>
      <c r="R56" s="175" t="s">
        <v>2041</v>
      </c>
      <c r="S56" s="175">
        <v>355.0</v>
      </c>
      <c r="T56" s="175">
        <v>5.0</v>
      </c>
      <c r="U56" s="175"/>
      <c r="V56" s="175"/>
      <c r="W56" s="175">
        <v>8.0</v>
      </c>
      <c r="X56" s="175"/>
      <c r="Y56" s="175"/>
    </row>
    <row r="57" spans="8:8" ht="15.3">
      <c r="B57" s="157" t="s">
        <v>4115</v>
      </c>
      <c r="C57" s="157" t="s">
        <v>4116</v>
      </c>
      <c r="D57" s="157" t="s">
        <v>4117</v>
      </c>
      <c r="E57" s="158">
        <v>101.25</v>
      </c>
      <c r="F57" s="159" t="s">
        <v>4118</v>
      </c>
      <c r="G57" s="156"/>
      <c r="I57" s="163">
        <v>50.0</v>
      </c>
      <c r="J57" s="163">
        <v>3.383</v>
      </c>
      <c r="L57" s="164" t="s">
        <v>2007</v>
      </c>
      <c r="M57" s="164">
        <v>31.0</v>
      </c>
      <c r="N57" s="164" t="s">
        <v>2007</v>
      </c>
      <c r="O57" s="164">
        <v>31.0</v>
      </c>
      <c r="P57" s="175"/>
      <c r="Q57" s="175">
        <v>14.0</v>
      </c>
      <c r="R57" s="175" t="s">
        <v>2040</v>
      </c>
      <c r="S57" s="175">
        <v>354.0</v>
      </c>
      <c r="T57" s="175">
        <v>5.0</v>
      </c>
      <c r="U57" s="175"/>
      <c r="V57" s="175"/>
      <c r="W57" s="175">
        <v>9.0</v>
      </c>
      <c r="X57" s="175"/>
      <c r="Y57" s="175"/>
    </row>
    <row r="58" spans="8:8" ht="15.3">
      <c r="B58" s="157" t="s">
        <v>4119</v>
      </c>
      <c r="C58" s="157" t="s">
        <v>4120</v>
      </c>
      <c r="D58" s="157" t="s">
        <v>4121</v>
      </c>
      <c r="E58" s="157">
        <v>99.633</v>
      </c>
      <c r="F58" s="159" t="s">
        <v>4122</v>
      </c>
      <c r="G58" s="156"/>
      <c r="I58" s="163">
        <v>51.0</v>
      </c>
      <c r="J58" s="168">
        <v>3.4</v>
      </c>
      <c r="L58" s="164" t="s">
        <v>1974</v>
      </c>
      <c r="M58" s="164">
        <v>31.0</v>
      </c>
      <c r="N58" s="164" t="s">
        <v>1974</v>
      </c>
      <c r="O58" s="164">
        <v>31.0</v>
      </c>
      <c r="P58" s="175"/>
      <c r="Q58" s="175">
        <v>15.0</v>
      </c>
      <c r="R58" s="175" t="s">
        <v>2041</v>
      </c>
      <c r="S58" s="175">
        <v>355.0</v>
      </c>
      <c r="T58" s="175">
        <v>5.0</v>
      </c>
      <c r="U58" s="175"/>
      <c r="V58" s="175"/>
      <c r="W58" s="175">
        <v>10.0</v>
      </c>
      <c r="X58" s="175"/>
      <c r="Y58" s="175"/>
    </row>
    <row r="59" spans="8:8" ht="15.3">
      <c r="B59" s="157" t="s">
        <v>4123</v>
      </c>
      <c r="C59" s="157" t="s">
        <v>4124</v>
      </c>
      <c r="D59" s="157" t="s">
        <v>4125</v>
      </c>
      <c r="E59" s="158">
        <v>101.15</v>
      </c>
      <c r="F59" s="159" t="s">
        <v>4126</v>
      </c>
      <c r="G59" s="156"/>
      <c r="I59" s="163">
        <v>52.0</v>
      </c>
      <c r="J59" s="163">
        <v>3.433</v>
      </c>
      <c r="L59" s="164"/>
      <c r="M59" s="164"/>
      <c r="N59" s="164"/>
      <c r="O59" s="164"/>
      <c r="P59" s="175"/>
      <c r="Q59" s="175">
        <v>16.0</v>
      </c>
      <c r="R59" s="175" t="s">
        <v>2040</v>
      </c>
      <c r="S59" s="175">
        <v>354.0</v>
      </c>
      <c r="T59" s="175">
        <v>6.0</v>
      </c>
      <c r="U59" s="175"/>
      <c r="V59" s="175"/>
      <c r="W59" s="175">
        <v>10.0</v>
      </c>
      <c r="X59" s="175"/>
      <c r="Y59" s="175"/>
    </row>
    <row r="60" spans="8:8" ht="15.3">
      <c r="B60" s="157" t="s">
        <v>4127</v>
      </c>
      <c r="C60" s="157" t="s">
        <v>4128</v>
      </c>
      <c r="D60" s="157" t="s">
        <v>4129</v>
      </c>
      <c r="E60" s="158">
        <v>102.25</v>
      </c>
      <c r="F60" s="159" t="s">
        <v>4130</v>
      </c>
      <c r="G60" s="156"/>
      <c r="I60" s="163">
        <v>53.0</v>
      </c>
      <c r="J60" s="168">
        <v>3.45</v>
      </c>
      <c r="L60" s="164" t="s">
        <v>2007</v>
      </c>
      <c r="M60" s="164">
        <v>30.0</v>
      </c>
      <c r="N60" s="164"/>
      <c r="O60" s="164"/>
      <c r="P60" s="175"/>
      <c r="Q60" s="175">
        <v>17.0</v>
      </c>
      <c r="R60" s="175" t="s">
        <v>2040</v>
      </c>
      <c r="S60" s="175">
        <v>354.0</v>
      </c>
      <c r="T60" s="175">
        <v>6.0</v>
      </c>
      <c r="U60" s="175"/>
      <c r="V60" s="175"/>
      <c r="W60" s="175">
        <v>11.0</v>
      </c>
      <c r="X60" s="175"/>
      <c r="Y60" s="175"/>
    </row>
    <row r="61" spans="8:8" ht="15.3">
      <c r="B61" s="157" t="s">
        <v>4131</v>
      </c>
      <c r="C61" s="157" t="s">
        <v>4132</v>
      </c>
      <c r="D61" s="157" t="s">
        <v>4133</v>
      </c>
      <c r="E61" s="157">
        <v>102.067</v>
      </c>
      <c r="F61" s="159" t="s">
        <v>4134</v>
      </c>
      <c r="G61" s="156"/>
      <c r="I61" s="163">
        <v>54.0</v>
      </c>
      <c r="J61" s="163">
        <v>3.467</v>
      </c>
      <c r="L61" s="164" t="s">
        <v>1974</v>
      </c>
      <c r="M61" s="164">
        <v>30.0</v>
      </c>
      <c r="N61" s="164"/>
      <c r="O61" s="164"/>
      <c r="P61" s="175"/>
      <c r="Q61" s="175">
        <v>18.0</v>
      </c>
      <c r="R61" s="175" t="s">
        <v>2041</v>
      </c>
      <c r="S61" s="175">
        <v>355.0</v>
      </c>
      <c r="T61" s="175">
        <v>8.0</v>
      </c>
      <c r="U61" s="175"/>
      <c r="V61" s="175"/>
      <c r="W61" s="175">
        <v>11.0</v>
      </c>
      <c r="X61" s="175"/>
      <c r="Y61" s="175"/>
    </row>
    <row r="62" spans="8:8" ht="15.3">
      <c r="B62" s="157" t="s">
        <v>4135</v>
      </c>
      <c r="C62" s="157" t="s">
        <v>4136</v>
      </c>
      <c r="D62" s="157" t="s">
        <v>4137</v>
      </c>
      <c r="E62" s="157">
        <v>102.983</v>
      </c>
      <c r="F62" s="159" t="s">
        <v>4138</v>
      </c>
      <c r="G62" s="156"/>
      <c r="I62" s="163">
        <v>55.0</v>
      </c>
      <c r="J62" s="168">
        <v>3.5</v>
      </c>
      <c r="L62" s="164"/>
      <c r="M62" s="164"/>
      <c r="N62" s="164"/>
      <c r="O62" s="164"/>
      <c r="P62" s="175"/>
      <c r="Q62" s="175">
        <v>19.0</v>
      </c>
      <c r="R62" s="175" t="s">
        <v>2040</v>
      </c>
      <c r="S62" s="175">
        <v>354.0</v>
      </c>
      <c r="T62" s="175">
        <v>7.0</v>
      </c>
      <c r="U62" s="175"/>
      <c r="V62" s="175"/>
      <c r="W62" s="175">
        <v>12.0</v>
      </c>
      <c r="X62" s="175"/>
      <c r="Y62" s="175"/>
    </row>
    <row r="63" spans="8:8" ht="15.3">
      <c r="B63" s="157" t="s">
        <v>4139</v>
      </c>
      <c r="C63" s="157" t="s">
        <v>4140</v>
      </c>
      <c r="D63" s="157" t="s">
        <v>4141</v>
      </c>
      <c r="E63" s="157">
        <v>102.083</v>
      </c>
      <c r="F63" s="159" t="s">
        <v>4142</v>
      </c>
      <c r="G63" s="156"/>
      <c r="I63" s="163">
        <v>56.0</v>
      </c>
      <c r="J63" s="163">
        <v>3.517</v>
      </c>
      <c r="L63" s="164" t="s">
        <v>2007</v>
      </c>
      <c r="M63" s="164">
        <v>31.0</v>
      </c>
      <c r="N63" s="164"/>
      <c r="O63" s="164"/>
      <c r="P63" s="175"/>
      <c r="Q63" s="175">
        <v>20.0</v>
      </c>
      <c r="R63" s="175" t="s">
        <v>2040</v>
      </c>
      <c r="S63" s="175">
        <v>354.0</v>
      </c>
      <c r="T63" s="175">
        <v>7.0</v>
      </c>
      <c r="U63" s="175"/>
      <c r="V63" s="175"/>
      <c r="W63" s="175">
        <v>13.0</v>
      </c>
      <c r="X63" s="175"/>
      <c r="Y63" s="175"/>
    </row>
    <row r="64" spans="8:8" ht="15.3">
      <c r="B64" s="157" t="s">
        <v>4143</v>
      </c>
      <c r="C64" s="157" t="s">
        <v>4144</v>
      </c>
      <c r="D64" s="157" t="s">
        <v>4145</v>
      </c>
      <c r="E64" s="157">
        <v>100.433</v>
      </c>
      <c r="F64" s="159" t="s">
        <v>4146</v>
      </c>
      <c r="G64" s="156"/>
      <c r="I64" s="163">
        <v>57.0</v>
      </c>
      <c r="J64" s="163">
        <v>3.533</v>
      </c>
      <c r="L64" s="164" t="s">
        <v>1974</v>
      </c>
      <c r="M64" s="164">
        <v>31.0</v>
      </c>
      <c r="N64" s="164"/>
      <c r="O64" s="164"/>
      <c r="P64" s="175"/>
      <c r="Q64" s="175">
        <v>21.0</v>
      </c>
      <c r="R64" s="175" t="s">
        <v>2041</v>
      </c>
      <c r="S64" s="175">
        <v>355.0</v>
      </c>
      <c r="T64" s="175">
        <v>8.0</v>
      </c>
      <c r="U64" s="175"/>
      <c r="V64" s="175"/>
      <c r="W64" s="175">
        <v>13.0</v>
      </c>
      <c r="X64" s="175"/>
      <c r="Y64" s="175"/>
    </row>
    <row r="65" spans="8:8" ht="15.3">
      <c r="B65" s="157" t="s">
        <v>4147</v>
      </c>
      <c r="C65" s="157" t="s">
        <v>4148</v>
      </c>
      <c r="D65" s="157" t="s">
        <v>4149</v>
      </c>
      <c r="E65" s="158">
        <v>100.8</v>
      </c>
      <c r="F65" s="159" t="s">
        <v>4150</v>
      </c>
      <c r="G65" s="156"/>
      <c r="I65" s="163">
        <v>58.0</v>
      </c>
      <c r="J65" s="168">
        <v>3.55</v>
      </c>
      <c r="L65" s="175"/>
      <c r="M65" s="175"/>
      <c r="N65" s="175"/>
      <c r="O65" s="175"/>
      <c r="P65" s="175"/>
      <c r="Q65" s="175">
        <v>22.0</v>
      </c>
      <c r="R65" s="175" t="s">
        <v>2040</v>
      </c>
      <c r="S65" s="175">
        <v>354.0</v>
      </c>
      <c r="T65" s="175">
        <v>8.0</v>
      </c>
      <c r="U65" s="175"/>
      <c r="V65" s="175"/>
      <c r="W65" s="175">
        <v>14.0</v>
      </c>
      <c r="X65" s="175"/>
      <c r="Y65" s="175"/>
    </row>
    <row r="66" spans="8:8" ht="15.3">
      <c r="B66" s="157" t="s">
        <v>4151</v>
      </c>
      <c r="C66" s="157" t="s">
        <v>4152</v>
      </c>
      <c r="D66" s="157" t="s">
        <v>4153</v>
      </c>
      <c r="E66" s="157">
        <v>101.783</v>
      </c>
      <c r="F66" s="159" t="s">
        <v>4154</v>
      </c>
      <c r="G66" s="156"/>
      <c r="I66" s="163">
        <v>59.0</v>
      </c>
      <c r="J66" s="163">
        <v>3.567</v>
      </c>
      <c r="L66" s="175"/>
      <c r="M66" s="175"/>
      <c r="N66" s="175"/>
      <c r="O66" s="175"/>
      <c r="P66" s="175"/>
      <c r="Q66" s="175">
        <v>23.0</v>
      </c>
      <c r="R66" s="175" t="s">
        <v>2040</v>
      </c>
      <c r="S66" s="175">
        <v>354.0</v>
      </c>
      <c r="T66" s="175">
        <v>8.0</v>
      </c>
      <c r="U66" s="175"/>
      <c r="V66" s="175"/>
      <c r="W66" s="175">
        <v>15.0</v>
      </c>
      <c r="X66" s="175"/>
      <c r="Y66" s="175"/>
    </row>
    <row r="67" spans="8:8" ht="20.0" customHeight="1">
      <c r="B67" s="157" t="s">
        <v>4155</v>
      </c>
      <c r="C67" s="157" t="s">
        <v>4156</v>
      </c>
      <c r="D67" s="157" t="s">
        <v>4157</v>
      </c>
      <c r="E67" s="157">
        <v>101.517</v>
      </c>
      <c r="F67" s="159" t="s">
        <v>4158</v>
      </c>
      <c r="G67" s="156"/>
      <c r="I67" s="163">
        <v>60.0</v>
      </c>
      <c r="J67" s="163">
        <v>3.583</v>
      </c>
      <c r="L67" s="103" t="s">
        <v>2056</v>
      </c>
      <c r="M67" s="103"/>
      <c r="N67" s="103"/>
      <c r="O67" s="103"/>
      <c r="P67" s="103"/>
      <c r="Q67" s="175">
        <v>24.0</v>
      </c>
      <c r="R67" s="175" t="s">
        <v>2041</v>
      </c>
      <c r="S67" s="175">
        <v>355.0</v>
      </c>
      <c r="T67" s="175">
        <v>9.0</v>
      </c>
      <c r="U67" s="175"/>
      <c r="V67" s="175"/>
      <c r="W67" s="175">
        <v>15.0</v>
      </c>
      <c r="X67" s="175"/>
      <c r="Y67" s="175"/>
    </row>
    <row r="68" spans="8:8" ht="15.3">
      <c r="B68" s="157" t="s">
        <v>4159</v>
      </c>
      <c r="C68" s="157" t="s">
        <v>4160</v>
      </c>
      <c r="D68" s="157" t="s">
        <v>4161</v>
      </c>
      <c r="E68" s="157">
        <v>102.667</v>
      </c>
      <c r="F68" s="159" t="s">
        <v>4162</v>
      </c>
      <c r="G68" s="156"/>
      <c r="I68" s="163">
        <v>61.0</v>
      </c>
      <c r="J68" s="168">
        <v>3.6</v>
      </c>
      <c r="L68" s="175"/>
      <c r="M68" s="175"/>
      <c r="N68" s="175"/>
      <c r="O68" s="175"/>
      <c r="P68" s="175"/>
      <c r="Q68" s="175">
        <v>25.0</v>
      </c>
      <c r="R68" s="175" t="s">
        <v>2040</v>
      </c>
      <c r="S68" s="175">
        <v>354.0</v>
      </c>
      <c r="T68" s="175">
        <v>9.0</v>
      </c>
      <c r="U68" s="175"/>
      <c r="V68" s="175"/>
      <c r="W68" s="175">
        <v>16.0</v>
      </c>
      <c r="X68" s="175"/>
      <c r="Y68" s="175"/>
    </row>
    <row r="69" spans="8:8" ht="15.3">
      <c r="B69" s="157" t="s">
        <v>4163</v>
      </c>
      <c r="C69" s="157" t="s">
        <v>4164</v>
      </c>
      <c r="D69" s="157" t="s">
        <v>4165</v>
      </c>
      <c r="E69" s="157">
        <v>101.433</v>
      </c>
      <c r="F69" s="159" t="s">
        <v>4166</v>
      </c>
      <c r="G69" s="156"/>
      <c r="I69" s="163">
        <v>62.0</v>
      </c>
      <c r="J69" s="163">
        <v>3.617</v>
      </c>
      <c r="L69" s="175" t="s">
        <v>1875</v>
      </c>
      <c r="M69" s="175">
        <v>1.0</v>
      </c>
      <c r="N69" s="175">
        <v>1.0</v>
      </c>
      <c r="O69" s="175" t="s">
        <v>2061</v>
      </c>
      <c r="P69" s="175" t="s">
        <v>2062</v>
      </c>
      <c r="Q69" s="175">
        <v>26.0</v>
      </c>
      <c r="R69" s="175" t="s">
        <v>2041</v>
      </c>
      <c r="S69" s="175">
        <v>355.0</v>
      </c>
      <c r="T69" s="175">
        <v>10.0</v>
      </c>
      <c r="U69" s="175"/>
      <c r="V69" s="175"/>
      <c r="W69" s="175">
        <v>16.0</v>
      </c>
      <c r="X69" s="175"/>
      <c r="Y69" s="175"/>
    </row>
    <row r="70" spans="8:8" ht="15.3">
      <c r="B70" s="157" t="s">
        <v>4167</v>
      </c>
      <c r="C70" s="157" t="s">
        <v>4168</v>
      </c>
      <c r="D70" s="157" t="s">
        <v>4169</v>
      </c>
      <c r="E70" s="157">
        <v>101.967</v>
      </c>
      <c r="F70" s="159" t="s">
        <v>4170</v>
      </c>
      <c r="G70" s="156"/>
      <c r="I70" s="163">
        <v>63.0</v>
      </c>
      <c r="J70" s="163">
        <v>3.633</v>
      </c>
      <c r="L70" s="175" t="s">
        <v>1876</v>
      </c>
      <c r="M70" s="175">
        <v>3.0</v>
      </c>
      <c r="N70" s="175">
        <v>1.0</v>
      </c>
      <c r="O70" s="175"/>
      <c r="P70" s="175">
        <v>30.0</v>
      </c>
      <c r="Q70" s="175">
        <v>27.0</v>
      </c>
      <c r="R70" s="175" t="s">
        <v>2040</v>
      </c>
      <c r="S70" s="175">
        <v>354.0</v>
      </c>
      <c r="T70" s="175">
        <v>10.0</v>
      </c>
      <c r="U70" s="175"/>
      <c r="V70" s="175"/>
      <c r="W70" s="175">
        <v>17.0</v>
      </c>
      <c r="X70" s="175"/>
      <c r="Y70" s="175"/>
    </row>
    <row r="71" spans="8:8" ht="15.3">
      <c r="B71" s="157" t="s">
        <v>4171</v>
      </c>
      <c r="C71" s="157" t="s">
        <v>4172</v>
      </c>
      <c r="D71" s="157" t="s">
        <v>4173</v>
      </c>
      <c r="E71" s="158">
        <v>102.7</v>
      </c>
      <c r="F71" s="159" t="s">
        <v>4174</v>
      </c>
      <c r="G71" s="156"/>
      <c r="I71" s="163">
        <v>64.0</v>
      </c>
      <c r="J71" s="168">
        <v>3.65</v>
      </c>
      <c r="L71" s="175" t="s">
        <v>1887</v>
      </c>
      <c r="M71" s="175">
        <v>4.0</v>
      </c>
      <c r="N71" s="175">
        <v>5.0</v>
      </c>
      <c r="O71" s="175"/>
      <c r="P71" s="175">
        <v>29.0</v>
      </c>
      <c r="Q71" s="175">
        <v>28.0</v>
      </c>
      <c r="R71" s="175" t="s">
        <v>2040</v>
      </c>
      <c r="S71" s="175">
        <v>354.0</v>
      </c>
      <c r="T71" s="175">
        <v>10.0</v>
      </c>
      <c r="U71" s="175"/>
      <c r="V71" s="175"/>
      <c r="W71" s="175">
        <v>18.0</v>
      </c>
      <c r="X71" s="175"/>
      <c r="Y71" s="175"/>
    </row>
    <row r="72" spans="8:8" ht="15.3">
      <c r="B72" s="157" t="s">
        <v>4175</v>
      </c>
      <c r="C72" s="157" t="s">
        <v>4176</v>
      </c>
      <c r="D72" s="157" t="s">
        <v>4177</v>
      </c>
      <c r="E72" s="157">
        <v>103.067</v>
      </c>
      <c r="F72" s="159" t="s">
        <v>4178</v>
      </c>
      <c r="G72" s="156"/>
      <c r="I72" s="163">
        <v>65.0</v>
      </c>
      <c r="J72" s="163">
        <v>3.667</v>
      </c>
      <c r="L72" s="175" t="s">
        <v>2059</v>
      </c>
      <c r="M72" s="175">
        <v>6.0</v>
      </c>
      <c r="N72" s="175">
        <v>5.0</v>
      </c>
      <c r="O72" s="175"/>
      <c r="P72" s="175">
        <v>30.0</v>
      </c>
      <c r="Q72" s="175">
        <v>29.0</v>
      </c>
      <c r="R72" s="175" t="s">
        <v>2041</v>
      </c>
      <c r="S72" s="175">
        <v>355.0</v>
      </c>
      <c r="T72" s="175">
        <v>11.0</v>
      </c>
      <c r="U72" s="175"/>
      <c r="V72" s="175"/>
      <c r="W72" s="175">
        <v>18.0</v>
      </c>
      <c r="X72" s="175"/>
      <c r="Y72" s="175"/>
    </row>
    <row r="73" spans="8:8" ht="15.3">
      <c r="B73" s="157" t="s">
        <v>4179</v>
      </c>
      <c r="C73" s="157" t="s">
        <v>4180</v>
      </c>
      <c r="D73" s="157" t="s">
        <v>4181</v>
      </c>
      <c r="E73" s="157">
        <v>102.117</v>
      </c>
      <c r="F73" s="159" t="s">
        <v>4182</v>
      </c>
      <c r="G73" s="156"/>
      <c r="I73" s="163">
        <v>66.0</v>
      </c>
      <c r="J73" s="163">
        <v>3.683</v>
      </c>
      <c r="L73" s="175" t="s">
        <v>1879</v>
      </c>
      <c r="M73" s="175">
        <v>7.0</v>
      </c>
      <c r="N73" s="175">
        <v>4.0</v>
      </c>
      <c r="O73" s="175"/>
      <c r="P73" s="175">
        <v>29.0</v>
      </c>
      <c r="Q73" s="175">
        <v>30.0</v>
      </c>
      <c r="R73" s="175" t="s">
        <v>2040</v>
      </c>
      <c r="S73" s="175">
        <v>354.0</v>
      </c>
      <c r="T73" s="175">
        <v>11.0</v>
      </c>
      <c r="U73" s="175"/>
      <c r="V73" s="175"/>
      <c r="W73" s="175">
        <v>19.0</v>
      </c>
      <c r="X73" s="175"/>
      <c r="Y73" s="175"/>
    </row>
    <row r="74" spans="8:8" ht="15.3">
      <c r="B74" s="157" t="s">
        <v>4183</v>
      </c>
      <c r="C74" s="157" t="s">
        <v>4184</v>
      </c>
      <c r="D74" s="157" t="s">
        <v>4185</v>
      </c>
      <c r="E74" s="157">
        <v>103.067</v>
      </c>
      <c r="F74" s="159" t="s">
        <v>4186</v>
      </c>
      <c r="G74" s="156"/>
      <c r="I74" s="163">
        <v>67.0</v>
      </c>
      <c r="J74" s="163">
        <v>3.683</v>
      </c>
      <c r="L74" s="175" t="s">
        <v>2058</v>
      </c>
      <c r="M74" s="175">
        <v>2.0</v>
      </c>
      <c r="N74" s="175">
        <v>4.0</v>
      </c>
      <c r="O74" s="175"/>
      <c r="P74" s="175">
        <v>30.0</v>
      </c>
      <c r="Q74" s="175">
        <v>0.0</v>
      </c>
      <c r="R74" s="175" t="s">
        <v>2040</v>
      </c>
      <c r="S74" s="175">
        <v>354.0</v>
      </c>
      <c r="T74" s="175">
        <v>11.0</v>
      </c>
      <c r="U74" s="175"/>
      <c r="V74" s="175"/>
      <c r="W74" s="175">
        <v>19.0</v>
      </c>
      <c r="X74" s="175"/>
      <c r="Y74" s="175"/>
    </row>
    <row r="75" spans="8:8" ht="15.3">
      <c r="B75" s="157" t="s">
        <v>4187</v>
      </c>
      <c r="C75" s="157" t="s">
        <v>4188</v>
      </c>
      <c r="D75" s="157" t="s">
        <v>4189</v>
      </c>
      <c r="E75" s="157">
        <v>103.817</v>
      </c>
      <c r="F75" s="159" t="s">
        <v>4190</v>
      </c>
      <c r="G75" s="156"/>
      <c r="I75" s="163">
        <v>68.0</v>
      </c>
      <c r="J75" s="168">
        <v>3.7</v>
      </c>
      <c r="L75" s="175" t="s">
        <v>1881</v>
      </c>
      <c r="M75" s="175">
        <v>3.0</v>
      </c>
      <c r="N75" s="175">
        <v>3.0</v>
      </c>
      <c r="O75" s="175"/>
      <c r="P75" s="175">
        <v>29.0</v>
      </c>
      <c r="Q75" s="175"/>
      <c r="R75" s="175"/>
      <c r="S75" s="175"/>
      <c r="T75" s="175"/>
      <c r="U75" s="175"/>
      <c r="V75" s="175"/>
      <c r="W75" s="175"/>
      <c r="X75" s="175"/>
      <c r="Y75" s="175"/>
    </row>
    <row r="76" spans="8:8" ht="15.3">
      <c r="B76" s="157" t="s">
        <v>4191</v>
      </c>
      <c r="C76" s="157" t="s">
        <v>4192</v>
      </c>
      <c r="D76" s="157" t="s">
        <v>4193</v>
      </c>
      <c r="E76" s="157">
        <v>101.883</v>
      </c>
      <c r="F76" s="159" t="s">
        <v>4194</v>
      </c>
      <c r="G76" s="156"/>
      <c r="I76" s="163">
        <v>69.0</v>
      </c>
      <c r="J76" s="163">
        <v>3.717</v>
      </c>
      <c r="L76" s="175" t="s">
        <v>1882</v>
      </c>
      <c r="M76" s="175">
        <v>5.0</v>
      </c>
      <c r="N76" s="175">
        <v>3.0</v>
      </c>
      <c r="O76" s="175"/>
      <c r="P76" s="175">
        <v>30.0</v>
      </c>
      <c r="Q76" s="175"/>
      <c r="R76" s="175"/>
      <c r="S76" s="175"/>
      <c r="T76" s="175"/>
      <c r="U76" s="175"/>
      <c r="V76" s="175">
        <v>12.0</v>
      </c>
      <c r="W76" s="175">
        <v>2.0</v>
      </c>
      <c r="X76" s="175">
        <v>0.0</v>
      </c>
      <c r="Y76" s="175"/>
    </row>
    <row r="77" spans="8:8" ht="15.3">
      <c r="B77" s="157" t="s">
        <v>4195</v>
      </c>
      <c r="C77" s="157" t="s">
        <v>4196</v>
      </c>
      <c r="D77" s="157" t="s">
        <v>4197</v>
      </c>
      <c r="E77" s="157">
        <v>102.333</v>
      </c>
      <c r="F77" s="159" t="s">
        <v>4198</v>
      </c>
      <c r="G77" s="156"/>
      <c r="I77" s="163">
        <v>70.0</v>
      </c>
      <c r="J77" s="163">
        <v>3.733</v>
      </c>
      <c r="L77" s="175" t="s">
        <v>1883</v>
      </c>
      <c r="M77" s="175">
        <v>6.0</v>
      </c>
      <c r="N77" s="175">
        <v>2.0</v>
      </c>
      <c r="O77" s="175"/>
      <c r="P77" s="175">
        <v>29.0</v>
      </c>
      <c r="Q77" s="175"/>
      <c r="R77" s="175" t="s">
        <v>5639</v>
      </c>
      <c r="S77" s="175" t="s">
        <v>5736</v>
      </c>
      <c r="T77" s="175">
        <v>0.0</v>
      </c>
      <c r="U77" s="175"/>
      <c r="V77" s="175"/>
      <c r="W77" s="175">
        <f>V76+W76/60+X76/3600</f>
        <v>12.0333333333333</v>
      </c>
      <c r="X77" s="175">
        <f>W77+10/60</f>
        <v>12.199999999999967</v>
      </c>
      <c r="Y77" s="175"/>
    </row>
    <row r="78" spans="8:8" ht="15.3">
      <c r="B78" s="157" t="s">
        <v>4199</v>
      </c>
      <c r="C78" s="157" t="s">
        <v>4200</v>
      </c>
      <c r="D78" s="157" t="s">
        <v>4201</v>
      </c>
      <c r="E78" s="158">
        <v>104.0</v>
      </c>
      <c r="F78" s="159" t="s">
        <v>4202</v>
      </c>
      <c r="G78" s="156"/>
      <c r="I78" s="163">
        <v>71.0</v>
      </c>
      <c r="J78" s="168">
        <v>3.75</v>
      </c>
      <c r="L78" s="175" t="s">
        <v>1884</v>
      </c>
      <c r="M78" s="175">
        <v>1.0</v>
      </c>
      <c r="N78" s="175">
        <v>2.0</v>
      </c>
      <c r="O78" s="175"/>
      <c r="P78" s="175">
        <v>30.0</v>
      </c>
      <c r="Q78" s="175"/>
      <c r="R78" s="175" t="s">
        <v>5735</v>
      </c>
      <c r="S78" s="175" t="s">
        <v>5737</v>
      </c>
      <c r="T78" s="175">
        <v>12.0</v>
      </c>
      <c r="U78" s="175"/>
      <c r="V78" s="175"/>
      <c r="W78" s="175"/>
      <c r="X78" s="175"/>
      <c r="Y78" s="175"/>
    </row>
    <row r="79" spans="8:8" ht="15.3">
      <c r="B79" s="157" t="s">
        <v>4203</v>
      </c>
      <c r="C79" s="157" t="s">
        <v>4204</v>
      </c>
      <c r="D79" s="157" t="s">
        <v>4205</v>
      </c>
      <c r="E79" s="157">
        <v>105.217</v>
      </c>
      <c r="F79" s="159" t="s">
        <v>4206</v>
      </c>
      <c r="G79" s="156"/>
      <c r="I79" s="163">
        <v>72.0</v>
      </c>
      <c r="J79" s="163">
        <v>3.767</v>
      </c>
      <c r="L79" s="180" t="s">
        <v>1886</v>
      </c>
      <c r="M79" s="180">
        <v>2.0</v>
      </c>
      <c r="N79" s="180">
        <v>1.0</v>
      </c>
      <c r="O79" s="180"/>
      <c r="P79" s="180">
        <v>29.0</v>
      </c>
      <c r="Q79" s="180"/>
      <c r="R79" s="180"/>
      <c r="S79" s="180"/>
      <c r="T79" s="180"/>
      <c r="U79" s="180"/>
      <c r="V79" s="180"/>
      <c r="W79" s="180"/>
      <c r="X79" s="180"/>
      <c r="Y79" s="180"/>
    </row>
    <row r="80" spans="8:8" ht="15.3">
      <c r="B80" s="157" t="s">
        <v>4207</v>
      </c>
      <c r="C80" s="157" t="s">
        <v>4208</v>
      </c>
      <c r="D80" s="157" t="s">
        <v>4209</v>
      </c>
      <c r="E80" s="157">
        <v>103.767</v>
      </c>
      <c r="F80" s="159" t="s">
        <v>4210</v>
      </c>
      <c r="G80" s="156"/>
      <c r="I80" s="163">
        <v>73.0</v>
      </c>
      <c r="J80" s="163">
        <v>3.767</v>
      </c>
      <c r="L80" s="175" t="s">
        <v>1885</v>
      </c>
      <c r="M80" s="175">
        <v>4.0</v>
      </c>
      <c r="N80" s="175">
        <v>1.0</v>
      </c>
      <c r="O80" s="175"/>
      <c r="P80" s="175" t="s">
        <v>2063</v>
      </c>
      <c r="Q80" s="175"/>
      <c r="R80" s="175"/>
      <c r="S80" s="175"/>
      <c r="T80" s="175"/>
      <c r="U80" s="175"/>
      <c r="V80" s="175"/>
      <c r="W80" s="175"/>
      <c r="X80" s="175"/>
      <c r="Y80" s="175"/>
    </row>
    <row r="81" spans="8:8" ht="15.3">
      <c r="B81" s="157" t="s">
        <v>4211</v>
      </c>
      <c r="C81" s="157" t="s">
        <v>4212</v>
      </c>
      <c r="D81" s="157" t="s">
        <v>4213</v>
      </c>
      <c r="E81" s="157">
        <v>103.533</v>
      </c>
      <c r="F81" s="159" t="s">
        <v>4214</v>
      </c>
      <c r="G81" s="156"/>
      <c r="I81" s="163">
        <v>74.0</v>
      </c>
      <c r="J81" s="163">
        <v>3.783</v>
      </c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</row>
    <row r="82" spans="8:8" ht="15.3">
      <c r="B82" s="157" t="s">
        <v>4215</v>
      </c>
      <c r="C82" s="157" t="s">
        <v>4216</v>
      </c>
      <c r="D82" s="157" t="s">
        <v>4217</v>
      </c>
      <c r="E82" s="157">
        <v>103.067</v>
      </c>
      <c r="F82" s="159" t="s">
        <v>4218</v>
      </c>
      <c r="G82" s="156"/>
      <c r="I82" s="163">
        <v>75.0</v>
      </c>
      <c r="J82" s="168">
        <v>3.8</v>
      </c>
    </row>
    <row r="83" spans="8:8" ht="15.3">
      <c r="B83" s="157" t="s">
        <v>4219</v>
      </c>
      <c r="C83" s="157" t="s">
        <v>4220</v>
      </c>
      <c r="D83" s="157" t="s">
        <v>4221</v>
      </c>
      <c r="E83" s="157">
        <v>103.717</v>
      </c>
      <c r="F83" s="159" t="s">
        <v>4222</v>
      </c>
      <c r="G83" s="156"/>
      <c r="I83" s="163">
        <v>76.0</v>
      </c>
      <c r="J83" s="168">
        <v>3.8</v>
      </c>
    </row>
    <row r="84" spans="8:8" ht="15.7">
      <c r="B84" s="157" t="s">
        <v>4223</v>
      </c>
      <c r="C84" s="157" t="s">
        <v>4224</v>
      </c>
      <c r="D84" s="157" t="s">
        <v>4225</v>
      </c>
      <c r="E84" s="158">
        <v>104.75</v>
      </c>
      <c r="F84" s="159" t="s">
        <v>4226</v>
      </c>
      <c r="G84" s="156"/>
      <c r="I84" s="163">
        <v>77.0</v>
      </c>
      <c r="J84" s="168">
        <v>3.8</v>
      </c>
      <c r="U84"/>
    </row>
    <row r="85" spans="8:8" ht="15.3">
      <c r="B85" s="157" t="s">
        <v>4227</v>
      </c>
      <c r="C85" s="157" t="s">
        <v>4228</v>
      </c>
      <c r="D85" s="157" t="s">
        <v>4229</v>
      </c>
      <c r="E85" s="158">
        <v>104.75</v>
      </c>
      <c r="F85" s="159" t="s">
        <v>4230</v>
      </c>
      <c r="G85" s="156"/>
      <c r="I85" s="163">
        <v>78.0</v>
      </c>
      <c r="J85" s="163">
        <v>3.817</v>
      </c>
    </row>
    <row r="86" spans="8:8" ht="16.9">
      <c r="B86" s="157" t="s">
        <v>4231</v>
      </c>
      <c r="C86" s="157" t="s">
        <v>4232</v>
      </c>
      <c r="D86" s="157" t="s">
        <v>4233</v>
      </c>
      <c r="E86" s="158">
        <v>104.0</v>
      </c>
      <c r="F86" s="159" t="s">
        <v>4234</v>
      </c>
      <c r="G86" s="156"/>
      <c r="I86" s="163">
        <v>79.0</v>
      </c>
      <c r="J86" s="163">
        <v>3.817</v>
      </c>
      <c r="L86" s="181" t="s">
        <v>81</v>
      </c>
      <c r="M86" s="181">
        <v>1.0</v>
      </c>
      <c r="N86" s="181">
        <v>9.0</v>
      </c>
      <c r="O86" s="181">
        <v>0.0</v>
      </c>
      <c r="P86" s="182">
        <f>90-('FALAK 169'!CN5+N86+O86)</f>
        <v>71.0</v>
      </c>
      <c r="Q86" s="181" t="s">
        <v>5639</v>
      </c>
      <c r="R86" s="183"/>
      <c r="T86" s="184" t="s">
        <v>5920</v>
      </c>
      <c r="U86" s="184"/>
      <c r="V86" s="184"/>
      <c r="W86" s="184"/>
      <c r="X86" s="184"/>
      <c r="Y86" s="184"/>
    </row>
    <row r="87" spans="8:8" ht="16.9">
      <c r="B87" s="157" t="s">
        <v>4235</v>
      </c>
      <c r="C87" s="157" t="s">
        <v>4236</v>
      </c>
      <c r="D87" s="157" t="s">
        <v>4237</v>
      </c>
      <c r="E87" s="158">
        <v>104.6</v>
      </c>
      <c r="F87" s="159" t="s">
        <v>4238</v>
      </c>
      <c r="G87" s="156"/>
      <c r="I87" s="163">
        <v>80.0</v>
      </c>
      <c r="J87" s="163">
        <v>3.833</v>
      </c>
      <c r="L87" s="181" t="s">
        <v>84</v>
      </c>
      <c r="M87" s="181">
        <v>2.0</v>
      </c>
      <c r="N87" s="181">
        <v>10.0</v>
      </c>
      <c r="O87" s="181">
        <v>30.0</v>
      </c>
      <c r="P87" s="182">
        <f>90-('FALAK 169'!CN5+N87+O87)</f>
        <v>40.0</v>
      </c>
      <c r="Q87" s="181" t="s">
        <v>5639</v>
      </c>
      <c r="R87" s="183"/>
      <c r="T87" s="184" t="s">
        <v>5917</v>
      </c>
      <c r="U87" s="184">
        <f>VLOOKUP('FALAK 169'!CE5,'DATA 2'!B4:G426,6)</f>
        <v>6.617</v>
      </c>
      <c r="V87" s="185">
        <f>ROUND(U87,0)</f>
        <v>7.0</v>
      </c>
      <c r="W87" s="184"/>
      <c r="X87" s="184"/>
      <c r="Y87" s="184"/>
    </row>
    <row r="88" spans="8:8" ht="16.9">
      <c r="B88" s="157" t="s">
        <v>4239</v>
      </c>
      <c r="C88" s="157" t="s">
        <v>4240</v>
      </c>
      <c r="D88" s="157" t="s">
        <v>4241</v>
      </c>
      <c r="E88" s="157">
        <v>102.883</v>
      </c>
      <c r="F88" s="159" t="s">
        <v>4242</v>
      </c>
      <c r="G88" s="156"/>
      <c r="I88" s="163">
        <v>81.0</v>
      </c>
      <c r="J88" s="163">
        <v>3.833</v>
      </c>
      <c r="L88" s="181" t="s">
        <v>87</v>
      </c>
      <c r="M88" s="181">
        <v>3.0</v>
      </c>
      <c r="N88" s="181">
        <v>8.0</v>
      </c>
      <c r="O88" s="181">
        <v>60.0</v>
      </c>
      <c r="P88" s="182">
        <f>90-('FALAK 169'!CN5+N88+O88)</f>
        <v>12.0</v>
      </c>
      <c r="Q88" s="181" t="s">
        <v>5639</v>
      </c>
      <c r="R88" s="183"/>
    </row>
    <row r="89" spans="8:8" ht="16.9">
      <c r="B89" s="157" t="s">
        <v>4243</v>
      </c>
      <c r="C89" s="157" t="s">
        <v>4244</v>
      </c>
      <c r="D89" s="157" t="s">
        <v>4245</v>
      </c>
      <c r="E89" s="157">
        <v>104.033</v>
      </c>
      <c r="F89" s="159" t="s">
        <v>4246</v>
      </c>
      <c r="G89" s="156"/>
      <c r="I89" s="163">
        <v>82.0</v>
      </c>
      <c r="J89" s="168">
        <v>3.85</v>
      </c>
      <c r="L89" s="181" t="s">
        <v>52</v>
      </c>
      <c r="M89" s="181">
        <v>4.0</v>
      </c>
      <c r="N89" s="181">
        <v>10.0</v>
      </c>
      <c r="O89" s="181">
        <v>0.0</v>
      </c>
      <c r="P89" s="182">
        <f>90-('FALAK 169'!CN5+N89+O89)</f>
        <v>70.0</v>
      </c>
      <c r="Q89" s="181" t="s">
        <v>6074</v>
      </c>
      <c r="R89" s="183"/>
      <c r="U89"/>
    </row>
    <row r="90" spans="8:8" ht="16.9">
      <c r="B90" s="157" t="s">
        <v>4247</v>
      </c>
      <c r="C90" s="157" t="s">
        <v>4248</v>
      </c>
      <c r="D90" s="157" t="s">
        <v>4249</v>
      </c>
      <c r="E90" s="158">
        <v>102.7</v>
      </c>
      <c r="F90" s="159" t="s">
        <v>4250</v>
      </c>
      <c r="G90" s="156"/>
      <c r="I90" s="163">
        <v>83.0</v>
      </c>
      <c r="J90" s="168">
        <v>3.85</v>
      </c>
      <c r="L90" s="181" t="s">
        <v>56</v>
      </c>
      <c r="M90" s="181">
        <v>5.0</v>
      </c>
      <c r="N90" s="181">
        <v>9.0</v>
      </c>
      <c r="O90" s="181">
        <v>30.0</v>
      </c>
      <c r="P90" s="182">
        <f>90-('FALAK 169'!CN5+N90+O90)</f>
        <v>41.0</v>
      </c>
      <c r="Q90" s="181" t="s">
        <v>6074</v>
      </c>
      <c r="R90" s="183"/>
      <c r="U90"/>
    </row>
    <row r="91" spans="8:8" ht="16.9">
      <c r="B91" s="157" t="s">
        <v>4251</v>
      </c>
      <c r="C91" s="157" t="s">
        <v>4252</v>
      </c>
      <c r="D91" s="157" t="s">
        <v>4253</v>
      </c>
      <c r="E91" s="157">
        <v>103.033</v>
      </c>
      <c r="F91" s="159" t="s">
        <v>4254</v>
      </c>
      <c r="G91" s="156"/>
      <c r="I91" s="163">
        <v>84.0</v>
      </c>
      <c r="J91" s="168">
        <v>3.85</v>
      </c>
      <c r="L91" s="181" t="s">
        <v>59</v>
      </c>
      <c r="M91" s="181">
        <v>6.0</v>
      </c>
      <c r="N91" s="181">
        <v>9.0</v>
      </c>
      <c r="O91" s="181">
        <v>60.0</v>
      </c>
      <c r="P91" s="182">
        <f>90-('FALAK 169'!CN5+N91+O91)</f>
        <v>11.0</v>
      </c>
      <c r="Q91" s="181" t="s">
        <v>6074</v>
      </c>
      <c r="R91" s="183"/>
      <c r="U91"/>
    </row>
    <row r="92" spans="8:8" ht="16.9">
      <c r="B92" s="157" t="s">
        <v>4255</v>
      </c>
      <c r="C92" s="157" t="s">
        <v>4256</v>
      </c>
      <c r="D92" s="157" t="s">
        <v>4257</v>
      </c>
      <c r="E92" s="157">
        <v>102.667</v>
      </c>
      <c r="F92" s="159" t="s">
        <v>4258</v>
      </c>
      <c r="G92" s="156"/>
      <c r="I92" s="163">
        <v>85.0</v>
      </c>
      <c r="J92" s="163">
        <v>3.867</v>
      </c>
      <c r="L92" s="181" t="s">
        <v>62</v>
      </c>
      <c r="M92" s="181">
        <v>7.0</v>
      </c>
      <c r="N92" s="181">
        <v>7.0</v>
      </c>
      <c r="O92" s="181">
        <v>0.0</v>
      </c>
      <c r="P92" s="182">
        <f>90-('FALAK 169'!CN5+N92+O92)</f>
        <v>73.0</v>
      </c>
      <c r="Q92" s="181" t="s">
        <v>6074</v>
      </c>
      <c r="R92" s="183"/>
      <c r="U92"/>
    </row>
    <row r="93" spans="8:8" ht="16.9">
      <c r="B93" s="157" t="s">
        <v>4259</v>
      </c>
      <c r="C93" s="157" t="s">
        <v>4260</v>
      </c>
      <c r="D93" s="157" t="s">
        <v>4261</v>
      </c>
      <c r="E93" s="157">
        <v>101.967</v>
      </c>
      <c r="F93" s="159" t="s">
        <v>4262</v>
      </c>
      <c r="G93" s="156"/>
      <c r="I93" s="163">
        <v>86.0</v>
      </c>
      <c r="J93" s="163">
        <v>3.867</v>
      </c>
      <c r="L93" s="181" t="s">
        <v>65</v>
      </c>
      <c r="M93" s="181">
        <v>8.0</v>
      </c>
      <c r="N93" s="181">
        <v>7.0</v>
      </c>
      <c r="O93" s="181">
        <v>30.0</v>
      </c>
      <c r="P93" s="182">
        <f>90-('FALAK 169'!CN5+N93+O93)</f>
        <v>43.0</v>
      </c>
      <c r="Q93" s="181" t="s">
        <v>6074</v>
      </c>
      <c r="R93" s="183"/>
    </row>
    <row r="94" spans="8:8" ht="16.9">
      <c r="B94" s="157" t="s">
        <v>4263</v>
      </c>
      <c r="C94" s="157" t="s">
        <v>4264</v>
      </c>
      <c r="D94" s="157" t="s">
        <v>4265</v>
      </c>
      <c r="E94" s="158">
        <v>103.25</v>
      </c>
      <c r="F94" s="159" t="s">
        <v>4266</v>
      </c>
      <c r="G94" s="156"/>
      <c r="I94" s="163">
        <v>87.0</v>
      </c>
      <c r="J94" s="163">
        <v>3.867</v>
      </c>
      <c r="L94" s="181" t="s">
        <v>68</v>
      </c>
      <c r="M94" s="181">
        <v>9.0</v>
      </c>
      <c r="N94" s="181">
        <v>7.0</v>
      </c>
      <c r="O94" s="181">
        <v>60.0</v>
      </c>
      <c r="P94" s="182">
        <f>90-('FALAK 169'!CN5+N94+O94)</f>
        <v>13.0</v>
      </c>
      <c r="Q94" s="181" t="s">
        <v>6074</v>
      </c>
      <c r="R94" s="183"/>
    </row>
    <row r="95" spans="8:8" ht="16.9">
      <c r="B95" s="157" t="s">
        <v>4267</v>
      </c>
      <c r="C95" s="157" t="s">
        <v>4268</v>
      </c>
      <c r="D95" s="157" t="s">
        <v>4269</v>
      </c>
      <c r="E95" s="158">
        <v>102.7</v>
      </c>
      <c r="F95" s="159" t="s">
        <v>4270</v>
      </c>
      <c r="G95" s="156"/>
      <c r="I95" s="163">
        <v>88.0</v>
      </c>
      <c r="J95" s="163">
        <v>3.867</v>
      </c>
      <c r="L95" s="181" t="s">
        <v>71</v>
      </c>
      <c r="M95" s="181">
        <v>10.0</v>
      </c>
      <c r="N95" s="181">
        <v>6.0</v>
      </c>
      <c r="O95" s="181">
        <v>0.0</v>
      </c>
      <c r="P95" s="182">
        <f>90-('FALAK 169'!CN5+N95+O95)</f>
        <v>74.0</v>
      </c>
      <c r="Q95" s="181" t="s">
        <v>5639</v>
      </c>
      <c r="R95" s="183"/>
    </row>
    <row r="96" spans="8:8" ht="16.9">
      <c r="B96" s="157" t="s">
        <v>4271</v>
      </c>
      <c r="C96" s="157" t="s">
        <v>4272</v>
      </c>
      <c r="D96" s="157" t="s">
        <v>4273</v>
      </c>
      <c r="E96" s="157">
        <v>101.117</v>
      </c>
      <c r="F96" s="159" t="s">
        <v>4274</v>
      </c>
      <c r="G96" s="156"/>
      <c r="I96" s="163">
        <v>89.0</v>
      </c>
      <c r="J96" s="163">
        <v>3.867</v>
      </c>
      <c r="L96" s="181" t="s">
        <v>2009</v>
      </c>
      <c r="M96" s="181">
        <v>11.0</v>
      </c>
      <c r="N96" s="181">
        <v>7.0</v>
      </c>
      <c r="O96" s="181">
        <v>30.0</v>
      </c>
      <c r="P96" s="182">
        <f>90-('FALAK 169'!CN5+N96+O96)</f>
        <v>43.0</v>
      </c>
      <c r="Q96" s="181" t="s">
        <v>5639</v>
      </c>
      <c r="R96" s="183"/>
    </row>
    <row r="97" spans="8:8" ht="16.9">
      <c r="B97" s="157" t="s">
        <v>4275</v>
      </c>
      <c r="C97" s="157" t="s">
        <v>4276</v>
      </c>
      <c r="D97" s="157" t="s">
        <v>4277</v>
      </c>
      <c r="E97" s="158">
        <v>102.2</v>
      </c>
      <c r="F97" s="159" t="s">
        <v>4278</v>
      </c>
      <c r="G97" s="156"/>
      <c r="I97" s="163">
        <v>90.0</v>
      </c>
      <c r="J97" s="163">
        <v>3.867</v>
      </c>
      <c r="L97" s="181" t="s">
        <v>78</v>
      </c>
      <c r="M97" s="181">
        <v>12.0</v>
      </c>
      <c r="N97" s="181">
        <v>7.0</v>
      </c>
      <c r="O97" s="181">
        <v>60.0</v>
      </c>
      <c r="P97" s="182">
        <f>90-('FALAK 169'!CN5+N97+O97)</f>
        <v>13.0</v>
      </c>
      <c r="Q97" s="181" t="s">
        <v>5639</v>
      </c>
      <c r="R97" s="183"/>
    </row>
    <row r="98" spans="8:8" ht="15.3">
      <c r="B98" s="157" t="s">
        <v>4279</v>
      </c>
      <c r="C98" s="157" t="s">
        <v>4280</v>
      </c>
      <c r="D98" s="157" t="s">
        <v>4281</v>
      </c>
      <c r="E98" s="158">
        <v>102.7</v>
      </c>
      <c r="F98" s="159" t="s">
        <v>4282</v>
      </c>
      <c r="G98" s="156"/>
      <c r="I98" s="163">
        <v>91.0</v>
      </c>
      <c r="J98" s="163">
        <v>3.867</v>
      </c>
    </row>
    <row r="99" spans="8:8" ht="15.3">
      <c r="B99" s="157" t="s">
        <v>4283</v>
      </c>
      <c r="C99" s="157" t="s">
        <v>4284</v>
      </c>
      <c r="D99" s="157" t="s">
        <v>4285</v>
      </c>
      <c r="E99" s="157">
        <v>102.383</v>
      </c>
      <c r="F99" s="159" t="s">
        <v>4286</v>
      </c>
      <c r="G99" s="156"/>
      <c r="I99" s="163">
        <v>92.0</v>
      </c>
      <c r="J99" s="163">
        <v>3.867</v>
      </c>
    </row>
    <row r="100" spans="8:8" ht="14.8">
      <c r="B100" s="157" t="s">
        <v>4287</v>
      </c>
      <c r="C100" s="157" t="s">
        <v>4288</v>
      </c>
      <c r="D100" s="157" t="s">
        <v>4289</v>
      </c>
      <c r="E100" s="157">
        <v>105.533</v>
      </c>
      <c r="F100" s="159" t="s">
        <v>4290</v>
      </c>
      <c r="G100" s="156"/>
      <c r="I100" s="163">
        <v>93.0</v>
      </c>
      <c r="J100" s="163">
        <v>3.867</v>
      </c>
      <c r="L100" s="186">
        <v>3.0</v>
      </c>
      <c r="M100" s="186">
        <v>47.0</v>
      </c>
      <c r="N100" s="187">
        <f>L100+M100/60</f>
        <v>3.783333333333333</v>
      </c>
    </row>
    <row r="101" spans="8:8" ht="15.3">
      <c r="B101" s="157" t="s">
        <v>4291</v>
      </c>
      <c r="C101" s="157" t="s">
        <v>4292</v>
      </c>
      <c r="D101" s="157" t="s">
        <v>4293</v>
      </c>
      <c r="E101" s="158">
        <v>105.3</v>
      </c>
      <c r="F101" s="159" t="s">
        <v>4294</v>
      </c>
      <c r="G101" s="156"/>
      <c r="I101" s="163">
        <v>94.0</v>
      </c>
      <c r="J101" s="163">
        <v>3.867</v>
      </c>
      <c r="L101" s="186"/>
      <c r="M101" s="186"/>
      <c r="N101" s="186"/>
      <c r="P101"/>
    </row>
    <row r="102" spans="8:8" ht="15.3">
      <c r="B102" s="157" t="s">
        <v>4295</v>
      </c>
      <c r="C102" s="157" t="s">
        <v>4296</v>
      </c>
      <c r="D102" s="157" t="s">
        <v>4297</v>
      </c>
      <c r="E102" s="158">
        <v>104.75</v>
      </c>
      <c r="F102" s="159" t="s">
        <v>4298</v>
      </c>
      <c r="G102" s="156"/>
      <c r="I102" s="163">
        <v>95.0</v>
      </c>
      <c r="J102" s="163">
        <v>3.867</v>
      </c>
      <c r="L102" s="186"/>
      <c r="M102" s="186"/>
      <c r="N102" s="186"/>
      <c r="P102"/>
    </row>
    <row r="103" spans="8:8" ht="15.3">
      <c r="B103" s="157" t="s">
        <v>4299</v>
      </c>
      <c r="C103" s="157" t="s">
        <v>4300</v>
      </c>
      <c r="D103" s="157" t="s">
        <v>4301</v>
      </c>
      <c r="E103" s="157">
        <v>104.133</v>
      </c>
      <c r="F103" s="159" t="s">
        <v>4302</v>
      </c>
      <c r="G103" s="156"/>
      <c r="I103" s="163">
        <v>96.0</v>
      </c>
      <c r="J103" s="163">
        <v>3.867</v>
      </c>
      <c r="L103" s="186"/>
      <c r="M103" s="186"/>
      <c r="N103" s="186"/>
    </row>
    <row r="104" spans="8:8" ht="15.3">
      <c r="B104" s="157" t="s">
        <v>4303</v>
      </c>
      <c r="C104" s="157" t="s">
        <v>4304</v>
      </c>
      <c r="D104" s="157" t="s">
        <v>4305</v>
      </c>
      <c r="E104" s="158">
        <v>105.5</v>
      </c>
      <c r="F104" s="159" t="s">
        <v>4306</v>
      </c>
      <c r="G104" s="156"/>
      <c r="I104" s="163">
        <v>97.0</v>
      </c>
      <c r="J104" s="163">
        <v>3.867</v>
      </c>
    </row>
    <row r="105" spans="8:8" ht="15.3">
      <c r="B105" s="157" t="s">
        <v>4307</v>
      </c>
      <c r="C105" s="157" t="s">
        <v>4308</v>
      </c>
      <c r="D105" s="157" t="s">
        <v>4309</v>
      </c>
      <c r="E105" s="158">
        <v>104.55</v>
      </c>
      <c r="F105" s="159" t="s">
        <v>4310</v>
      </c>
      <c r="G105" s="156"/>
      <c r="I105" s="163">
        <v>98.0</v>
      </c>
      <c r="J105" s="163">
        <v>3.867</v>
      </c>
      <c r="L105" s="139"/>
      <c r="M105" s="139"/>
      <c r="N105" s="139"/>
    </row>
    <row r="106" spans="8:8" ht="14.8">
      <c r="B106" s="157" t="s">
        <v>4311</v>
      </c>
      <c r="C106" s="157" t="s">
        <v>4312</v>
      </c>
      <c r="D106" s="157" t="s">
        <v>4313</v>
      </c>
      <c r="E106" s="157">
        <v>105.683</v>
      </c>
      <c r="F106" s="159" t="s">
        <v>4314</v>
      </c>
      <c r="G106" s="156"/>
      <c r="I106" s="163">
        <v>99.0</v>
      </c>
      <c r="J106" s="163">
        <v>3.867</v>
      </c>
      <c r="L106" s="139">
        <v>106.817</v>
      </c>
      <c r="M106" s="139">
        <f>'FALAK 169'!CH5</f>
        <v>106.633</v>
      </c>
      <c r="N106" s="139"/>
    </row>
    <row r="107" spans="8:8" ht="15.3">
      <c r="B107" s="157" t="s">
        <v>4315</v>
      </c>
      <c r="C107" s="157" t="s">
        <v>4316</v>
      </c>
      <c r="D107" s="157" t="s">
        <v>4317</v>
      </c>
      <c r="E107" s="158">
        <v>104.55</v>
      </c>
      <c r="F107" s="159" t="s">
        <v>4318</v>
      </c>
      <c r="G107" s="156"/>
      <c r="I107" s="163">
        <v>100.0</v>
      </c>
      <c r="J107" s="163">
        <v>3.867</v>
      </c>
      <c r="L107" s="139">
        <f>(L106-M106)/15</f>
        <v>0.0122666666666665</v>
      </c>
      <c r="M107" s="139"/>
      <c r="N107" s="139"/>
    </row>
    <row r="108" spans="8:8" ht="14.8">
      <c r="B108" s="157" t="s">
        <v>4319</v>
      </c>
      <c r="C108" s="157" t="s">
        <v>4320</v>
      </c>
      <c r="D108" s="157" t="s">
        <v>4321</v>
      </c>
      <c r="E108" s="157">
        <v>105.067</v>
      </c>
      <c r="F108" s="159" t="s">
        <v>4322</v>
      </c>
      <c r="G108" s="156"/>
      <c r="I108" s="163">
        <v>101.0</v>
      </c>
      <c r="J108" s="168">
        <v>3.85</v>
      </c>
      <c r="L108" s="139">
        <v>12.0</v>
      </c>
      <c r="M108" s="139">
        <f>L108+L107</f>
        <v>12.012266666666667</v>
      </c>
      <c r="N108" s="139"/>
    </row>
    <row r="109" spans="8:8" ht="14.8">
      <c r="B109" s="157" t="s">
        <v>4323</v>
      </c>
      <c r="C109" s="157" t="s">
        <v>4324</v>
      </c>
      <c r="D109" s="157" t="s">
        <v>4325</v>
      </c>
      <c r="E109" s="157">
        <v>104.983</v>
      </c>
      <c r="F109" s="159" t="s">
        <v>4326</v>
      </c>
      <c r="G109" s="156"/>
      <c r="I109" s="163">
        <v>102.0</v>
      </c>
      <c r="J109" s="168">
        <v>3.85</v>
      </c>
      <c r="L109" s="139">
        <v>6.183</v>
      </c>
      <c r="M109" s="139">
        <f>'FALAK 169'!CK5</f>
        <v>6.617</v>
      </c>
      <c r="N109" s="139"/>
    </row>
    <row r="110" spans="8:8" ht="14.8">
      <c r="B110" s="157" t="s">
        <v>4327</v>
      </c>
      <c r="C110" s="157" t="s">
        <v>4328</v>
      </c>
      <c r="D110" s="157" t="s">
        <v>4329</v>
      </c>
      <c r="E110" s="158">
        <v>105.3</v>
      </c>
      <c r="F110" s="159" t="s">
        <v>4330</v>
      </c>
      <c r="G110" s="156"/>
      <c r="I110" s="163">
        <v>103.0</v>
      </c>
      <c r="J110" s="168">
        <v>3.85</v>
      </c>
      <c r="L110" s="139"/>
      <c r="M110" s="139">
        <f>ABS(L109-M109)/60</f>
        <v>0.007233333333333336</v>
      </c>
      <c r="N110" s="139" t="str">
        <f>TEXT(M110/24,"hh:mm:ss")</f>
        <v>00:00:26</v>
      </c>
    </row>
    <row r="111" spans="8:8" ht="15.3">
      <c r="B111" s="157" t="s">
        <v>4331</v>
      </c>
      <c r="C111" s="157" t="s">
        <v>4332</v>
      </c>
      <c r="D111" s="157" t="s">
        <v>4333</v>
      </c>
      <c r="E111" s="157">
        <v>105.067</v>
      </c>
      <c r="F111" s="159" t="s">
        <v>4334</v>
      </c>
      <c r="G111" s="156"/>
      <c r="I111" s="163">
        <v>104.0</v>
      </c>
      <c r="J111" s="163">
        <v>3.883</v>
      </c>
    </row>
    <row r="112" spans="8:8" ht="15.3">
      <c r="B112" s="157" t="s">
        <v>4335</v>
      </c>
      <c r="C112" s="157" t="s">
        <v>4336</v>
      </c>
      <c r="D112" s="157" t="s">
        <v>4337</v>
      </c>
      <c r="E112" s="157">
        <v>104.117</v>
      </c>
      <c r="F112" s="159" t="s">
        <v>4338</v>
      </c>
      <c r="G112" s="156"/>
      <c r="I112" s="163">
        <v>105.0</v>
      </c>
      <c r="J112" s="163">
        <v>3.883</v>
      </c>
    </row>
    <row r="113" spans="8:8" ht="15.3">
      <c r="B113" s="157" t="s">
        <v>4339</v>
      </c>
      <c r="C113" s="157" t="s">
        <v>4340</v>
      </c>
      <c r="D113" s="157" t="s">
        <v>4341</v>
      </c>
      <c r="E113" s="157">
        <v>105.917</v>
      </c>
      <c r="F113" s="159" t="s">
        <v>4342</v>
      </c>
      <c r="G113" s="156"/>
      <c r="I113" s="163">
        <v>106.0</v>
      </c>
      <c r="J113" s="163">
        <v>3.817</v>
      </c>
    </row>
    <row r="114" spans="8:8" ht="15.3">
      <c r="B114" s="157" t="s">
        <v>4343</v>
      </c>
      <c r="C114" s="157" t="s">
        <v>4344</v>
      </c>
      <c r="D114" s="157" t="s">
        <v>4345</v>
      </c>
      <c r="E114" s="158">
        <v>107.95</v>
      </c>
      <c r="F114" s="159" t="s">
        <v>4346</v>
      </c>
      <c r="G114" s="156"/>
      <c r="I114" s="163">
        <v>107.0</v>
      </c>
      <c r="J114" s="168">
        <v>3.8</v>
      </c>
    </row>
    <row r="115" spans="8:8" ht="15.3">
      <c r="B115" s="157" t="s">
        <v>4347</v>
      </c>
      <c r="C115" s="157" t="s">
        <v>4348</v>
      </c>
      <c r="D115" s="157" t="s">
        <v>4349</v>
      </c>
      <c r="E115" s="157">
        <v>106.433</v>
      </c>
      <c r="F115" s="159" t="s">
        <v>4350</v>
      </c>
      <c r="G115" s="156"/>
      <c r="I115" s="163">
        <v>108.0</v>
      </c>
      <c r="J115" s="168">
        <v>3.8</v>
      </c>
    </row>
    <row r="116" spans="8:8" ht="15.3">
      <c r="B116" s="157" t="s">
        <v>4351</v>
      </c>
      <c r="C116" s="157" t="s">
        <v>4352</v>
      </c>
      <c r="D116" s="157" t="s">
        <v>4353</v>
      </c>
      <c r="E116" s="158">
        <v>106.2</v>
      </c>
      <c r="F116" s="159" t="s">
        <v>4354</v>
      </c>
      <c r="G116" s="156"/>
      <c r="I116" s="163">
        <v>109.0</v>
      </c>
      <c r="J116" s="163">
        <v>3.783</v>
      </c>
    </row>
    <row r="117" spans="8:8" ht="15.3">
      <c r="B117" s="157" t="s">
        <v>4355</v>
      </c>
      <c r="C117" s="157" t="s">
        <v>4356</v>
      </c>
      <c r="D117" s="157" t="s">
        <v>4357</v>
      </c>
      <c r="E117" s="158">
        <v>105.5</v>
      </c>
      <c r="F117" s="159" t="s">
        <v>4358</v>
      </c>
      <c r="G117" s="156"/>
      <c r="I117" s="163">
        <v>110.0</v>
      </c>
      <c r="J117" s="163">
        <v>3.783</v>
      </c>
    </row>
    <row r="118" spans="8:8" ht="15.3">
      <c r="B118" s="157" t="s">
        <v>4359</v>
      </c>
      <c r="C118" s="157" t="s">
        <v>4360</v>
      </c>
      <c r="D118" s="157" t="s">
        <v>4361</v>
      </c>
      <c r="E118" s="157">
        <v>108.133</v>
      </c>
      <c r="F118" s="159" t="s">
        <v>4362</v>
      </c>
      <c r="G118" s="156"/>
      <c r="I118" s="163">
        <v>111.0</v>
      </c>
      <c r="J118" s="163">
        <v>3.767</v>
      </c>
    </row>
    <row r="119" spans="8:8" ht="15.3">
      <c r="B119" s="157" t="s">
        <v>4363</v>
      </c>
      <c r="C119" s="157" t="s">
        <v>4364</v>
      </c>
      <c r="D119" s="157" t="s">
        <v>4365</v>
      </c>
      <c r="E119" s="157">
        <v>104.417</v>
      </c>
      <c r="F119" s="159" t="s">
        <v>4366</v>
      </c>
      <c r="G119" s="156"/>
      <c r="I119" s="163">
        <v>112.0</v>
      </c>
      <c r="J119" s="168">
        <v>3.75</v>
      </c>
    </row>
    <row r="120" spans="8:8" ht="15.3">
      <c r="B120" s="157" t="s">
        <v>4367</v>
      </c>
      <c r="C120" s="157" t="s">
        <v>4368</v>
      </c>
      <c r="D120" s="157" t="s">
        <v>4369</v>
      </c>
      <c r="E120" s="158">
        <v>103.4</v>
      </c>
      <c r="F120" s="159" t="s">
        <v>4370</v>
      </c>
      <c r="G120" s="156"/>
      <c r="I120" s="163">
        <v>113.0</v>
      </c>
      <c r="J120" s="168">
        <v>3.75</v>
      </c>
    </row>
    <row r="121" spans="8:8" ht="15.3">
      <c r="B121" s="157" t="s">
        <v>4371</v>
      </c>
      <c r="C121" s="157" t="s">
        <v>4372</v>
      </c>
      <c r="D121" s="157" t="s">
        <v>4373</v>
      </c>
      <c r="E121" s="158">
        <v>108.25</v>
      </c>
      <c r="F121" s="159" t="s">
        <v>4374</v>
      </c>
      <c r="G121" s="156"/>
      <c r="I121" s="163">
        <v>114.0</v>
      </c>
      <c r="J121" s="163">
        <v>3.733</v>
      </c>
    </row>
    <row r="122" spans="8:8" ht="15.3">
      <c r="B122" s="157" t="s">
        <v>4375</v>
      </c>
      <c r="C122" s="157" t="s">
        <v>4376</v>
      </c>
      <c r="D122" s="157" t="s">
        <v>4377</v>
      </c>
      <c r="E122" s="157">
        <v>104.417</v>
      </c>
      <c r="F122" s="159" t="s">
        <v>4378</v>
      </c>
      <c r="G122" s="156"/>
      <c r="I122" s="163">
        <v>115.0</v>
      </c>
      <c r="J122" s="163">
        <v>3.717</v>
      </c>
    </row>
    <row r="123" spans="8:8" ht="15.3">
      <c r="B123" s="157" t="s">
        <v>4379</v>
      </c>
      <c r="C123" s="157" t="s">
        <v>4380</v>
      </c>
      <c r="D123" s="157" t="s">
        <v>4381</v>
      </c>
      <c r="E123" s="158">
        <v>105.65</v>
      </c>
      <c r="F123" s="159" t="s">
        <v>4382</v>
      </c>
      <c r="G123" s="156"/>
      <c r="I123" s="163">
        <v>116.0</v>
      </c>
      <c r="J123" s="163">
        <v>3.717</v>
      </c>
    </row>
    <row r="124" spans="8:8" ht="15.3">
      <c r="B124" s="157" t="s">
        <v>4383</v>
      </c>
      <c r="C124" s="157" t="s">
        <v>4384</v>
      </c>
      <c r="D124" s="157" t="s">
        <v>4385</v>
      </c>
      <c r="E124" s="157">
        <v>106.583</v>
      </c>
      <c r="F124" s="159" t="s">
        <v>4386</v>
      </c>
      <c r="G124" s="156"/>
      <c r="I124" s="163">
        <v>117.0</v>
      </c>
      <c r="J124" s="168">
        <v>3.7</v>
      </c>
    </row>
    <row r="125" spans="8:8" ht="15.3">
      <c r="B125" s="157" t="s">
        <v>4387</v>
      </c>
      <c r="C125" s="157" t="s">
        <v>4388</v>
      </c>
      <c r="D125" s="157" t="s">
        <v>4389</v>
      </c>
      <c r="E125" s="158">
        <v>106.8</v>
      </c>
      <c r="F125" s="159" t="s">
        <v>4390</v>
      </c>
      <c r="G125" s="156"/>
      <c r="I125" s="163">
        <v>118.0</v>
      </c>
      <c r="J125" s="163">
        <v>3.683</v>
      </c>
    </row>
    <row r="126" spans="8:8" ht="15.3">
      <c r="B126" s="157" t="s">
        <v>4391</v>
      </c>
      <c r="C126" s="157" t="s">
        <v>4392</v>
      </c>
      <c r="D126" s="157" t="s">
        <v>4393</v>
      </c>
      <c r="E126" s="157">
        <v>106.917</v>
      </c>
      <c r="F126" s="159" t="s">
        <v>4394</v>
      </c>
      <c r="G126" s="156"/>
      <c r="I126" s="163">
        <v>119.0</v>
      </c>
      <c r="J126" s="168">
        <v>3.66</v>
      </c>
    </row>
    <row r="127" spans="8:8" ht="16.6">
      <c r="B127" s="157" t="s">
        <v>4395</v>
      </c>
      <c r="C127" s="157" t="s">
        <v>4396</v>
      </c>
      <c r="D127" s="157" t="s">
        <v>4397</v>
      </c>
      <c r="E127" s="157">
        <v>107.133</v>
      </c>
      <c r="F127" s="159" t="s">
        <v>4398</v>
      </c>
      <c r="G127" s="156">
        <v>6.817</v>
      </c>
      <c r="I127" s="163">
        <v>120.0</v>
      </c>
      <c r="J127" s="168">
        <v>3.65</v>
      </c>
    </row>
    <row r="128" spans="8:8" ht="15.3">
      <c r="B128" s="157" t="s">
        <v>4399</v>
      </c>
      <c r="C128" s="157" t="s">
        <v>4400</v>
      </c>
      <c r="D128" s="157" t="s">
        <v>4401</v>
      </c>
      <c r="E128" s="157">
        <v>107.617</v>
      </c>
      <c r="F128" s="159" t="s">
        <v>4402</v>
      </c>
      <c r="G128" s="156"/>
      <c r="I128" s="163">
        <v>121.0</v>
      </c>
      <c r="J128" s="163">
        <v>3.633</v>
      </c>
    </row>
    <row r="129" spans="8:8" ht="15.3">
      <c r="B129" s="157" t="s">
        <v>4403</v>
      </c>
      <c r="C129" s="157" t="s">
        <v>4404</v>
      </c>
      <c r="D129" s="157" t="s">
        <v>4405</v>
      </c>
      <c r="E129" s="158">
        <v>107.9</v>
      </c>
      <c r="F129" s="159" t="s">
        <v>4406</v>
      </c>
      <c r="G129" s="156"/>
      <c r="I129" s="163">
        <v>122.0</v>
      </c>
      <c r="J129" s="163">
        <v>3.617</v>
      </c>
    </row>
    <row r="130" spans="8:8" ht="15.3">
      <c r="B130" s="157" t="s">
        <v>4407</v>
      </c>
      <c r="C130" s="157" t="s">
        <v>4408</v>
      </c>
      <c r="D130" s="157" t="s">
        <v>4409</v>
      </c>
      <c r="E130" s="157">
        <v>108.217</v>
      </c>
      <c r="F130" s="159" t="s">
        <v>4410</v>
      </c>
      <c r="G130" s="156"/>
      <c r="I130" s="163">
        <v>123.0</v>
      </c>
      <c r="J130" s="168">
        <v>3.6</v>
      </c>
    </row>
    <row r="131" spans="8:8" ht="15.3">
      <c r="B131" s="157" t="s">
        <v>4411</v>
      </c>
      <c r="C131" s="157" t="s">
        <v>4412</v>
      </c>
      <c r="D131" s="157" t="s">
        <v>4413</v>
      </c>
      <c r="E131" s="157">
        <v>108.317</v>
      </c>
      <c r="F131" s="159" t="s">
        <v>4414</v>
      </c>
      <c r="G131" s="156"/>
      <c r="I131" s="163">
        <v>124.0</v>
      </c>
      <c r="J131" s="163">
        <v>3.583</v>
      </c>
    </row>
    <row r="132" spans="8:8" ht="15.3">
      <c r="B132" s="157" t="s">
        <v>4415</v>
      </c>
      <c r="C132" s="157" t="s">
        <v>4416</v>
      </c>
      <c r="D132" s="157" t="s">
        <v>4417</v>
      </c>
      <c r="E132" s="157">
        <v>108.483</v>
      </c>
      <c r="F132" s="159" t="s">
        <v>4418</v>
      </c>
      <c r="G132" s="156"/>
      <c r="I132" s="163">
        <v>125.0</v>
      </c>
      <c r="J132" s="163">
        <v>3.567</v>
      </c>
    </row>
    <row r="133" spans="8:8" ht="15.3">
      <c r="B133" s="157" t="s">
        <v>4419</v>
      </c>
      <c r="C133" s="157" t="s">
        <v>4420</v>
      </c>
      <c r="D133" s="157" t="s">
        <v>4421</v>
      </c>
      <c r="E133" s="158">
        <v>108.55</v>
      </c>
      <c r="F133" s="159" t="s">
        <v>4422</v>
      </c>
      <c r="G133" s="156"/>
      <c r="I133" s="163">
        <v>126.0</v>
      </c>
      <c r="J133" s="168">
        <v>3.55</v>
      </c>
    </row>
    <row r="134" spans="8:8" ht="15.3">
      <c r="B134" s="157" t="s">
        <v>4423</v>
      </c>
      <c r="C134" s="157" t="s">
        <v>4424</v>
      </c>
      <c r="D134" s="157" t="s">
        <v>4425</v>
      </c>
      <c r="E134" s="157">
        <v>108.217</v>
      </c>
      <c r="F134" s="159" t="s">
        <v>4426</v>
      </c>
      <c r="G134" s="156"/>
      <c r="I134" s="163">
        <v>127.0</v>
      </c>
      <c r="J134" s="163">
        <v>3.533</v>
      </c>
    </row>
    <row r="135" spans="8:8" ht="15.3">
      <c r="B135" s="157" t="s">
        <v>4427</v>
      </c>
      <c r="C135" s="157" t="s">
        <v>4428</v>
      </c>
      <c r="D135" s="157" t="s">
        <v>4429</v>
      </c>
      <c r="E135" s="157">
        <v>107.917</v>
      </c>
      <c r="F135" s="159" t="s">
        <v>4430</v>
      </c>
      <c r="G135" s="156"/>
      <c r="I135" s="163">
        <v>128.0</v>
      </c>
      <c r="J135" s="168">
        <v>3.5</v>
      </c>
    </row>
    <row r="136" spans="8:8" ht="15.3">
      <c r="B136" s="157" t="s">
        <v>4431</v>
      </c>
      <c r="C136" s="157" t="s">
        <v>4432</v>
      </c>
      <c r="D136" s="157" t="s">
        <v>4433</v>
      </c>
      <c r="E136" s="157">
        <v>108.317</v>
      </c>
      <c r="F136" s="159" t="s">
        <v>4434</v>
      </c>
      <c r="G136" s="156"/>
      <c r="I136" s="163">
        <v>129.0</v>
      </c>
      <c r="J136" s="163">
        <v>3.483</v>
      </c>
    </row>
    <row r="137" spans="8:8" ht="15.3">
      <c r="B137" s="157" t="s">
        <v>4435</v>
      </c>
      <c r="C137" s="157" t="s">
        <v>4436</v>
      </c>
      <c r="D137" s="157" t="s">
        <v>4437</v>
      </c>
      <c r="E137" s="158">
        <v>107.75</v>
      </c>
      <c r="F137" s="159" t="s">
        <v>4438</v>
      </c>
      <c r="G137" s="156"/>
      <c r="I137" s="163">
        <v>130.0</v>
      </c>
      <c r="J137" s="163">
        <v>3.467</v>
      </c>
    </row>
    <row r="138" spans="8:8" ht="15.3">
      <c r="B138" s="157" t="s">
        <v>4439</v>
      </c>
      <c r="C138" s="157" t="s">
        <v>4440</v>
      </c>
      <c r="D138" s="157" t="s">
        <v>4441</v>
      </c>
      <c r="E138" s="157">
        <v>107.433</v>
      </c>
      <c r="F138" s="159" t="s">
        <v>4442</v>
      </c>
      <c r="G138" s="156"/>
      <c r="I138" s="163">
        <v>131.0</v>
      </c>
      <c r="J138" s="168">
        <v>3.45</v>
      </c>
    </row>
    <row r="139" spans="8:8" ht="15.3">
      <c r="B139" s="157" t="s">
        <v>4443</v>
      </c>
      <c r="C139" s="157" t="s">
        <v>4444</v>
      </c>
      <c r="D139" s="157" t="s">
        <v>4445</v>
      </c>
      <c r="E139" s="157">
        <v>107.283</v>
      </c>
      <c r="F139" s="159" t="s">
        <v>4446</v>
      </c>
      <c r="G139" s="156"/>
      <c r="I139" s="163">
        <v>132.0</v>
      </c>
      <c r="J139" s="163">
        <v>3.417</v>
      </c>
    </row>
    <row r="140" spans="8:8" ht="15.3">
      <c r="B140" s="157" t="s">
        <v>4447</v>
      </c>
      <c r="C140" s="157" t="s">
        <v>4448</v>
      </c>
      <c r="D140" s="157" t="s">
        <v>4449</v>
      </c>
      <c r="E140" s="157">
        <v>106.967</v>
      </c>
      <c r="F140" s="159" t="s">
        <v>4450</v>
      </c>
      <c r="G140" s="156"/>
      <c r="I140" s="163">
        <v>133.0</v>
      </c>
      <c r="J140" s="168">
        <v>3.4</v>
      </c>
    </row>
    <row r="141" spans="8:8" ht="15.3">
      <c r="B141" s="157" t="s">
        <v>4451</v>
      </c>
      <c r="C141" s="157" t="s">
        <v>4452</v>
      </c>
      <c r="D141" s="157" t="s">
        <v>4453</v>
      </c>
      <c r="E141" s="157">
        <v>107.483</v>
      </c>
      <c r="F141" s="188" t="s">
        <v>4454</v>
      </c>
      <c r="G141" s="156"/>
      <c r="I141" s="189">
        <v>134.0</v>
      </c>
      <c r="J141" s="189">
        <v>3.367</v>
      </c>
    </row>
    <row r="142" spans="8:8" ht="17.35">
      <c r="B142" s="157" t="s">
        <v>4455</v>
      </c>
      <c r="C142" s="157" t="s">
        <v>4456</v>
      </c>
      <c r="D142" s="157" t="s">
        <v>4457</v>
      </c>
      <c r="E142" s="190">
        <v>109.017</v>
      </c>
      <c r="F142" s="191" t="s">
        <v>5528</v>
      </c>
      <c r="G142" s="192">
        <f>MAX(E142:E170)</f>
        <v>111.417</v>
      </c>
      <c r="H142" s="193"/>
      <c r="I142" s="194">
        <v>135.0</v>
      </c>
      <c r="J142" s="195">
        <v>3.35</v>
      </c>
    </row>
    <row r="143" spans="8:8" ht="17.35">
      <c r="B143" s="157" t="s">
        <v>4459</v>
      </c>
      <c r="C143" s="157" t="s">
        <v>4460</v>
      </c>
      <c r="D143" s="157" t="s">
        <v>4461</v>
      </c>
      <c r="E143" s="190">
        <v>109.133</v>
      </c>
      <c r="F143" s="191" t="s">
        <v>5528</v>
      </c>
      <c r="G143" s="192">
        <f>MIN(E142:E170)</f>
        <v>109.017</v>
      </c>
      <c r="I143" s="196">
        <v>136.0</v>
      </c>
      <c r="J143" s="196">
        <v>3.317</v>
      </c>
    </row>
    <row r="144" spans="8:8" ht="15.3">
      <c r="B144" s="157" t="s">
        <v>4462</v>
      </c>
      <c r="C144" s="157" t="s">
        <v>4463</v>
      </c>
      <c r="D144" s="157" t="s">
        <v>4464</v>
      </c>
      <c r="E144" s="197">
        <v>109.35</v>
      </c>
      <c r="F144" s="191" t="s">
        <v>5528</v>
      </c>
      <c r="G144" s="156"/>
      <c r="I144" s="163">
        <v>137.0</v>
      </c>
      <c r="J144" s="168">
        <v>3.3</v>
      </c>
    </row>
    <row r="145" spans="8:8" ht="15.3">
      <c r="B145" s="157" t="s">
        <v>4465</v>
      </c>
      <c r="C145" s="157" t="s">
        <v>4466</v>
      </c>
      <c r="D145" s="157" t="s">
        <v>4467</v>
      </c>
      <c r="E145" s="197">
        <v>109.7</v>
      </c>
      <c r="F145" s="191" t="s">
        <v>5528</v>
      </c>
      <c r="G145" s="156"/>
      <c r="I145" s="163">
        <v>138.0</v>
      </c>
      <c r="J145" s="163">
        <v>3.283</v>
      </c>
    </row>
    <row r="146" spans="8:8" ht="15.3">
      <c r="B146" s="157" t="s">
        <v>4468</v>
      </c>
      <c r="C146" s="157" t="s">
        <v>4469</v>
      </c>
      <c r="D146" s="157" t="s">
        <v>4470</v>
      </c>
      <c r="E146" s="197">
        <v>109.65</v>
      </c>
      <c r="F146" s="191" t="s">
        <v>5528</v>
      </c>
      <c r="G146" s="156"/>
      <c r="I146" s="163">
        <v>139.0</v>
      </c>
      <c r="J146" s="168">
        <v>3.25</v>
      </c>
    </row>
    <row r="147" spans="8:8" ht="15.3">
      <c r="B147" s="157" t="s">
        <v>4471</v>
      </c>
      <c r="C147" s="157" t="s">
        <v>4472</v>
      </c>
      <c r="D147" s="157" t="s">
        <v>4473</v>
      </c>
      <c r="E147" s="197">
        <v>110.0</v>
      </c>
      <c r="F147" s="191" t="s">
        <v>5528</v>
      </c>
      <c r="G147" s="156"/>
      <c r="I147" s="163">
        <v>140.0</v>
      </c>
      <c r="J147" s="163">
        <v>3.233</v>
      </c>
    </row>
    <row r="148" spans="8:8" ht="15.3">
      <c r="B148" s="157" t="s">
        <v>4474</v>
      </c>
      <c r="C148" s="157" t="s">
        <v>4475</v>
      </c>
      <c r="D148" s="157" t="s">
        <v>4476</v>
      </c>
      <c r="E148" s="190">
        <v>109.883</v>
      </c>
      <c r="F148" s="191" t="s">
        <v>5528</v>
      </c>
      <c r="G148" s="156"/>
      <c r="I148" s="163">
        <v>141.0</v>
      </c>
      <c r="J148" s="168">
        <v>3.2</v>
      </c>
    </row>
    <row r="149" spans="8:8" ht="15.3">
      <c r="B149" s="157" t="s">
        <v>4477</v>
      </c>
      <c r="C149" s="157" t="s">
        <v>4478</v>
      </c>
      <c r="D149" s="157" t="s">
        <v>4479</v>
      </c>
      <c r="E149" s="190">
        <v>110.217</v>
      </c>
      <c r="F149" s="191" t="s">
        <v>5528</v>
      </c>
      <c r="G149" s="156"/>
      <c r="I149" s="163">
        <v>142.0</v>
      </c>
      <c r="J149" s="163">
        <v>3.167</v>
      </c>
    </row>
    <row r="150" spans="8:8" ht="15.3">
      <c r="B150" s="157" t="s">
        <v>4480</v>
      </c>
      <c r="C150" s="157" t="s">
        <v>4481</v>
      </c>
      <c r="D150" s="157" t="s">
        <v>4482</v>
      </c>
      <c r="E150" s="190">
        <v>110.583</v>
      </c>
      <c r="F150" s="191" t="s">
        <v>5528</v>
      </c>
      <c r="G150" s="156"/>
      <c r="I150" s="163">
        <v>143.0</v>
      </c>
      <c r="J150" s="163">
        <v>3.133</v>
      </c>
    </row>
    <row r="151" spans="8:8" ht="15.3">
      <c r="B151" s="157" t="s">
        <v>4483</v>
      </c>
      <c r="C151" s="157" t="s">
        <v>4484</v>
      </c>
      <c r="D151" s="157" t="s">
        <v>4485</v>
      </c>
      <c r="E151" s="197">
        <v>110.65</v>
      </c>
      <c r="F151" s="191" t="s">
        <v>5528</v>
      </c>
      <c r="G151" s="156"/>
      <c r="I151" s="163">
        <v>144.0</v>
      </c>
      <c r="J151" s="163">
        <v>3.117</v>
      </c>
    </row>
    <row r="152" spans="8:8" ht="15.3">
      <c r="B152" s="157" t="s">
        <v>4486</v>
      </c>
      <c r="C152" s="157" t="s">
        <v>4487</v>
      </c>
      <c r="D152" s="157" t="s">
        <v>4488</v>
      </c>
      <c r="E152" s="190">
        <v>110.817</v>
      </c>
      <c r="F152" s="191" t="s">
        <v>5528</v>
      </c>
      <c r="G152" s="156"/>
      <c r="I152" s="163">
        <v>145.0</v>
      </c>
      <c r="J152" s="163">
        <v>3.083</v>
      </c>
    </row>
    <row r="153" spans="8:8" ht="15.3">
      <c r="B153" s="157" t="s">
        <v>4489</v>
      </c>
      <c r="C153" s="157" t="s">
        <v>4490</v>
      </c>
      <c r="D153" s="157" t="s">
        <v>4491</v>
      </c>
      <c r="E153" s="190">
        <v>110.933</v>
      </c>
      <c r="F153" s="191" t="s">
        <v>5528</v>
      </c>
      <c r="G153" s="156"/>
      <c r="I153" s="163">
        <v>146.0</v>
      </c>
      <c r="J153" s="168">
        <v>3.05</v>
      </c>
    </row>
    <row r="154" spans="8:8" ht="15.3">
      <c r="B154" s="157" t="s">
        <v>4492</v>
      </c>
      <c r="C154" s="157" t="s">
        <v>4493</v>
      </c>
      <c r="D154" s="157" t="s">
        <v>4494</v>
      </c>
      <c r="E154" s="190">
        <v>110.983</v>
      </c>
      <c r="F154" s="191" t="s">
        <v>5528</v>
      </c>
      <c r="G154" s="156"/>
      <c r="I154" s="163">
        <v>147.0</v>
      </c>
      <c r="J154" s="163">
        <v>3.017</v>
      </c>
    </row>
    <row r="155" spans="8:8" ht="15.3">
      <c r="B155" s="157" t="s">
        <v>4495</v>
      </c>
      <c r="C155" s="157" t="s">
        <v>4496</v>
      </c>
      <c r="D155" s="157" t="s">
        <v>4497</v>
      </c>
      <c r="E155" s="190">
        <v>111.017</v>
      </c>
      <c r="F155" s="191" t="s">
        <v>5528</v>
      </c>
      <c r="G155" s="156"/>
      <c r="I155" s="163">
        <v>148.0</v>
      </c>
      <c r="J155" s="163">
        <v>2.983</v>
      </c>
    </row>
    <row r="156" spans="8:8" ht="15.3">
      <c r="B156" s="157" t="s">
        <v>4498</v>
      </c>
      <c r="C156" s="157" t="s">
        <v>4499</v>
      </c>
      <c r="D156" s="157" t="s">
        <v>4500</v>
      </c>
      <c r="E156" s="197">
        <v>110.95</v>
      </c>
      <c r="F156" s="191" t="s">
        <v>5528</v>
      </c>
      <c r="G156" s="156"/>
      <c r="I156" s="163">
        <v>149.0</v>
      </c>
      <c r="J156" s="168">
        <v>2.95</v>
      </c>
    </row>
    <row r="157" spans="8:8" ht="15.3">
      <c r="B157" s="157" t="s">
        <v>4501</v>
      </c>
      <c r="C157" s="157" t="s">
        <v>4502</v>
      </c>
      <c r="D157" s="157" t="s">
        <v>4503</v>
      </c>
      <c r="E157" s="190">
        <v>111.417</v>
      </c>
      <c r="F157" s="191" t="s">
        <v>5528</v>
      </c>
      <c r="G157" s="156"/>
      <c r="I157" s="163">
        <v>150.0</v>
      </c>
      <c r="J157" s="163">
        <v>2.933</v>
      </c>
    </row>
    <row r="158" spans="8:8" ht="15.3">
      <c r="B158" s="157" t="s">
        <v>4504</v>
      </c>
      <c r="C158" s="157" t="s">
        <v>4505</v>
      </c>
      <c r="D158" s="157" t="s">
        <v>4506</v>
      </c>
      <c r="E158" s="190">
        <v>111.333</v>
      </c>
      <c r="F158" s="191" t="s">
        <v>5528</v>
      </c>
      <c r="G158" s="156"/>
      <c r="I158" s="163">
        <v>151.0</v>
      </c>
      <c r="J158" s="168">
        <v>2.9</v>
      </c>
    </row>
    <row r="159" spans="8:8" ht="15.3">
      <c r="B159" s="157" t="s">
        <v>4507</v>
      </c>
      <c r="C159" s="157" t="s">
        <v>4508</v>
      </c>
      <c r="D159" s="157" t="s">
        <v>4509</v>
      </c>
      <c r="E159" s="190">
        <v>111.033</v>
      </c>
      <c r="F159" s="191" t="s">
        <v>5528</v>
      </c>
      <c r="G159" s="156"/>
      <c r="I159" s="163">
        <v>152.0</v>
      </c>
      <c r="J159" s="163">
        <v>2.867</v>
      </c>
    </row>
    <row r="160" spans="8:8" ht="15.3">
      <c r="B160" s="157" t="s">
        <v>4510</v>
      </c>
      <c r="C160" s="157" t="s">
        <v>4511</v>
      </c>
      <c r="D160" s="157" t="s">
        <v>4512</v>
      </c>
      <c r="E160" s="190">
        <v>110.867</v>
      </c>
      <c r="F160" s="191" t="s">
        <v>5528</v>
      </c>
      <c r="G160" s="156"/>
      <c r="I160" s="163">
        <v>153.0</v>
      </c>
      <c r="J160" s="168">
        <v>2.85</v>
      </c>
    </row>
    <row r="161" spans="8:8" ht="15.3">
      <c r="B161" s="157" t="s">
        <v>4513</v>
      </c>
      <c r="C161" s="157" t="s">
        <v>4514</v>
      </c>
      <c r="D161" s="157" t="s">
        <v>4515</v>
      </c>
      <c r="E161" s="190">
        <v>110.667</v>
      </c>
      <c r="F161" s="191" t="s">
        <v>5528</v>
      </c>
      <c r="G161" s="156"/>
      <c r="I161" s="163">
        <v>154.0</v>
      </c>
      <c r="J161" s="163">
        <v>2.817</v>
      </c>
    </row>
    <row r="162" spans="8:8" ht="15.3">
      <c r="B162" s="157" t="s">
        <v>4516</v>
      </c>
      <c r="C162" s="157" t="s">
        <v>4517</v>
      </c>
      <c r="D162" s="157" t="s">
        <v>4518</v>
      </c>
      <c r="E162" s="190">
        <v>110.633</v>
      </c>
      <c r="F162" s="191" t="s">
        <v>5528</v>
      </c>
      <c r="G162" s="156"/>
      <c r="I162" s="163">
        <v>155.0</v>
      </c>
      <c r="J162" s="163">
        <v>2.783</v>
      </c>
    </row>
    <row r="163" spans="8:8" ht="15.3">
      <c r="B163" s="157" t="s">
        <v>4519</v>
      </c>
      <c r="C163" s="157" t="s">
        <v>4520</v>
      </c>
      <c r="D163" s="157" t="s">
        <v>4521</v>
      </c>
      <c r="E163" s="197">
        <v>110.4</v>
      </c>
      <c r="F163" s="191" t="s">
        <v>5528</v>
      </c>
      <c r="G163" s="156"/>
      <c r="I163" s="163">
        <v>156.0</v>
      </c>
      <c r="J163" s="168">
        <v>2.75</v>
      </c>
    </row>
    <row r="164" spans="8:8" ht="15.3">
      <c r="B164" s="157" t="s">
        <v>4522</v>
      </c>
      <c r="C164" s="157" t="s">
        <v>4523</v>
      </c>
      <c r="D164" s="157" t="s">
        <v>4524</v>
      </c>
      <c r="E164" s="190">
        <v>110.167</v>
      </c>
      <c r="F164" s="191" t="s">
        <v>5528</v>
      </c>
      <c r="G164" s="156"/>
      <c r="I164" s="163">
        <v>157.0</v>
      </c>
      <c r="J164" s="163">
        <v>2.717</v>
      </c>
    </row>
    <row r="165" spans="8:8" ht="15.3">
      <c r="B165" s="157" t="s">
        <v>4525</v>
      </c>
      <c r="C165" s="157" t="s">
        <v>4526</v>
      </c>
      <c r="D165" s="157" t="s">
        <v>4527</v>
      </c>
      <c r="E165" s="197">
        <v>110.2</v>
      </c>
      <c r="F165" s="191" t="s">
        <v>5528</v>
      </c>
      <c r="G165" s="156"/>
      <c r="I165" s="163">
        <v>158.0</v>
      </c>
      <c r="J165" s="168">
        <v>2.7</v>
      </c>
    </row>
    <row r="166" spans="8:8" ht="15.3">
      <c r="B166" s="157" t="s">
        <v>4528</v>
      </c>
      <c r="C166" s="157" t="s">
        <v>4529</v>
      </c>
      <c r="D166" s="157" t="s">
        <v>4530</v>
      </c>
      <c r="E166" s="190">
        <v>109.783</v>
      </c>
      <c r="F166" s="191" t="s">
        <v>5528</v>
      </c>
      <c r="G166" s="156"/>
      <c r="I166" s="163">
        <v>159.0</v>
      </c>
      <c r="J166" s="163">
        <v>2.667</v>
      </c>
    </row>
    <row r="167" spans="8:8" ht="15.3">
      <c r="B167" s="157" t="s">
        <v>4531</v>
      </c>
      <c r="C167" s="157" t="s">
        <v>4532</v>
      </c>
      <c r="D167" s="157" t="s">
        <v>4533</v>
      </c>
      <c r="E167" s="190">
        <v>109.667</v>
      </c>
      <c r="F167" s="191" t="s">
        <v>5528</v>
      </c>
      <c r="G167" s="156"/>
      <c r="I167" s="163">
        <v>160.0</v>
      </c>
      <c r="J167" s="163">
        <v>2.633</v>
      </c>
    </row>
    <row r="168" spans="8:8" ht="15.3">
      <c r="B168" s="157" t="s">
        <v>4534</v>
      </c>
      <c r="C168" s="157" t="s">
        <v>4535</v>
      </c>
      <c r="D168" s="157" t="s">
        <v>4536</v>
      </c>
      <c r="E168" s="190">
        <v>109.367</v>
      </c>
      <c r="F168" s="191" t="s">
        <v>5528</v>
      </c>
      <c r="G168" s="156"/>
      <c r="I168" s="163">
        <v>161.0</v>
      </c>
      <c r="J168" s="168">
        <v>2.6</v>
      </c>
    </row>
    <row r="169" spans="8:8" ht="15.3">
      <c r="B169" s="157" t="s">
        <v>4537</v>
      </c>
      <c r="C169" s="157" t="s">
        <v>4538</v>
      </c>
      <c r="D169" s="157" t="s">
        <v>4539</v>
      </c>
      <c r="E169" s="190">
        <v>109.117</v>
      </c>
      <c r="F169" s="191" t="s">
        <v>5528</v>
      </c>
      <c r="G169" s="156"/>
      <c r="I169" s="163">
        <v>162.0</v>
      </c>
      <c r="J169" s="163">
        <v>2.567</v>
      </c>
    </row>
    <row r="170" spans="8:8" ht="15.3">
      <c r="B170" s="157" t="s">
        <v>4540</v>
      </c>
      <c r="C170" s="157" t="s">
        <v>4541</v>
      </c>
      <c r="D170" s="157" t="s">
        <v>4542</v>
      </c>
      <c r="E170" s="190">
        <v>109.033</v>
      </c>
      <c r="F170" s="191" t="s">
        <v>5528</v>
      </c>
      <c r="G170" s="156"/>
      <c r="I170" s="163">
        <v>163.0</v>
      </c>
      <c r="J170" s="163">
        <v>2.533</v>
      </c>
    </row>
    <row r="171" spans="8:8" ht="15.3">
      <c r="B171" s="157" t="s">
        <v>4543</v>
      </c>
      <c r="C171" s="157" t="s">
        <v>4544</v>
      </c>
      <c r="D171" s="157" t="s">
        <v>4545</v>
      </c>
      <c r="E171" s="158">
        <v>110.15</v>
      </c>
      <c r="F171" s="155" t="s">
        <v>4546</v>
      </c>
      <c r="G171" s="156"/>
      <c r="I171" s="163">
        <v>164.0</v>
      </c>
      <c r="J171" s="168">
        <v>2.5</v>
      </c>
    </row>
    <row r="172" spans="8:8" ht="15.3">
      <c r="B172" s="157" t="s">
        <v>4547</v>
      </c>
      <c r="C172" s="157" t="s">
        <v>4548</v>
      </c>
      <c r="D172" s="157" t="s">
        <v>4549</v>
      </c>
      <c r="E172" s="157">
        <v>110.317</v>
      </c>
      <c r="F172" s="159" t="s">
        <v>4550</v>
      </c>
      <c r="G172" s="156"/>
      <c r="I172" s="163">
        <v>165.0</v>
      </c>
      <c r="J172" s="163">
        <v>2.467</v>
      </c>
    </row>
    <row r="173" spans="8:8" ht="15.3">
      <c r="B173" s="157" t="s">
        <v>4551</v>
      </c>
      <c r="C173" s="157" t="s">
        <v>4552</v>
      </c>
      <c r="D173" s="157" t="s">
        <v>4553</v>
      </c>
      <c r="E173" s="157">
        <v>110.617</v>
      </c>
      <c r="F173" s="159" t="s">
        <v>4554</v>
      </c>
      <c r="G173" s="156"/>
      <c r="I173" s="163">
        <v>166.0</v>
      </c>
      <c r="J173" s="168">
        <v>2.433</v>
      </c>
    </row>
    <row r="174" spans="8:8" ht="15.3">
      <c r="B174" s="157" t="s">
        <v>4555</v>
      </c>
      <c r="C174" s="157" t="s">
        <v>4556</v>
      </c>
      <c r="D174" s="157" t="s">
        <v>4557</v>
      </c>
      <c r="E174" s="157">
        <v>110.333</v>
      </c>
      <c r="F174" s="159" t="s">
        <v>4558</v>
      </c>
      <c r="G174" s="156"/>
      <c r="I174" s="163">
        <v>167.0</v>
      </c>
      <c r="J174" s="163">
        <v>2.383</v>
      </c>
    </row>
    <row r="175" spans="8:8" ht="15.3">
      <c r="B175" s="157" t="s">
        <v>4559</v>
      </c>
      <c r="C175" s="157" t="s">
        <v>4560</v>
      </c>
      <c r="D175" s="157" t="s">
        <v>4561</v>
      </c>
      <c r="E175" s="158">
        <v>111.1</v>
      </c>
      <c r="F175" s="159" t="s">
        <v>4562</v>
      </c>
      <c r="G175" s="156"/>
      <c r="I175" s="163">
        <v>168.0</v>
      </c>
      <c r="J175" s="168">
        <v>2.35</v>
      </c>
    </row>
    <row r="176" spans="8:8" ht="15.3">
      <c r="B176" s="157" t="s">
        <v>4563</v>
      </c>
      <c r="C176" s="157" t="s">
        <v>4564</v>
      </c>
      <c r="D176" s="157" t="s">
        <v>4565</v>
      </c>
      <c r="E176" s="158">
        <v>111.45</v>
      </c>
      <c r="F176" s="159" t="s">
        <v>4566</v>
      </c>
      <c r="G176" s="156"/>
      <c r="I176" s="163">
        <v>169.0</v>
      </c>
      <c r="J176" s="163">
        <v>2.317</v>
      </c>
    </row>
    <row r="177" spans="8:8" ht="15.3">
      <c r="B177" s="157" t="s">
        <v>4567</v>
      </c>
      <c r="C177" s="157" t="s">
        <v>4568</v>
      </c>
      <c r="D177" s="157" t="s">
        <v>4569</v>
      </c>
      <c r="E177" s="158">
        <v>111.7</v>
      </c>
      <c r="F177" s="159" t="s">
        <v>4570</v>
      </c>
      <c r="G177" s="156"/>
      <c r="I177" s="163">
        <v>170.0</v>
      </c>
      <c r="J177" s="168">
        <v>2.283</v>
      </c>
    </row>
    <row r="178" spans="8:8" ht="15.3">
      <c r="B178" s="157" t="s">
        <v>4571</v>
      </c>
      <c r="C178" s="157" t="s">
        <v>4572</v>
      </c>
      <c r="D178" s="157" t="s">
        <v>4573</v>
      </c>
      <c r="E178" s="158">
        <v>111.95</v>
      </c>
      <c r="F178" s="159" t="s">
        <v>4574</v>
      </c>
      <c r="G178" s="156"/>
      <c r="I178" s="163">
        <v>171.0</v>
      </c>
      <c r="J178" s="168">
        <v>2.25</v>
      </c>
    </row>
    <row r="179" spans="8:8" ht="15.3">
      <c r="B179" s="157" t="s">
        <v>4575</v>
      </c>
      <c r="C179" s="157" t="s">
        <v>4576</v>
      </c>
      <c r="D179" s="157" t="s">
        <v>4577</v>
      </c>
      <c r="E179" s="158">
        <v>112.15</v>
      </c>
      <c r="F179" s="159" t="s">
        <v>4578</v>
      </c>
      <c r="G179" s="156"/>
      <c r="I179" s="163">
        <v>172.0</v>
      </c>
      <c r="J179" s="163">
        <v>2.217</v>
      </c>
    </row>
    <row r="180" spans="8:8" ht="15.3">
      <c r="B180" s="157" t="s">
        <v>4579</v>
      </c>
      <c r="C180" s="157" t="s">
        <v>4580</v>
      </c>
      <c r="D180" s="157" t="s">
        <v>4581</v>
      </c>
      <c r="E180" s="157">
        <v>112.017</v>
      </c>
      <c r="F180" s="159" t="s">
        <v>4582</v>
      </c>
      <c r="G180" s="156"/>
      <c r="I180" s="163">
        <v>173.0</v>
      </c>
      <c r="J180" s="163">
        <v>2.183</v>
      </c>
    </row>
    <row r="181" spans="8:8" ht="15.3">
      <c r="B181" s="157" t="s">
        <v>4583</v>
      </c>
      <c r="C181" s="157" t="s">
        <v>4584</v>
      </c>
      <c r="D181" s="157" t="s">
        <v>4585</v>
      </c>
      <c r="E181" s="157">
        <v>112.617</v>
      </c>
      <c r="F181" s="159" t="s">
        <v>4586</v>
      </c>
      <c r="G181" s="156"/>
      <c r="I181" s="163">
        <v>174.0</v>
      </c>
      <c r="J181" s="168">
        <v>2.15</v>
      </c>
    </row>
    <row r="182" spans="8:8" ht="15.3">
      <c r="B182" s="157" t="s">
        <v>4587</v>
      </c>
      <c r="C182" s="157" t="s">
        <v>4588</v>
      </c>
      <c r="D182" s="157" t="s">
        <v>4589</v>
      </c>
      <c r="E182" s="157">
        <v>113.217</v>
      </c>
      <c r="F182" s="159" t="s">
        <v>4590</v>
      </c>
      <c r="G182" s="156"/>
      <c r="I182" s="163">
        <v>175.0</v>
      </c>
      <c r="J182" s="163">
        <v>2.117</v>
      </c>
    </row>
    <row r="183" spans="8:8" ht="15.3">
      <c r="B183" s="157" t="s">
        <v>4591</v>
      </c>
      <c r="C183" s="157" t="s">
        <v>4592</v>
      </c>
      <c r="D183" s="157" t="s">
        <v>4593</v>
      </c>
      <c r="E183" s="158">
        <v>113.7</v>
      </c>
      <c r="F183" s="159" t="s">
        <v>4594</v>
      </c>
      <c r="G183" s="156"/>
      <c r="I183" s="163">
        <v>176.0</v>
      </c>
      <c r="J183" s="163">
        <v>2.083</v>
      </c>
    </row>
    <row r="184" spans="8:8" ht="15.3">
      <c r="B184" s="157" t="s">
        <v>4595</v>
      </c>
      <c r="C184" s="157" t="s">
        <v>4596</v>
      </c>
      <c r="D184" s="157" t="s">
        <v>4597</v>
      </c>
      <c r="E184" s="157">
        <v>114.367</v>
      </c>
      <c r="F184" s="159" t="s">
        <v>4598</v>
      </c>
      <c r="G184" s="156"/>
      <c r="I184" s="163">
        <v>177.0</v>
      </c>
      <c r="J184" s="168">
        <v>2.05</v>
      </c>
    </row>
    <row r="185" spans="8:8" ht="15.3">
      <c r="B185" s="157" t="s">
        <v>4599</v>
      </c>
      <c r="C185" s="157" t="s">
        <v>4600</v>
      </c>
      <c r="D185" s="157" t="s">
        <v>4601</v>
      </c>
      <c r="E185" s="158">
        <v>113.9</v>
      </c>
      <c r="F185" s="159" t="s">
        <v>4602</v>
      </c>
      <c r="G185" s="156"/>
      <c r="I185" s="163">
        <v>178.0</v>
      </c>
      <c r="J185" s="163">
        <v>2.017</v>
      </c>
    </row>
    <row r="186" spans="8:8" ht="15.3">
      <c r="B186" s="157" t="s">
        <v>4603</v>
      </c>
      <c r="C186" s="157" t="s">
        <v>4604</v>
      </c>
      <c r="D186" s="157" t="s">
        <v>4605</v>
      </c>
      <c r="E186" s="158">
        <v>114.0</v>
      </c>
      <c r="F186" s="159" t="s">
        <v>4606</v>
      </c>
      <c r="G186" s="156"/>
      <c r="I186" s="163">
        <v>179.0</v>
      </c>
      <c r="J186" s="163">
        <v>1.983</v>
      </c>
    </row>
    <row r="187" spans="8:8" ht="15.3">
      <c r="B187" s="157" t="s">
        <v>4607</v>
      </c>
      <c r="C187" s="157" t="s">
        <v>4608</v>
      </c>
      <c r="D187" s="157" t="s">
        <v>4609</v>
      </c>
      <c r="E187" s="158">
        <v>113.2</v>
      </c>
      <c r="F187" s="159" t="s">
        <v>4610</v>
      </c>
      <c r="G187" s="156"/>
      <c r="I187" s="163">
        <v>180.0</v>
      </c>
      <c r="J187" s="163">
        <v>1.933</v>
      </c>
    </row>
    <row r="188" spans="8:8" ht="15.3">
      <c r="B188" s="157" t="s">
        <v>4611</v>
      </c>
      <c r="C188" s="157" t="s">
        <v>4612</v>
      </c>
      <c r="D188" s="157" t="s">
        <v>4613</v>
      </c>
      <c r="E188" s="157">
        <v>112.883</v>
      </c>
      <c r="F188" s="159" t="s">
        <v>4614</v>
      </c>
      <c r="G188" s="156"/>
      <c r="I188" s="163">
        <v>181.0</v>
      </c>
      <c r="J188" s="163">
        <v>1.917</v>
      </c>
    </row>
    <row r="189" spans="8:8" ht="15.3">
      <c r="B189" s="157" t="s">
        <v>4615</v>
      </c>
      <c r="C189" s="157" t="s">
        <v>4616</v>
      </c>
      <c r="D189" s="157" t="s">
        <v>4617</v>
      </c>
      <c r="E189" s="157">
        <v>112.667</v>
      </c>
      <c r="F189" s="159" t="s">
        <v>4618</v>
      </c>
      <c r="G189" s="156"/>
      <c r="I189" s="163">
        <v>182.0</v>
      </c>
      <c r="J189" s="163">
        <v>1.883</v>
      </c>
    </row>
    <row r="190" spans="8:8" ht="15.3">
      <c r="B190" s="157" t="s">
        <v>4619</v>
      </c>
      <c r="C190" s="157" t="s">
        <v>4620</v>
      </c>
      <c r="D190" s="157" t="s">
        <v>4621</v>
      </c>
      <c r="E190" s="157">
        <v>112.433</v>
      </c>
      <c r="F190" s="159" t="s">
        <v>4622</v>
      </c>
      <c r="G190" s="156"/>
      <c r="I190" s="163">
        <v>183.0</v>
      </c>
      <c r="J190" s="168">
        <v>1.85</v>
      </c>
    </row>
    <row r="191" spans="8:8" ht="15.3">
      <c r="B191" s="157" t="s">
        <v>4623</v>
      </c>
      <c r="C191" s="157" t="s">
        <v>4624</v>
      </c>
      <c r="D191" s="157" t="s">
        <v>4625</v>
      </c>
      <c r="E191" s="157">
        <v>112.283</v>
      </c>
      <c r="F191" s="159" t="s">
        <v>4626</v>
      </c>
      <c r="G191" s="156"/>
      <c r="I191" s="163">
        <v>184.0</v>
      </c>
      <c r="J191" s="168">
        <v>1.8</v>
      </c>
    </row>
    <row r="192" spans="8:8" ht="15.3">
      <c r="B192" s="157" t="s">
        <v>4627</v>
      </c>
      <c r="C192" s="157" t="s">
        <v>4628</v>
      </c>
      <c r="D192" s="157" t="s">
        <v>4629</v>
      </c>
      <c r="E192" s="157">
        <v>111.883</v>
      </c>
      <c r="F192" s="159" t="s">
        <v>4630</v>
      </c>
      <c r="G192" s="156"/>
      <c r="I192" s="163">
        <v>185.0</v>
      </c>
      <c r="J192" s="163">
        <v>1.767</v>
      </c>
    </row>
    <row r="193" spans="8:8" ht="15.3">
      <c r="B193" s="157" t="s">
        <v>4631</v>
      </c>
      <c r="C193" s="157" t="s">
        <v>4632</v>
      </c>
      <c r="D193" s="157" t="s">
        <v>4633</v>
      </c>
      <c r="E193" s="158">
        <v>111.517</v>
      </c>
      <c r="F193" s="159" t="s">
        <v>4634</v>
      </c>
      <c r="G193" s="156"/>
      <c r="I193" s="163">
        <v>186.0</v>
      </c>
      <c r="J193" s="163">
        <v>1.733</v>
      </c>
    </row>
    <row r="194" spans="8:8" ht="15.3">
      <c r="B194" s="157" t="s">
        <v>4635</v>
      </c>
      <c r="C194" s="157" t="s">
        <v>4636</v>
      </c>
      <c r="D194" s="157" t="s">
        <v>4637</v>
      </c>
      <c r="E194" s="158">
        <v>111.35</v>
      </c>
      <c r="F194" s="159" t="s">
        <v>4638</v>
      </c>
      <c r="G194" s="156"/>
      <c r="I194" s="163">
        <v>187.0</v>
      </c>
      <c r="J194" s="168">
        <v>1.7</v>
      </c>
    </row>
    <row r="195" spans="8:8" ht="15.3">
      <c r="B195" s="157" t="s">
        <v>4639</v>
      </c>
      <c r="C195" s="157" t="s">
        <v>4640</v>
      </c>
      <c r="D195" s="157" t="s">
        <v>4641</v>
      </c>
      <c r="E195" s="157">
        <v>111.417</v>
      </c>
      <c r="F195" s="159" t="s">
        <v>4642</v>
      </c>
      <c r="G195" s="156"/>
      <c r="I195" s="163">
        <v>188.0</v>
      </c>
      <c r="J195" s="168">
        <v>1.667</v>
      </c>
    </row>
    <row r="196" spans="8:8" ht="15.3">
      <c r="B196" s="157" t="s">
        <v>4643</v>
      </c>
      <c r="C196" s="157" t="s">
        <v>4644</v>
      </c>
      <c r="D196" s="157" t="s">
        <v>4645</v>
      </c>
      <c r="E196" s="158">
        <v>111.75</v>
      </c>
      <c r="F196" s="159" t="s">
        <v>4646</v>
      </c>
      <c r="G196" s="156"/>
      <c r="I196" s="163">
        <v>189.0</v>
      </c>
      <c r="J196" s="163">
        <v>1.633</v>
      </c>
    </row>
    <row r="197" spans="8:8" ht="15.3">
      <c r="B197" s="157" t="s">
        <v>4647</v>
      </c>
      <c r="C197" s="157" t="s">
        <v>4648</v>
      </c>
      <c r="D197" s="157" t="s">
        <v>4649</v>
      </c>
      <c r="E197" s="157">
        <v>112.033</v>
      </c>
      <c r="F197" s="159" t="s">
        <v>4650</v>
      </c>
      <c r="G197" s="156"/>
      <c r="I197" s="163">
        <v>190.0</v>
      </c>
      <c r="J197" s="168">
        <v>1.6</v>
      </c>
    </row>
    <row r="198" spans="8:8" ht="15.3">
      <c r="B198" s="157" t="s">
        <v>4651</v>
      </c>
      <c r="C198" s="157" t="s">
        <v>4652</v>
      </c>
      <c r="D198" s="157" t="s">
        <v>4653</v>
      </c>
      <c r="E198" s="158">
        <v>112.4</v>
      </c>
      <c r="F198" s="159" t="s">
        <v>4654</v>
      </c>
      <c r="G198" s="156"/>
      <c r="I198" s="163">
        <v>191.0</v>
      </c>
      <c r="J198" s="163">
        <v>1.567</v>
      </c>
    </row>
    <row r="199" spans="8:8" ht="15.3">
      <c r="B199" s="157" t="s">
        <v>4655</v>
      </c>
      <c r="C199" s="157" t="s">
        <v>4656</v>
      </c>
      <c r="D199" s="157" t="s">
        <v>4657</v>
      </c>
      <c r="E199" s="158">
        <v>112.65</v>
      </c>
      <c r="F199" s="159" t="s">
        <v>4658</v>
      </c>
      <c r="G199" s="156"/>
      <c r="I199" s="163">
        <v>192.0</v>
      </c>
      <c r="J199" s="163">
        <v>1.533</v>
      </c>
    </row>
    <row r="200" spans="8:8" ht="15.3">
      <c r="B200" s="157" t="s">
        <v>4659</v>
      </c>
      <c r="C200" s="157" t="s">
        <v>4660</v>
      </c>
      <c r="D200" s="157" t="s">
        <v>4661</v>
      </c>
      <c r="E200" s="158">
        <v>112.75</v>
      </c>
      <c r="F200" s="159" t="s">
        <v>4662</v>
      </c>
      <c r="G200" s="156"/>
      <c r="I200" s="163">
        <v>193.0</v>
      </c>
      <c r="J200" s="163">
        <v>1.483</v>
      </c>
    </row>
    <row r="201" spans="8:8" ht="15.3">
      <c r="B201" s="157" t="s">
        <v>4663</v>
      </c>
      <c r="C201" s="157" t="s">
        <v>4664</v>
      </c>
      <c r="D201" s="157" t="s">
        <v>4665</v>
      </c>
      <c r="E201" s="157">
        <v>113.233</v>
      </c>
      <c r="F201" s="159" t="s">
        <v>4666</v>
      </c>
      <c r="G201" s="156"/>
      <c r="I201" s="163">
        <v>194.0</v>
      </c>
      <c r="J201" s="168">
        <v>1.45</v>
      </c>
    </row>
    <row r="202" spans="8:8" ht="15.3">
      <c r="B202" s="157" t="s">
        <v>4667</v>
      </c>
      <c r="C202" s="157" t="s">
        <v>4668</v>
      </c>
      <c r="D202" s="157" t="s">
        <v>4669</v>
      </c>
      <c r="E202" s="157">
        <v>113.467</v>
      </c>
      <c r="F202" s="159" t="s">
        <v>4670</v>
      </c>
      <c r="G202" s="156"/>
      <c r="I202" s="163">
        <v>195.0</v>
      </c>
      <c r="J202" s="163">
        <v>1.417</v>
      </c>
    </row>
    <row r="203" spans="8:8" ht="15.3">
      <c r="B203" s="157" t="s">
        <v>4671</v>
      </c>
      <c r="C203" s="157" t="s">
        <v>4672</v>
      </c>
      <c r="D203" s="157" t="s">
        <v>4673</v>
      </c>
      <c r="E203" s="158">
        <v>113.85</v>
      </c>
      <c r="F203" s="159" t="s">
        <v>4674</v>
      </c>
      <c r="G203" s="156"/>
      <c r="I203" s="163">
        <v>196.0</v>
      </c>
      <c r="J203" s="163">
        <v>1.383</v>
      </c>
    </row>
    <row r="204" spans="8:8" ht="16.6">
      <c r="B204" s="157" t="s">
        <v>4675</v>
      </c>
      <c r="C204" s="157" t="s">
        <v>4676</v>
      </c>
      <c r="D204" s="157" t="s">
        <v>4677</v>
      </c>
      <c r="E204" s="157">
        <v>106.117</v>
      </c>
      <c r="F204" s="159" t="s">
        <v>4678</v>
      </c>
      <c r="G204" s="156">
        <v>6.317</v>
      </c>
      <c r="I204" s="163">
        <v>197.0</v>
      </c>
      <c r="J204" s="168">
        <v>1.35</v>
      </c>
    </row>
    <row r="205" spans="8:8" ht="16.6">
      <c r="B205" s="157" t="s">
        <v>4679</v>
      </c>
      <c r="C205" s="157" t="s">
        <v>4680</v>
      </c>
      <c r="D205" s="157" t="s">
        <v>4681</v>
      </c>
      <c r="E205" s="158">
        <v>106.25</v>
      </c>
      <c r="F205" s="159" t="s">
        <v>4682</v>
      </c>
      <c r="G205" s="198">
        <v>6.55</v>
      </c>
      <c r="I205" s="163">
        <v>198.0</v>
      </c>
      <c r="J205" s="163">
        <v>1.317</v>
      </c>
    </row>
    <row r="206" spans="8:8" ht="16.6">
      <c r="B206" s="157" t="s">
        <v>4683</v>
      </c>
      <c r="C206" s="157" t="s">
        <v>4684</v>
      </c>
      <c r="D206" s="157" t="s">
        <v>4685</v>
      </c>
      <c r="E206" s="157">
        <v>106.633</v>
      </c>
      <c r="F206" s="159" t="s">
        <v>4686</v>
      </c>
      <c r="G206" s="199">
        <v>6.617</v>
      </c>
      <c r="I206" s="163">
        <v>199.0</v>
      </c>
      <c r="J206" s="163">
        <v>1.283</v>
      </c>
    </row>
    <row r="207" spans="8:8" ht="16.6">
      <c r="B207" s="157" t="s">
        <v>4687</v>
      </c>
      <c r="C207" s="157" t="s">
        <v>4688</v>
      </c>
      <c r="D207" s="157" t="s">
        <v>4689</v>
      </c>
      <c r="E207" s="158">
        <v>106.15</v>
      </c>
      <c r="F207" s="159" t="s">
        <v>4690</v>
      </c>
      <c r="G207" s="156">
        <v>6.7</v>
      </c>
      <c r="I207" s="163">
        <v>200.0</v>
      </c>
      <c r="J207" s="168">
        <v>1.25</v>
      </c>
    </row>
    <row r="208" spans="8:8" ht="15.3">
      <c r="B208" s="157" t="s">
        <v>4691</v>
      </c>
      <c r="C208" s="157" t="s">
        <v>4692</v>
      </c>
      <c r="D208" s="157" t="s">
        <v>4693</v>
      </c>
      <c r="E208" s="158">
        <v>108.65</v>
      </c>
      <c r="F208" s="159" t="s">
        <v>4694</v>
      </c>
      <c r="G208" s="156"/>
      <c r="I208" s="163">
        <v>201.0</v>
      </c>
      <c r="J208" s="163">
        <v>1.217</v>
      </c>
    </row>
    <row r="209" spans="8:8" ht="15.3">
      <c r="B209" s="157" t="s">
        <v>4695</v>
      </c>
      <c r="C209" s="157" t="s">
        <v>4696</v>
      </c>
      <c r="D209" s="157" t="s">
        <v>4697</v>
      </c>
      <c r="E209" s="157">
        <v>114.617</v>
      </c>
      <c r="F209" s="159" t="s">
        <v>4698</v>
      </c>
      <c r="G209" s="156"/>
      <c r="I209" s="163">
        <v>202.0</v>
      </c>
      <c r="J209" s="163">
        <v>1.183</v>
      </c>
    </row>
    <row r="210" spans="8:8" ht="15.3">
      <c r="B210" s="157" t="s">
        <v>4699</v>
      </c>
      <c r="C210" s="157" t="s">
        <v>4700</v>
      </c>
      <c r="D210" s="157" t="s">
        <v>4701</v>
      </c>
      <c r="E210" s="157">
        <v>115.117</v>
      </c>
      <c r="F210" s="159" t="s">
        <v>4702</v>
      </c>
      <c r="G210" s="156"/>
      <c r="I210" s="163">
        <v>203.0</v>
      </c>
      <c r="J210" s="163">
        <v>1.167</v>
      </c>
    </row>
    <row r="211" spans="8:8" ht="15.3">
      <c r="B211" s="157" t="s">
        <v>4703</v>
      </c>
      <c r="C211" s="157" t="s">
        <v>4704</v>
      </c>
      <c r="D211" s="157" t="s">
        <v>4705</v>
      </c>
      <c r="E211" s="157">
        <v>115.167</v>
      </c>
      <c r="F211" s="159" t="s">
        <v>4706</v>
      </c>
      <c r="G211" s="156"/>
      <c r="I211" s="163">
        <v>204.0</v>
      </c>
      <c r="J211" s="163">
        <v>1.133</v>
      </c>
    </row>
    <row r="212" spans="8:8" ht="15.3">
      <c r="B212" s="157" t="s">
        <v>4707</v>
      </c>
      <c r="C212" s="157" t="s">
        <v>4708</v>
      </c>
      <c r="D212" s="157" t="s">
        <v>4709</v>
      </c>
      <c r="E212" s="157">
        <v>115.317</v>
      </c>
      <c r="F212" s="159" t="s">
        <v>4710</v>
      </c>
      <c r="G212" s="156"/>
      <c r="I212" s="163">
        <v>205.0</v>
      </c>
      <c r="J212" s="168">
        <v>1.1</v>
      </c>
    </row>
    <row r="213" spans="8:8" ht="15.3">
      <c r="B213" s="157" t="s">
        <v>4711</v>
      </c>
      <c r="C213" s="157" t="s">
        <v>4712</v>
      </c>
      <c r="D213" s="157" t="s">
        <v>4713</v>
      </c>
      <c r="E213" s="158">
        <v>115.4</v>
      </c>
      <c r="F213" s="159" t="s">
        <v>4714</v>
      </c>
      <c r="G213" s="156"/>
      <c r="I213" s="163">
        <v>206.0</v>
      </c>
      <c r="J213" s="163">
        <v>1.067</v>
      </c>
    </row>
    <row r="214" spans="8:8" ht="15.3">
      <c r="B214" s="157" t="s">
        <v>4715</v>
      </c>
      <c r="C214" s="157" t="s">
        <v>4716</v>
      </c>
      <c r="D214" s="157" t="s">
        <v>4717</v>
      </c>
      <c r="E214" s="158">
        <v>115.35</v>
      </c>
      <c r="F214" s="159" t="s">
        <v>4718</v>
      </c>
      <c r="G214" s="156"/>
      <c r="I214" s="163">
        <v>207.0</v>
      </c>
      <c r="J214" s="163">
        <v>1.033</v>
      </c>
    </row>
    <row r="215" spans="8:8" ht="15.3">
      <c r="B215" s="157" t="s">
        <v>4719</v>
      </c>
      <c r="C215" s="157" t="s">
        <v>4720</v>
      </c>
      <c r="D215" s="157" t="s">
        <v>4721</v>
      </c>
      <c r="E215" s="158">
        <v>115.6</v>
      </c>
      <c r="F215" s="159" t="s">
        <v>4722</v>
      </c>
      <c r="G215" s="156"/>
      <c r="I215" s="163">
        <v>208.0</v>
      </c>
      <c r="J215" s="168">
        <v>1.0</v>
      </c>
    </row>
    <row r="216" spans="8:8" ht="15.3">
      <c r="B216" s="157" t="s">
        <v>4723</v>
      </c>
      <c r="C216" s="157" t="s">
        <v>4724</v>
      </c>
      <c r="D216" s="157" t="s">
        <v>4725</v>
      </c>
      <c r="E216" s="157">
        <v>115.067</v>
      </c>
      <c r="F216" s="159" t="s">
        <v>4726</v>
      </c>
      <c r="G216" s="156"/>
      <c r="I216" s="163">
        <v>209.0</v>
      </c>
      <c r="J216" s="163">
        <v>0.967</v>
      </c>
    </row>
    <row r="217" spans="8:8" ht="15.3">
      <c r="B217" s="157" t="s">
        <v>4727</v>
      </c>
      <c r="C217" s="157" t="s">
        <v>4728</v>
      </c>
      <c r="D217" s="157" t="s">
        <v>4729</v>
      </c>
      <c r="E217" s="158">
        <v>116.1</v>
      </c>
      <c r="F217" s="159" t="s">
        <v>4730</v>
      </c>
      <c r="G217" s="156"/>
      <c r="I217" s="163">
        <v>210.0</v>
      </c>
      <c r="J217" s="163">
        <v>0.933</v>
      </c>
    </row>
    <row r="218" spans="8:8" ht="15.3">
      <c r="B218" s="157" t="s">
        <v>4731</v>
      </c>
      <c r="C218" s="157" t="s">
        <v>4732</v>
      </c>
      <c r="D218" s="157" t="s">
        <v>4733</v>
      </c>
      <c r="E218" s="157">
        <v>116.267</v>
      </c>
      <c r="F218" s="159" t="s">
        <v>4734</v>
      </c>
      <c r="G218" s="156"/>
      <c r="I218" s="163">
        <v>211.0</v>
      </c>
      <c r="J218" s="168">
        <v>0.9</v>
      </c>
    </row>
    <row r="219" spans="8:8" ht="15.3">
      <c r="B219" s="157" t="s">
        <v>4735</v>
      </c>
      <c r="C219" s="157" t="s">
        <v>4736</v>
      </c>
      <c r="D219" s="157" t="s">
        <v>4737</v>
      </c>
      <c r="E219" s="158">
        <v>116.55</v>
      </c>
      <c r="F219" s="159" t="s">
        <v>4738</v>
      </c>
      <c r="G219" s="156"/>
      <c r="I219" s="163">
        <v>212.0</v>
      </c>
      <c r="J219" s="163">
        <v>0.867</v>
      </c>
    </row>
    <row r="220" spans="8:8" ht="15.3">
      <c r="B220" s="157" t="s">
        <v>4739</v>
      </c>
      <c r="C220" s="157" t="s">
        <v>4740</v>
      </c>
      <c r="D220" s="157" t="s">
        <v>4741</v>
      </c>
      <c r="E220" s="157">
        <v>118.117</v>
      </c>
      <c r="F220" s="159" t="s">
        <v>4742</v>
      </c>
      <c r="G220" s="156"/>
      <c r="I220" s="163">
        <v>213.0</v>
      </c>
      <c r="J220" s="163">
        <v>0.833</v>
      </c>
    </row>
    <row r="221" spans="8:8" ht="15.3">
      <c r="B221" s="157" t="s">
        <v>4743</v>
      </c>
      <c r="C221" s="157" t="s">
        <v>4744</v>
      </c>
      <c r="D221" s="157" t="s">
        <v>4745</v>
      </c>
      <c r="E221" s="157">
        <v>118.433</v>
      </c>
      <c r="F221" s="159" t="s">
        <v>4746</v>
      </c>
      <c r="G221" s="156"/>
      <c r="I221" s="163">
        <v>214.0</v>
      </c>
      <c r="J221" s="168">
        <v>0.8</v>
      </c>
    </row>
    <row r="222" spans="8:8" ht="15.3">
      <c r="B222" s="157" t="s">
        <v>4747</v>
      </c>
      <c r="C222" s="157" t="s">
        <v>4748</v>
      </c>
      <c r="D222" s="157" t="s">
        <v>4749</v>
      </c>
      <c r="E222" s="157">
        <v>118.717</v>
      </c>
      <c r="F222" s="159" t="s">
        <v>4750</v>
      </c>
      <c r="G222" s="156"/>
      <c r="I222" s="163">
        <v>215.0</v>
      </c>
      <c r="J222" s="163">
        <v>0.783</v>
      </c>
    </row>
    <row r="223" spans="8:8" ht="15.3">
      <c r="B223" s="157" t="s">
        <v>4751</v>
      </c>
      <c r="C223" s="157" t="s">
        <v>4752</v>
      </c>
      <c r="D223" s="157" t="s">
        <v>4753</v>
      </c>
      <c r="E223" s="157">
        <v>116.883</v>
      </c>
      <c r="F223" s="159" t="s">
        <v>4754</v>
      </c>
      <c r="G223" s="156"/>
      <c r="I223" s="163">
        <v>216.0</v>
      </c>
      <c r="J223" s="168">
        <v>0.75</v>
      </c>
    </row>
    <row r="224" spans="8:8" ht="15.3">
      <c r="B224" s="157" t="s">
        <v>4755</v>
      </c>
      <c r="C224" s="157" t="s">
        <v>4756</v>
      </c>
      <c r="D224" s="157" t="s">
        <v>4757</v>
      </c>
      <c r="E224" s="157">
        <v>116.267</v>
      </c>
      <c r="F224" s="159" t="s">
        <v>4758</v>
      </c>
      <c r="G224" s="156"/>
      <c r="I224" s="163">
        <v>217.0</v>
      </c>
      <c r="J224" s="163">
        <v>0.717</v>
      </c>
    </row>
    <row r="225" spans="8:8" ht="15.3">
      <c r="B225" s="157" t="s">
        <v>4759</v>
      </c>
      <c r="C225" s="157" t="s">
        <v>4760</v>
      </c>
      <c r="D225" s="157" t="s">
        <v>4761</v>
      </c>
      <c r="E225" s="158">
        <v>123.6</v>
      </c>
      <c r="F225" s="159" t="s">
        <v>4762</v>
      </c>
      <c r="G225" s="156"/>
      <c r="I225" s="163">
        <v>218.0</v>
      </c>
      <c r="J225" s="168">
        <v>0.7</v>
      </c>
    </row>
    <row r="226" spans="8:8" ht="15.3">
      <c r="B226" s="157" t="s">
        <v>4763</v>
      </c>
      <c r="C226" s="157" t="s">
        <v>4764</v>
      </c>
      <c r="D226" s="157" t="s">
        <v>4765</v>
      </c>
      <c r="E226" s="157">
        <v>124.417</v>
      </c>
      <c r="F226" s="159" t="s">
        <v>4766</v>
      </c>
      <c r="G226" s="156"/>
      <c r="I226" s="163">
        <v>219.0</v>
      </c>
      <c r="J226" s="163">
        <v>0.667</v>
      </c>
    </row>
    <row r="227" spans="8:8" ht="15.3">
      <c r="B227" s="157" t="s">
        <v>4767</v>
      </c>
      <c r="C227" s="157" t="s">
        <v>4768</v>
      </c>
      <c r="D227" s="157" t="s">
        <v>4769</v>
      </c>
      <c r="E227" s="157">
        <v>124.583</v>
      </c>
      <c r="F227" s="159" t="s">
        <v>4770</v>
      </c>
      <c r="G227" s="156"/>
      <c r="I227" s="163">
        <v>220.0</v>
      </c>
      <c r="J227" s="168">
        <v>0.65</v>
      </c>
    </row>
    <row r="228" spans="8:8" ht="15.3">
      <c r="B228" s="157" t="s">
        <v>4771</v>
      </c>
      <c r="C228" s="157" t="s">
        <v>4772</v>
      </c>
      <c r="D228" s="157" t="s">
        <v>4773</v>
      </c>
      <c r="E228" s="158">
        <v>124.9</v>
      </c>
      <c r="F228" s="159" t="s">
        <v>4774</v>
      </c>
      <c r="G228" s="156"/>
      <c r="I228" s="163">
        <v>221.0</v>
      </c>
      <c r="J228" s="163">
        <v>0.617</v>
      </c>
    </row>
    <row r="229" spans="8:8" ht="15.3">
      <c r="B229" s="157" t="s">
        <v>4775</v>
      </c>
      <c r="C229" s="157" t="s">
        <v>4776</v>
      </c>
      <c r="D229" s="157" t="s">
        <v>4777</v>
      </c>
      <c r="E229" s="158">
        <v>124.55</v>
      </c>
      <c r="F229" s="159" t="s">
        <v>4778</v>
      </c>
      <c r="G229" s="156"/>
      <c r="I229" s="163">
        <v>222.0</v>
      </c>
      <c r="J229" s="168">
        <v>0.6</v>
      </c>
    </row>
    <row r="230" spans="8:8" ht="15.3">
      <c r="B230" s="157" t="s">
        <v>4779</v>
      </c>
      <c r="C230" s="157" t="s">
        <v>4780</v>
      </c>
      <c r="D230" s="157" t="s">
        <v>4781</v>
      </c>
      <c r="E230" s="158">
        <v>122.95</v>
      </c>
      <c r="F230" s="159" t="s">
        <v>4782</v>
      </c>
      <c r="G230" s="156"/>
      <c r="I230" s="163">
        <v>223.0</v>
      </c>
      <c r="J230" s="163">
        <v>0.583</v>
      </c>
    </row>
    <row r="231" spans="8:8" ht="15.3">
      <c r="B231" s="157" t="s">
        <v>4783</v>
      </c>
      <c r="C231" s="157" t="s">
        <v>4784</v>
      </c>
      <c r="D231" s="157" t="s">
        <v>4785</v>
      </c>
      <c r="E231" s="157">
        <v>122.117</v>
      </c>
      <c r="F231" s="159" t="s">
        <v>4786</v>
      </c>
      <c r="G231" s="156"/>
      <c r="I231" s="163">
        <v>224.0</v>
      </c>
      <c r="J231" s="168">
        <v>0.55</v>
      </c>
    </row>
    <row r="232" spans="8:8" ht="15.3">
      <c r="B232" s="157" t="s">
        <v>4787</v>
      </c>
      <c r="C232" s="157" t="s">
        <v>4788</v>
      </c>
      <c r="D232" s="157" t="s">
        <v>4789</v>
      </c>
      <c r="E232" s="158">
        <v>121.65</v>
      </c>
      <c r="F232" s="159" t="s">
        <v>4790</v>
      </c>
      <c r="G232" s="156"/>
      <c r="I232" s="163">
        <v>225.0</v>
      </c>
      <c r="J232" s="168">
        <v>0.533</v>
      </c>
    </row>
    <row r="233" spans="8:8" ht="15.3">
      <c r="B233" s="157" t="s">
        <v>4791</v>
      </c>
      <c r="C233" s="157" t="s">
        <v>4792</v>
      </c>
      <c r="D233" s="157" t="s">
        <v>4793</v>
      </c>
      <c r="E233" s="157">
        <v>120.983</v>
      </c>
      <c r="F233" s="159" t="s">
        <v>4794</v>
      </c>
      <c r="G233" s="156"/>
      <c r="I233" s="163">
        <v>226.0</v>
      </c>
      <c r="J233" s="168">
        <v>0.5</v>
      </c>
    </row>
    <row r="234" spans="8:8" ht="15.3">
      <c r="B234" s="157" t="s">
        <v>4795</v>
      </c>
      <c r="C234" s="157" t="s">
        <v>4796</v>
      </c>
      <c r="D234" s="157" t="s">
        <v>4797</v>
      </c>
      <c r="E234" s="157">
        <v>120.383</v>
      </c>
      <c r="F234" s="159" t="s">
        <v>4798</v>
      </c>
      <c r="G234" s="156"/>
      <c r="I234" s="163">
        <v>227.0</v>
      </c>
      <c r="J234" s="163">
        <v>0.483</v>
      </c>
    </row>
    <row r="235" spans="8:8" ht="15.3">
      <c r="B235" s="157" t="s">
        <v>4799</v>
      </c>
      <c r="C235" s="157" t="s">
        <v>4800</v>
      </c>
      <c r="D235" s="157" t="s">
        <v>4801</v>
      </c>
      <c r="E235" s="157">
        <v>120.333</v>
      </c>
      <c r="F235" s="159" t="s">
        <v>4802</v>
      </c>
      <c r="G235" s="156"/>
      <c r="I235" s="163">
        <v>228.0</v>
      </c>
      <c r="J235" s="163">
        <v>0.467</v>
      </c>
    </row>
    <row r="236" spans="8:8" ht="15.3">
      <c r="B236" s="157" t="s">
        <v>4803</v>
      </c>
      <c r="C236" s="157" t="s">
        <v>4804</v>
      </c>
      <c r="D236" s="157" t="s">
        <v>4805</v>
      </c>
      <c r="E236" s="157">
        <v>119.383</v>
      </c>
      <c r="F236" s="159" t="s">
        <v>4806</v>
      </c>
      <c r="G236" s="156"/>
      <c r="I236" s="163">
        <v>229.0</v>
      </c>
      <c r="J236" s="163">
        <v>0.433</v>
      </c>
    </row>
    <row r="237" spans="8:8" ht="15.3">
      <c r="B237" s="157" t="s">
        <v>4807</v>
      </c>
      <c r="C237" s="157" t="s">
        <v>4808</v>
      </c>
      <c r="D237" s="157" t="s">
        <v>4809</v>
      </c>
      <c r="E237" s="157">
        <v>123.467</v>
      </c>
      <c r="F237" s="159" t="s">
        <v>4810</v>
      </c>
      <c r="G237" s="156"/>
      <c r="I237" s="163">
        <v>230.0</v>
      </c>
      <c r="J237" s="168">
        <v>0.417</v>
      </c>
    </row>
    <row r="238" spans="8:8" ht="15.3">
      <c r="B238" s="157" t="s">
        <v>4811</v>
      </c>
      <c r="C238" s="157" t="s">
        <v>4812</v>
      </c>
      <c r="D238" s="157" t="s">
        <v>4813</v>
      </c>
      <c r="E238" s="157">
        <v>123.117</v>
      </c>
      <c r="F238" s="159" t="s">
        <v>4814</v>
      </c>
      <c r="G238" s="156"/>
      <c r="I238" s="163">
        <v>231.0</v>
      </c>
      <c r="J238" s="168">
        <v>0.4</v>
      </c>
    </row>
    <row r="239" spans="8:8" ht="15.3">
      <c r="B239" s="157" t="s">
        <v>4815</v>
      </c>
      <c r="C239" s="157" t="s">
        <v>4816</v>
      </c>
      <c r="D239" s="157" t="s">
        <v>4817</v>
      </c>
      <c r="E239" s="158">
        <v>120.05</v>
      </c>
      <c r="F239" s="159" t="s">
        <v>4818</v>
      </c>
      <c r="G239" s="156"/>
      <c r="I239" s="163">
        <v>232.0</v>
      </c>
      <c r="J239" s="168">
        <v>0.383</v>
      </c>
    </row>
    <row r="240" spans="8:8" ht="15.3">
      <c r="B240" s="157" t="s">
        <v>4819</v>
      </c>
      <c r="C240" s="157" t="s">
        <v>4820</v>
      </c>
      <c r="D240" s="157" t="s">
        <v>4821</v>
      </c>
      <c r="E240" s="158">
        <v>121.3</v>
      </c>
      <c r="F240" s="159" t="s">
        <v>4822</v>
      </c>
      <c r="G240" s="156"/>
      <c r="I240" s="163">
        <v>233.0</v>
      </c>
      <c r="J240" s="168">
        <v>0.35</v>
      </c>
    </row>
    <row r="241" spans="8:8" ht="15.3">
      <c r="B241" s="157" t="s">
        <v>4823</v>
      </c>
      <c r="C241" s="157" t="s">
        <v>4824</v>
      </c>
      <c r="D241" s="157" t="s">
        <v>4825</v>
      </c>
      <c r="E241" s="157">
        <v>119.683</v>
      </c>
      <c r="F241" s="159" t="s">
        <v>4826</v>
      </c>
      <c r="G241" s="156"/>
      <c r="I241" s="163">
        <v>234.0</v>
      </c>
      <c r="J241" s="163">
        <v>0.333</v>
      </c>
    </row>
    <row r="242" spans="8:8" ht="15.3">
      <c r="B242" s="157" t="s">
        <v>4827</v>
      </c>
      <c r="C242" s="157" t="s">
        <v>4828</v>
      </c>
      <c r="D242" s="157" t="s">
        <v>4829</v>
      </c>
      <c r="E242" s="157">
        <v>119.133</v>
      </c>
      <c r="F242" s="159" t="s">
        <v>4830</v>
      </c>
      <c r="G242" s="156"/>
      <c r="I242" s="163">
        <v>235.0</v>
      </c>
      <c r="J242" s="168">
        <v>0.317</v>
      </c>
    </row>
    <row r="243" spans="8:8" ht="15.3">
      <c r="B243" s="157" t="s">
        <v>4831</v>
      </c>
      <c r="C243" s="157" t="s">
        <v>4832</v>
      </c>
      <c r="D243" s="157" t="s">
        <v>4833</v>
      </c>
      <c r="E243" s="157">
        <v>120.617</v>
      </c>
      <c r="F243" s="159" t="s">
        <v>4834</v>
      </c>
      <c r="G243" s="156"/>
      <c r="I243" s="163">
        <v>236.0</v>
      </c>
      <c r="J243" s="168">
        <v>0.3</v>
      </c>
    </row>
    <row r="244" spans="8:8" ht="15.3">
      <c r="B244" s="157" t="s">
        <v>4835</v>
      </c>
      <c r="C244" s="157" t="s">
        <v>4836</v>
      </c>
      <c r="D244" s="157" t="s">
        <v>4837</v>
      </c>
      <c r="E244" s="157">
        <v>121.833</v>
      </c>
      <c r="F244" s="159" t="s">
        <v>4838</v>
      </c>
      <c r="G244" s="156"/>
      <c r="I244" s="163">
        <v>237.0</v>
      </c>
      <c r="J244" s="163">
        <v>0.283</v>
      </c>
    </row>
    <row r="245" spans="8:8" ht="15.3">
      <c r="B245" s="157" t="s">
        <v>4839</v>
      </c>
      <c r="C245" s="157" t="s">
        <v>4840</v>
      </c>
      <c r="D245" s="157" t="s">
        <v>4841</v>
      </c>
      <c r="E245" s="158">
        <v>124.95</v>
      </c>
      <c r="F245" s="159" t="s">
        <v>4842</v>
      </c>
      <c r="G245" s="156"/>
      <c r="I245" s="163">
        <v>238.0</v>
      </c>
      <c r="J245" s="168">
        <v>0.267</v>
      </c>
    </row>
    <row r="246" spans="8:8" ht="15.3">
      <c r="B246" s="157" t="s">
        <v>4843</v>
      </c>
      <c r="C246" s="157" t="s">
        <v>4844</v>
      </c>
      <c r="D246" s="157" t="s">
        <v>4845</v>
      </c>
      <c r="E246" s="157">
        <v>109.267</v>
      </c>
      <c r="F246" s="159" t="s">
        <v>4846</v>
      </c>
      <c r="G246" s="156"/>
      <c r="I246" s="163">
        <v>239.0</v>
      </c>
      <c r="J246" s="168">
        <v>0.25</v>
      </c>
    </row>
    <row r="247" spans="8:8" ht="15.3">
      <c r="B247" s="157" t="s">
        <v>4847</v>
      </c>
      <c r="C247" s="157" t="s">
        <v>4848</v>
      </c>
      <c r="D247" s="157" t="s">
        <v>4849</v>
      </c>
      <c r="E247" s="158">
        <v>108.95</v>
      </c>
      <c r="F247" s="159" t="s">
        <v>4850</v>
      </c>
      <c r="G247" s="156"/>
      <c r="I247" s="163">
        <v>240.0</v>
      </c>
      <c r="J247" s="163">
        <v>0.233</v>
      </c>
    </row>
    <row r="248" spans="8:8" ht="15.3">
      <c r="B248" s="157" t="s">
        <v>4851</v>
      </c>
      <c r="C248" s="157" t="s">
        <v>4852</v>
      </c>
      <c r="D248" s="157" t="s">
        <v>4853</v>
      </c>
      <c r="E248" s="157">
        <v>110.583</v>
      </c>
      <c r="F248" s="159" t="s">
        <v>4854</v>
      </c>
      <c r="G248" s="156"/>
      <c r="I248" s="163">
        <v>241.0</v>
      </c>
      <c r="J248" s="163">
        <v>0.217</v>
      </c>
    </row>
    <row r="249" spans="8:8" ht="15.3">
      <c r="B249" s="157" t="s">
        <v>4855</v>
      </c>
      <c r="C249" s="157" t="s">
        <v>4856</v>
      </c>
      <c r="D249" s="157" t="s">
        <v>4857</v>
      </c>
      <c r="E249" s="157">
        <v>110.517</v>
      </c>
      <c r="F249" s="159" t="s">
        <v>4858</v>
      </c>
      <c r="G249" s="156"/>
      <c r="I249" s="163">
        <v>242.0</v>
      </c>
      <c r="J249" s="168">
        <v>0.2</v>
      </c>
    </row>
    <row r="250" spans="8:8" ht="15.3">
      <c r="B250" s="157" t="s">
        <v>4859</v>
      </c>
      <c r="C250" s="157" t="s">
        <v>4860</v>
      </c>
      <c r="D250" s="157" t="s">
        <v>4861</v>
      </c>
      <c r="E250" s="157">
        <v>111.483</v>
      </c>
      <c r="F250" s="159" t="s">
        <v>4862</v>
      </c>
      <c r="G250" s="156"/>
      <c r="I250" s="163">
        <v>243.0</v>
      </c>
      <c r="J250" s="163">
        <v>0.183</v>
      </c>
    </row>
    <row r="251" spans="8:8" ht="15.3">
      <c r="B251" s="157" t="s">
        <v>4863</v>
      </c>
      <c r="C251" s="157" t="s">
        <v>4864</v>
      </c>
      <c r="D251" s="157" t="s">
        <v>4865</v>
      </c>
      <c r="E251" s="158">
        <v>113.0</v>
      </c>
      <c r="F251" s="159" t="s">
        <v>4866</v>
      </c>
      <c r="G251" s="156"/>
      <c r="I251" s="163">
        <v>244.0</v>
      </c>
      <c r="J251" s="163">
        <v>0.167</v>
      </c>
    </row>
    <row r="252" spans="8:8" ht="15.3">
      <c r="B252" s="157" t="s">
        <v>4867</v>
      </c>
      <c r="C252" s="157" t="s">
        <v>4868</v>
      </c>
      <c r="D252" s="157" t="s">
        <v>4869</v>
      </c>
      <c r="E252" s="157">
        <v>109.483</v>
      </c>
      <c r="F252" s="159" t="s">
        <v>4870</v>
      </c>
      <c r="G252" s="156"/>
      <c r="I252" s="163">
        <v>245.0</v>
      </c>
      <c r="J252" s="168">
        <v>0.15</v>
      </c>
    </row>
    <row r="253" spans="8:8" ht="15.3">
      <c r="B253" s="157" t="s">
        <v>4871</v>
      </c>
      <c r="C253" s="157" t="s">
        <v>4872</v>
      </c>
      <c r="D253" s="157" t="s">
        <v>4873</v>
      </c>
      <c r="E253" s="158">
        <v>109.95</v>
      </c>
      <c r="F253" s="159" t="s">
        <v>4874</v>
      </c>
      <c r="G253" s="156"/>
      <c r="I253" s="163">
        <v>246.0</v>
      </c>
      <c r="J253" s="168">
        <v>0.15</v>
      </c>
    </row>
    <row r="254" spans="8:8" ht="15.3">
      <c r="B254" s="157" t="s">
        <v>4875</v>
      </c>
      <c r="C254" s="157" t="s">
        <v>4876</v>
      </c>
      <c r="D254" s="157" t="s">
        <v>4877</v>
      </c>
      <c r="E254" s="157">
        <v>110.883</v>
      </c>
      <c r="F254" s="159" t="s">
        <v>4878</v>
      </c>
      <c r="G254" s="156"/>
      <c r="I254" s="163">
        <v>247.0</v>
      </c>
      <c r="J254" s="163">
        <v>0.133</v>
      </c>
    </row>
    <row r="255" spans="8:8" ht="15.3">
      <c r="B255" s="157" t="s">
        <v>4879</v>
      </c>
      <c r="C255" s="157" t="s">
        <v>4880</v>
      </c>
      <c r="D255" s="157" t="s">
        <v>4881</v>
      </c>
      <c r="E255" s="158">
        <v>111.65</v>
      </c>
      <c r="F255" s="159" t="s">
        <v>4882</v>
      </c>
      <c r="G255" s="156"/>
      <c r="I255" s="163">
        <v>248.0</v>
      </c>
      <c r="J255" s="163">
        <v>0.117</v>
      </c>
    </row>
    <row r="256" spans="8:8" ht="15.3">
      <c r="B256" s="157" t="s">
        <v>4883</v>
      </c>
      <c r="C256" s="157" t="s">
        <v>4884</v>
      </c>
      <c r="D256" s="157" t="s">
        <v>4885</v>
      </c>
      <c r="E256" s="158">
        <v>110.4</v>
      </c>
      <c r="F256" s="159" t="s">
        <v>4886</v>
      </c>
      <c r="G256" s="156"/>
      <c r="I256" s="163">
        <v>249.0</v>
      </c>
      <c r="J256" s="163">
        <v>0.117</v>
      </c>
    </row>
    <row r="257" spans="8:8" ht="15.3">
      <c r="B257" s="157" t="s">
        <v>4887</v>
      </c>
      <c r="C257" s="157" t="s">
        <v>4888</v>
      </c>
      <c r="D257" s="157" t="s">
        <v>4889</v>
      </c>
      <c r="E257" s="157">
        <v>109.467</v>
      </c>
      <c r="F257" s="159" t="s">
        <v>4890</v>
      </c>
      <c r="G257" s="156"/>
      <c r="I257" s="163">
        <v>250.0</v>
      </c>
      <c r="J257" s="168">
        <v>0.1</v>
      </c>
    </row>
    <row r="258" spans="8:8" ht="15.3">
      <c r="B258" s="157" t="s">
        <v>4891</v>
      </c>
      <c r="C258" s="157" t="s">
        <v>4892</v>
      </c>
      <c r="D258" s="157" t="s">
        <v>4893</v>
      </c>
      <c r="E258" s="158">
        <v>111.75</v>
      </c>
      <c r="F258" s="159" t="s">
        <v>4894</v>
      </c>
      <c r="G258" s="156"/>
      <c r="I258" s="163">
        <v>251.0</v>
      </c>
      <c r="J258" s="168">
        <v>0.1</v>
      </c>
    </row>
    <row r="259" spans="8:8" ht="15.3">
      <c r="B259" s="157" t="s">
        <v>4895</v>
      </c>
      <c r="C259" s="157" t="s">
        <v>4896</v>
      </c>
      <c r="D259" s="157" t="s">
        <v>4897</v>
      </c>
      <c r="E259" s="158">
        <v>112.8</v>
      </c>
      <c r="F259" s="159" t="s">
        <v>4898</v>
      </c>
      <c r="G259" s="156"/>
      <c r="I259" s="163">
        <v>252.0</v>
      </c>
      <c r="J259" s="163">
        <v>0.083</v>
      </c>
    </row>
    <row r="260" spans="8:8" ht="15.3">
      <c r="B260" s="157" t="s">
        <v>4899</v>
      </c>
      <c r="C260" s="157" t="s">
        <v>4900</v>
      </c>
      <c r="D260" s="157" t="s">
        <v>4901</v>
      </c>
      <c r="E260" s="157">
        <v>114.333</v>
      </c>
      <c r="F260" s="159" t="s">
        <v>4902</v>
      </c>
      <c r="G260" s="156"/>
      <c r="I260" s="163">
        <v>253.0</v>
      </c>
      <c r="J260" s="163">
        <v>0.067</v>
      </c>
    </row>
    <row r="261" spans="8:8" ht="15.3">
      <c r="B261" s="157" t="s">
        <v>4903</v>
      </c>
      <c r="C261" s="157" t="s">
        <v>4904</v>
      </c>
      <c r="D261" s="157" t="s">
        <v>4905</v>
      </c>
      <c r="E261" s="158">
        <v>114.8</v>
      </c>
      <c r="F261" s="159" t="s">
        <v>4906</v>
      </c>
      <c r="G261" s="156"/>
      <c r="I261" s="163">
        <v>254.0</v>
      </c>
      <c r="J261" s="163">
        <v>0.067</v>
      </c>
    </row>
    <row r="262" spans="8:8" ht="15.3">
      <c r="B262" s="157" t="s">
        <v>4907</v>
      </c>
      <c r="C262" s="157" t="s">
        <v>4908</v>
      </c>
      <c r="D262" s="157" t="s">
        <v>4909</v>
      </c>
      <c r="E262" s="157">
        <v>115.083</v>
      </c>
      <c r="F262" s="159" t="s">
        <v>4910</v>
      </c>
      <c r="G262" s="156"/>
      <c r="I262" s="163">
        <v>255.0</v>
      </c>
      <c r="J262" s="168">
        <v>0.05</v>
      </c>
    </row>
    <row r="263" spans="8:8" ht="15.3">
      <c r="B263" s="157" t="s">
        <v>4911</v>
      </c>
      <c r="C263" s="157" t="s">
        <v>4912</v>
      </c>
      <c r="D263" s="157" t="s">
        <v>4913</v>
      </c>
      <c r="E263" s="157">
        <v>112.417</v>
      </c>
      <c r="F263" s="159" t="s">
        <v>4914</v>
      </c>
      <c r="G263" s="156"/>
      <c r="I263" s="163">
        <v>256.0</v>
      </c>
      <c r="J263" s="168">
        <v>0.05</v>
      </c>
    </row>
    <row r="264" spans="8:8" ht="15.3">
      <c r="B264" s="157" t="s">
        <v>4915</v>
      </c>
      <c r="C264" s="157" t="s">
        <v>4916</v>
      </c>
      <c r="D264" s="157" t="s">
        <v>4917</v>
      </c>
      <c r="E264" s="157">
        <v>112.417</v>
      </c>
      <c r="F264" s="159" t="s">
        <v>4918</v>
      </c>
      <c r="G264" s="156"/>
      <c r="I264" s="163">
        <v>257.0</v>
      </c>
      <c r="J264" s="163">
        <v>0.033</v>
      </c>
    </row>
    <row r="265" spans="8:8" ht="15.3">
      <c r="B265" s="157" t="s">
        <v>4919</v>
      </c>
      <c r="C265" s="157" t="s">
        <v>4920</v>
      </c>
      <c r="D265" s="157" t="s">
        <v>4921</v>
      </c>
      <c r="E265" s="157">
        <v>111.233</v>
      </c>
      <c r="F265" s="159" t="s">
        <v>4922</v>
      </c>
      <c r="G265" s="156"/>
      <c r="I265" s="163">
        <v>258.0</v>
      </c>
      <c r="J265" s="163">
        <v>0.017</v>
      </c>
    </row>
    <row r="266" spans="8:8" ht="15.3">
      <c r="B266" s="157" t="s">
        <v>4923</v>
      </c>
      <c r="C266" s="157" t="s">
        <v>4924</v>
      </c>
      <c r="D266" s="157" t="s">
        <v>4925</v>
      </c>
      <c r="E266" s="157">
        <v>111.283</v>
      </c>
      <c r="F266" s="159" t="s">
        <v>4926</v>
      </c>
      <c r="G266" s="156"/>
      <c r="I266" s="163">
        <v>259.0</v>
      </c>
      <c r="J266" s="163">
        <v>0.017</v>
      </c>
    </row>
    <row r="267" spans="8:8" ht="15.3">
      <c r="B267" s="157" t="s">
        <v>4927</v>
      </c>
      <c r="C267" s="157" t="s">
        <v>4928</v>
      </c>
      <c r="D267" s="157" t="s">
        <v>4929</v>
      </c>
      <c r="E267" s="157">
        <v>113.567</v>
      </c>
      <c r="F267" s="159" t="s">
        <v>4930</v>
      </c>
      <c r="G267" s="156"/>
      <c r="I267" s="163">
        <v>260.0</v>
      </c>
      <c r="J267" s="163">
        <v>0.017</v>
      </c>
    </row>
    <row r="268" spans="8:8" ht="15.3">
      <c r="B268" s="157" t="s">
        <v>4931</v>
      </c>
      <c r="C268" s="157" t="s">
        <v>4932</v>
      </c>
      <c r="D268" s="157" t="s">
        <v>4933</v>
      </c>
      <c r="E268" s="158">
        <v>113.95</v>
      </c>
      <c r="F268" s="159" t="s">
        <v>4934</v>
      </c>
      <c r="G268" s="156"/>
      <c r="I268" s="163">
        <v>261.0</v>
      </c>
      <c r="J268" s="163">
        <v>0.017</v>
      </c>
    </row>
    <row r="269" spans="8:8" ht="15.3">
      <c r="B269" s="157" t="s">
        <v>4935</v>
      </c>
      <c r="C269" s="157" t="s">
        <v>4936</v>
      </c>
      <c r="D269" s="157" t="s">
        <v>4937</v>
      </c>
      <c r="E269" s="157">
        <v>114.333</v>
      </c>
      <c r="F269" s="159" t="s">
        <v>4938</v>
      </c>
      <c r="G269" s="156"/>
      <c r="I269" s="163">
        <v>262.0</v>
      </c>
      <c r="J269" s="168">
        <v>0.0</v>
      </c>
    </row>
    <row r="270" spans="8:8" ht="15.3">
      <c r="B270" s="157" t="s">
        <v>4939</v>
      </c>
      <c r="C270" s="157" t="s">
        <v>4940</v>
      </c>
      <c r="D270" s="157" t="s">
        <v>4941</v>
      </c>
      <c r="E270" s="157">
        <v>115.183</v>
      </c>
      <c r="F270" s="159" t="s">
        <v>4942</v>
      </c>
      <c r="G270" s="156"/>
      <c r="I270" s="163">
        <v>263.0</v>
      </c>
      <c r="J270" s="168">
        <v>0.0</v>
      </c>
    </row>
    <row r="271" spans="8:8" ht="15.3">
      <c r="B271" s="157" t="s">
        <v>4943</v>
      </c>
      <c r="C271" s="157" t="s">
        <v>4944</v>
      </c>
      <c r="D271" s="157" t="s">
        <v>4945</v>
      </c>
      <c r="E271" s="158">
        <v>114.8</v>
      </c>
      <c r="F271" s="159" t="s">
        <v>4946</v>
      </c>
      <c r="G271" s="156"/>
      <c r="I271" s="163">
        <v>264.0</v>
      </c>
      <c r="J271" s="168">
        <v>0.0</v>
      </c>
    </row>
    <row r="272" spans="8:8" ht="15.3">
      <c r="B272" s="157" t="s">
        <v>4947</v>
      </c>
      <c r="C272" s="157" t="s">
        <v>4948</v>
      </c>
      <c r="D272" s="157" t="s">
        <v>4949</v>
      </c>
      <c r="E272" s="157">
        <v>115.933</v>
      </c>
      <c r="F272" s="159" t="s">
        <v>4950</v>
      </c>
      <c r="G272" s="156"/>
      <c r="I272" s="163">
        <v>265.0</v>
      </c>
      <c r="J272" s="168">
        <v>0.0</v>
      </c>
    </row>
    <row r="273" spans="8:8" ht="15.3">
      <c r="B273" s="157" t="s">
        <v>4951</v>
      </c>
      <c r="C273" s="157" t="s">
        <v>4952</v>
      </c>
      <c r="D273" s="157" t="s">
        <v>4953</v>
      </c>
      <c r="E273" s="157">
        <v>114.833</v>
      </c>
      <c r="F273" s="159" t="s">
        <v>4954</v>
      </c>
      <c r="G273" s="156"/>
      <c r="I273" s="163">
        <v>266.0</v>
      </c>
      <c r="J273" s="168">
        <v>0.0</v>
      </c>
    </row>
    <row r="274" spans="8:8" ht="15.3">
      <c r="B274" s="157" t="s">
        <v>4955</v>
      </c>
      <c r="C274" s="157" t="s">
        <v>4956</v>
      </c>
      <c r="D274" s="157" t="s">
        <v>4957</v>
      </c>
      <c r="E274" s="157">
        <v>114.667</v>
      </c>
      <c r="F274" s="159" t="s">
        <v>4958</v>
      </c>
      <c r="G274" s="156"/>
      <c r="I274" s="163">
        <v>267.0</v>
      </c>
      <c r="J274" s="168">
        <v>0.0</v>
      </c>
    </row>
    <row r="275" spans="8:8" ht="15.3">
      <c r="B275" s="157" t="s">
        <v>4959</v>
      </c>
      <c r="C275" s="157" t="s">
        <v>4960</v>
      </c>
      <c r="D275" s="157" t="s">
        <v>4961</v>
      </c>
      <c r="E275" s="157">
        <v>115.033</v>
      </c>
      <c r="F275" s="159" t="s">
        <v>4962</v>
      </c>
      <c r="G275" s="156"/>
      <c r="I275" s="163">
        <v>268.0</v>
      </c>
      <c r="J275" s="168">
        <v>0.0</v>
      </c>
    </row>
    <row r="276" spans="8:8" ht="15.3">
      <c r="B276" s="157" t="s">
        <v>4963</v>
      </c>
      <c r="C276" s="157" t="s">
        <v>4964</v>
      </c>
      <c r="D276" s="157" t="s">
        <v>4965</v>
      </c>
      <c r="E276" s="157">
        <v>115.233</v>
      </c>
      <c r="F276" s="159" t="s">
        <v>4966</v>
      </c>
      <c r="G276" s="156"/>
      <c r="I276" s="163">
        <v>269.0</v>
      </c>
      <c r="J276" s="168">
        <v>0.0</v>
      </c>
    </row>
    <row r="277" spans="8:8" ht="15.3">
      <c r="B277" s="157" t="s">
        <v>4967</v>
      </c>
      <c r="C277" s="157" t="s">
        <v>4968</v>
      </c>
      <c r="D277" s="157" t="s">
        <v>4969</v>
      </c>
      <c r="E277" s="157">
        <v>115.517</v>
      </c>
      <c r="F277" s="159" t="s">
        <v>4970</v>
      </c>
      <c r="G277" s="156"/>
      <c r="I277" s="163">
        <v>270.0</v>
      </c>
      <c r="J277" s="200">
        <v>0.0</v>
      </c>
    </row>
    <row r="278" spans="8:8" ht="15.3">
      <c r="B278" s="157" t="s">
        <v>4971</v>
      </c>
      <c r="C278" s="157" t="s">
        <v>4972</v>
      </c>
      <c r="D278" s="157" t="s">
        <v>4973</v>
      </c>
      <c r="E278" s="157">
        <v>115.183</v>
      </c>
      <c r="F278" s="159" t="s">
        <v>4974</v>
      </c>
      <c r="G278" s="156"/>
      <c r="I278" s="163">
        <v>271.0</v>
      </c>
      <c r="J278" s="168">
        <v>0.0</v>
      </c>
    </row>
    <row r="279" spans="8:8" ht="15.3">
      <c r="B279" s="157" t="s">
        <v>4975</v>
      </c>
      <c r="C279" s="157" t="s">
        <v>4976</v>
      </c>
      <c r="D279" s="157" t="s">
        <v>4977</v>
      </c>
      <c r="E279" s="157">
        <v>115.567</v>
      </c>
      <c r="F279" s="159" t="s">
        <v>4978</v>
      </c>
      <c r="G279" s="156"/>
      <c r="I279" s="163">
        <v>272.0</v>
      </c>
      <c r="J279" s="168">
        <v>0.0</v>
      </c>
    </row>
    <row r="280" spans="8:8" ht="15.3">
      <c r="B280" s="157" t="s">
        <v>4979</v>
      </c>
      <c r="C280" s="157" t="s">
        <v>4980</v>
      </c>
      <c r="D280" s="157" t="s">
        <v>4981</v>
      </c>
      <c r="E280" s="157">
        <v>115.568</v>
      </c>
      <c r="F280" s="159" t="s">
        <v>4982</v>
      </c>
      <c r="G280" s="156"/>
      <c r="I280" s="163">
        <v>273.0</v>
      </c>
      <c r="J280" s="168">
        <v>0.0</v>
      </c>
    </row>
    <row r="281" spans="8:8" ht="15.3">
      <c r="B281" s="157" t="s">
        <v>4983</v>
      </c>
      <c r="C281" s="157" t="s">
        <v>4984</v>
      </c>
      <c r="D281" s="157" t="s">
        <v>4985</v>
      </c>
      <c r="E281" s="158">
        <v>115.6</v>
      </c>
      <c r="F281" s="159" t="s">
        <v>4986</v>
      </c>
      <c r="G281" s="156"/>
      <c r="I281" s="163">
        <v>274.0</v>
      </c>
      <c r="J281" s="163">
        <v>0.017</v>
      </c>
    </row>
    <row r="282" spans="8:8" ht="15.3">
      <c r="B282" s="157" t="s">
        <v>4987</v>
      </c>
      <c r="C282" s="157" t="s">
        <v>4988</v>
      </c>
      <c r="D282" s="157" t="s">
        <v>4989</v>
      </c>
      <c r="E282" s="158">
        <v>115.933</v>
      </c>
      <c r="F282" s="159" t="s">
        <v>4990</v>
      </c>
      <c r="G282" s="156"/>
      <c r="I282" s="163">
        <v>275.0</v>
      </c>
      <c r="J282" s="163">
        <v>0.017</v>
      </c>
    </row>
    <row r="283" spans="8:8" ht="15.3">
      <c r="B283" s="157" t="s">
        <v>4991</v>
      </c>
      <c r="C283" s="157" t="s">
        <v>4992</v>
      </c>
      <c r="D283" s="157" t="s">
        <v>4993</v>
      </c>
      <c r="E283" s="158">
        <v>116.6</v>
      </c>
      <c r="F283" s="159" t="s">
        <v>4994</v>
      </c>
      <c r="G283" s="156"/>
      <c r="I283" s="163">
        <v>276.0</v>
      </c>
      <c r="J283" s="163">
        <v>0.017</v>
      </c>
    </row>
    <row r="284" spans="8:8" ht="15.3">
      <c r="B284" s="157" t="s">
        <v>4995</v>
      </c>
      <c r="C284" s="157" t="s">
        <v>4996</v>
      </c>
      <c r="D284" s="157" t="s">
        <v>4997</v>
      </c>
      <c r="E284" s="157">
        <v>118.083</v>
      </c>
      <c r="F284" s="159" t="s">
        <v>4998</v>
      </c>
      <c r="G284" s="156"/>
      <c r="I284" s="163">
        <v>277.0</v>
      </c>
      <c r="J284" s="163">
        <v>0.033</v>
      </c>
    </row>
    <row r="285" spans="8:8" ht="15.3">
      <c r="B285" s="157" t="s">
        <v>4999</v>
      </c>
      <c r="C285" s="157" t="s">
        <v>5000</v>
      </c>
      <c r="D285" s="157" t="s">
        <v>5001</v>
      </c>
      <c r="E285" s="158">
        <v>115.85</v>
      </c>
      <c r="F285" s="159" t="s">
        <v>5002</v>
      </c>
      <c r="G285" s="156"/>
      <c r="I285" s="163">
        <v>278.0</v>
      </c>
      <c r="J285" s="163">
        <v>0.033</v>
      </c>
    </row>
    <row r="286" spans="8:8" ht="15.3">
      <c r="B286" s="157" t="s">
        <v>5003</v>
      </c>
      <c r="C286" s="157" t="s">
        <v>5004</v>
      </c>
      <c r="D286" s="157" t="s">
        <v>5005</v>
      </c>
      <c r="E286" s="157">
        <v>116.983</v>
      </c>
      <c r="F286" s="159" t="s">
        <v>5006</v>
      </c>
      <c r="G286" s="156"/>
      <c r="I286" s="163">
        <v>279.0</v>
      </c>
      <c r="J286" s="163">
        <v>0.033</v>
      </c>
    </row>
    <row r="287" spans="8:8" ht="15.3">
      <c r="B287" s="157" t="s">
        <v>5007</v>
      </c>
      <c r="C287" s="157" t="s">
        <v>5008</v>
      </c>
      <c r="D287" s="157" t="s">
        <v>5009</v>
      </c>
      <c r="E287" s="158">
        <v>116.5</v>
      </c>
      <c r="F287" s="159" t="s">
        <v>5010</v>
      </c>
      <c r="G287" s="156"/>
      <c r="I287" s="163">
        <v>280.0</v>
      </c>
      <c r="J287" s="168">
        <v>0.05</v>
      </c>
    </row>
    <row r="288" spans="8:8" ht="15.3">
      <c r="B288" s="157" t="s">
        <v>5011</v>
      </c>
      <c r="C288" s="157" t="s">
        <v>5012</v>
      </c>
      <c r="D288" s="157" t="s">
        <v>5013</v>
      </c>
      <c r="E288" s="158">
        <v>114.7</v>
      </c>
      <c r="F288" s="159" t="s">
        <v>5014</v>
      </c>
      <c r="G288" s="156"/>
      <c r="I288" s="163">
        <v>281.0</v>
      </c>
      <c r="J288" s="168">
        <v>0.05</v>
      </c>
    </row>
    <row r="289" spans="8:8" ht="15.3">
      <c r="B289" s="157" t="s">
        <v>5015</v>
      </c>
      <c r="C289" s="157" t="s">
        <v>5016</v>
      </c>
      <c r="D289" s="157" t="s">
        <v>5017</v>
      </c>
      <c r="E289" s="157">
        <v>116.983</v>
      </c>
      <c r="F289" s="159" t="s">
        <v>5018</v>
      </c>
      <c r="G289" s="156"/>
      <c r="I289" s="163">
        <v>282.0</v>
      </c>
      <c r="J289" s="163">
        <v>0.067</v>
      </c>
    </row>
    <row r="290" spans="8:8" ht="15.3">
      <c r="B290" s="157" t="s">
        <v>5019</v>
      </c>
      <c r="C290" s="157" t="s">
        <v>5020</v>
      </c>
      <c r="D290" s="157" t="s">
        <v>5021</v>
      </c>
      <c r="E290" s="157">
        <v>116.633</v>
      </c>
      <c r="F290" s="159" t="s">
        <v>5022</v>
      </c>
      <c r="G290" s="156"/>
      <c r="I290" s="163">
        <v>283.0</v>
      </c>
      <c r="J290" s="163">
        <v>0.067</v>
      </c>
    </row>
    <row r="291" spans="8:8" ht="15.3">
      <c r="B291" s="157" t="s">
        <v>5023</v>
      </c>
      <c r="C291" s="157" t="s">
        <v>5024</v>
      </c>
      <c r="D291" s="157" t="s">
        <v>5025</v>
      </c>
      <c r="E291" s="157">
        <v>117.633</v>
      </c>
      <c r="F291" s="159" t="s">
        <v>5026</v>
      </c>
      <c r="G291" s="156"/>
      <c r="I291" s="163">
        <v>284.0</v>
      </c>
      <c r="J291" s="163">
        <v>0.083</v>
      </c>
    </row>
    <row r="292" spans="8:8" ht="15.3">
      <c r="B292" s="157" t="s">
        <v>5027</v>
      </c>
      <c r="C292" s="157" t="s">
        <v>5028</v>
      </c>
      <c r="D292" s="157" t="s">
        <v>5029</v>
      </c>
      <c r="E292" s="157">
        <v>117.067</v>
      </c>
      <c r="F292" s="159" t="s">
        <v>5030</v>
      </c>
      <c r="G292" s="156"/>
      <c r="I292" s="163">
        <v>285.0</v>
      </c>
      <c r="J292" s="168">
        <v>0.1</v>
      </c>
    </row>
    <row r="293" spans="8:8" ht="15.3">
      <c r="B293" s="157" t="s">
        <v>5031</v>
      </c>
      <c r="C293" s="157" t="s">
        <v>5032</v>
      </c>
      <c r="D293" s="157" t="s">
        <v>5033</v>
      </c>
      <c r="E293" s="158">
        <v>124.05</v>
      </c>
      <c r="F293" s="159" t="s">
        <v>5034</v>
      </c>
      <c r="G293" s="156"/>
      <c r="I293" s="163">
        <v>286.0</v>
      </c>
      <c r="J293" s="168">
        <v>0.1</v>
      </c>
    </row>
    <row r="294" spans="8:8" ht="15.3">
      <c r="B294" s="157" t="s">
        <v>5035</v>
      </c>
      <c r="C294" s="157" t="s">
        <v>5036</v>
      </c>
      <c r="D294" s="157" t="s">
        <v>5037</v>
      </c>
      <c r="E294" s="157">
        <v>124.817</v>
      </c>
      <c r="F294" s="159" t="s">
        <v>5038</v>
      </c>
      <c r="G294" s="156"/>
      <c r="I294" s="163">
        <v>287.0</v>
      </c>
      <c r="J294" s="163">
        <v>0.117</v>
      </c>
    </row>
    <row r="295" spans="8:8" ht="15.3">
      <c r="B295" s="157" t="s">
        <v>5039</v>
      </c>
      <c r="C295" s="157" t="s">
        <v>5040</v>
      </c>
      <c r="D295" s="157" t="s">
        <v>5041</v>
      </c>
      <c r="E295" s="158">
        <v>125.5</v>
      </c>
      <c r="F295" s="159" t="s">
        <v>5042</v>
      </c>
      <c r="G295" s="156"/>
      <c r="I295" s="163">
        <v>288.0</v>
      </c>
      <c r="J295" s="163">
        <v>0.117</v>
      </c>
    </row>
    <row r="296" spans="8:8" ht="15.3">
      <c r="B296" s="157" t="s">
        <v>5043</v>
      </c>
      <c r="C296" s="157" t="s">
        <v>5044</v>
      </c>
      <c r="D296" s="157" t="s">
        <v>5045</v>
      </c>
      <c r="E296" s="157">
        <v>126.467</v>
      </c>
      <c r="F296" s="159" t="s">
        <v>5046</v>
      </c>
      <c r="G296" s="156"/>
      <c r="I296" s="163">
        <v>289.0</v>
      </c>
      <c r="J296" s="163">
        <v>0.133</v>
      </c>
    </row>
    <row r="297" spans="8:8" ht="15.3">
      <c r="B297" s="157" t="s">
        <v>5047</v>
      </c>
      <c r="C297" s="157" t="s">
        <v>5048</v>
      </c>
      <c r="D297" s="157" t="s">
        <v>5049</v>
      </c>
      <c r="E297" s="158">
        <v>124.45</v>
      </c>
      <c r="F297" s="159" t="s">
        <v>5050</v>
      </c>
      <c r="G297" s="156"/>
      <c r="I297" s="163">
        <v>290.0</v>
      </c>
      <c r="J297" s="168">
        <v>0.15</v>
      </c>
    </row>
    <row r="298" spans="8:8" ht="15.3">
      <c r="B298" s="157" t="s">
        <v>5051</v>
      </c>
      <c r="C298" s="157" t="s">
        <v>5052</v>
      </c>
      <c r="D298" s="157" t="s">
        <v>5053</v>
      </c>
      <c r="E298" s="157">
        <v>124.983</v>
      </c>
      <c r="F298" s="159" t="s">
        <v>5054</v>
      </c>
      <c r="G298" s="156"/>
      <c r="I298" s="163">
        <v>291.0</v>
      </c>
      <c r="J298" s="168">
        <v>0.15</v>
      </c>
    </row>
    <row r="299" spans="8:8" ht="15.3">
      <c r="B299" s="157" t="s">
        <v>5055</v>
      </c>
      <c r="C299" s="157" t="s">
        <v>5056</v>
      </c>
      <c r="D299" s="157" t="s">
        <v>5057</v>
      </c>
      <c r="E299" s="157">
        <v>124.567</v>
      </c>
      <c r="F299" s="159" t="s">
        <v>5058</v>
      </c>
      <c r="G299" s="156"/>
      <c r="I299" s="163">
        <v>292.0</v>
      </c>
      <c r="J299" s="163">
        <v>0.167</v>
      </c>
    </row>
    <row r="300" spans="8:8" ht="15.3">
      <c r="B300" s="157" t="s">
        <v>5059</v>
      </c>
      <c r="C300" s="157" t="s">
        <v>5060</v>
      </c>
      <c r="D300" s="157" t="s">
        <v>5061</v>
      </c>
      <c r="E300" s="158">
        <v>123.25</v>
      </c>
      <c r="F300" s="159" t="s">
        <v>5062</v>
      </c>
      <c r="G300" s="156"/>
      <c r="I300" s="163">
        <v>293.0</v>
      </c>
      <c r="J300" s="163">
        <v>0.183</v>
      </c>
    </row>
    <row r="301" spans="8:8" ht="15.3">
      <c r="B301" s="157" t="s">
        <v>5063</v>
      </c>
      <c r="C301" s="157" t="s">
        <v>5064</v>
      </c>
      <c r="D301" s="157" t="s">
        <v>5065</v>
      </c>
      <c r="E301" s="158">
        <v>125.4</v>
      </c>
      <c r="F301" s="159" t="s">
        <v>5066</v>
      </c>
      <c r="G301" s="156"/>
      <c r="I301" s="163">
        <v>294.0</v>
      </c>
      <c r="J301" s="168">
        <v>0.2</v>
      </c>
    </row>
    <row r="302" spans="8:8" ht="15.3">
      <c r="B302" s="157" t="s">
        <v>5067</v>
      </c>
      <c r="C302" s="157" t="s">
        <v>5068</v>
      </c>
      <c r="D302" s="157" t="s">
        <v>5069</v>
      </c>
      <c r="E302" s="158">
        <v>124.45</v>
      </c>
      <c r="F302" s="159" t="s">
        <v>5070</v>
      </c>
      <c r="G302" s="156"/>
      <c r="I302" s="163">
        <v>295.0</v>
      </c>
      <c r="J302" s="163">
        <v>0.217</v>
      </c>
    </row>
    <row r="303" spans="8:8" ht="15.3">
      <c r="B303" s="157" t="s">
        <v>5071</v>
      </c>
      <c r="C303" s="157" t="s">
        <v>5072</v>
      </c>
      <c r="D303" s="157" t="s">
        <v>5073</v>
      </c>
      <c r="E303" s="158">
        <v>124.25</v>
      </c>
      <c r="F303" s="159" t="s">
        <v>5074</v>
      </c>
      <c r="G303" s="156"/>
      <c r="I303" s="163">
        <v>296.0</v>
      </c>
      <c r="J303" s="163">
        <v>0.233</v>
      </c>
    </row>
    <row r="304" spans="8:8" ht="15.3">
      <c r="B304" s="157" t="s">
        <v>5075</v>
      </c>
      <c r="C304" s="157" t="s">
        <v>5076</v>
      </c>
      <c r="D304" s="157" t="s">
        <v>5077</v>
      </c>
      <c r="E304" s="157">
        <v>122.617</v>
      </c>
      <c r="F304" s="159" t="s">
        <v>5078</v>
      </c>
      <c r="G304" s="156"/>
      <c r="I304" s="163">
        <v>297.0</v>
      </c>
      <c r="J304" s="168">
        <v>0.25</v>
      </c>
    </row>
    <row r="305" spans="8:8" ht="15.3">
      <c r="B305" s="157" t="s">
        <v>5079</v>
      </c>
      <c r="C305" s="157" t="s">
        <v>5080</v>
      </c>
      <c r="D305" s="157" t="s">
        <v>5081</v>
      </c>
      <c r="E305" s="158">
        <v>120.75</v>
      </c>
      <c r="F305" s="159" t="s">
        <v>5082</v>
      </c>
      <c r="G305" s="156"/>
      <c r="I305" s="163">
        <v>298.0</v>
      </c>
      <c r="J305" s="163">
        <v>0.267</v>
      </c>
    </row>
    <row r="306" spans="8:8" ht="15.3">
      <c r="B306" s="157" t="s">
        <v>5083</v>
      </c>
      <c r="C306" s="157" t="s">
        <v>5084</v>
      </c>
      <c r="D306" s="157" t="s">
        <v>5085</v>
      </c>
      <c r="E306" s="157">
        <v>119.833</v>
      </c>
      <c r="F306" s="159" t="s">
        <v>5086</v>
      </c>
      <c r="G306" s="156"/>
      <c r="I306" s="163">
        <v>299.0</v>
      </c>
      <c r="J306" s="163">
        <v>0.283</v>
      </c>
    </row>
    <row r="307" spans="8:8" ht="15.3">
      <c r="B307" s="157" t="s">
        <v>5087</v>
      </c>
      <c r="C307" s="157" t="s">
        <v>5088</v>
      </c>
      <c r="D307" s="157" t="s">
        <v>5089</v>
      </c>
      <c r="E307" s="157">
        <v>120.817</v>
      </c>
      <c r="F307" s="159" t="s">
        <v>5090</v>
      </c>
      <c r="G307" s="156"/>
      <c r="I307" s="163">
        <v>300.0</v>
      </c>
      <c r="J307" s="168">
        <v>0.3</v>
      </c>
    </row>
    <row r="308" spans="8:8" ht="15.3">
      <c r="B308" s="157" t="s">
        <v>5091</v>
      </c>
      <c r="C308" s="157" t="s">
        <v>5092</v>
      </c>
      <c r="D308" s="157" t="s">
        <v>5093</v>
      </c>
      <c r="E308" s="158">
        <v>121.35</v>
      </c>
      <c r="F308" s="159" t="s">
        <v>5094</v>
      </c>
      <c r="G308" s="156"/>
      <c r="I308" s="163">
        <v>301.0</v>
      </c>
      <c r="J308" s="163">
        <v>0.317</v>
      </c>
    </row>
    <row r="309" spans="8:8" ht="15.3">
      <c r="B309" s="157" t="s">
        <v>5095</v>
      </c>
      <c r="C309" s="157" t="s">
        <v>5096</v>
      </c>
      <c r="D309" s="157" t="s">
        <v>5097</v>
      </c>
      <c r="E309" s="158">
        <v>121.9</v>
      </c>
      <c r="F309" s="159" t="s">
        <v>5098</v>
      </c>
      <c r="G309" s="156"/>
      <c r="I309" s="163">
        <v>302.0</v>
      </c>
      <c r="J309" s="163">
        <v>0.333</v>
      </c>
    </row>
    <row r="310" spans="8:8" ht="15.3">
      <c r="B310" s="157" t="s">
        <v>5099</v>
      </c>
      <c r="C310" s="157" t="s">
        <v>5100</v>
      </c>
      <c r="D310" s="157" t="s">
        <v>5101</v>
      </c>
      <c r="E310" s="157">
        <v>123.033</v>
      </c>
      <c r="F310" s="159" t="s">
        <v>5102</v>
      </c>
      <c r="G310" s="156"/>
      <c r="I310" s="163">
        <v>303.0</v>
      </c>
      <c r="J310" s="168">
        <v>0.36</v>
      </c>
    </row>
    <row r="311" spans="8:8" ht="15.3">
      <c r="B311" s="157" t="s">
        <v>5103</v>
      </c>
      <c r="C311" s="157" t="s">
        <v>5104</v>
      </c>
      <c r="D311" s="157" t="s">
        <v>5105</v>
      </c>
      <c r="E311" s="158">
        <v>120.8</v>
      </c>
      <c r="F311" s="159" t="s">
        <v>5106</v>
      </c>
      <c r="G311" s="156"/>
      <c r="I311" s="163">
        <v>304.0</v>
      </c>
      <c r="J311" s="163">
        <v>0.383</v>
      </c>
    </row>
    <row r="312" spans="8:8" ht="15.3">
      <c r="B312" s="157" t="s">
        <v>5107</v>
      </c>
      <c r="C312" s="157" t="s">
        <v>5108</v>
      </c>
      <c r="D312" s="157" t="s">
        <v>5109</v>
      </c>
      <c r="E312" s="157">
        <v>121.533</v>
      </c>
      <c r="F312" s="159" t="s">
        <v>5110</v>
      </c>
      <c r="G312" s="156"/>
      <c r="I312" s="163">
        <v>305.0</v>
      </c>
      <c r="J312" s="168">
        <v>0.4</v>
      </c>
    </row>
    <row r="313" spans="8:8" ht="15.3">
      <c r="B313" s="157" t="s">
        <v>5111</v>
      </c>
      <c r="C313" s="157" t="s">
        <v>5112</v>
      </c>
      <c r="D313" s="157" t="s">
        <v>5113</v>
      </c>
      <c r="E313" s="157">
        <v>119.983</v>
      </c>
      <c r="F313" s="159" t="s">
        <v>5114</v>
      </c>
      <c r="G313" s="156"/>
      <c r="I313" s="163">
        <v>306.0</v>
      </c>
      <c r="J313" s="163">
        <v>0.417</v>
      </c>
    </row>
    <row r="314" spans="8:8" ht="15.3">
      <c r="B314" s="157" t="s">
        <v>5115</v>
      </c>
      <c r="C314" s="157" t="s">
        <v>5116</v>
      </c>
      <c r="D314" s="157" t="s">
        <v>5117</v>
      </c>
      <c r="E314" s="158">
        <v>123.55</v>
      </c>
      <c r="F314" s="159" t="s">
        <v>5118</v>
      </c>
      <c r="G314" s="156"/>
      <c r="I314" s="163">
        <v>307.0</v>
      </c>
      <c r="J314" s="163">
        <v>0.433</v>
      </c>
    </row>
    <row r="315" spans="8:8" ht="15.3">
      <c r="B315" s="157" t="s">
        <v>5119</v>
      </c>
      <c r="C315" s="157" t="s">
        <v>5120</v>
      </c>
      <c r="D315" s="157" t="s">
        <v>5121</v>
      </c>
      <c r="E315" s="158">
        <v>121.35</v>
      </c>
      <c r="F315" s="159" t="s">
        <v>5122</v>
      </c>
      <c r="G315" s="156"/>
      <c r="I315" s="163">
        <v>308.0</v>
      </c>
      <c r="J315" s="163">
        <v>0.467</v>
      </c>
    </row>
    <row r="316" spans="8:8" ht="15.3">
      <c r="B316" s="157" t="s">
        <v>5123</v>
      </c>
      <c r="C316" s="157" t="s">
        <v>5124</v>
      </c>
      <c r="D316" s="157" t="s">
        <v>5125</v>
      </c>
      <c r="E316" s="158">
        <v>120.5</v>
      </c>
      <c r="F316" s="159" t="s">
        <v>5126</v>
      </c>
      <c r="G316" s="156"/>
      <c r="I316" s="163">
        <v>309.0</v>
      </c>
      <c r="J316" s="163">
        <v>0.483</v>
      </c>
    </row>
    <row r="317" spans="8:8" ht="15.3">
      <c r="B317" s="157" t="s">
        <v>5127</v>
      </c>
      <c r="C317" s="157" t="s">
        <v>5128</v>
      </c>
      <c r="D317" s="157" t="s">
        <v>5129</v>
      </c>
      <c r="E317" s="158">
        <v>120.2</v>
      </c>
      <c r="F317" s="159" t="s">
        <v>5130</v>
      </c>
      <c r="G317" s="156"/>
      <c r="I317" s="163">
        <v>310.0</v>
      </c>
      <c r="J317" s="168">
        <v>0.5</v>
      </c>
    </row>
    <row r="318" spans="8:8" ht="15.3">
      <c r="B318" s="157" t="s">
        <v>5131</v>
      </c>
      <c r="C318" s="157" t="s">
        <v>5132</v>
      </c>
      <c r="D318" s="157" t="s">
        <v>5133</v>
      </c>
      <c r="E318" s="157">
        <v>120.017</v>
      </c>
      <c r="F318" s="159" t="s">
        <v>5134</v>
      </c>
      <c r="G318" s="156"/>
      <c r="I318" s="163">
        <v>311.0</v>
      </c>
      <c r="J318" s="163">
        <v>0.517</v>
      </c>
    </row>
    <row r="319" spans="8:8" ht="15.3">
      <c r="B319" s="157" t="s">
        <v>5135</v>
      </c>
      <c r="C319" s="157" t="s">
        <v>5136</v>
      </c>
      <c r="D319" s="157" t="s">
        <v>5137</v>
      </c>
      <c r="E319" s="157">
        <v>119.667</v>
      </c>
      <c r="F319" s="159" t="s">
        <v>5138</v>
      </c>
      <c r="G319" s="156"/>
      <c r="I319" s="163">
        <v>312.0</v>
      </c>
      <c r="J319" s="168">
        <v>0.55</v>
      </c>
    </row>
    <row r="320" spans="8:8" ht="15.3">
      <c r="B320" s="157" t="s">
        <v>5139</v>
      </c>
      <c r="C320" s="157" t="s">
        <v>5140</v>
      </c>
      <c r="D320" s="157" t="s">
        <v>5141</v>
      </c>
      <c r="E320" s="157">
        <v>119.483</v>
      </c>
      <c r="F320" s="159" t="s">
        <v>5142</v>
      </c>
      <c r="G320" s="156"/>
      <c r="I320" s="163">
        <v>313.0</v>
      </c>
      <c r="J320" s="163">
        <v>0.567</v>
      </c>
    </row>
    <row r="321" spans="8:8" ht="15.3">
      <c r="B321" s="157" t="s">
        <v>5143</v>
      </c>
      <c r="C321" s="157" t="s">
        <v>5144</v>
      </c>
      <c r="D321" s="157" t="s">
        <v>5145</v>
      </c>
      <c r="E321" s="157">
        <v>119.733</v>
      </c>
      <c r="F321" s="159" t="s">
        <v>5146</v>
      </c>
      <c r="G321" s="156"/>
      <c r="I321" s="163">
        <v>314.0</v>
      </c>
      <c r="J321" s="168">
        <v>0.6</v>
      </c>
    </row>
    <row r="322" spans="8:8" ht="15.3">
      <c r="B322" s="157" t="s">
        <v>5147</v>
      </c>
      <c r="C322" s="157" t="s">
        <v>5148</v>
      </c>
      <c r="D322" s="157" t="s">
        <v>5149</v>
      </c>
      <c r="E322" s="158">
        <v>120.25</v>
      </c>
      <c r="F322" s="159" t="s">
        <v>5150</v>
      </c>
      <c r="G322" s="156"/>
      <c r="I322" s="163">
        <v>315.0</v>
      </c>
      <c r="J322" s="163">
        <v>0.617</v>
      </c>
    </row>
    <row r="323" spans="8:8" ht="15.3">
      <c r="B323" s="157" t="s">
        <v>5151</v>
      </c>
      <c r="C323" s="157" t="s">
        <v>5152</v>
      </c>
      <c r="D323" s="157" t="s">
        <v>5153</v>
      </c>
      <c r="E323" s="158">
        <v>120.05</v>
      </c>
      <c r="F323" s="159" t="s">
        <v>5154</v>
      </c>
      <c r="G323" s="156"/>
      <c r="I323" s="163">
        <v>316.0</v>
      </c>
      <c r="J323" s="163">
        <v>0.633</v>
      </c>
    </row>
    <row r="324" spans="8:8" ht="15.3">
      <c r="B324" s="157" t="s">
        <v>5155</v>
      </c>
      <c r="C324" s="157" t="s">
        <v>5156</v>
      </c>
      <c r="D324" s="157" t="s">
        <v>5157</v>
      </c>
      <c r="E324" s="157">
        <v>119.567</v>
      </c>
      <c r="F324" s="159" t="s">
        <v>5158</v>
      </c>
      <c r="G324" s="156"/>
      <c r="I324" s="163">
        <v>317.0</v>
      </c>
      <c r="J324" s="163">
        <v>0.667</v>
      </c>
    </row>
    <row r="325" spans="8:8" ht="15.3">
      <c r="B325" s="157" t="s">
        <v>5159</v>
      </c>
      <c r="C325" s="157" t="s">
        <v>5160</v>
      </c>
      <c r="D325" s="157" t="s">
        <v>5161</v>
      </c>
      <c r="E325" s="158">
        <v>119.55</v>
      </c>
      <c r="F325" s="159" t="s">
        <v>5162</v>
      </c>
      <c r="G325" s="156"/>
      <c r="I325" s="163">
        <v>318.0</v>
      </c>
      <c r="J325" s="163">
        <v>0.683</v>
      </c>
    </row>
    <row r="326" spans="8:8" ht="15.3">
      <c r="B326" s="157" t="s">
        <v>5163</v>
      </c>
      <c r="C326" s="157" t="s">
        <v>5164</v>
      </c>
      <c r="D326" s="157" t="s">
        <v>5165</v>
      </c>
      <c r="E326" s="157">
        <v>119.633</v>
      </c>
      <c r="F326" s="159" t="s">
        <v>5166</v>
      </c>
      <c r="G326" s="156"/>
      <c r="I326" s="163">
        <v>319.0</v>
      </c>
      <c r="J326" s="163">
        <v>0.717</v>
      </c>
    </row>
    <row r="327" spans="8:8" ht="15.3">
      <c r="B327" s="157" t="s">
        <v>5167</v>
      </c>
      <c r="C327" s="157" t="s">
        <v>5168</v>
      </c>
      <c r="D327" s="157" t="s">
        <v>5169</v>
      </c>
      <c r="E327" s="157">
        <v>119.917</v>
      </c>
      <c r="F327" s="159" t="s">
        <v>5170</v>
      </c>
      <c r="G327" s="156"/>
      <c r="I327" s="163">
        <v>320.0</v>
      </c>
      <c r="J327" s="163">
        <v>0.733</v>
      </c>
    </row>
    <row r="328" spans="8:8" ht="15.3">
      <c r="B328" s="157" t="s">
        <v>5171</v>
      </c>
      <c r="C328" s="157" t="s">
        <v>5172</v>
      </c>
      <c r="D328" s="157" t="s">
        <v>5173</v>
      </c>
      <c r="E328" s="158">
        <v>120.05</v>
      </c>
      <c r="F328" s="159" t="s">
        <v>5174</v>
      </c>
      <c r="G328" s="156"/>
      <c r="I328" s="163">
        <v>321.0</v>
      </c>
      <c r="J328" s="163">
        <v>0.767</v>
      </c>
    </row>
    <row r="329" spans="8:8" ht="15.3">
      <c r="B329" s="157" t="s">
        <v>5175</v>
      </c>
      <c r="C329" s="157" t="s">
        <v>5176</v>
      </c>
      <c r="D329" s="157" t="s">
        <v>5177</v>
      </c>
      <c r="E329" s="157">
        <v>120.017</v>
      </c>
      <c r="F329" s="159" t="s">
        <v>5178</v>
      </c>
      <c r="G329" s="156"/>
      <c r="I329" s="163">
        <v>322.0</v>
      </c>
      <c r="J329" s="163">
        <v>0.783</v>
      </c>
    </row>
    <row r="330" spans="8:8" ht="15.3">
      <c r="B330" s="157" t="s">
        <v>5179</v>
      </c>
      <c r="C330" s="157" t="s">
        <v>5180</v>
      </c>
      <c r="D330" s="157" t="s">
        <v>5181</v>
      </c>
      <c r="E330" s="157">
        <v>119.633</v>
      </c>
      <c r="F330" s="159" t="s">
        <v>5182</v>
      </c>
      <c r="G330" s="156"/>
      <c r="I330" s="163">
        <v>323.0</v>
      </c>
      <c r="J330" s="163">
        <v>0.817</v>
      </c>
    </row>
    <row r="331" spans="8:8" ht="15.3">
      <c r="B331" s="157" t="s">
        <v>5183</v>
      </c>
      <c r="C331" s="157" t="s">
        <v>5184</v>
      </c>
      <c r="D331" s="157" t="s">
        <v>5185</v>
      </c>
      <c r="E331" s="158">
        <v>119.75</v>
      </c>
      <c r="F331" s="159" t="s">
        <v>5186</v>
      </c>
      <c r="G331" s="156"/>
      <c r="I331" s="163">
        <v>324.0</v>
      </c>
      <c r="J331" s="163">
        <v>0.833</v>
      </c>
    </row>
    <row r="332" spans="8:8" ht="15.3">
      <c r="B332" s="157" t="s">
        <v>5187</v>
      </c>
      <c r="C332" s="157" t="s">
        <v>5188</v>
      </c>
      <c r="D332" s="157" t="s">
        <v>5189</v>
      </c>
      <c r="E332" s="158">
        <v>120.25</v>
      </c>
      <c r="F332" s="159" t="s">
        <v>5190</v>
      </c>
      <c r="G332" s="156"/>
      <c r="I332" s="163">
        <v>325.0</v>
      </c>
      <c r="J332" s="163">
        <v>0.867</v>
      </c>
    </row>
    <row r="333" spans="8:8" ht="15.3">
      <c r="B333" s="157" t="s">
        <v>5191</v>
      </c>
      <c r="C333" s="157" t="s">
        <v>5192</v>
      </c>
      <c r="D333" s="157" t="s">
        <v>5193</v>
      </c>
      <c r="E333" s="157">
        <v>119.733</v>
      </c>
      <c r="F333" s="159" t="s">
        <v>5194</v>
      </c>
      <c r="G333" s="156"/>
      <c r="I333" s="163">
        <v>326.0</v>
      </c>
      <c r="J333" s="163">
        <v>0.883</v>
      </c>
    </row>
    <row r="334" spans="8:8" ht="15.3">
      <c r="B334" s="157" t="s">
        <v>5195</v>
      </c>
      <c r="C334" s="157" t="s">
        <v>5196</v>
      </c>
      <c r="D334" s="157" t="s">
        <v>5197</v>
      </c>
      <c r="E334" s="157">
        <v>119.967</v>
      </c>
      <c r="F334" s="159" t="s">
        <v>5198</v>
      </c>
      <c r="G334" s="156"/>
      <c r="I334" s="163">
        <v>327.0</v>
      </c>
      <c r="J334" s="163">
        <v>0.917</v>
      </c>
    </row>
    <row r="335" spans="8:8" ht="15.3">
      <c r="B335" s="157" t="s">
        <v>5199</v>
      </c>
      <c r="C335" s="157" t="s">
        <v>5200</v>
      </c>
      <c r="D335" s="157" t="s">
        <v>5201</v>
      </c>
      <c r="E335" s="157">
        <v>121.167</v>
      </c>
      <c r="F335" s="159" t="s">
        <v>5202</v>
      </c>
      <c r="G335" s="156"/>
      <c r="I335" s="163">
        <v>328.0</v>
      </c>
      <c r="J335" s="163">
        <v>0.933</v>
      </c>
    </row>
    <row r="336" spans="8:8" ht="15.3">
      <c r="B336" s="157" t="s">
        <v>5203</v>
      </c>
      <c r="C336" s="157" t="s">
        <v>5204</v>
      </c>
      <c r="D336" s="157" t="s">
        <v>5205</v>
      </c>
      <c r="E336" s="157">
        <v>119.833</v>
      </c>
      <c r="F336" s="159" t="s">
        <v>5206</v>
      </c>
      <c r="G336" s="156"/>
      <c r="I336" s="163">
        <v>329.0</v>
      </c>
      <c r="J336" s="163">
        <v>0.967</v>
      </c>
    </row>
    <row r="337" spans="8:8" ht="15.3">
      <c r="B337" s="157" t="s">
        <v>5207</v>
      </c>
      <c r="C337" s="157" t="s">
        <v>5208</v>
      </c>
      <c r="D337" s="157" t="s">
        <v>5209</v>
      </c>
      <c r="E337" s="157">
        <v>121.583</v>
      </c>
      <c r="F337" s="159" t="s">
        <v>5210</v>
      </c>
      <c r="G337" s="156"/>
      <c r="I337" s="163">
        <v>330.0</v>
      </c>
      <c r="J337" s="168">
        <v>1.0</v>
      </c>
    </row>
    <row r="338" spans="8:8" ht="15.3">
      <c r="B338" s="157" t="s">
        <v>5211</v>
      </c>
      <c r="C338" s="157" t="s">
        <v>5212</v>
      </c>
      <c r="D338" s="157" t="s">
        <v>5213</v>
      </c>
      <c r="E338" s="157">
        <v>122.083</v>
      </c>
      <c r="F338" s="159" t="s">
        <v>5214</v>
      </c>
      <c r="G338" s="156"/>
      <c r="I338" s="163">
        <v>331.0</v>
      </c>
      <c r="J338" s="163">
        <v>1.033</v>
      </c>
    </row>
    <row r="339" spans="8:8" ht="15.3">
      <c r="B339" s="157" t="s">
        <v>5215</v>
      </c>
      <c r="C339" s="157" t="s">
        <v>5216</v>
      </c>
      <c r="D339" s="157" t="s">
        <v>5217</v>
      </c>
      <c r="E339" s="157">
        <v>122.683</v>
      </c>
      <c r="F339" s="159" t="s">
        <v>5218</v>
      </c>
      <c r="G339" s="156"/>
      <c r="I339" s="163">
        <v>332.0</v>
      </c>
      <c r="J339" s="163">
        <v>1.067</v>
      </c>
    </row>
    <row r="340" spans="8:8" ht="15.3">
      <c r="B340" s="157" t="s">
        <v>5219</v>
      </c>
      <c r="C340" s="157" t="s">
        <v>5220</v>
      </c>
      <c r="D340" s="157" t="s">
        <v>5221</v>
      </c>
      <c r="E340" s="158">
        <v>122.95</v>
      </c>
      <c r="F340" s="159" t="s">
        <v>5222</v>
      </c>
      <c r="G340" s="156"/>
      <c r="I340" s="163">
        <v>333.0</v>
      </c>
      <c r="J340" s="163">
        <v>1.083</v>
      </c>
    </row>
    <row r="341" spans="8:8" ht="15.3">
      <c r="B341" s="157" t="s">
        <v>5223</v>
      </c>
      <c r="C341" s="157" t="s">
        <v>5224</v>
      </c>
      <c r="D341" s="157" t="s">
        <v>5225</v>
      </c>
      <c r="E341" s="157">
        <v>122.433</v>
      </c>
      <c r="F341" s="159" t="s">
        <v>5226</v>
      </c>
      <c r="G341" s="156"/>
      <c r="I341" s="163">
        <v>334.0</v>
      </c>
      <c r="J341" s="163">
        <v>1.117</v>
      </c>
    </row>
    <row r="342" spans="8:8" ht="15.3">
      <c r="B342" s="157" t="s">
        <v>5227</v>
      </c>
      <c r="C342" s="157" t="s">
        <v>5228</v>
      </c>
      <c r="D342" s="157" t="s">
        <v>5229</v>
      </c>
      <c r="E342" s="158">
        <v>121.9</v>
      </c>
      <c r="F342" s="159" t="s">
        <v>5230</v>
      </c>
      <c r="G342" s="156"/>
      <c r="I342" s="163">
        <v>335.0</v>
      </c>
      <c r="J342" s="168">
        <v>1.15</v>
      </c>
    </row>
    <row r="343" spans="8:8" ht="15.3">
      <c r="B343" s="157" t="s">
        <v>5231</v>
      </c>
      <c r="C343" s="157" t="s">
        <v>5232</v>
      </c>
      <c r="D343" s="157" t="s">
        <v>5233</v>
      </c>
      <c r="E343" s="157">
        <v>123.583</v>
      </c>
      <c r="F343" s="159" t="s">
        <v>5234</v>
      </c>
      <c r="G343" s="156"/>
      <c r="I343" s="163">
        <v>336.0</v>
      </c>
      <c r="J343" s="163">
        <v>1.183</v>
      </c>
    </row>
    <row r="344" spans="8:8" ht="15.3">
      <c r="B344" s="157" t="s">
        <v>5235</v>
      </c>
      <c r="C344" s="157" t="s">
        <v>5236</v>
      </c>
      <c r="D344" s="157" t="s">
        <v>5237</v>
      </c>
      <c r="E344" s="157">
        <v>120.867</v>
      </c>
      <c r="F344" s="159" t="s">
        <v>5238</v>
      </c>
      <c r="G344" s="156"/>
      <c r="I344" s="163">
        <v>337.0</v>
      </c>
      <c r="J344" s="163">
        <v>1.217</v>
      </c>
    </row>
    <row r="345" spans="8:8" ht="15.3">
      <c r="B345" s="157" t="s">
        <v>5239</v>
      </c>
      <c r="C345" s="157" t="s">
        <v>5240</v>
      </c>
      <c r="D345" s="157" t="s">
        <v>5241</v>
      </c>
      <c r="E345" s="157">
        <v>122.083</v>
      </c>
      <c r="F345" s="159" t="s">
        <v>5242</v>
      </c>
      <c r="G345" s="156"/>
      <c r="I345" s="163">
        <v>338.0</v>
      </c>
      <c r="J345" s="163">
        <v>1.233</v>
      </c>
    </row>
    <row r="346" spans="8:8" ht="15.3">
      <c r="B346" s="157" t="s">
        <v>5243</v>
      </c>
      <c r="C346" s="157" t="s">
        <v>5244</v>
      </c>
      <c r="D346" s="157" t="s">
        <v>5245</v>
      </c>
      <c r="E346" s="157">
        <v>123.033</v>
      </c>
      <c r="F346" s="159" t="s">
        <v>5246</v>
      </c>
      <c r="G346" s="156"/>
      <c r="I346" s="163">
        <v>339.0</v>
      </c>
      <c r="J346" s="163">
        <v>1.267</v>
      </c>
    </row>
    <row r="347" spans="8:8" ht="15.3">
      <c r="B347" s="157" t="s">
        <v>5247</v>
      </c>
      <c r="C347" s="157" t="s">
        <v>5248</v>
      </c>
      <c r="D347" s="157" t="s">
        <v>5249</v>
      </c>
      <c r="E347" s="158">
        <v>121.9</v>
      </c>
      <c r="F347" s="159" t="s">
        <v>5250</v>
      </c>
      <c r="G347" s="156"/>
      <c r="I347" s="163">
        <v>340.0</v>
      </c>
      <c r="J347" s="168">
        <v>1.3</v>
      </c>
    </row>
    <row r="348" spans="8:8" ht="15.3">
      <c r="B348" s="157" t="s">
        <v>5251</v>
      </c>
      <c r="C348" s="157" t="s">
        <v>5252</v>
      </c>
      <c r="D348" s="157" t="s">
        <v>5253</v>
      </c>
      <c r="E348" s="157">
        <v>123.117</v>
      </c>
      <c r="F348" s="159" t="s">
        <v>5254</v>
      </c>
      <c r="G348" s="156"/>
      <c r="I348" s="163">
        <v>341.0</v>
      </c>
      <c r="J348" s="163">
        <v>1.333</v>
      </c>
    </row>
    <row r="349" spans="8:8" ht="15.3">
      <c r="B349" s="157" t="s">
        <v>5255</v>
      </c>
      <c r="C349" s="157" t="s">
        <v>5256</v>
      </c>
      <c r="D349" s="157" t="s">
        <v>5257</v>
      </c>
      <c r="E349" s="158">
        <v>122.45</v>
      </c>
      <c r="F349" s="159" t="s">
        <v>5258</v>
      </c>
      <c r="G349" s="156"/>
      <c r="I349" s="163">
        <v>342.0</v>
      </c>
      <c r="J349" s="163">
        <v>1.367</v>
      </c>
    </row>
    <row r="350" spans="8:8" ht="15.3">
      <c r="B350" s="157" t="s">
        <v>5259</v>
      </c>
      <c r="C350" s="157" t="s">
        <v>5260</v>
      </c>
      <c r="D350" s="157" t="s">
        <v>5261</v>
      </c>
      <c r="E350" s="157">
        <v>122.367</v>
      </c>
      <c r="F350" s="159" t="s">
        <v>5262</v>
      </c>
      <c r="G350" s="156"/>
      <c r="I350" s="163">
        <v>343.0</v>
      </c>
      <c r="J350" s="163">
        <v>1.383</v>
      </c>
    </row>
    <row r="351" spans="8:8" ht="15.3">
      <c r="B351" s="157" t="s">
        <v>5263</v>
      </c>
      <c r="C351" s="157" t="s">
        <v>5264</v>
      </c>
      <c r="D351" s="157" t="s">
        <v>5265</v>
      </c>
      <c r="E351" s="157">
        <v>122.983</v>
      </c>
      <c r="F351" s="159" t="s">
        <v>5266</v>
      </c>
      <c r="G351" s="156"/>
      <c r="I351" s="163">
        <v>344.0</v>
      </c>
      <c r="J351" s="168">
        <v>1.4</v>
      </c>
    </row>
    <row r="352" spans="8:8" ht="15.3">
      <c r="B352" s="157" t="s">
        <v>5267</v>
      </c>
      <c r="C352" s="157" t="s">
        <v>5268</v>
      </c>
      <c r="D352" s="157" t="s">
        <v>5269</v>
      </c>
      <c r="E352" s="158">
        <v>123.05</v>
      </c>
      <c r="F352" s="159" t="s">
        <v>5270</v>
      </c>
      <c r="G352" s="156"/>
      <c r="I352" s="163">
        <v>345.0</v>
      </c>
      <c r="J352" s="168">
        <v>1.45</v>
      </c>
    </row>
    <row r="353" spans="8:8" ht="15.3">
      <c r="B353" s="157" t="s">
        <v>5271</v>
      </c>
      <c r="C353" s="157" t="s">
        <v>5272</v>
      </c>
      <c r="D353" s="157" t="s">
        <v>5273</v>
      </c>
      <c r="E353" s="158">
        <v>122.25</v>
      </c>
      <c r="F353" s="159" t="s">
        <v>5274</v>
      </c>
      <c r="G353" s="156"/>
      <c r="I353" s="163">
        <v>346.0</v>
      </c>
      <c r="J353" s="163">
        <v>1.483</v>
      </c>
    </row>
    <row r="354" spans="8:8" ht="15.3">
      <c r="B354" s="157" t="s">
        <v>5275</v>
      </c>
      <c r="C354" s="157" t="s">
        <v>5276</v>
      </c>
      <c r="D354" s="157" t="s">
        <v>5277</v>
      </c>
      <c r="E354" s="157">
        <v>123.833</v>
      </c>
      <c r="F354" s="159" t="s">
        <v>5278</v>
      </c>
      <c r="G354" s="156"/>
      <c r="I354" s="163">
        <v>347.0</v>
      </c>
      <c r="J354" s="163">
        <v>1.517</v>
      </c>
    </row>
    <row r="355" spans="8:8" ht="15.3">
      <c r="B355" s="157" t="s">
        <v>5279</v>
      </c>
      <c r="C355" s="157" t="s">
        <v>5280</v>
      </c>
      <c r="D355" s="157" t="s">
        <v>5281</v>
      </c>
      <c r="E355" s="157">
        <v>121.717</v>
      </c>
      <c r="F355" s="159" t="s">
        <v>5282</v>
      </c>
      <c r="G355" s="156"/>
      <c r="I355" s="163">
        <v>348.0</v>
      </c>
      <c r="J355" s="168">
        <v>1.55</v>
      </c>
    </row>
    <row r="356" spans="8:8" ht="15.3">
      <c r="B356" s="157" t="s">
        <v>5283</v>
      </c>
      <c r="C356" s="157" t="s">
        <v>5284</v>
      </c>
      <c r="D356" s="157" t="s">
        <v>5285</v>
      </c>
      <c r="E356" s="157">
        <v>122.483</v>
      </c>
      <c r="F356" s="159" t="s">
        <v>5286</v>
      </c>
      <c r="G356" s="156"/>
      <c r="I356" s="163">
        <v>349.0</v>
      </c>
      <c r="J356" s="163">
        <v>1.583</v>
      </c>
    </row>
    <row r="357" spans="8:8" ht="15.3">
      <c r="B357" s="157" t="s">
        <v>5287</v>
      </c>
      <c r="C357" s="157" t="s">
        <v>5288</v>
      </c>
      <c r="D357" s="157" t="s">
        <v>5289</v>
      </c>
      <c r="E357" s="158">
        <v>119.5</v>
      </c>
      <c r="F357" s="159" t="s">
        <v>5290</v>
      </c>
      <c r="G357" s="156"/>
      <c r="I357" s="163">
        <v>350.0</v>
      </c>
      <c r="J357" s="163">
        <v>1.617</v>
      </c>
    </row>
    <row r="358" spans="8:8" ht="15.3">
      <c r="B358" s="157" t="s">
        <v>5291</v>
      </c>
      <c r="C358" s="157" t="s">
        <v>5292</v>
      </c>
      <c r="D358" s="157" t="s">
        <v>5293</v>
      </c>
      <c r="E358" s="157">
        <v>119.317</v>
      </c>
      <c r="F358" s="159" t="s">
        <v>5294</v>
      </c>
      <c r="G358" s="156"/>
      <c r="I358" s="163">
        <v>351.0</v>
      </c>
      <c r="J358" s="168">
        <v>1.65</v>
      </c>
    </row>
    <row r="359" spans="8:8" ht="15.3">
      <c r="B359" s="157" t="s">
        <v>5295</v>
      </c>
      <c r="C359" s="157" t="s">
        <v>5296</v>
      </c>
      <c r="D359" s="157" t="s">
        <v>5297</v>
      </c>
      <c r="E359" s="157">
        <v>119.367</v>
      </c>
      <c r="F359" s="159" t="s">
        <v>5298</v>
      </c>
      <c r="G359" s="156"/>
      <c r="I359" s="163">
        <v>352.0</v>
      </c>
      <c r="J359" s="163">
        <v>1.683</v>
      </c>
    </row>
    <row r="360" spans="8:8" ht="15.3">
      <c r="B360" s="157" t="s">
        <v>5299</v>
      </c>
      <c r="C360" s="157" t="s">
        <v>5300</v>
      </c>
      <c r="D360" s="157" t="s">
        <v>5301</v>
      </c>
      <c r="E360" s="157">
        <v>119.133</v>
      </c>
      <c r="F360" s="159" t="s">
        <v>5302</v>
      </c>
      <c r="G360" s="156"/>
      <c r="I360" s="163">
        <v>353.0</v>
      </c>
      <c r="J360" s="163">
        <v>1.717</v>
      </c>
    </row>
    <row r="361" spans="8:8" ht="15.3">
      <c r="B361" s="157" t="s">
        <v>5303</v>
      </c>
      <c r="C361" s="157" t="s">
        <v>5304</v>
      </c>
      <c r="D361" s="157" t="s">
        <v>5305</v>
      </c>
      <c r="E361" s="157">
        <v>118.967</v>
      </c>
      <c r="F361" s="159" t="s">
        <v>5306</v>
      </c>
      <c r="G361" s="156"/>
      <c r="I361" s="163">
        <v>354.0</v>
      </c>
      <c r="J361" s="168">
        <v>1.75</v>
      </c>
    </row>
    <row r="362" spans="8:8" ht="15.3">
      <c r="B362" s="157" t="s">
        <v>5307</v>
      </c>
      <c r="C362" s="157" t="s">
        <v>5308</v>
      </c>
      <c r="D362" s="157" t="s">
        <v>5309</v>
      </c>
      <c r="E362" s="158">
        <v>119.5</v>
      </c>
      <c r="F362" s="159" t="s">
        <v>5310</v>
      </c>
      <c r="G362" s="156"/>
      <c r="I362" s="163">
        <v>355.0</v>
      </c>
      <c r="J362" s="163">
        <v>1.767</v>
      </c>
    </row>
    <row r="363" spans="8:8" ht="15.3">
      <c r="B363" s="157" t="s">
        <v>5311</v>
      </c>
      <c r="C363" s="157" t="s">
        <v>5312</v>
      </c>
      <c r="D363" s="157" t="s">
        <v>5313</v>
      </c>
      <c r="E363" s="157">
        <v>129.483</v>
      </c>
      <c r="F363" s="201"/>
      <c r="G363" s="156"/>
      <c r="I363" s="163">
        <v>356.0</v>
      </c>
      <c r="J363" s="168">
        <v>1.8</v>
      </c>
    </row>
    <row r="364" spans="8:8" ht="15.3">
      <c r="B364" s="157" t="s">
        <v>5314</v>
      </c>
      <c r="C364" s="157" t="s">
        <v>5315</v>
      </c>
      <c r="D364" s="157" t="s">
        <v>5316</v>
      </c>
      <c r="E364" s="157">
        <v>130.133</v>
      </c>
      <c r="F364" s="201"/>
      <c r="G364" s="156"/>
      <c r="I364" s="163">
        <v>357.0</v>
      </c>
      <c r="J364" s="163">
        <v>1.833</v>
      </c>
    </row>
    <row r="365" spans="8:8" ht="15.3">
      <c r="B365" s="157" t="s">
        <v>5317</v>
      </c>
      <c r="C365" s="157" t="s">
        <v>5318</v>
      </c>
      <c r="D365" s="157" t="s">
        <v>5319</v>
      </c>
      <c r="E365" s="158">
        <v>131.5</v>
      </c>
      <c r="F365" s="201"/>
      <c r="G365" s="156"/>
      <c r="I365" s="163">
        <v>358.0</v>
      </c>
      <c r="J365" s="163">
        <v>1.867</v>
      </c>
    </row>
    <row r="366" spans="8:8" ht="15.3">
      <c r="B366" s="157" t="s">
        <v>5320</v>
      </c>
      <c r="C366" s="157" t="s">
        <v>5321</v>
      </c>
      <c r="D366" s="157" t="s">
        <v>5322</v>
      </c>
      <c r="E366" s="157">
        <v>126.683</v>
      </c>
      <c r="F366" s="201"/>
      <c r="G366" s="156"/>
      <c r="I366" s="163">
        <v>359.0</v>
      </c>
      <c r="J366" s="168">
        <v>1.9</v>
      </c>
    </row>
    <row r="367" spans="8:8" ht="15.3">
      <c r="B367" s="157" t="s">
        <v>5323</v>
      </c>
      <c r="C367" s="157" t="s">
        <v>5324</v>
      </c>
      <c r="D367" s="157" t="s">
        <v>5325</v>
      </c>
      <c r="E367" s="157">
        <v>130.217</v>
      </c>
      <c r="F367" s="201"/>
      <c r="G367" s="156"/>
    </row>
    <row r="368" spans="8:8" ht="15.3">
      <c r="B368" s="157" t="s">
        <v>5326</v>
      </c>
      <c r="C368" s="157" t="s">
        <v>5327</v>
      </c>
      <c r="D368" s="157" t="s">
        <v>5328</v>
      </c>
      <c r="E368" s="158">
        <v>128.4</v>
      </c>
      <c r="F368" s="201"/>
      <c r="G368" s="156"/>
    </row>
    <row r="369" spans="8:8" ht="15.3">
      <c r="B369" s="157" t="s">
        <v>5329</v>
      </c>
      <c r="C369" s="157" t="s">
        <v>5330</v>
      </c>
      <c r="D369" s="157" t="s">
        <v>5331</v>
      </c>
      <c r="E369" s="158">
        <v>134.55</v>
      </c>
      <c r="F369" s="201"/>
      <c r="G369" s="156"/>
    </row>
    <row r="370" spans="8:8" ht="15.3">
      <c r="B370" s="157" t="s">
        <v>5332</v>
      </c>
      <c r="C370" s="157" t="s">
        <v>5333</v>
      </c>
      <c r="D370" s="157" t="s">
        <v>5334</v>
      </c>
      <c r="E370" s="157">
        <v>126.333</v>
      </c>
      <c r="F370" s="201"/>
      <c r="G370" s="156"/>
    </row>
    <row r="371" spans="8:8" ht="15.3">
      <c r="B371" s="157" t="s">
        <v>5335</v>
      </c>
      <c r="C371" s="157" t="s">
        <v>5336</v>
      </c>
      <c r="D371" s="157" t="s">
        <v>5337</v>
      </c>
      <c r="E371" s="157">
        <v>126.683</v>
      </c>
      <c r="F371" s="201"/>
      <c r="G371" s="156"/>
    </row>
    <row r="372" spans="8:8" ht="15.3">
      <c r="B372" s="157" t="s">
        <v>5338</v>
      </c>
      <c r="C372" s="157" t="s">
        <v>5339</v>
      </c>
      <c r="D372" s="157" t="s">
        <v>5340</v>
      </c>
      <c r="E372" s="157">
        <v>127.583</v>
      </c>
      <c r="F372" s="159" t="s">
        <v>5341</v>
      </c>
      <c r="G372" s="156"/>
    </row>
    <row r="373" spans="8:8" ht="15.3">
      <c r="B373" s="157" t="s">
        <v>5342</v>
      </c>
      <c r="C373" s="157" t="s">
        <v>5343</v>
      </c>
      <c r="D373" s="157" t="s">
        <v>5344</v>
      </c>
      <c r="E373" s="158">
        <v>128.35</v>
      </c>
      <c r="F373" s="201"/>
      <c r="G373" s="156"/>
    </row>
    <row r="374" spans="8:8" ht="15.3">
      <c r="B374" s="157" t="s">
        <v>5345</v>
      </c>
      <c r="C374" s="157" t="s">
        <v>5346</v>
      </c>
      <c r="D374" s="157" t="s">
        <v>5347</v>
      </c>
      <c r="E374" s="157">
        <v>127.883</v>
      </c>
      <c r="F374" s="201"/>
      <c r="G374" s="156"/>
    </row>
    <row r="375" spans="8:8" ht="15.3">
      <c r="B375" s="157" t="s">
        <v>5348</v>
      </c>
      <c r="C375" s="157" t="s">
        <v>5349</v>
      </c>
      <c r="D375" s="157" t="s">
        <v>5350</v>
      </c>
      <c r="E375" s="157">
        <v>127.717</v>
      </c>
      <c r="F375" s="201"/>
      <c r="G375" s="156"/>
    </row>
    <row r="376" spans="8:8" ht="15.3">
      <c r="B376" s="157" t="s">
        <v>5351</v>
      </c>
      <c r="C376" s="157" t="s">
        <v>5352</v>
      </c>
      <c r="D376" s="157" t="s">
        <v>5353</v>
      </c>
      <c r="E376" s="158">
        <v>125.95</v>
      </c>
      <c r="F376" s="201"/>
      <c r="G376" s="156"/>
    </row>
    <row r="377" spans="8:8" ht="15.3">
      <c r="B377" s="157" t="s">
        <v>5354</v>
      </c>
      <c r="C377" s="157" t="s">
        <v>5355</v>
      </c>
      <c r="D377" s="157" t="s">
        <v>5356</v>
      </c>
      <c r="E377" s="157">
        <v>128.483</v>
      </c>
      <c r="F377" s="201"/>
      <c r="G377" s="156"/>
    </row>
    <row r="378" spans="8:8" ht="15.3">
      <c r="B378" s="157" t="s">
        <v>5357</v>
      </c>
      <c r="C378" s="157" t="s">
        <v>5358</v>
      </c>
      <c r="D378" s="157" t="s">
        <v>5359</v>
      </c>
      <c r="E378" s="158">
        <v>128.4</v>
      </c>
      <c r="F378" s="201"/>
      <c r="G378" s="156"/>
    </row>
    <row r="379" spans="8:8" ht="15.3">
      <c r="B379" s="157" t="s">
        <v>5360</v>
      </c>
      <c r="C379" s="157" t="s">
        <v>5361</v>
      </c>
      <c r="D379" s="157" t="s">
        <v>5362</v>
      </c>
      <c r="E379" s="157">
        <v>124.767</v>
      </c>
      <c r="F379" s="201"/>
      <c r="G379" s="156"/>
    </row>
    <row r="380" spans="8:8" ht="15.3">
      <c r="B380" s="157" t="s">
        <v>5363</v>
      </c>
      <c r="C380" s="157" t="s">
        <v>5364</v>
      </c>
      <c r="D380" s="157" t="s">
        <v>5365</v>
      </c>
      <c r="E380" s="158">
        <v>140.4</v>
      </c>
      <c r="F380" s="159" t="s">
        <v>5366</v>
      </c>
      <c r="G380" s="156"/>
    </row>
    <row r="381" spans="8:8" ht="15.3">
      <c r="B381" s="157" t="s">
        <v>5367</v>
      </c>
      <c r="C381" s="157" t="s">
        <v>5368</v>
      </c>
      <c r="D381" s="157" t="s">
        <v>5369</v>
      </c>
      <c r="E381" s="157">
        <v>138.783</v>
      </c>
      <c r="F381" s="201"/>
      <c r="G381" s="156"/>
    </row>
    <row r="382" spans="8:8" ht="15.3">
      <c r="B382" s="157" t="s">
        <v>5370</v>
      </c>
      <c r="C382" s="157" t="s">
        <v>5371</v>
      </c>
      <c r="D382" s="157" t="s">
        <v>5372</v>
      </c>
      <c r="E382" s="157">
        <v>140.667</v>
      </c>
      <c r="F382" s="201"/>
      <c r="G382" s="156"/>
    </row>
    <row r="383" spans="8:8" ht="15.3">
      <c r="B383" s="157" t="s">
        <v>5373</v>
      </c>
      <c r="C383" s="157" t="s">
        <v>5374</v>
      </c>
      <c r="D383" s="157" t="s">
        <v>5375</v>
      </c>
      <c r="E383" s="158">
        <v>135.5</v>
      </c>
      <c r="F383" s="201"/>
      <c r="G383" s="156"/>
    </row>
    <row r="384" spans="8:8" ht="15.3">
      <c r="B384" s="157" t="s">
        <v>5376</v>
      </c>
      <c r="C384" s="157" t="s">
        <v>5377</v>
      </c>
      <c r="D384" s="157" t="s">
        <v>5378</v>
      </c>
      <c r="E384" s="157">
        <v>136.167</v>
      </c>
      <c r="F384" s="201"/>
      <c r="G384" s="156"/>
    </row>
    <row r="385" spans="8:8" ht="15.3">
      <c r="B385" s="157" t="s">
        <v>5379</v>
      </c>
      <c r="C385" s="157" t="s">
        <v>5380</v>
      </c>
      <c r="D385" s="157" t="s">
        <v>5381</v>
      </c>
      <c r="E385" s="157">
        <v>135.967</v>
      </c>
      <c r="F385" s="201"/>
      <c r="G385" s="156"/>
    </row>
    <row r="386" spans="8:8" ht="15.3">
      <c r="B386" s="157" t="s">
        <v>5382</v>
      </c>
      <c r="C386" s="157" t="s">
        <v>5383</v>
      </c>
      <c r="D386" s="157" t="s">
        <v>5384</v>
      </c>
      <c r="E386" s="157">
        <v>137.183</v>
      </c>
      <c r="F386" s="201"/>
      <c r="G386" s="156"/>
    </row>
    <row r="387" spans="8:8" ht="15.3">
      <c r="B387" s="157" t="s">
        <v>5385</v>
      </c>
      <c r="C387" s="157" t="s">
        <v>5386</v>
      </c>
      <c r="D387" s="157" t="s">
        <v>5387</v>
      </c>
      <c r="E387" s="158">
        <v>136.35</v>
      </c>
      <c r="F387" s="201"/>
      <c r="G387" s="156"/>
    </row>
    <row r="388" spans="8:8" ht="15.3">
      <c r="B388" s="157" t="s">
        <v>5388</v>
      </c>
      <c r="C388" s="157" t="s">
        <v>5389</v>
      </c>
      <c r="D388" s="157" t="s">
        <v>5390</v>
      </c>
      <c r="E388" s="157">
        <v>137.133</v>
      </c>
      <c r="F388" s="201"/>
      <c r="G388" s="156"/>
    </row>
    <row r="389" spans="8:8" ht="15.3">
      <c r="B389" s="157" t="s">
        <v>5391</v>
      </c>
      <c r="C389" s="157" t="s">
        <v>5392</v>
      </c>
      <c r="D389" s="157" t="s">
        <v>5393</v>
      </c>
      <c r="E389" s="158">
        <v>139.2</v>
      </c>
      <c r="F389" s="201"/>
      <c r="G389" s="156"/>
    </row>
    <row r="390" spans="8:8" ht="15.3">
      <c r="B390" s="157" t="s">
        <v>5394</v>
      </c>
      <c r="C390" s="157" t="s">
        <v>5395</v>
      </c>
      <c r="D390" s="157" t="s">
        <v>5396</v>
      </c>
      <c r="E390" s="158">
        <v>140.75</v>
      </c>
      <c r="F390" s="201"/>
      <c r="G390" s="156"/>
    </row>
    <row r="391" spans="8:8" ht="15.3">
      <c r="B391" s="157" t="s">
        <v>5397</v>
      </c>
      <c r="C391" s="157" t="s">
        <v>5398</v>
      </c>
      <c r="D391" s="157" t="s">
        <v>5399</v>
      </c>
      <c r="E391" s="158">
        <v>140.5</v>
      </c>
      <c r="F391" s="201"/>
      <c r="G391" s="156"/>
    </row>
    <row r="392" spans="8:8" ht="15.3">
      <c r="B392" s="157" t="s">
        <v>5400</v>
      </c>
      <c r="C392" s="157" t="s">
        <v>5401</v>
      </c>
      <c r="D392" s="157" t="s">
        <v>5402</v>
      </c>
      <c r="E392" s="157">
        <v>139.517</v>
      </c>
      <c r="F392" s="201"/>
      <c r="G392" s="156"/>
    </row>
    <row r="393" spans="8:8" ht="15.3">
      <c r="B393" s="157" t="s">
        <v>5403</v>
      </c>
      <c r="C393" s="157" t="s">
        <v>5404</v>
      </c>
      <c r="D393" s="157" t="s">
        <v>5405</v>
      </c>
      <c r="E393" s="157">
        <v>138.467</v>
      </c>
      <c r="F393" s="201"/>
      <c r="G393" s="156"/>
    </row>
    <row r="394" spans="8:8" ht="15.3">
      <c r="B394" s="157" t="s">
        <v>5406</v>
      </c>
      <c r="C394" s="157" t="s">
        <v>5407</v>
      </c>
      <c r="D394" s="157" t="s">
        <v>5408</v>
      </c>
      <c r="E394" s="157">
        <v>136.667</v>
      </c>
      <c r="F394" s="201"/>
      <c r="G394" s="156"/>
    </row>
    <row r="395" spans="8:8" ht="15.3">
      <c r="B395" s="157" t="s">
        <v>5409</v>
      </c>
      <c r="C395" s="157" t="s">
        <v>5410</v>
      </c>
      <c r="D395" s="157" t="s">
        <v>5411</v>
      </c>
      <c r="E395" s="157">
        <v>140.333</v>
      </c>
      <c r="F395" s="201"/>
      <c r="G395" s="156"/>
    </row>
    <row r="396" spans="8:8" ht="15.3">
      <c r="B396" s="157" t="s">
        <v>5412</v>
      </c>
      <c r="C396" s="157" t="s">
        <v>5413</v>
      </c>
      <c r="D396" s="157" t="s">
        <v>5414</v>
      </c>
      <c r="E396" s="157">
        <v>139.683</v>
      </c>
      <c r="F396" s="201"/>
      <c r="G396" s="156"/>
    </row>
    <row r="397" spans="8:8" ht="15.3">
      <c r="B397" s="157" t="s">
        <v>5415</v>
      </c>
      <c r="C397" s="157" t="s">
        <v>5416</v>
      </c>
      <c r="D397" s="157" t="s">
        <v>5417</v>
      </c>
      <c r="E397" s="157">
        <v>138.383</v>
      </c>
      <c r="F397" s="201"/>
      <c r="G397" s="156"/>
    </row>
    <row r="398" spans="8:8" ht="15.3">
      <c r="B398" s="157" t="s">
        <v>5418</v>
      </c>
      <c r="C398" s="157" t="s">
        <v>5419</v>
      </c>
      <c r="D398" s="157" t="s">
        <v>5420</v>
      </c>
      <c r="E398" s="157">
        <v>135.633</v>
      </c>
      <c r="F398" s="201"/>
      <c r="G398" s="156"/>
    </row>
    <row r="399" spans="8:8" ht="15.3">
      <c r="B399" s="157" t="s">
        <v>5421</v>
      </c>
      <c r="C399" s="157" t="s">
        <v>5422</v>
      </c>
      <c r="D399" s="157" t="s">
        <v>5423</v>
      </c>
      <c r="E399" s="158">
        <v>137.75</v>
      </c>
      <c r="F399" s="201"/>
      <c r="G399" s="156"/>
    </row>
    <row r="400" spans="8:8" ht="15.3">
      <c r="B400" s="157" t="s">
        <v>5424</v>
      </c>
      <c r="C400" s="157" t="s">
        <v>5425</v>
      </c>
      <c r="D400" s="157" t="s">
        <v>5426</v>
      </c>
      <c r="E400" s="157">
        <v>138.317</v>
      </c>
      <c r="F400" s="201"/>
      <c r="G400" s="156"/>
    </row>
    <row r="401" spans="8:8" ht="15.3">
      <c r="B401" s="157" t="s">
        <v>5427</v>
      </c>
      <c r="C401" s="157" t="s">
        <v>5428</v>
      </c>
      <c r="D401" s="157" t="s">
        <v>5429</v>
      </c>
      <c r="E401" s="157">
        <v>139.433</v>
      </c>
      <c r="F401" s="201"/>
      <c r="G401" s="156"/>
    </row>
    <row r="402" spans="8:8" ht="15.3">
      <c r="B402" s="157" t="s">
        <v>5430</v>
      </c>
      <c r="C402" s="157" t="s">
        <v>5431</v>
      </c>
      <c r="D402" s="157" t="s">
        <v>5432</v>
      </c>
      <c r="E402" s="157">
        <v>138.317</v>
      </c>
      <c r="F402" s="201"/>
      <c r="G402" s="156"/>
    </row>
    <row r="403" spans="8:8" ht="15.3">
      <c r="B403" s="157" t="s">
        <v>5433</v>
      </c>
      <c r="C403" s="157" t="s">
        <v>5434</v>
      </c>
      <c r="D403" s="157" t="s">
        <v>5435</v>
      </c>
      <c r="E403" s="157">
        <v>138.233</v>
      </c>
      <c r="F403" s="201"/>
      <c r="G403" s="156"/>
    </row>
    <row r="404" spans="8:8" ht="15.3">
      <c r="B404" s="157" t="s">
        <v>5436</v>
      </c>
      <c r="C404" s="157" t="s">
        <v>5437</v>
      </c>
      <c r="D404" s="157" t="s">
        <v>5438</v>
      </c>
      <c r="E404" s="158">
        <v>137.6</v>
      </c>
      <c r="F404" s="201"/>
      <c r="G404" s="156"/>
    </row>
    <row r="405" spans="8:8" ht="15.3">
      <c r="B405" s="157" t="s">
        <v>5439</v>
      </c>
      <c r="C405" s="157" t="s">
        <v>5440</v>
      </c>
      <c r="D405" s="157" t="s">
        <v>5441</v>
      </c>
      <c r="E405" s="157">
        <v>135.667</v>
      </c>
      <c r="F405" s="201"/>
      <c r="G405" s="156"/>
    </row>
    <row r="406" spans="8:8" ht="15.3">
      <c r="B406" s="157" t="s">
        <v>5442</v>
      </c>
      <c r="C406" s="157" t="s">
        <v>5443</v>
      </c>
      <c r="D406" s="157" t="s">
        <v>5444</v>
      </c>
      <c r="E406" s="157">
        <v>136.733</v>
      </c>
      <c r="F406" s="201"/>
      <c r="G406" s="156"/>
    </row>
    <row r="407" spans="8:8" ht="15.3">
      <c r="B407" s="157" t="s">
        <v>5445</v>
      </c>
      <c r="C407" s="157" t="s">
        <v>5446</v>
      </c>
      <c r="D407" s="157" t="s">
        <v>5447</v>
      </c>
      <c r="E407" s="157">
        <v>136.433</v>
      </c>
      <c r="F407" s="201"/>
      <c r="G407" s="156"/>
    </row>
    <row r="408" spans="8:8" ht="15.3">
      <c r="B408" s="157" t="s">
        <v>5448</v>
      </c>
      <c r="C408" s="157" t="s">
        <v>5449</v>
      </c>
      <c r="D408" s="157" t="s">
        <v>5450</v>
      </c>
      <c r="E408" s="158">
        <v>131.25</v>
      </c>
      <c r="F408" s="201"/>
      <c r="G408" s="156"/>
    </row>
    <row r="409" spans="8:8" ht="15.3">
      <c r="B409" s="157" t="s">
        <v>5451</v>
      </c>
      <c r="C409" s="157" t="s">
        <v>5452</v>
      </c>
      <c r="D409" s="157" t="s">
        <v>5453</v>
      </c>
      <c r="E409" s="158">
        <v>134.05</v>
      </c>
      <c r="F409" s="201"/>
      <c r="G409" s="156"/>
    </row>
    <row r="410" spans="8:8" ht="15.3">
      <c r="B410" s="157" t="s">
        <v>5454</v>
      </c>
      <c r="C410" s="157" t="s">
        <v>5455</v>
      </c>
      <c r="D410" s="157" t="s">
        <v>5456</v>
      </c>
      <c r="E410" s="158">
        <v>132.3</v>
      </c>
      <c r="F410" s="201"/>
      <c r="G410" s="156"/>
    </row>
    <row r="411" spans="8:8" ht="15.3">
      <c r="B411" s="157" t="s">
        <v>5457</v>
      </c>
      <c r="C411" s="157" t="s">
        <v>5458</v>
      </c>
      <c r="D411" s="157" t="s">
        <v>5459</v>
      </c>
      <c r="E411" s="158">
        <v>132.15</v>
      </c>
      <c r="F411" s="201"/>
      <c r="G411" s="156"/>
    </row>
    <row r="412" spans="8:8" ht="15.3">
      <c r="B412" s="157" t="s">
        <v>5460</v>
      </c>
      <c r="C412" s="157" t="s">
        <v>5461</v>
      </c>
      <c r="D412" s="157" t="s">
        <v>5462</v>
      </c>
      <c r="E412" s="158">
        <v>130.5</v>
      </c>
      <c r="F412" s="201"/>
      <c r="G412" s="156"/>
    </row>
    <row r="413" spans="8:8" ht="15.3">
      <c r="B413" s="157" t="s">
        <v>5463</v>
      </c>
      <c r="C413" s="157" t="s">
        <v>5464</v>
      </c>
      <c r="D413" s="157" t="s">
        <v>5465</v>
      </c>
      <c r="E413" s="157">
        <v>133.317</v>
      </c>
      <c r="F413" s="201"/>
      <c r="G413" s="156"/>
    </row>
    <row r="414" spans="8:8" ht="15.3">
      <c r="B414" s="157" t="s">
        <v>5466</v>
      </c>
      <c r="C414" s="157" t="s">
        <v>5467</v>
      </c>
      <c r="D414" s="157" t="s">
        <v>5468</v>
      </c>
      <c r="E414" s="157">
        <v>134.317</v>
      </c>
      <c r="F414" s="201"/>
      <c r="G414" s="156"/>
    </row>
    <row r="415" spans="8:8" ht="15.3">
      <c r="B415" s="157" t="s">
        <v>5469</v>
      </c>
      <c r="C415" s="157" t="s">
        <v>5470</v>
      </c>
      <c r="D415" s="157" t="s">
        <v>5471</v>
      </c>
      <c r="E415" s="157">
        <v>133.767</v>
      </c>
      <c r="F415" s="201"/>
      <c r="G415" s="156"/>
    </row>
    <row r="416" spans="8:8" ht="15.3">
      <c r="B416" s="157" t="s">
        <v>5472</v>
      </c>
      <c r="C416" s="157" t="s">
        <v>5473</v>
      </c>
      <c r="D416" s="157" t="s">
        <v>5474</v>
      </c>
      <c r="E416" s="157">
        <v>132.383</v>
      </c>
      <c r="F416" s="201"/>
      <c r="G416" s="156"/>
    </row>
    <row r="417" spans="8:8" ht="15.3">
      <c r="B417" s="157" t="s">
        <v>5475</v>
      </c>
      <c r="C417" s="157" t="s">
        <v>5476</v>
      </c>
      <c r="D417" s="157" t="s">
        <v>5477</v>
      </c>
      <c r="E417" s="158">
        <v>132.3</v>
      </c>
      <c r="F417" s="201"/>
      <c r="G417" s="156"/>
    </row>
    <row r="418" spans="8:8" ht="15.3">
      <c r="B418" s="157" t="s">
        <v>5478</v>
      </c>
      <c r="C418" s="157" t="s">
        <v>5479</v>
      </c>
      <c r="D418" s="157" t="s">
        <v>5480</v>
      </c>
      <c r="E418" s="157">
        <v>134.033</v>
      </c>
      <c r="F418" s="201"/>
      <c r="G418" s="156"/>
    </row>
    <row r="419" spans="8:8" ht="15.3">
      <c r="B419" s="157" t="s">
        <v>5481</v>
      </c>
      <c r="C419" s="157" t="s">
        <v>5482</v>
      </c>
      <c r="D419" s="157" t="s">
        <v>5483</v>
      </c>
      <c r="E419" s="158">
        <v>133.7</v>
      </c>
      <c r="F419" s="201"/>
      <c r="G419" s="156"/>
    </row>
    <row r="420" spans="8:8" ht="16.6">
      <c r="B420" s="157" t="s">
        <v>5484</v>
      </c>
      <c r="C420" s="157" t="s">
        <v>5485</v>
      </c>
      <c r="D420" s="157" t="s">
        <v>5486</v>
      </c>
      <c r="E420" s="157">
        <v>106.817</v>
      </c>
      <c r="F420" s="159" t="s">
        <v>5487</v>
      </c>
      <c r="G420" s="156">
        <v>6.183</v>
      </c>
    </row>
    <row r="421" spans="8:8" ht="15.3">
      <c r="B421" s="157" t="s">
        <v>5488</v>
      </c>
      <c r="C421" s="157" t="s">
        <v>5489</v>
      </c>
      <c r="D421" s="157" t="s">
        <v>5490</v>
      </c>
      <c r="E421" s="158">
        <v>106.9</v>
      </c>
      <c r="F421" s="159" t="s">
        <v>5491</v>
      </c>
      <c r="G421" s="156"/>
    </row>
    <row r="422" spans="8:8" ht="15.3">
      <c r="B422" s="157" t="s">
        <v>5492</v>
      </c>
      <c r="C422" s="157" t="s">
        <v>5493</v>
      </c>
      <c r="D422" s="157" t="s">
        <v>5494</v>
      </c>
      <c r="E422" s="158">
        <v>106.75</v>
      </c>
      <c r="F422" s="159" t="s">
        <v>5495</v>
      </c>
      <c r="G422" s="156"/>
    </row>
    <row r="423" spans="8:8" ht="15.3">
      <c r="B423" s="157" t="s">
        <v>5496</v>
      </c>
      <c r="C423" s="157" t="s">
        <v>5497</v>
      </c>
      <c r="D423" s="157" t="s">
        <v>5498</v>
      </c>
      <c r="E423" s="158">
        <v>106.8</v>
      </c>
      <c r="F423" s="159" t="s">
        <v>5499</v>
      </c>
      <c r="G423" s="156"/>
    </row>
    <row r="424" spans="8:8" ht="15.3">
      <c r="B424" s="157" t="s">
        <v>5500</v>
      </c>
      <c r="C424" s="157" t="s">
        <v>5501</v>
      </c>
      <c r="D424" s="157" t="s">
        <v>5502</v>
      </c>
      <c r="E424" s="158">
        <v>106.05</v>
      </c>
      <c r="F424" s="159" t="s">
        <v>5503</v>
      </c>
      <c r="G424" s="156"/>
    </row>
    <row r="425" spans="8:8" ht="15.3">
      <c r="B425" s="157" t="s">
        <v>5504</v>
      </c>
      <c r="C425" s="157" t="s">
        <v>5505</v>
      </c>
      <c r="D425" s="157" t="s">
        <v>5506</v>
      </c>
      <c r="E425" s="158">
        <v>106.7</v>
      </c>
      <c r="F425" s="159" t="s">
        <v>5507</v>
      </c>
      <c r="G425" s="156"/>
    </row>
    <row r="426" spans="8:8" ht="15.3">
      <c r="B426" s="157" t="s">
        <v>5508</v>
      </c>
      <c r="C426" s="157" t="s">
        <v>5509</v>
      </c>
      <c r="D426" s="157" t="s">
        <v>5510</v>
      </c>
      <c r="E426" s="158">
        <v>106.05</v>
      </c>
      <c r="F426" s="159" t="s">
        <v>5511</v>
      </c>
      <c r="G426" s="156"/>
    </row>
  </sheetData>
  <mergeCells count="8">
    <mergeCell ref="L35:R35"/>
    <mergeCell ref="Q42:Y42"/>
    <mergeCell ref="L67:P67"/>
    <mergeCell ref="I4:J4"/>
    <mergeCell ref="L5:R5"/>
    <mergeCell ref="T5:X5"/>
    <mergeCell ref="L14:Y14"/>
    <mergeCell ref="B2:G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Z57"/>
  <sheetViews>
    <sheetView workbookViewId="0" zoomScale="40">
      <selection activeCell="O3" sqref="O3:AC57"/>
    </sheetView>
  </sheetViews>
  <sheetFormatPr defaultRowHeight="16.25" defaultColWidth="10"/>
  <cols>
    <col min="15" max="15" customWidth="1" width="10.0" style="0"/>
    <col min="16" max="16" customWidth="1" width="10.0" style="0"/>
    <col min="17" max="17" customWidth="1" width="10.0" style="0"/>
    <col min="18" max="18" customWidth="1" width="10.0" style="0"/>
    <col min="19" max="19" customWidth="1" width="10.0" style="0"/>
    <col min="20" max="20" customWidth="1" width="10.0" style="0"/>
    <col min="21" max="21" customWidth="1" width="10.0" style="0"/>
    <col min="22" max="22" customWidth="1" width="10.0" style="0"/>
    <col min="23" max="23" customWidth="1" width="10.0" style="0"/>
    <col min="24" max="24" customWidth="1" width="10.0" style="0"/>
    <col min="25" max="25" customWidth="1" width="10.0" style="0"/>
    <col min="26" max="26" customWidth="1" width="10.0" style="0"/>
    <col min="27" max="27" customWidth="1" width="10.0" style="0"/>
    <col min="28" max="28" customWidth="1" width="10.0" style="0"/>
    <col min="29" max="29" customWidth="1" width="10.0" style="0"/>
  </cols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 ht="20.0" customHeight="1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 ht="20.0" customHeight="1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 ht="20.0" customHeight="1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 ht="20.0" customHeight="1">
      <c r="A6" s="54"/>
      <c r="B6" s="25" t="s">
        <v>121</v>
      </c>
      <c r="C6" s="206">
        <f>'FALAK 169'!BV48</f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0.0" customHeight="1">
      <c r="A7" s="54"/>
      <c r="B7" s="25" t="s">
        <v>121</v>
      </c>
      <c r="C7" s="206">
        <f>'FALAK 169'!BV49</f>
        <v>4.0</v>
      </c>
      <c r="D7" s="13"/>
      <c r="E7" s="27">
        <f>VLOOKUP(C7,'DATA 1'!M20:R30,2)</f>
        <v>83.233</v>
      </c>
      <c r="F7" s="27"/>
      <c r="G7" s="31">
        <f>VLOOKUP(C7,'DATA 1'!M20:R30,3)</f>
        <v>32.2</v>
      </c>
      <c r="H7" s="31"/>
      <c r="I7" s="27">
        <f>VLOOKUP(C7,'DATA 1'!M20:R30,4)</f>
        <v>317.117</v>
      </c>
      <c r="J7" s="27"/>
      <c r="K7" s="27">
        <f>VLOOKUP(C7,'DATA 1'!M20:R30,5)</f>
        <v>159.2</v>
      </c>
      <c r="L7" s="27"/>
      <c r="M7" s="207">
        <f>VLOOKUP(C7,'DATA 1'!M20:R30,6)</f>
        <v>317.067</v>
      </c>
    </row>
    <row r="8" spans="8:8" ht="20.0" customHeight="1">
      <c r="A8" s="54"/>
      <c r="B8" s="25" t="s">
        <v>122</v>
      </c>
      <c r="C8" s="206">
        <v>1.0</v>
      </c>
      <c r="D8" s="13"/>
      <c r="E8" s="27">
        <f>VLOOKUP(C8,'DATA 1'!N35:S46,2)</f>
        <v>68.067</v>
      </c>
      <c r="F8" s="27"/>
      <c r="G8" s="27">
        <f>VLOOKUP(C8,'DATA 1'!N35:S46,3)</f>
        <v>337.383</v>
      </c>
      <c r="H8" s="27"/>
      <c r="I8" s="27">
        <f>VLOOKUP(C8,'DATA 1'!N35:S46,4)</f>
        <v>320.167</v>
      </c>
      <c r="J8" s="27"/>
      <c r="K8" s="27">
        <f>VLOOKUP(C8,'DATA 1'!N35:S46,5)</f>
        <v>283.983</v>
      </c>
      <c r="L8" s="27"/>
      <c r="M8" s="207">
        <f>VLOOKUP(C8,'DATA 1'!N35:S46,6)</f>
        <v>320.167</v>
      </c>
    </row>
    <row r="9" spans="8:8" ht="20.0" customHeight="1">
      <c r="A9" s="54"/>
      <c r="B9" s="25" t="s">
        <v>119</v>
      </c>
      <c r="C9" s="13" t="s">
        <v>120</v>
      </c>
      <c r="D9" s="13"/>
      <c r="E9" s="13">
        <f>MOD(E6+E7+E8,168)</f>
        <v>97.44999999999999</v>
      </c>
      <c r="F9" s="13"/>
      <c r="G9" s="13">
        <f>MOD(G6+G7+G8,360)</f>
        <v>88.63299999999998</v>
      </c>
      <c r="H9" s="13"/>
      <c r="I9" s="27">
        <f>MOD(I6+I7+I8,360)</f>
        <v>117.68399999999997</v>
      </c>
      <c r="J9" s="27"/>
      <c r="K9" s="27">
        <f>MOD(K6+K8+K7,360)</f>
        <v>339.4000000000001</v>
      </c>
      <c r="L9" s="27"/>
      <c r="M9" s="207">
        <f>MOD(M6+M7+M8,360)</f>
        <v>15.067000000000007</v>
      </c>
    </row>
    <row r="10" spans="8:8" ht="20.0" customHeight="1">
      <c r="A10" s="54"/>
      <c r="B10" s="25">
        <f>IF(C8=1,C6+C7+1,C6+C7)</f>
        <v>1445.0</v>
      </c>
      <c r="C10" s="13" t="str">
        <f>VLOOKUP(C8,'DATA 1'!T19:V30,3)</f>
        <v>Muharom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 ht="20.0" customHeight="1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 ht="20.0" customHeight="1">
      <c r="A12" s="54"/>
      <c r="B12" s="25" t="s">
        <v>2039</v>
      </c>
      <c r="C12" s="26" t="str">
        <f>VLOOKUP(C11,'DATA 2'!Q44:S74,2)</f>
        <v>Kabisah</v>
      </c>
      <c r="D12" s="13">
        <f>(E7-MOD(E7,24))/24</f>
        <v>3.0</v>
      </c>
      <c r="E12" s="13" t="str">
        <f>TEXT(E7/24,"hh:mm:ss")</f>
        <v>11:13:59</v>
      </c>
      <c r="F12" s="13">
        <f>(G7-MOD(G7,24))/24</f>
        <v>1.0</v>
      </c>
      <c r="G12" s="13" t="str">
        <f>TEXT(G7/24,"hh:mm:ss")</f>
        <v>08:12:00</v>
      </c>
      <c r="H12" s="13">
        <f>(I7-MOD(I7,24))/24</f>
        <v>13.0</v>
      </c>
      <c r="I12" s="13" t="str">
        <f>TEXT(I8/24,"hh:mm:ss")</f>
        <v>08:10:01</v>
      </c>
      <c r="J12" s="13">
        <f>(K7-MOD(K7,24))/24</f>
        <v>6.0</v>
      </c>
      <c r="K12" s="13" t="str">
        <f>TEXT(K7/24,"hh:mm:ss")</f>
        <v>15:12:00</v>
      </c>
      <c r="L12" s="13">
        <f>(M7-MOD(M7,24))/24</f>
        <v>13.0</v>
      </c>
      <c r="M12" s="205" t="str">
        <f>TEXT(M7/24,"hh:mm:ss")</f>
        <v>05:04:01</v>
      </c>
    </row>
    <row r="13" spans="8:8" ht="20.0" customHeight="1">
      <c r="A13" s="54"/>
      <c r="B13" s="25" t="s">
        <v>2043</v>
      </c>
      <c r="C13" s="13">
        <f>VLOOKUP(C11,'DATA 2'!Q44:S74,3)</f>
        <v>355.0</v>
      </c>
      <c r="D13" s="13">
        <f>(E8-MOD(E8,24))/24</f>
        <v>2.0</v>
      </c>
      <c r="E13" s="13" t="str">
        <f>TEXT(E8/24,"hh:mm:ss")</f>
        <v>20:04:01</v>
      </c>
      <c r="F13" s="13">
        <f>(G8-MOD(G8,24))/24</f>
        <v>14.0</v>
      </c>
      <c r="G13" s="13" t="str">
        <f>TEXT(G8/24,"hh:mm:ss")</f>
        <v>01:22:59</v>
      </c>
      <c r="H13" s="13">
        <f>(I8-MOD(I8,24))/24</f>
        <v>13.0</v>
      </c>
      <c r="I13" s="13" t="str">
        <f>TEXT(I8/24,"hh:mm:ss")</f>
        <v>08:10:01</v>
      </c>
      <c r="J13" s="13">
        <f>(K8-MOD(K8,24))/24</f>
        <v>11.0</v>
      </c>
      <c r="K13" s="13" t="str">
        <f>TEXT(K8/24,"hh:mm:ss")</f>
        <v>19:58:59</v>
      </c>
      <c r="L13" s="13">
        <f>(M8-MOD(M8,24))/24</f>
        <v>13.0</v>
      </c>
      <c r="M13" s="205" t="str">
        <f>TEXT(M8/24,"hh:mm:ss")</f>
        <v>08:10:01</v>
      </c>
    </row>
    <row r="14" spans="8:8" ht="20.0" customHeight="1">
      <c r="A14" s="54"/>
      <c r="B14" s="39" t="s">
        <v>2045</v>
      </c>
      <c r="C14" s="27" t="s">
        <v>2044</v>
      </c>
      <c r="D14" s="13">
        <f>(E9-MOD(E9,24))/24</f>
        <v>4.0</v>
      </c>
      <c r="E14" s="13" t="str">
        <f>TEXT(E9/24,"hh:mm:ss")</f>
        <v>01:27:00</v>
      </c>
      <c r="F14" s="13">
        <f>(G9-MOD(G9,24))/24</f>
        <v>3.0</v>
      </c>
      <c r="G14" s="13" t="str">
        <f>TEXT(G9/24,"hh:mm:ss")</f>
        <v>16:37:59</v>
      </c>
      <c r="H14" s="13">
        <f>(I9-MOD(I9,24))/24</f>
        <v>4.0</v>
      </c>
      <c r="I14" s="13" t="str">
        <f>TEXT(I9/24,"hh:mm:ss")</f>
        <v>21:41:02</v>
      </c>
      <c r="J14" s="13">
        <f>(K9-MOD(K9,24))/24</f>
        <v>14.0</v>
      </c>
      <c r="K14" s="13" t="str">
        <f>TEXT(K9/24,"hh:mm:ss")</f>
        <v>03:24:00</v>
      </c>
      <c r="L14" s="13">
        <f>(M9-MOD(M9,24))/24</f>
        <v>0.0</v>
      </c>
      <c r="M14" s="205" t="str">
        <f>TEXT(M9/24,"hh:mm:ss")</f>
        <v>15:04:01</v>
      </c>
    </row>
    <row r="15" spans="8:8" ht="20.0" customHeight="1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 ht="20.0" customHeight="1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 ht="20.0" customHeight="1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6.65</v>
      </c>
      <c r="L17" s="13">
        <f>(K17-MOD(K17,30))/30</f>
        <v>0.0</v>
      </c>
      <c r="M17" s="205" t="str">
        <f>TEXT(K17/24,"hh:mm:ss")</f>
        <v>06:39:00</v>
      </c>
    </row>
    <row r="18" spans="8:8" ht="20.0" customHeight="1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2.417</v>
      </c>
      <c r="L18" s="13">
        <f>(K18-MOD(K18,30))/30</f>
        <v>0.0</v>
      </c>
      <c r="M18" s="205" t="str">
        <f>TEXT(K18/24,"hh:mm:ss")</f>
        <v>02:25:01</v>
      </c>
    </row>
    <row r="19" spans="8:8" ht="20.0" customHeight="1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9.067</v>
      </c>
      <c r="L19" s="13">
        <f>(K19-MOD(K19,30))/30</f>
        <v>0.0</v>
      </c>
      <c r="M19" s="205" t="str">
        <f>TEXT(K19/24,"hh:mm:ss")</f>
        <v>09:04:01</v>
      </c>
    </row>
    <row r="20" spans="8:8" ht="20.0" customHeight="1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0.75555311</v>
      </c>
      <c r="L20" s="13">
        <f>(K20-MOD(K20,30))/30</f>
        <v>0.0</v>
      </c>
      <c r="M20" s="205" t="str">
        <f>TEXT(K20/24,"hh:mm:ss")</f>
        <v>00:45:20</v>
      </c>
    </row>
    <row r="21" spans="8:8" ht="20.0" customHeight="1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3.17255311</v>
      </c>
      <c r="L21" s="13">
        <f>(K21-MOD(K21,30))/30</f>
        <v>0.0</v>
      </c>
      <c r="M21" s="205" t="str">
        <f>TEXT(K21/24,"hh:mm:ss")</f>
        <v>03:10:21</v>
      </c>
    </row>
    <row r="22" spans="8:8" ht="20.0" customHeight="1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114.51144689</v>
      </c>
      <c r="L22" s="13">
        <f>(K22-MOD(K22,30))/30</f>
        <v>3.0</v>
      </c>
      <c r="M22" s="205" t="str">
        <f>TEXT(K22/24,"hh:mm:ss")</f>
        <v>18:30:41</v>
      </c>
    </row>
    <row r="23" spans="8:8" ht="20.0" customHeight="1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As-Sarton  </v>
      </c>
      <c r="L23" s="13">
        <f>L22</f>
        <v>3.0</v>
      </c>
      <c r="M23" s="205" t="str">
        <f>VLOOKUP(L23,'DATA 1'!W19:Y31,3)</f>
        <v>Juli</v>
      </c>
    </row>
    <row r="24" spans="8:8" ht="20.0" customHeight="1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 ht="20.0" customHeight="1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</v>
      </c>
      <c r="L25" s="13">
        <f>(K25-MOD(K25,30))/30</f>
        <v>0.0</v>
      </c>
      <c r="M25" s="205" t="str">
        <f>TEXT(K25/24,"hh:mm:ss")</f>
        <v>00:06:00</v>
      </c>
    </row>
    <row r="26" spans="8:8" ht="20.0" customHeight="1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8.967</v>
      </c>
      <c r="L26" s="13">
        <f>(K26-MOD(K26,30))/30</f>
        <v>0.0</v>
      </c>
      <c r="M26" s="205" t="str">
        <f>TEXT(K26/24,"hh:mm:ss")</f>
        <v>08:58:01</v>
      </c>
    </row>
    <row r="27" spans="8:8" ht="20.0" customHeight="1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105.54444689</v>
      </c>
      <c r="L27" s="13">
        <f>(K27-MOD(K27,30))/30</f>
        <v>3.0</v>
      </c>
      <c r="M27" s="205" t="str">
        <f>TEXT(K27/24,"hh:mm:ss")</f>
        <v>09:32:40</v>
      </c>
    </row>
    <row r="28" spans="8:8" ht="20.0" customHeight="1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2.183</v>
      </c>
      <c r="L28" s="13">
        <f>(K28-MOD(K28,30))/30</f>
        <v>0.0</v>
      </c>
      <c r="M28" s="205" t="str">
        <f>TEXT(K28/24,"hh:mm:ss")</f>
        <v>02:10:59</v>
      </c>
    </row>
    <row r="29" spans="8:8" ht="20.0" customHeight="1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19.574961</v>
      </c>
      <c r="L29" s="13">
        <f>(K29-MOD(K29,30))/30</f>
        <v>0.0</v>
      </c>
      <c r="M29" s="205" t="str">
        <f>TEXT(K29/24,"hh:mm:ss")</f>
        <v>19:34:30</v>
      </c>
    </row>
    <row r="30" spans="8:8" ht="20.0" customHeight="1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77.87503899999999</v>
      </c>
      <c r="L30" s="13">
        <f>(K30-MOD(K30,30))/30</f>
        <v>2.0</v>
      </c>
      <c r="M30" s="205" t="str">
        <f>TEXT(K30/24,"hh:mm:ss")</f>
        <v>05:52:30</v>
      </c>
    </row>
    <row r="31" spans="8:8" ht="20.0" customHeight="1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 ht="20.0" customHeight="1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 ht="20.0" customHeight="1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78.8539723333333</v>
      </c>
      <c r="L33" s="13">
        <f>(K33-MOD(K33,30))/30</f>
        <v>2.0</v>
      </c>
      <c r="M33" s="205" t="str">
        <f>TEXT(K33/24,"hh:mm:ss")</f>
        <v>06:51:14</v>
      </c>
    </row>
    <row r="34" spans="8:8" ht="20.0" customHeight="1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As-Stalasa</v>
      </c>
      <c r="L34" s="26">
        <f>INT(INT(K33)/24)</f>
        <v>3.0</v>
      </c>
      <c r="M34" s="212" t="str">
        <f>VLOOKUP(K34,'DATA 1'!V34:W41,2)</f>
        <v>Selasa</v>
      </c>
    </row>
    <row r="35" spans="8:8" ht="20.0" customHeight="1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6.853972333333303</v>
      </c>
      <c r="L35" s="26"/>
      <c r="M35" s="212" t="str">
        <f>TEXT(K35/24,"hh:mm:ss")</f>
        <v>06:51:14</v>
      </c>
    </row>
    <row r="36" spans="8:8" ht="20.0" customHeight="1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 ht="20.0" customHeight="1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0.8539723333333029</v>
      </c>
      <c r="L37" s="26"/>
      <c r="M37" s="212" t="str">
        <f>TEXT(K37/24,"hh:mm:ss")</f>
        <v>00:51:14</v>
      </c>
    </row>
    <row r="38" spans="8:8" ht="20.0" customHeight="1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17.1460276666667</v>
      </c>
      <c r="L38" s="26"/>
      <c r="M38" s="212" t="str">
        <f>TEXT(K38/24,"hh:mm:ss")</f>
        <v>17:08:46</v>
      </c>
    </row>
    <row r="39" spans="8:8" ht="20.0" customHeight="1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8.57301383333335</v>
      </c>
      <c r="L39" s="26"/>
      <c r="M39" s="212" t="str">
        <f>TEXT(K39/24,"hh:mm:ss")</f>
        <v>08:34:23</v>
      </c>
    </row>
    <row r="40" spans="8:8" ht="20.0" customHeight="1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0.5718200226833344</v>
      </c>
      <c r="L40" s="13"/>
      <c r="M40" s="205" t="str">
        <f>TEXT(K40/24,"hh:mm:ss")</f>
        <v>00:34:19</v>
      </c>
    </row>
    <row r="41" spans="8:8" ht="20.0" customHeight="1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3.867</v>
      </c>
      <c r="L41" s="13"/>
      <c r="M41" s="205" t="str">
        <f>TEXT(K41/24,"hh:mm:ss")</f>
        <v>03:52:01</v>
      </c>
    </row>
    <row r="42" spans="8:8" ht="20.0" customHeight="1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4.438820022683334</v>
      </c>
      <c r="L42" s="13"/>
      <c r="M42" s="205" t="str">
        <f>TEXT(K42/24,"hh:mm:ss")</f>
        <v>04:26:20</v>
      </c>
    </row>
    <row r="43" spans="8:8" ht="20.0" customHeight="1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 ht="20.0" customHeight="1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Selasa</v>
      </c>
      <c r="L44" s="13"/>
      <c r="M44" s="205"/>
    </row>
    <row r="45" spans="8:8" ht="20.0" customHeight="1">
      <c r="A45" s="54"/>
      <c r="B45" s="215" t="s">
        <v>1918</v>
      </c>
      <c r="C45" s="215"/>
      <c r="D45" s="215"/>
      <c r="E45" s="215"/>
      <c r="F45" s="27" t="str">
        <f>M35</f>
        <v>06:51:14</v>
      </c>
      <c r="G45" s="27"/>
      <c r="H45" s="27"/>
      <c r="I45" s="27" t="str">
        <f>IF(K35&lt;12,"Malam","Hari")</f>
        <v>Malam</v>
      </c>
      <c r="J45" s="27"/>
      <c r="K45" s="13" t="str">
        <f>K44</f>
        <v>Selasa</v>
      </c>
      <c r="L45" s="13"/>
      <c r="M45" s="205"/>
    </row>
    <row r="46" spans="8:8" ht="20.0" customHeight="1">
      <c r="A46" s="54"/>
      <c r="B46" s="215" t="s">
        <v>1907</v>
      </c>
      <c r="C46" s="215"/>
      <c r="D46" s="215"/>
      <c r="E46" s="215"/>
      <c r="F46" s="13" t="str">
        <f>M37</f>
        <v>00:51:14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Selasa</v>
      </c>
      <c r="L46" s="13"/>
      <c r="M46" s="205"/>
    </row>
    <row r="47" spans="8:8" ht="20.0" customHeight="1">
      <c r="A47" s="54"/>
      <c r="B47" s="215" t="s">
        <v>1919</v>
      </c>
      <c r="C47" s="215"/>
      <c r="D47" s="215"/>
      <c r="E47" s="215"/>
      <c r="F47" s="27" t="str">
        <f>M38</f>
        <v>17:08:46</v>
      </c>
      <c r="G47" s="27"/>
      <c r="H47" s="27"/>
      <c r="I47" s="27"/>
      <c r="J47" s="27"/>
      <c r="K47" s="13"/>
      <c r="L47" s="13"/>
      <c r="M47" s="205"/>
    </row>
    <row r="48" spans="8:8" ht="20.0" customHeight="1">
      <c r="A48" s="54"/>
      <c r="B48" s="215" t="s">
        <v>1920</v>
      </c>
      <c r="C48" s="215"/>
      <c r="D48" s="215"/>
      <c r="E48" s="215"/>
      <c r="F48" s="27" t="str">
        <f>M39</f>
        <v>08:34:23</v>
      </c>
      <c r="G48" s="27"/>
      <c r="H48" s="27" t="s">
        <v>1896</v>
      </c>
      <c r="I48" s="27" t="str">
        <f>VLOOKUP(L34,'DATA 1'!X34:Z41,3)</f>
        <v>Rabu</v>
      </c>
      <c r="J48" s="27"/>
      <c r="K48" s="13" t="str">
        <f>IF(K39&lt;2,"Tidak Imkan Ru'yat","Imkan Ru'yah")</f>
        <v>Imkan Ru'yah</v>
      </c>
      <c r="L48" s="13"/>
      <c r="M48" s="205"/>
    </row>
    <row r="49" spans="8:8" ht="20.0" customHeight="1">
      <c r="A49" s="54"/>
      <c r="B49" s="25" t="s">
        <v>1921</v>
      </c>
      <c r="C49" s="25"/>
      <c r="D49" s="25"/>
      <c r="E49" s="25"/>
      <c r="F49" s="13" t="str">
        <f>M40</f>
        <v>00:34:19</v>
      </c>
      <c r="G49" s="13"/>
      <c r="H49" s="13"/>
      <c r="I49" s="13"/>
      <c r="J49" s="13"/>
      <c r="K49" s="13"/>
      <c r="L49" s="13"/>
      <c r="M49" s="205"/>
    </row>
    <row r="50" spans="8:8" ht="20.0" customHeight="1">
      <c r="A50" s="54"/>
      <c r="B50" s="25" t="s">
        <v>1922</v>
      </c>
      <c r="C50" s="25"/>
      <c r="D50" s="25"/>
      <c r="E50" s="25"/>
      <c r="F50" s="13" t="str">
        <f>M42</f>
        <v>04:26:20</v>
      </c>
      <c r="G50" s="13"/>
      <c r="H50" s="13"/>
      <c r="I50" s="13"/>
      <c r="J50" s="13"/>
      <c r="K50" s="13"/>
      <c r="L50" s="13"/>
      <c r="M50" s="205"/>
    </row>
    <row r="51" spans="8:8" ht="20.0" customHeight="1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 ht="20.0" customHeight="1">
      <c r="A52" s="54"/>
      <c r="B52" s="25" t="s">
        <v>2028</v>
      </c>
      <c r="C52" s="25"/>
      <c r="D52" s="25"/>
      <c r="E52" s="25"/>
      <c r="F52" s="13" t="str">
        <f>K23</f>
        <v>As-Sarton  </v>
      </c>
      <c r="G52" s="13"/>
      <c r="H52" s="13"/>
      <c r="I52" s="13"/>
      <c r="J52" s="13"/>
      <c r="K52" s="205" t="str">
        <f>M23</f>
        <v>Juli</v>
      </c>
      <c r="L52" s="205"/>
      <c r="M52" s="205"/>
    </row>
    <row r="53" spans="8:8" ht="20.0" customHeight="1">
      <c r="A53" s="54"/>
      <c r="B53" s="25" t="s">
        <v>1923</v>
      </c>
      <c r="C53" s="25"/>
      <c r="D53" s="25"/>
      <c r="E53" s="25"/>
      <c r="F53" s="13" t="str">
        <f>C10</f>
        <v>Muharom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 ht="20.0" customHeight="1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 ht="20.0" customHeight="1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8:8" ht="20.0" customHeight="1"/>
    <row r="57" spans="8:8" ht="20.0" customHeight="1"/>
  </sheetData>
  <mergeCells count="105">
    <mergeCell ref="A1:M2"/>
    <mergeCell ref="F19:J19"/>
    <mergeCell ref="B31:E31"/>
    <mergeCell ref="I44:J44"/>
    <mergeCell ref="B51:E51"/>
    <mergeCell ref="F39:J39"/>
    <mergeCell ref="B41:E41"/>
    <mergeCell ref="I55:M55"/>
    <mergeCell ref="E3:I3"/>
    <mergeCell ref="B21:E21"/>
    <mergeCell ref="F25:J25"/>
    <mergeCell ref="B5:C5"/>
    <mergeCell ref="E4:I4"/>
    <mergeCell ref="K46:M46"/>
    <mergeCell ref="B33:E33"/>
    <mergeCell ref="F51:J51"/>
    <mergeCell ref="F31:J31"/>
    <mergeCell ref="K4:M4"/>
    <mergeCell ref="B20:E20"/>
    <mergeCell ref="A3:C3"/>
    <mergeCell ref="K52:M52"/>
    <mergeCell ref="B25:E25"/>
    <mergeCell ref="B55:G55"/>
    <mergeCell ref="K3:M3"/>
    <mergeCell ref="B16:E16"/>
    <mergeCell ref="F22:J22"/>
    <mergeCell ref="A4:C4"/>
    <mergeCell ref="B22:E22"/>
    <mergeCell ref="B48:E48"/>
    <mergeCell ref="F29:J29"/>
    <mergeCell ref="I50:J50"/>
    <mergeCell ref="B42:E42"/>
    <mergeCell ref="F40:J40"/>
    <mergeCell ref="B52:E52"/>
    <mergeCell ref="B24:E24"/>
    <mergeCell ref="F53:J53"/>
    <mergeCell ref="F16:J16"/>
    <mergeCell ref="B29:E29"/>
    <mergeCell ref="F23:J23"/>
    <mergeCell ref="K44:M44"/>
    <mergeCell ref="F47:G47"/>
    <mergeCell ref="K51:M51"/>
    <mergeCell ref="I48:J48"/>
    <mergeCell ref="B34:E34"/>
    <mergeCell ref="K48:M48"/>
    <mergeCell ref="B53:E53"/>
    <mergeCell ref="B49:E49"/>
    <mergeCell ref="I45:J45"/>
    <mergeCell ref="I46:J46"/>
    <mergeCell ref="B46:E46"/>
    <mergeCell ref="F45:G45"/>
    <mergeCell ref="I49:J49"/>
    <mergeCell ref="B54:E54"/>
    <mergeCell ref="K54:M54"/>
    <mergeCell ref="F33:J33"/>
    <mergeCell ref="B23:E23"/>
    <mergeCell ref="F18:J18"/>
    <mergeCell ref="B32:E32"/>
    <mergeCell ref="K49:M49"/>
    <mergeCell ref="B50:E50"/>
    <mergeCell ref="F34:J34"/>
    <mergeCell ref="B19:E19"/>
    <mergeCell ref="F17:J17"/>
    <mergeCell ref="F37:J37"/>
    <mergeCell ref="F27:J27"/>
    <mergeCell ref="B45:E45"/>
    <mergeCell ref="F48:G48"/>
    <mergeCell ref="B44:E44"/>
    <mergeCell ref="B38:E38"/>
    <mergeCell ref="B39:E39"/>
    <mergeCell ref="F42:J42"/>
    <mergeCell ref="F46:G46"/>
    <mergeCell ref="F28:J28"/>
    <mergeCell ref="B47:E47"/>
    <mergeCell ref="F49:G49"/>
    <mergeCell ref="F54:J54"/>
    <mergeCell ref="F30:J30"/>
    <mergeCell ref="B40:E40"/>
    <mergeCell ref="F52:J52"/>
    <mergeCell ref="K45:M45"/>
    <mergeCell ref="K47:M47"/>
    <mergeCell ref="I47:J47"/>
    <mergeCell ref="K50:M50"/>
    <mergeCell ref="F41:J41"/>
    <mergeCell ref="F44:G44"/>
    <mergeCell ref="B36:E36"/>
    <mergeCell ref="F21:J21"/>
    <mergeCell ref="B18:E18"/>
    <mergeCell ref="B37:E37"/>
    <mergeCell ref="F26:J26"/>
    <mergeCell ref="B28:E28"/>
    <mergeCell ref="B27:E27"/>
    <mergeCell ref="F35:J35"/>
    <mergeCell ref="F38:J38"/>
    <mergeCell ref="F50:G50"/>
    <mergeCell ref="B43:M43"/>
    <mergeCell ref="F24:J24"/>
    <mergeCell ref="B35:E35"/>
    <mergeCell ref="F32:J32"/>
    <mergeCell ref="B26:E26"/>
    <mergeCell ref="B17:E17"/>
    <mergeCell ref="L16:M16"/>
    <mergeCell ref="F20:J20"/>
    <mergeCell ref="B30:E30"/>
    <mergeCell ref="F36:J36"/>
  </mergeCells>
  <pageMargins left="0.7" right="0.7" top="0.75" bottom="0.75" header="0.3" footer="0.3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JV55"/>
  <sheetViews>
    <sheetView workbookViewId="0" zoomScale="61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3.35">
      <c r="A7" s="54"/>
      <c r="B7" s="25" t="s">
        <v>121</v>
      </c>
      <c r="C7" s="206">
        <f>Lembar1!C7+1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3.35">
      <c r="A8" s="54"/>
      <c r="B8" s="25" t="s">
        <v>122</v>
      </c>
      <c r="C8" s="206">
        <v>2.0</v>
      </c>
      <c r="D8" s="13"/>
      <c r="E8" s="27">
        <f>VLOOKUP(C8,'DATA 1'!N35:S46,2)</f>
        <v>0.0</v>
      </c>
      <c r="F8" s="27"/>
      <c r="G8" s="27">
        <f>VLOOKUP(C8,'DATA 1'!N35:S46,3)</f>
        <v>0.0</v>
      </c>
      <c r="H8" s="27"/>
      <c r="I8" s="27">
        <f>VLOOKUP(C8,'DATA 1'!N35:S46,4)</f>
        <v>0.0</v>
      </c>
      <c r="J8" s="27"/>
      <c r="K8" s="27">
        <f>VLOOKUP(C8,'DATA 1'!N35:S46,5)</f>
        <v>0.0</v>
      </c>
      <c r="L8" s="27"/>
      <c r="M8" s="207">
        <f>VLOOKUP(C8,'DATA 1'!N35:S46,6)</f>
        <v>0.0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134.183</v>
      </c>
      <c r="F9" s="13"/>
      <c r="G9" s="13">
        <f>MOD(G6+G7+G8,360)</f>
        <v>119.3</v>
      </c>
      <c r="H9" s="13"/>
      <c r="I9" s="27">
        <f>MOD(I6+I7+I8,360)</f>
        <v>146.79999999999995</v>
      </c>
      <c r="J9" s="27"/>
      <c r="K9" s="27">
        <f>MOD(K6+K8+K7,360)</f>
        <v>5.2169999999999845</v>
      </c>
      <c r="L9" s="27"/>
      <c r="M9" s="207">
        <f>MOD(M6+M7+M8,360)</f>
        <v>44.166000000000054</v>
      </c>
    </row>
    <row r="10" spans="8:8">
      <c r="A10" s="54"/>
      <c r="B10" s="25">
        <f>IF(C8=1,C6+C7+1,C6+C7)</f>
        <v>1445.0</v>
      </c>
      <c r="C10" s="13" t="str">
        <f>VLOOKUP(C8,'DATA 1'!T19:V30,3)</f>
        <v>Sopar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00:00:00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0.0</v>
      </c>
      <c r="E13" s="13" t="str">
        <f>TEXT(E8/24,"hh:mm:ss")</f>
        <v>00:00:00</v>
      </c>
      <c r="F13" s="13">
        <f>(G8-MOD(G8,24))/24</f>
        <v>0.0</v>
      </c>
      <c r="G13" s="13" t="str">
        <f>TEXT(G8/24,"hh:mm:ss")</f>
        <v>00:00:00</v>
      </c>
      <c r="H13" s="13">
        <f>(I8-MOD(I8,24))/24</f>
        <v>0.0</v>
      </c>
      <c r="I13" s="13" t="str">
        <f>TEXT(I8/24,"hh:mm:ss")</f>
        <v>00:00:00</v>
      </c>
      <c r="J13" s="13">
        <f>(K8-MOD(K8,24))/24</f>
        <v>0.0</v>
      </c>
      <c r="K13" s="13" t="str">
        <f>TEXT(K8/24,"hh:mm:ss")</f>
        <v>00:00:00</v>
      </c>
      <c r="L13" s="13">
        <f>(M8-MOD(M8,24))/24</f>
        <v>0.0</v>
      </c>
      <c r="M13" s="205" t="str">
        <f>TEXT(M8/24,"hh:mm:ss")</f>
        <v>00:00:00</v>
      </c>
    </row>
    <row r="14" spans="8:8">
      <c r="A14" s="54"/>
      <c r="B14" s="39" t="s">
        <v>2045</v>
      </c>
      <c r="C14" s="27" t="s">
        <v>2044</v>
      </c>
      <c r="D14" s="13">
        <f>(E9-MOD(E9,24))/24</f>
        <v>5.0</v>
      </c>
      <c r="E14" s="13" t="str">
        <f>TEXT(E9/24,"hh:mm:ss")</f>
        <v>14:10:59</v>
      </c>
      <c r="F14" s="13">
        <f>(G9-MOD(G9,24))/24</f>
        <v>4.0</v>
      </c>
      <c r="G14" s="13" t="str">
        <f>TEXT(G9/24,"hh:mm:ss")</f>
        <v>23:18:00</v>
      </c>
      <c r="H14" s="13">
        <f>(I9-MOD(I9,24))/24</f>
        <v>6.0</v>
      </c>
      <c r="I14" s="13" t="str">
        <f>TEXT(I9/24,"hh:mm:ss")</f>
        <v>02:48:00</v>
      </c>
      <c r="J14" s="13">
        <f>(K9-MOD(K9,24))/24</f>
        <v>0.0</v>
      </c>
      <c r="K14" s="13" t="str">
        <f>TEXT(K9/24,"hh:mm:ss")</f>
        <v>05:13:01</v>
      </c>
      <c r="L14" s="13">
        <f>(M9-MOD(M9,24))/24</f>
        <v>1.0</v>
      </c>
      <c r="M14" s="205" t="str">
        <f>TEXT(M9/24,"hh:mm:ss")</f>
        <v>20:09:58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4.583</v>
      </c>
      <c r="L17" s="13">
        <f>(K17-MOD(K17,30))/30</f>
        <v>0.0</v>
      </c>
      <c r="M17" s="205" t="str">
        <f>TEXT(K17/24,"hh:mm:ss")</f>
        <v>04:34:59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3.25</v>
      </c>
      <c r="L18" s="13">
        <f>(K18-MOD(K18,30))/30</f>
        <v>0.0</v>
      </c>
      <c r="M18" s="205" t="str">
        <f>TEXT(K18/24,"hh:mm:ss")</f>
        <v>03:15:00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7.833</v>
      </c>
      <c r="L19" s="13">
        <f>(K19-MOD(K19,30))/30</f>
        <v>0.0</v>
      </c>
      <c r="M19" s="205" t="str">
        <f>TEXT(K19/24,"hh:mm:ss")</f>
        <v>07:49:59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0.65272389</v>
      </c>
      <c r="L20" s="13">
        <f>(K20-MOD(K20,30))/30</f>
        <v>0.0</v>
      </c>
      <c r="M20" s="205" t="str">
        <f>TEXT(K20/24,"hh:mm:ss")</f>
        <v>00:39:10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3.90272389</v>
      </c>
      <c r="L21" s="13">
        <f>(K21-MOD(K21,30))/30</f>
        <v>0.0</v>
      </c>
      <c r="M21" s="205" t="str">
        <f>TEXT(K21/24,"hh:mm:ss")</f>
        <v>03:54:10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142.89727611</v>
      </c>
      <c r="L22" s="13">
        <f>(K22-MOD(K22,30))/30</f>
        <v>4.0</v>
      </c>
      <c r="M22" s="205" t="str">
        <f>TEXT(K22/24,"hh:mm:ss")</f>
        <v>22:53:50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Al-Asad</v>
      </c>
      <c r="L23" s="13">
        <f>L22</f>
        <v>4.0</v>
      </c>
      <c r="M23" s="205" t="str">
        <f>VLOOKUP(L23,'DATA 1'!W19:Y31,3)</f>
        <v>Agustus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0.117</v>
      </c>
      <c r="L25" s="13">
        <f>(K25-MOD(K25,30))/30</f>
        <v>0.0</v>
      </c>
      <c r="M25" s="205" t="str">
        <f>TEXT(K25/24,"hh:mm:ss")</f>
        <v>00:07:01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7.716</v>
      </c>
      <c r="L26" s="13">
        <f>(K26-MOD(K26,30))/30</f>
        <v>0.0</v>
      </c>
      <c r="M26" s="205" t="str">
        <f>TEXT(K26/24,"hh:mm:ss")</f>
        <v>07:42:58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135.18127611</v>
      </c>
      <c r="L27" s="13">
        <f>(K27-MOD(K27,30))/30</f>
        <v>4.0</v>
      </c>
      <c r="M27" s="205" t="str">
        <f>TEXT(K27/24,"hh:mm:ss")</f>
        <v>15:10:53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2.217</v>
      </c>
      <c r="L28" s="13">
        <f>(K28-MOD(K28,30))/30</f>
        <v>0.0</v>
      </c>
      <c r="M28" s="205" t="str">
        <f>TEXT(K28/24,"hh:mm:ss")</f>
        <v>02:13:01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17.106372</v>
      </c>
      <c r="L29" s="13">
        <f>(K29-MOD(K29,30))/30</f>
        <v>0.0</v>
      </c>
      <c r="M29" s="205" t="str">
        <f>TEXT(K29/24,"hh:mm:ss")</f>
        <v>17:06:23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117.076628</v>
      </c>
      <c r="L30" s="13">
        <f>(K30-MOD(K30,30))/30</f>
        <v>3.0</v>
      </c>
      <c r="M30" s="205" t="str">
        <f>TEXT(K30/24,"hh:mm:ss")</f>
        <v>21:04:36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118.055561333333</v>
      </c>
      <c r="L33" s="13">
        <f>(K33-MOD(K33,30))/30</f>
        <v>3.0</v>
      </c>
      <c r="M33" s="205" t="str">
        <f>TEXT(K33/24,"hh:mm:ss")</f>
        <v>22:03:20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22.055561333333003</v>
      </c>
      <c r="L35" s="26"/>
      <c r="M35" s="212" t="str">
        <f>TEXT(K35/24,"hh:mm:ss")</f>
        <v>22:03:20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4.055561333333003</v>
      </c>
      <c r="L37" s="26"/>
      <c r="M37" s="212" t="str">
        <f>TEXT(K37/24,"hh:mm:ss")</f>
        <v>04:03:20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1.9444386666670006</v>
      </c>
      <c r="L38" s="26"/>
      <c r="M38" s="212" t="str">
        <f>TEXT(K38/24,"hh:mm:ss")</f>
        <v>01:56:40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0.9722193333335003</v>
      </c>
      <c r="L39" s="26"/>
      <c r="M39" s="212" t="str">
        <f>TEXT(K39/24,"hh:mm:ss")</f>
        <v>00:58:20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0.06484702953334447</v>
      </c>
      <c r="L40" s="13"/>
      <c r="M40" s="205" t="str">
        <f>TEXT(K40/24,"hh:mm:ss")</f>
        <v>00:03:53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3.66</v>
      </c>
      <c r="L41" s="13"/>
      <c r="M41" s="205" t="str">
        <f>TEXT(K41/24,"hh:mm:ss")</f>
        <v>03:39:36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3.7248470295333447</v>
      </c>
      <c r="L42" s="13"/>
      <c r="M42" s="205" t="str">
        <f>TEXT(K42/24,"hh:mm:ss")</f>
        <v>03:43:29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22:03:20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04:03:20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01:56:40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00:58:20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00:03:53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03:43:29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Al-Asad</v>
      </c>
      <c r="G52" s="13"/>
      <c r="H52" s="13"/>
      <c r="I52" s="13"/>
      <c r="J52" s="13"/>
      <c r="K52" s="205" t="str">
        <f>M23</f>
        <v>Agustus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Sopar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Jumat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50:M50"/>
    <mergeCell ref="I44:J44"/>
    <mergeCell ref="F48:G48"/>
    <mergeCell ref="I47:J47"/>
    <mergeCell ref="I46:J46"/>
    <mergeCell ref="A4:C4"/>
    <mergeCell ref="F29:J29"/>
    <mergeCell ref="K3:M3"/>
    <mergeCell ref="A1:M2"/>
    <mergeCell ref="F54:J54"/>
    <mergeCell ref="F21:J21"/>
    <mergeCell ref="F20:J20"/>
    <mergeCell ref="K44:M44"/>
    <mergeCell ref="F50:G50"/>
    <mergeCell ref="B46:E46"/>
    <mergeCell ref="I55:M55"/>
    <mergeCell ref="F18:J18"/>
    <mergeCell ref="B23:E23"/>
    <mergeCell ref="F26:J26"/>
    <mergeCell ref="B22:E22"/>
    <mergeCell ref="F24:J24"/>
    <mergeCell ref="B21:E21"/>
    <mergeCell ref="B54:E54"/>
    <mergeCell ref="F44:G44"/>
    <mergeCell ref="K47:M47"/>
    <mergeCell ref="B41:E41"/>
    <mergeCell ref="F31:J31"/>
    <mergeCell ref="E4:I4"/>
    <mergeCell ref="L16:M16"/>
    <mergeCell ref="F27:J27"/>
    <mergeCell ref="F17:J17"/>
    <mergeCell ref="F19:J19"/>
    <mergeCell ref="E3:I3"/>
    <mergeCell ref="A3:C3"/>
    <mergeCell ref="K48:M48"/>
    <mergeCell ref="F53:J53"/>
    <mergeCell ref="B50:E50"/>
    <mergeCell ref="F46:G46"/>
    <mergeCell ref="K54:M54"/>
    <mergeCell ref="K52:M52"/>
    <mergeCell ref="B5:C5"/>
    <mergeCell ref="F25:J25"/>
    <mergeCell ref="B31:E31"/>
    <mergeCell ref="K4:M4"/>
    <mergeCell ref="B55:G55"/>
    <mergeCell ref="K51:M51"/>
    <mergeCell ref="F45:G45"/>
    <mergeCell ref="B52:E52"/>
    <mergeCell ref="F32:J32"/>
    <mergeCell ref="B18:E18"/>
    <mergeCell ref="F16:J16"/>
    <mergeCell ref="B16:E16"/>
    <mergeCell ref="F30:J30"/>
    <mergeCell ref="B20:E20"/>
    <mergeCell ref="B27:E27"/>
    <mergeCell ref="B24:E24"/>
    <mergeCell ref="B28:E28"/>
    <mergeCell ref="B19:E19"/>
    <mergeCell ref="B25:E25"/>
    <mergeCell ref="F35:J35"/>
    <mergeCell ref="K45:M45"/>
    <mergeCell ref="I48:J48"/>
    <mergeCell ref="F49:G49"/>
    <mergeCell ref="F34:J34"/>
    <mergeCell ref="K46:M46"/>
    <mergeCell ref="F37:J37"/>
    <mergeCell ref="F23:J23"/>
    <mergeCell ref="B53:E53"/>
    <mergeCell ref="F39:J39"/>
    <mergeCell ref="F41:J41"/>
    <mergeCell ref="K49:M49"/>
    <mergeCell ref="B40:E40"/>
    <mergeCell ref="B43:M43"/>
    <mergeCell ref="B34:E34"/>
    <mergeCell ref="F22:J22"/>
    <mergeCell ref="B17:E17"/>
    <mergeCell ref="B26:E26"/>
    <mergeCell ref="F28:J28"/>
    <mergeCell ref="B29:E29"/>
    <mergeCell ref="B30:E30"/>
    <mergeCell ref="F40:J40"/>
    <mergeCell ref="B48:E48"/>
    <mergeCell ref="B37:E37"/>
    <mergeCell ref="B38:E38"/>
    <mergeCell ref="B35:E35"/>
    <mergeCell ref="F38:J38"/>
    <mergeCell ref="B47:E47"/>
    <mergeCell ref="B33:E33"/>
    <mergeCell ref="F33:J33"/>
    <mergeCell ref="B32:E32"/>
    <mergeCell ref="I45:J45"/>
    <mergeCell ref="B51:E51"/>
    <mergeCell ref="F52:J52"/>
    <mergeCell ref="F51:J51"/>
    <mergeCell ref="I50:J50"/>
    <mergeCell ref="F47:G47"/>
    <mergeCell ref="F36:J36"/>
    <mergeCell ref="B36:E36"/>
    <mergeCell ref="B49:E49"/>
    <mergeCell ref="F42:J42"/>
    <mergeCell ref="B39:E39"/>
    <mergeCell ref="B44:E44"/>
    <mergeCell ref="B45:E45"/>
    <mergeCell ref="B42:E42"/>
    <mergeCell ref="I49:J49"/>
  </mergeCells>
  <pageMargins left="0.7" right="0.7" top="0.75" bottom="0.75" header="0.3" footer="0.3"/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F1" zoomScale="46">
      <selection activeCell="F58" sqref="F58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3.35">
      <c r="A7" s="54"/>
      <c r="B7" s="25" t="s">
        <v>121</v>
      </c>
      <c r="C7" s="206">
        <f>Lembar2!C7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3.35">
      <c r="A8" s="54"/>
      <c r="B8" s="25" t="s">
        <v>122</v>
      </c>
      <c r="C8" s="206">
        <v>3.0</v>
      </c>
      <c r="D8" s="13"/>
      <c r="E8" s="27">
        <f>VLOOKUP(C8,'DATA 1'!N35:S46,2)</f>
        <v>36.733</v>
      </c>
      <c r="F8" s="27"/>
      <c r="G8" s="27">
        <f>VLOOKUP(C8,'DATA 1'!N35:S46,3)</f>
        <v>30.667</v>
      </c>
      <c r="H8" s="27"/>
      <c r="I8" s="27">
        <f>VLOOKUP(C8,'DATA 1'!N35:S46,4)</f>
        <v>29.1</v>
      </c>
      <c r="J8" s="27"/>
      <c r="K8" s="27">
        <f>VLOOKUP(C8,'DATA 1'!N35:S46,5)</f>
        <v>25.817</v>
      </c>
      <c r="L8" s="27"/>
      <c r="M8" s="207">
        <f>VLOOKUP(C8,'DATA 1'!N35:S46,6)</f>
        <v>29.1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2.915999999999997</v>
      </c>
      <c r="F9" s="13"/>
      <c r="G9" s="13">
        <f>MOD(G6+G7+G8,360)</f>
        <v>149.96699999999998</v>
      </c>
      <c r="H9" s="13"/>
      <c r="I9" s="27">
        <f>MOD(I6+I7+I8,360)</f>
        <v>175.89999999999998</v>
      </c>
      <c r="J9" s="27"/>
      <c r="K9" s="27">
        <f>MOD(K6+K8+K7,360)</f>
        <v>31.033999999999992</v>
      </c>
      <c r="L9" s="27"/>
      <c r="M9" s="207">
        <f>MOD(M6+M7+M8,360)</f>
        <v>73.26600000000008</v>
      </c>
    </row>
    <row r="10" spans="8:8">
      <c r="A10" s="54"/>
      <c r="B10" s="25">
        <f>IF(C8=1,C6+C7+1,C6+C7)</f>
        <v>1445.0</v>
      </c>
      <c r="C10" s="13" t="str">
        <f>VLOOKUP(C8,'DATA 1'!T19:V30,3)</f>
        <v>Robiul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05:06:00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1.0</v>
      </c>
      <c r="E13" s="13" t="str">
        <f>TEXT(E8/24,"hh:mm:ss")</f>
        <v>12:43:59</v>
      </c>
      <c r="F13" s="13">
        <f>(G8-MOD(G8,24))/24</f>
        <v>1.0</v>
      </c>
      <c r="G13" s="13" t="str">
        <f>TEXT(G8/24,"hh:mm:ss")</f>
        <v>06:40:01</v>
      </c>
      <c r="H13" s="13">
        <f>(I8-MOD(I8,24))/24</f>
        <v>1.0</v>
      </c>
      <c r="I13" s="13" t="str">
        <f>TEXT(I8/24,"hh:mm:ss")</f>
        <v>05:06:00</v>
      </c>
      <c r="J13" s="13">
        <f>(K8-MOD(K8,24))/24</f>
        <v>1.0</v>
      </c>
      <c r="K13" s="13" t="str">
        <f>TEXT(K8/24,"hh:mm:ss")</f>
        <v>01:49:01</v>
      </c>
      <c r="L13" s="13">
        <f>(M8-MOD(M8,24))/24</f>
        <v>1.0</v>
      </c>
      <c r="M13" s="205" t="str">
        <f>TEXT(M8/24,"hh:mm:ss")</f>
        <v>05:06:00</v>
      </c>
    </row>
    <row r="14" spans="8:8">
      <c r="A14" s="54"/>
      <c r="B14" s="39" t="s">
        <v>2045</v>
      </c>
      <c r="C14" s="27" t="s">
        <v>2044</v>
      </c>
      <c r="D14" s="13">
        <f>(E9-MOD(E9,24))/24</f>
        <v>0.0</v>
      </c>
      <c r="E14" s="13" t="str">
        <f>TEXT(E9/24,"hh:mm:ss")</f>
        <v>02:54:58</v>
      </c>
      <c r="F14" s="13">
        <f>(G9-MOD(G9,24))/24</f>
        <v>6.0</v>
      </c>
      <c r="G14" s="13" t="str">
        <f>TEXT(G9/24,"hh:mm:ss")</f>
        <v>05:58:01</v>
      </c>
      <c r="H14" s="13">
        <f>(I9-MOD(I9,24))/24</f>
        <v>7.0</v>
      </c>
      <c r="I14" s="13" t="str">
        <f>TEXT(I9/24,"hh:mm:ss")</f>
        <v>07:54:00</v>
      </c>
      <c r="J14" s="13">
        <f>(K9-MOD(K9,24))/24</f>
        <v>1.0</v>
      </c>
      <c r="K14" s="13" t="str">
        <f>TEXT(K9/24,"hh:mm:ss")</f>
        <v>07:02:02</v>
      </c>
      <c r="L14" s="13">
        <f>(M9-MOD(M9,24))/24</f>
        <v>3.0</v>
      </c>
      <c r="M14" s="205" t="str">
        <f>TEXT(M9/24,"hh:mm:ss")</f>
        <v>01:15:58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2.6</v>
      </c>
      <c r="L17" s="13">
        <f>(K17-MOD(K17,30))/30</f>
        <v>0.0</v>
      </c>
      <c r="M17" s="205" t="str">
        <f>TEXT(K17/24,"hh:mm:ss")</f>
        <v>02:36:00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3.767</v>
      </c>
      <c r="L18" s="13">
        <f>(K18-MOD(K18,30))/30</f>
        <v>0.0</v>
      </c>
      <c r="M18" s="205" t="str">
        <f>TEXT(K18/24,"hh:mm:ss")</f>
        <v>03:46:01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6.367</v>
      </c>
      <c r="L19" s="13">
        <f>(K19-MOD(K19,30))/30</f>
        <v>0.0</v>
      </c>
      <c r="M19" s="205" t="str">
        <f>TEXT(K19/24,"hh:mm:ss")</f>
        <v>06:22:01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0.53056211</v>
      </c>
      <c r="L20" s="13">
        <f>(K20-MOD(K20,30))/30</f>
        <v>0.0</v>
      </c>
      <c r="M20" s="205" t="str">
        <f>TEXT(K20/24,"hh:mm:ss")</f>
        <v>00:31:50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4.297562109999999</v>
      </c>
      <c r="L21" s="13">
        <f>(K21-MOD(K21,30))/30</f>
        <v>0.0</v>
      </c>
      <c r="M21" s="205" t="str">
        <f>TEXT(K21/24,"hh:mm:ss")</f>
        <v>04:17:51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171.60243789</v>
      </c>
      <c r="L22" s="13">
        <f>(K22-MOD(K22,30))/30</f>
        <v>5.0</v>
      </c>
      <c r="M22" s="205" t="str">
        <f>TEXT(K22/24,"hh:mm:ss")</f>
        <v>03:36:09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As-Sunbulah</v>
      </c>
      <c r="L23" s="13">
        <f>L22</f>
        <v>5.0</v>
      </c>
      <c r="M23" s="205" t="str">
        <f>VLOOKUP(L23,'DATA 1'!W19:Y31,3)</f>
        <v>September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As-Syimal</v>
      </c>
      <c r="L24" s="13"/>
      <c r="M24" s="205" t="str">
        <f>VLOOKUP(K24,'DATA 1'!AA19:AB31,2)</f>
        <v>Utara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6.184</v>
      </c>
      <c r="L26" s="13">
        <f>(K26-MOD(K26,30))/30</f>
        <v>0.0</v>
      </c>
      <c r="M26" s="205" t="str">
        <f>TEXT(K26/24,"hh:mm:ss")</f>
        <v>06:11:02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165.41843789</v>
      </c>
      <c r="L27" s="13">
        <f>(K27-MOD(K27,30))/30</f>
        <v>5.0</v>
      </c>
      <c r="M27" s="205" t="str">
        <f>TEXT(K27/24,"hh:mm:ss")</f>
        <v>21:25:06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2.2</v>
      </c>
      <c r="L28" s="13">
        <f>(K28-MOD(K28,30))/30</f>
        <v>0.0</v>
      </c>
      <c r="M28" s="205" t="str">
        <f>TEXT(K28/24,"hh:mm:ss")</f>
        <v>02:12:00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13.604800000000001</v>
      </c>
      <c r="L29" s="13">
        <f>(K29-MOD(K29,30))/30</f>
        <v>0.0</v>
      </c>
      <c r="M29" s="205" t="str">
        <f>TEXT(K29/24,"hh:mm:ss")</f>
        <v>13:36:17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157.31119999999999</v>
      </c>
      <c r="L30" s="13">
        <f>(K30-MOD(K30,30))/30</f>
        <v>5.0</v>
      </c>
      <c r="M30" s="205" t="str">
        <f>TEXT(K30/24,"hh:mm:ss")</f>
        <v>13:18:40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158.290133333333</v>
      </c>
      <c r="L33" s="13">
        <f>(K33-MOD(K33,30))/30</f>
        <v>5.0</v>
      </c>
      <c r="M33" s="205" t="str">
        <f>TEXT(K33/24,"hh:mm:ss")</f>
        <v>14:17:24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Al-Jumah</v>
      </c>
      <c r="L34" s="26">
        <f>INT(INT(K33)/24)</f>
        <v>6.0</v>
      </c>
      <c r="M34" s="212" t="str">
        <f>VLOOKUP(K34,'DATA 1'!V34:W41,2)</f>
        <v>Jumat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14.290133333332989</v>
      </c>
      <c r="L35" s="26"/>
      <c r="M35" s="212" t="str">
        <f>TEXT(K35/24,"hh:mm:ss")</f>
        <v>14:17:24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8.290133333332989</v>
      </c>
      <c r="L37" s="26"/>
      <c r="M37" s="212" t="str">
        <f>TEXT(K37/24,"hh:mm:ss")</f>
        <v>08:17:24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9.709866666667</v>
      </c>
      <c r="L38" s="26"/>
      <c r="M38" s="212" t="str">
        <f>TEXT(K38/24,"hh:mm:ss")</f>
        <v>09:42:36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4.8549333333335</v>
      </c>
      <c r="L39" s="26"/>
      <c r="M39" s="212" t="str">
        <f>TEXT(K39/24,"hh:mm:ss")</f>
        <v>04:51:18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0.32382405333334446</v>
      </c>
      <c r="L40" s="13"/>
      <c r="M40" s="205" t="str">
        <f>TEXT(K40/24,"hh:mm:ss")</f>
        <v>00:19:26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2.933</v>
      </c>
      <c r="L41" s="13"/>
      <c r="M41" s="205" t="str">
        <f>TEXT(K41/24,"hh:mm:ss")</f>
        <v>02:55:59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3.256824053333344</v>
      </c>
      <c r="L42" s="13"/>
      <c r="M42" s="205" t="str">
        <f>TEXT(K42/24,"hh:mm:ss")</f>
        <v>03:15:25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Jumat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14:17:24</v>
      </c>
      <c r="G45" s="27"/>
      <c r="H45" s="27"/>
      <c r="I45" s="27" t="str">
        <f>IF(K35&lt;12,"Malam","Hari")</f>
        <v>Hari</v>
      </c>
      <c r="J45" s="27"/>
      <c r="K45" s="13" t="str">
        <f>K44</f>
        <v>Jumat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08:17:24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Jumat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09:42:36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04:51:18</v>
      </c>
      <c r="G48" s="27"/>
      <c r="H48" s="27" t="s">
        <v>1896</v>
      </c>
      <c r="I48" s="27" t="str">
        <f>VLOOKUP(L34,'DATA 1'!X34:Z41,3)</f>
        <v>Sabtu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00:19:26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03:15:25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As-Syimal</v>
      </c>
      <c r="G51" s="13"/>
      <c r="H51" s="13"/>
      <c r="I51" s="13"/>
      <c r="J51" s="13"/>
      <c r="K51" s="205" t="str">
        <f>M24</f>
        <v>Utara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As-Sunbulah</v>
      </c>
      <c r="G52" s="13"/>
      <c r="H52" s="13"/>
      <c r="I52" s="13"/>
      <c r="J52" s="13"/>
      <c r="K52" s="205" t="str">
        <f>M23</f>
        <v>September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Robiul 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Sabtu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B19:E19"/>
    <mergeCell ref="K46:M46"/>
    <mergeCell ref="B52:E52"/>
    <mergeCell ref="F54:J54"/>
    <mergeCell ref="B44:E44"/>
    <mergeCell ref="B50:E50"/>
    <mergeCell ref="B33:E33"/>
    <mergeCell ref="K48:M48"/>
    <mergeCell ref="B55:G55"/>
    <mergeCell ref="B20:E20"/>
    <mergeCell ref="K4:M4"/>
    <mergeCell ref="A3:C3"/>
    <mergeCell ref="B21:E21"/>
    <mergeCell ref="F25:J25"/>
    <mergeCell ref="B30:E30"/>
    <mergeCell ref="K44:M44"/>
    <mergeCell ref="B53:E53"/>
    <mergeCell ref="B27:E27"/>
    <mergeCell ref="K50:M50"/>
    <mergeCell ref="F51:J51"/>
    <mergeCell ref="F36:J36"/>
    <mergeCell ref="B51:E51"/>
    <mergeCell ref="I55:M55"/>
    <mergeCell ref="B43:M43"/>
    <mergeCell ref="I47:J47"/>
    <mergeCell ref="K47:M47"/>
    <mergeCell ref="K45:M45"/>
    <mergeCell ref="B23:E23"/>
    <mergeCell ref="E4:I4"/>
    <mergeCell ref="L16:M16"/>
    <mergeCell ref="A4:C4"/>
    <mergeCell ref="F26:J26"/>
    <mergeCell ref="B26:E26"/>
    <mergeCell ref="B54:E54"/>
    <mergeCell ref="K49:M49"/>
    <mergeCell ref="B45:E45"/>
    <mergeCell ref="F33:J33"/>
    <mergeCell ref="K3:M3"/>
    <mergeCell ref="B16:E16"/>
    <mergeCell ref="F19:J19"/>
    <mergeCell ref="E3:I3"/>
    <mergeCell ref="F18:J18"/>
    <mergeCell ref="F17:J17"/>
    <mergeCell ref="B5:C5"/>
    <mergeCell ref="F28:J28"/>
    <mergeCell ref="F52:J52"/>
    <mergeCell ref="B38:E38"/>
    <mergeCell ref="I46:J46"/>
    <mergeCell ref="B40:E40"/>
    <mergeCell ref="F49:G49"/>
    <mergeCell ref="B46:E46"/>
    <mergeCell ref="I48:J48"/>
    <mergeCell ref="B41:E41"/>
    <mergeCell ref="F38:J38"/>
    <mergeCell ref="K54:M54"/>
    <mergeCell ref="F39:J39"/>
    <mergeCell ref="B22:E22"/>
    <mergeCell ref="F16:J16"/>
    <mergeCell ref="B18:E18"/>
    <mergeCell ref="F30:J30"/>
    <mergeCell ref="B32:E32"/>
    <mergeCell ref="F29:J29"/>
    <mergeCell ref="B25:E25"/>
    <mergeCell ref="F23:J23"/>
    <mergeCell ref="F20:J20"/>
    <mergeCell ref="F35:J35"/>
    <mergeCell ref="I49:J49"/>
    <mergeCell ref="B42:E42"/>
    <mergeCell ref="F53:J53"/>
    <mergeCell ref="B35:E35"/>
    <mergeCell ref="F31:J31"/>
    <mergeCell ref="F37:J37"/>
    <mergeCell ref="B47:E47"/>
    <mergeCell ref="F41:J41"/>
    <mergeCell ref="F45:G45"/>
    <mergeCell ref="F42:J42"/>
    <mergeCell ref="B36:E36"/>
    <mergeCell ref="K52:M52"/>
    <mergeCell ref="B34:E34"/>
    <mergeCell ref="I50:J50"/>
    <mergeCell ref="F34:J34"/>
    <mergeCell ref="B24:E24"/>
    <mergeCell ref="F22:J22"/>
    <mergeCell ref="B39:E39"/>
    <mergeCell ref="I45:J45"/>
    <mergeCell ref="F47:G47"/>
    <mergeCell ref="B48:E48"/>
    <mergeCell ref="F44:G44"/>
    <mergeCell ref="F32:J32"/>
    <mergeCell ref="B31:E31"/>
    <mergeCell ref="B49:E49"/>
    <mergeCell ref="F40:J40"/>
    <mergeCell ref="B37:E37"/>
    <mergeCell ref="F21:J21"/>
    <mergeCell ref="F27:J27"/>
    <mergeCell ref="B17:E17"/>
    <mergeCell ref="F46:G46"/>
    <mergeCell ref="F24:J24"/>
    <mergeCell ref="K51:M51"/>
    <mergeCell ref="B28:E28"/>
    <mergeCell ref="B29:E29"/>
    <mergeCell ref="F50:G50"/>
    <mergeCell ref="F48:G48"/>
    <mergeCell ref="I44:J44"/>
  </mergeCells>
  <pageMargins left="0.7" right="0.7" top="0.75" bottom="0.75" header="0.3" footer="0.3"/>
  <legacy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C18" zoomScale="47">
      <selection activeCell="H66" sqref="H66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5.45">
      <c r="A7" s="54"/>
      <c r="B7" s="25" t="s">
        <v>121</v>
      </c>
      <c r="C7" s="206">
        <f>Lembar3!C7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5.45">
      <c r="A8" s="54"/>
      <c r="B8" s="25" t="s">
        <v>122</v>
      </c>
      <c r="C8" s="206">
        <v>4.0</v>
      </c>
      <c r="D8" s="13"/>
      <c r="E8" s="27">
        <f>VLOOKUP(C8,'DATA 1'!N35:S46,2)</f>
        <v>73.467</v>
      </c>
      <c r="F8" s="27"/>
      <c r="G8" s="27">
        <f>VLOOKUP(C8,'DATA 1'!N35:S46,3)</f>
        <v>61.333</v>
      </c>
      <c r="H8" s="27"/>
      <c r="I8" s="27">
        <f>VLOOKUP(C8,'DATA 1'!N35:S46,4)</f>
        <v>58.217</v>
      </c>
      <c r="J8" s="27"/>
      <c r="K8" s="27">
        <f>VLOOKUP(C8,'DATA 1'!N35:S46,5)</f>
        <v>51.633</v>
      </c>
      <c r="L8" s="27"/>
      <c r="M8" s="207">
        <f>VLOOKUP(C8,'DATA 1'!N35:S46,6)</f>
        <v>58.217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39.64999999999998</v>
      </c>
      <c r="F9" s="13"/>
      <c r="G9" s="13">
        <f>MOD(G6+G7+G8,360)</f>
        <v>180.63299999999998</v>
      </c>
      <c r="H9" s="13"/>
      <c r="I9" s="27">
        <f>MOD(I6+I7+I8,360)</f>
        <v>205.01699999999994</v>
      </c>
      <c r="J9" s="27"/>
      <c r="K9" s="27">
        <f>MOD(K6+K8+K7,360)</f>
        <v>56.849999999999966</v>
      </c>
      <c r="L9" s="27"/>
      <c r="M9" s="207">
        <f>MOD(M6+M7+M8,360)</f>
        <v>102.38300000000004</v>
      </c>
    </row>
    <row r="10" spans="8:8">
      <c r="A10" s="54"/>
      <c r="B10" s="25">
        <f>IF(C8=1,C6+C7+1,C6+C7)</f>
        <v>1445.0</v>
      </c>
      <c r="C10" s="13" t="str">
        <f>VLOOKUP(C8,'DATA 1'!T19:V30,3)</f>
        <v>Robiust Stani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10:13:01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3.0</v>
      </c>
      <c r="E13" s="13" t="str">
        <f>TEXT(E8/24,"hh:mm:ss")</f>
        <v>01:28:01</v>
      </c>
      <c r="F13" s="13">
        <f>(G8-MOD(G8,24))/24</f>
        <v>2.0</v>
      </c>
      <c r="G13" s="13" t="str">
        <f>TEXT(G8/24,"hh:mm:ss")</f>
        <v>13:19:59</v>
      </c>
      <c r="H13" s="13">
        <f>(I8-MOD(I8,24))/24</f>
        <v>2.0</v>
      </c>
      <c r="I13" s="13" t="str">
        <f>TEXT(I8/24,"hh:mm:ss")</f>
        <v>10:13:01</v>
      </c>
      <c r="J13" s="13">
        <f>(K8-MOD(K8,24))/24</f>
        <v>2.0</v>
      </c>
      <c r="K13" s="13" t="str">
        <f>TEXT(K8/24,"hh:mm:ss")</f>
        <v>03:37:59</v>
      </c>
      <c r="L13" s="13">
        <f>(M8-MOD(M8,24))/24</f>
        <v>2.0</v>
      </c>
      <c r="M13" s="205" t="str">
        <f>TEXT(M8/24,"hh:mm:ss")</f>
        <v>10:13:01</v>
      </c>
    </row>
    <row r="14" spans="8:8">
      <c r="A14" s="54"/>
      <c r="B14" s="39" t="s">
        <v>2045</v>
      </c>
      <c r="C14" s="27" t="s">
        <v>2044</v>
      </c>
      <c r="D14" s="13">
        <f>(E9-MOD(E9,24))/24</f>
        <v>1.0</v>
      </c>
      <c r="E14" s="13" t="str">
        <f>TEXT(E9/24,"hh:mm:ss")</f>
        <v>15:39:00</v>
      </c>
      <c r="F14" s="13">
        <f>(G9-MOD(G9,24))/24</f>
        <v>7.0</v>
      </c>
      <c r="G14" s="13" t="str">
        <f>TEXT(G9/24,"hh:mm:ss")</f>
        <v>12:37:59</v>
      </c>
      <c r="H14" s="13">
        <f>(I9-MOD(I9,24))/24</f>
        <v>8.0</v>
      </c>
      <c r="I14" s="13" t="str">
        <f>TEXT(I9/24,"hh:mm:ss")</f>
        <v>13:01:01</v>
      </c>
      <c r="J14" s="13">
        <f>(K9-MOD(K9,24))/24</f>
        <v>2.0</v>
      </c>
      <c r="K14" s="13" t="str">
        <f>TEXT(K9/24,"hh:mm:ss")</f>
        <v>08:51:00</v>
      </c>
      <c r="L14" s="13">
        <f>(M9-MOD(M9,24))/24</f>
        <v>4.0</v>
      </c>
      <c r="M14" s="205" t="str">
        <f>TEXT(M9/24,"hh:mm:ss")</f>
        <v>06:22:59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1.017</v>
      </c>
      <c r="L17" s="13">
        <f>(K17-MOD(K17,30))/30</f>
        <v>0.0</v>
      </c>
      <c r="M17" s="205" t="str">
        <f>TEXT(K17/24,"hh:mm:ss")</f>
        <v>01:01:01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3.85</v>
      </c>
      <c r="L18" s="13">
        <f>(K18-MOD(K18,30))/30</f>
        <v>0.0</v>
      </c>
      <c r="M18" s="205" t="str">
        <f>TEXT(K18/24,"hh:mm:ss")</f>
        <v>03:51:00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4.867</v>
      </c>
      <c r="L19" s="13">
        <f>(K19-MOD(K19,30))/30</f>
        <v>0.0</v>
      </c>
      <c r="M19" s="205" t="str">
        <f>TEXT(K19/24,"hh:mm:ss")</f>
        <v>04:52:01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0.40556711</v>
      </c>
      <c r="L20" s="13">
        <f>(K20-MOD(K20,30))/30</f>
        <v>0.0</v>
      </c>
      <c r="M20" s="205" t="str">
        <f>TEXT(K20/24,"hh:mm:ss")</f>
        <v>00:24:20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4.25556711</v>
      </c>
      <c r="L21" s="13">
        <f>(K21-MOD(K21,30))/30</f>
        <v>0.0</v>
      </c>
      <c r="M21" s="205" t="str">
        <f>TEXT(K21/24,"hh:mm:ss")</f>
        <v>04:15:20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200.76143289</v>
      </c>
      <c r="L22" s="13">
        <f>(K22-MOD(K22,30))/30</f>
        <v>6.0</v>
      </c>
      <c r="M22" s="205" t="str">
        <f>TEXT(K22/24,"hh:mm:ss")</f>
        <v>08:45:41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Al-Mizan</v>
      </c>
      <c r="L23" s="13">
        <f>L22</f>
        <v>6.0</v>
      </c>
      <c r="M23" s="205" t="str">
        <f>VLOOKUP(L23,'DATA 1'!W19:Y31,3)</f>
        <v>Oktober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0.267</v>
      </c>
      <c r="L25" s="13">
        <f>(K25-MOD(K25,30))/30</f>
        <v>0.0</v>
      </c>
      <c r="M25" s="205" t="str">
        <f>TEXT(K25/24,"hh:mm:ss")</f>
        <v>00:16:01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4.6</v>
      </c>
      <c r="L26" s="13">
        <f>(K26-MOD(K26,30))/30</f>
        <v>0.0</v>
      </c>
      <c r="M26" s="205" t="str">
        <f>TEXT(K26/24,"hh:mm:ss")</f>
        <v>04:36:00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196.16143289000001</v>
      </c>
      <c r="L27" s="13">
        <f>(K27-MOD(K27,30))/30</f>
        <v>6.0</v>
      </c>
      <c r="M27" s="205" t="str">
        <f>TEXT(K27/24,"hh:mm:ss")</f>
        <v>04:09:41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2.167</v>
      </c>
      <c r="L28" s="13">
        <f>(K28-MOD(K28,30))/30</f>
        <v>0.0</v>
      </c>
      <c r="M28" s="205" t="str">
        <f>TEXT(K28/24,"hh:mm:ss")</f>
        <v>02:10:01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9.968199999999998</v>
      </c>
      <c r="L29" s="13">
        <f>(K29-MOD(K29,30))/30</f>
        <v>0.0</v>
      </c>
      <c r="M29" s="205" t="str">
        <f>TEXT(K29/24,"hh:mm:ss")</f>
        <v>09:58:06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29.68179999999998</v>
      </c>
      <c r="L30" s="13">
        <f>(K30-MOD(K30,30))/30</f>
        <v>0.0</v>
      </c>
      <c r="M30" s="205" t="str">
        <f>TEXT(K30/24,"hh:mm:ss")</f>
        <v>05:40:54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30.6607333333333</v>
      </c>
      <c r="L33" s="13">
        <f>(K33-MOD(K33,30))/30</f>
        <v>1.0</v>
      </c>
      <c r="M33" s="205" t="str">
        <f>TEXT(K33/24,"hh:mm:ss")</f>
        <v>06:39:39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Al-Ahad</v>
      </c>
      <c r="L34" s="26">
        <f>INT(INT(K33)/24)</f>
        <v>1.0</v>
      </c>
      <c r="M34" s="212" t="str">
        <f>VLOOKUP(K34,'DATA 1'!V34:W41,2)</f>
        <v>Minggu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6.660733333333301</v>
      </c>
      <c r="L35" s="26"/>
      <c r="M35" s="212" t="str">
        <f>TEXT(K35/24,"hh:mm:ss")</f>
        <v>06:39:39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0.660733333333301</v>
      </c>
      <c r="L37" s="26"/>
      <c r="M37" s="212" t="str">
        <f>TEXT(K37/24,"hh:mm:ss")</f>
        <v>00:39:39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17.3392666666667</v>
      </c>
      <c r="L38" s="26"/>
      <c r="M38" s="212" t="str">
        <f>TEXT(K38/24,"hh:mm:ss")</f>
        <v>17:20:21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8.66963333333335</v>
      </c>
      <c r="L39" s="26"/>
      <c r="M39" s="212" t="str">
        <f>TEXT(K39/24,"hh:mm:ss")</f>
        <v>08:40:11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0.5782645433333343</v>
      </c>
      <c r="L40" s="13"/>
      <c r="M40" s="205" t="str">
        <f>TEXT(K40/24,"hh:mm:ss")</f>
        <v>00:34:42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1.917</v>
      </c>
      <c r="L41" s="13"/>
      <c r="M41" s="205" t="str">
        <f>TEXT(K41/24,"hh:mm:ss")</f>
        <v>01:55:01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2.495264543333334</v>
      </c>
      <c r="L42" s="13"/>
      <c r="M42" s="205" t="str">
        <f>TEXT(K42/24,"hh:mm:ss")</f>
        <v>02:29:43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Hari</v>
      </c>
      <c r="J44" s="13"/>
      <c r="K44" s="13" t="str">
        <f>M34</f>
        <v>Minggu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06:39:39</v>
      </c>
      <c r="G45" s="27"/>
      <c r="H45" s="27"/>
      <c r="I45" s="27" t="str">
        <f>IF(K35&lt;12,"Malam","Hari")</f>
        <v>Malam</v>
      </c>
      <c r="J45" s="27"/>
      <c r="K45" s="13" t="str">
        <f>K44</f>
        <v>Minggu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00:39:39</v>
      </c>
      <c r="G46" s="13"/>
      <c r="H46" s="13"/>
      <c r="I46" s="13" t="str">
        <f>IF(K35&lt;10,"Malam",IF(K35&lt;12,"Subuh",IF(K35&lt;18,"Pagi",IF(K35&lt;21,"Siang",IF(K35&lt;24,"Sore")))))</f>
        <v>Malam</v>
      </c>
      <c r="J46" s="13"/>
      <c r="K46" s="13" t="str">
        <f>K45</f>
        <v>Minggu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17:20:21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08:40:11</v>
      </c>
      <c r="G48" s="27"/>
      <c r="H48" s="27" t="s">
        <v>1896</v>
      </c>
      <c r="I48" s="27" t="str">
        <f>VLOOKUP(L34,'DATA 1'!X34:Z41,3)</f>
        <v>Senin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00:34:42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02:29:43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Al-Mizan</v>
      </c>
      <c r="G52" s="13"/>
      <c r="H52" s="13"/>
      <c r="I52" s="13"/>
      <c r="J52" s="13"/>
      <c r="K52" s="205" t="str">
        <f>M23</f>
        <v>Oktober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Robiust Stani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Senin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F26:J26"/>
    <mergeCell ref="B34:E34"/>
    <mergeCell ref="K49:M49"/>
    <mergeCell ref="F51:J51"/>
    <mergeCell ref="B55:G55"/>
    <mergeCell ref="K52:M52"/>
    <mergeCell ref="F42:J42"/>
    <mergeCell ref="B47:E47"/>
    <mergeCell ref="B41:E41"/>
    <mergeCell ref="F18:J18"/>
    <mergeCell ref="B17:E17"/>
    <mergeCell ref="I55:M55"/>
    <mergeCell ref="B20:E20"/>
    <mergeCell ref="I49:J49"/>
    <mergeCell ref="B52:E52"/>
    <mergeCell ref="F27:J27"/>
    <mergeCell ref="K50:M50"/>
    <mergeCell ref="F33:J33"/>
    <mergeCell ref="B45:E45"/>
    <mergeCell ref="B36:E36"/>
    <mergeCell ref="K47:M47"/>
    <mergeCell ref="I48:J48"/>
    <mergeCell ref="I44:J44"/>
    <mergeCell ref="F45:G45"/>
    <mergeCell ref="B42:E42"/>
    <mergeCell ref="F16:J16"/>
    <mergeCell ref="B25:E25"/>
    <mergeCell ref="F32:J32"/>
    <mergeCell ref="B18:E18"/>
    <mergeCell ref="B21:E21"/>
    <mergeCell ref="B24:E24"/>
    <mergeCell ref="B29:E29"/>
    <mergeCell ref="F17:J17"/>
    <mergeCell ref="B44:E44"/>
    <mergeCell ref="I50:J50"/>
    <mergeCell ref="K48:M48"/>
    <mergeCell ref="I46:J46"/>
    <mergeCell ref="B49:E49"/>
    <mergeCell ref="K44:M44"/>
    <mergeCell ref="K3:M3"/>
    <mergeCell ref="B23:E23"/>
    <mergeCell ref="B5:C5"/>
    <mergeCell ref="F22:J22"/>
    <mergeCell ref="F20:J20"/>
    <mergeCell ref="F35:J35"/>
    <mergeCell ref="B53:E53"/>
    <mergeCell ref="B40:E40"/>
    <mergeCell ref="F44:G44"/>
    <mergeCell ref="F52:J52"/>
    <mergeCell ref="F53:J53"/>
    <mergeCell ref="B22:E22"/>
    <mergeCell ref="F23:J23"/>
    <mergeCell ref="B27:E27"/>
    <mergeCell ref="K4:M4"/>
    <mergeCell ref="A3:C3"/>
    <mergeCell ref="B19:E19"/>
    <mergeCell ref="K46:M46"/>
    <mergeCell ref="B54:E54"/>
    <mergeCell ref="B26:E26"/>
    <mergeCell ref="E4:I4"/>
    <mergeCell ref="L16:M16"/>
    <mergeCell ref="A4:C4"/>
    <mergeCell ref="F24:J24"/>
    <mergeCell ref="F19:J19"/>
    <mergeCell ref="F21:J21"/>
    <mergeCell ref="B16:E16"/>
    <mergeCell ref="B48:E48"/>
    <mergeCell ref="F41:J41"/>
    <mergeCell ref="F46:G46"/>
    <mergeCell ref="I45:J45"/>
    <mergeCell ref="F49:G49"/>
    <mergeCell ref="I47:J47"/>
    <mergeCell ref="K54:M54"/>
    <mergeCell ref="F30:J30"/>
    <mergeCell ref="B51:E51"/>
    <mergeCell ref="F38:J38"/>
    <mergeCell ref="B31:E31"/>
    <mergeCell ref="F25:J25"/>
    <mergeCell ref="E3:I3"/>
    <mergeCell ref="B35:E35"/>
    <mergeCell ref="F54:J54"/>
    <mergeCell ref="B43:M43"/>
    <mergeCell ref="B28:E28"/>
    <mergeCell ref="F37:J37"/>
    <mergeCell ref="F34:J34"/>
    <mergeCell ref="F31:J31"/>
    <mergeCell ref="F36:J36"/>
    <mergeCell ref="B33:E33"/>
    <mergeCell ref="F40:J40"/>
    <mergeCell ref="B37:E37"/>
    <mergeCell ref="K51:M51"/>
    <mergeCell ref="B46:E46"/>
    <mergeCell ref="F50:G50"/>
    <mergeCell ref="F47:G47"/>
    <mergeCell ref="B32:E32"/>
    <mergeCell ref="F28:J28"/>
    <mergeCell ref="B38:E38"/>
    <mergeCell ref="K45:M45"/>
    <mergeCell ref="B50:E50"/>
    <mergeCell ref="F39:J39"/>
    <mergeCell ref="B39:E39"/>
    <mergeCell ref="F48:G48"/>
    <mergeCell ref="B30:E30"/>
    <mergeCell ref="F29:J29"/>
  </mergeCells>
  <pageMargins left="0.7" right="0.7" top="0.75" bottom="0.75" header="0.3" footer="0.3"/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V55"/>
  <sheetViews>
    <sheetView workbookViewId="0" topLeftCell="B1" zoomScale="48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9.7">
      <c r="A7" s="54"/>
      <c r="B7" s="25" t="s">
        <v>121</v>
      </c>
      <c r="C7" s="206">
        <f>Lembar4!C7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9.7">
      <c r="A8" s="54"/>
      <c r="B8" s="25" t="s">
        <v>122</v>
      </c>
      <c r="C8" s="206">
        <v>5.0</v>
      </c>
      <c r="D8" s="13"/>
      <c r="E8" s="27">
        <f>VLOOKUP(C8,'DATA 1'!N35:S46,2)</f>
        <v>110.2</v>
      </c>
      <c r="F8" s="27"/>
      <c r="G8" s="27">
        <f>VLOOKUP(C8,'DATA 1'!N35:S46,3)</f>
        <v>92.017</v>
      </c>
      <c r="H8" s="27"/>
      <c r="I8" s="27">
        <f>VLOOKUP(C8,'DATA 1'!N35:S46,4)</f>
        <v>87.317</v>
      </c>
      <c r="J8" s="27"/>
      <c r="K8" s="27">
        <f>VLOOKUP(C8,'DATA 1'!N35:S46,5)</f>
        <v>77.433</v>
      </c>
      <c r="L8" s="27"/>
      <c r="M8" s="207">
        <f>VLOOKUP(C8,'DATA 1'!N35:S46,6)</f>
        <v>87.317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76.38299999999998</v>
      </c>
      <c r="F9" s="13"/>
      <c r="G9" s="13">
        <f>MOD(G6+G7+G8,360)</f>
        <v>211.317</v>
      </c>
      <c r="H9" s="13"/>
      <c r="I9" s="27">
        <f>MOD(I6+I7+I8,360)</f>
        <v>234.11699999999996</v>
      </c>
      <c r="J9" s="27"/>
      <c r="K9" s="27">
        <f>MOD(K6+K8+K7,360)</f>
        <v>82.64999999999998</v>
      </c>
      <c r="L9" s="27"/>
      <c r="M9" s="207">
        <f>MOD(M6+M7+M8,360)</f>
        <v>131.48300000000006</v>
      </c>
    </row>
    <row r="10" spans="8:8">
      <c r="A10" s="54"/>
      <c r="B10" s="25">
        <f>IF(C8=1,C6+C7+1,C6+C7)</f>
        <v>1445.0</v>
      </c>
      <c r="C10" s="13" t="str">
        <f>VLOOKUP(C8,'DATA 1'!T19:V30,3)</f>
        <v>Jumadil Awal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15:19:01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4.0</v>
      </c>
      <c r="E13" s="13" t="str">
        <f>TEXT(E8/24,"hh:mm:ss")</f>
        <v>14:12:00</v>
      </c>
      <c r="F13" s="13">
        <f>(G8-MOD(G8,24))/24</f>
        <v>3.0</v>
      </c>
      <c r="G13" s="13" t="str">
        <f>TEXT(G8/24,"hh:mm:ss")</f>
        <v>20:01:01</v>
      </c>
      <c r="H13" s="13">
        <f>(I8-MOD(I8,24))/24</f>
        <v>3.0</v>
      </c>
      <c r="I13" s="13" t="str">
        <f>TEXT(I8/24,"hh:mm:ss")</f>
        <v>15:19:01</v>
      </c>
      <c r="J13" s="13">
        <f>(K8-MOD(K8,24))/24</f>
        <v>3.0</v>
      </c>
      <c r="K13" s="13" t="str">
        <f>TEXT(K8/24,"hh:mm:ss")</f>
        <v>05:25:59</v>
      </c>
      <c r="L13" s="13">
        <f>(M8-MOD(M8,24))/24</f>
        <v>3.0</v>
      </c>
      <c r="M13" s="205" t="str">
        <f>TEXT(M8/24,"hh:mm:ss")</f>
        <v>15:19:01</v>
      </c>
    </row>
    <row r="14" spans="8:8">
      <c r="A14" s="54"/>
      <c r="B14" s="39" t="s">
        <v>2045</v>
      </c>
      <c r="C14" s="27" t="s">
        <v>2044</v>
      </c>
      <c r="D14" s="13">
        <f>(E9-MOD(E9,24))/24</f>
        <v>3.0</v>
      </c>
      <c r="E14" s="13" t="str">
        <f>TEXT(E9/24,"hh:mm:ss")</f>
        <v>04:22:59</v>
      </c>
      <c r="F14" s="13">
        <f>(G9-MOD(G9,24))/24</f>
        <v>8.0</v>
      </c>
      <c r="G14" s="13" t="str">
        <f>TEXT(G9/24,"hh:mm:ss")</f>
        <v>19:19:01</v>
      </c>
      <c r="H14" s="13">
        <f>(I9-MOD(I9,24))/24</f>
        <v>9.0</v>
      </c>
      <c r="I14" s="13" t="str">
        <f>TEXT(I9/24,"hh:mm:ss")</f>
        <v>18:07:01</v>
      </c>
      <c r="J14" s="13">
        <f>(K9-MOD(K9,24))/24</f>
        <v>3.0</v>
      </c>
      <c r="K14" s="13" t="str">
        <f>TEXT(K9/24,"hh:mm:ss")</f>
        <v>10:39:00</v>
      </c>
      <c r="L14" s="13">
        <f>(M9-MOD(M9,24))/24</f>
        <v>5.0</v>
      </c>
      <c r="M14" s="205" t="str">
        <f>TEXT(M9/24,"hh:mm:ss")</f>
        <v>11:28:59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0.117</v>
      </c>
      <c r="L17" s="13">
        <f>(K17-MOD(K17,30))/30</f>
        <v>0.0</v>
      </c>
      <c r="M17" s="205" t="str">
        <f>TEXT(K17/24,"hh:mm:ss")</f>
        <v>00:07:01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3.45</v>
      </c>
      <c r="L18" s="13">
        <f>(K18-MOD(K18,30))/30</f>
        <v>0.0</v>
      </c>
      <c r="M18" s="205" t="str">
        <f>TEXT(K18/24,"hh:mm:ss")</f>
        <v>03:27:00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3.567</v>
      </c>
      <c r="L19" s="13">
        <f>(K19-MOD(K19,30))/30</f>
        <v>0.0</v>
      </c>
      <c r="M19" s="205" t="str">
        <f>TEXT(K19/24,"hh:mm:ss")</f>
        <v>03:34:01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0.29723811</v>
      </c>
      <c r="L20" s="13">
        <f>(K20-MOD(K20,30))/30</f>
        <v>0.0</v>
      </c>
      <c r="M20" s="205" t="str">
        <f>TEXT(K20/24,"hh:mm:ss")</f>
        <v>00:17:50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3.74723811</v>
      </c>
      <c r="L21" s="13">
        <f>(K21-MOD(K21,30))/30</f>
        <v>0.0</v>
      </c>
      <c r="M21" s="205" t="str">
        <f>TEXT(K21/24,"hh:mm:ss")</f>
        <v>03:44:50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230.36976188999998</v>
      </c>
      <c r="L22" s="13">
        <f>(K22-MOD(K22,30))/30</f>
        <v>7.0</v>
      </c>
      <c r="M22" s="205" t="str">
        <f>TEXT(K22/24,"hh:mm:ss")</f>
        <v>14:22:11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Al-Aqrob</v>
      </c>
      <c r="L23" s="13">
        <f>L22</f>
        <v>7.0</v>
      </c>
      <c r="M23" s="205" t="str">
        <f>VLOOKUP(L23,'DATA 1'!W19:Y31,3)</f>
        <v>Nopember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0.283</v>
      </c>
      <c r="L25" s="13">
        <f>(K25-MOD(K25,30))/30</f>
        <v>0.0</v>
      </c>
      <c r="M25" s="205" t="str">
        <f>TEXT(K25/24,"hh:mm:ss")</f>
        <v>00:16:59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3.2840000000000003</v>
      </c>
      <c r="L26" s="13">
        <f>(K26-MOD(K26,30))/30</f>
        <v>0.0</v>
      </c>
      <c r="M26" s="205" t="str">
        <f>TEXT(K26/24,"hh:mm:ss")</f>
        <v>03:17:02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227.08576189000001</v>
      </c>
      <c r="L27" s="13">
        <f>(K27-MOD(K27,30))/30</f>
        <v>7.0</v>
      </c>
      <c r="M27" s="205" t="str">
        <f>TEXT(K27/24,"hh:mm:ss")</f>
        <v>11:05:09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2.067</v>
      </c>
      <c r="L28" s="13">
        <f>(K28-MOD(K28,30))/30</f>
        <v>0.0</v>
      </c>
      <c r="M28" s="205" t="str">
        <f>TEXT(K28/24,"hh:mm:ss")</f>
        <v>02:04:01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6.7880280000000015</v>
      </c>
      <c r="L29" s="13">
        <f>(K29-MOD(K29,30))/30</f>
        <v>0.0</v>
      </c>
      <c r="M29" s="205" t="str">
        <f>TEXT(K29/24,"hh:mm:ss")</f>
        <v>06:47:17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69.59497199999998</v>
      </c>
      <c r="L30" s="13">
        <f>(K30-MOD(K30,30))/30</f>
        <v>2.0</v>
      </c>
      <c r="M30" s="205" t="str">
        <f>TEXT(K30/24,"hh:mm:ss")</f>
        <v>21:35:42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70.5739053333333</v>
      </c>
      <c r="L33" s="13">
        <f>(K33-MOD(K33,30))/30</f>
        <v>2.0</v>
      </c>
      <c r="M33" s="205" t="str">
        <f>TEXT(K33/24,"hh:mm:ss")</f>
        <v>22:34:26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Al-Isnaien</v>
      </c>
      <c r="L34" s="26">
        <f>INT(INT(K33)/24)</f>
        <v>2.0</v>
      </c>
      <c r="M34" s="212" t="str">
        <f>VLOOKUP(K34,'DATA 1'!V34:W41,2)</f>
        <v>Senin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22.5739053333333</v>
      </c>
      <c r="L35" s="26"/>
      <c r="M35" s="212" t="str">
        <f>TEXT(K35/24,"hh:mm:ss")</f>
        <v>22:34:26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4.5739053333333</v>
      </c>
      <c r="L37" s="26"/>
      <c r="M37" s="212" t="str">
        <f>TEXT(K37/24,"hh:mm:ss")</f>
        <v>04:34:26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1.4260946666666996</v>
      </c>
      <c r="L38" s="26"/>
      <c r="M38" s="212" t="str">
        <f>TEXT(K38/24,"hh:mm:ss")</f>
        <v>01:25:34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0.7130473333333498</v>
      </c>
      <c r="L39" s="26"/>
      <c r="M39" s="212" t="str">
        <f>TEXT(K39/24,"hh:mm:ss")</f>
        <v>00:42:47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0.04756025713333443</v>
      </c>
      <c r="L40" s="13"/>
      <c r="M40" s="205" t="str">
        <f>TEXT(K40/24,"hh:mm:ss")</f>
        <v>00:02:51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0.9</v>
      </c>
      <c r="L41" s="13"/>
      <c r="M41" s="205" t="str">
        <f>TEXT(K41/24,"hh:mm:ss")</f>
        <v>00:54:00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0.9475602571333345</v>
      </c>
      <c r="L42" s="13"/>
      <c r="M42" s="205" t="str">
        <f>TEXT(K42/24,"hh:mm:ss")</f>
        <v>00:56:51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Senin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22:34:26</v>
      </c>
      <c r="G45" s="27"/>
      <c r="H45" s="27"/>
      <c r="I45" s="27" t="str">
        <f>IF(K35&lt;12,"Malam","Hari")</f>
        <v>Hari</v>
      </c>
      <c r="J45" s="27"/>
      <c r="K45" s="13" t="str">
        <f>K44</f>
        <v>Senin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04:34:26</v>
      </c>
      <c r="G46" s="13"/>
      <c r="H46" s="13"/>
      <c r="I46" s="13" t="str">
        <f>IF(K35&lt;10,"Malam",IF(K35&lt;12,"Subuh",IF(K35&lt;18,"Pagi",IF(K35&lt;21,"Siang",IF(K35&lt;24,"Sore")))))</f>
        <v>Sore</v>
      </c>
      <c r="J46" s="13"/>
      <c r="K46" s="13" t="str">
        <f>K45</f>
        <v>Senin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01:25:34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00:42:47</v>
      </c>
      <c r="G48" s="27"/>
      <c r="H48" s="27" t="s">
        <v>1896</v>
      </c>
      <c r="I48" s="27" t="str">
        <f>VLOOKUP(L34,'DATA 1'!X34:Z41,3)</f>
        <v>Selasa</v>
      </c>
      <c r="J48" s="27"/>
      <c r="K48" s="13" t="str">
        <f>IF(K39&lt;2,"Tidak Imkan Ru'yat","Imkan Ru'yah")</f>
        <v>Tidak Imkan Ru'yat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00:02:51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00:56:51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Al-Aqrob</v>
      </c>
      <c r="G52" s="13"/>
      <c r="H52" s="13"/>
      <c r="I52" s="13"/>
      <c r="J52" s="13"/>
      <c r="K52" s="205" t="str">
        <f>M23</f>
        <v>Nopember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Jumadil Awal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Rabu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A1:M2"/>
    <mergeCell ref="B39:E39"/>
    <mergeCell ref="K4:M4"/>
    <mergeCell ref="F30:J30"/>
    <mergeCell ref="B24:E24"/>
    <mergeCell ref="E3:I3"/>
    <mergeCell ref="K54:M54"/>
    <mergeCell ref="F26:J26"/>
    <mergeCell ref="B43:M43"/>
    <mergeCell ref="F16:J16"/>
    <mergeCell ref="K49:M49"/>
    <mergeCell ref="K45:M45"/>
    <mergeCell ref="K48:M48"/>
    <mergeCell ref="F22:J22"/>
    <mergeCell ref="F32:J32"/>
    <mergeCell ref="B50:E50"/>
    <mergeCell ref="F52:J52"/>
    <mergeCell ref="B28:E28"/>
    <mergeCell ref="B53:E53"/>
    <mergeCell ref="F33:J33"/>
    <mergeCell ref="F28:J28"/>
    <mergeCell ref="F27:J27"/>
    <mergeCell ref="B25:E25"/>
    <mergeCell ref="B21:E21"/>
    <mergeCell ref="B32:E32"/>
    <mergeCell ref="K47:M47"/>
    <mergeCell ref="F51:J51"/>
    <mergeCell ref="K46:M46"/>
    <mergeCell ref="B51:E51"/>
    <mergeCell ref="F38:J38"/>
    <mergeCell ref="B36:E36"/>
    <mergeCell ref="F36:J36"/>
    <mergeCell ref="I49:J49"/>
    <mergeCell ref="B41:E41"/>
    <mergeCell ref="F45:G45"/>
    <mergeCell ref="B40:E40"/>
    <mergeCell ref="F42:J42"/>
    <mergeCell ref="F46:G46"/>
    <mergeCell ref="F47:G47"/>
    <mergeCell ref="F29:J29"/>
    <mergeCell ref="F48:G48"/>
    <mergeCell ref="B30:E30"/>
    <mergeCell ref="I46:J46"/>
    <mergeCell ref="F44:G44"/>
    <mergeCell ref="I45:J45"/>
    <mergeCell ref="I55:M55"/>
    <mergeCell ref="F21:J21"/>
    <mergeCell ref="B38:E38"/>
    <mergeCell ref="B22:E22"/>
    <mergeCell ref="I48:J48"/>
    <mergeCell ref="B29:E29"/>
    <mergeCell ref="E4:I4"/>
    <mergeCell ref="A3:C3"/>
    <mergeCell ref="B55:G55"/>
    <mergeCell ref="F35:J35"/>
    <mergeCell ref="B31:E31"/>
    <mergeCell ref="K52:M52"/>
    <mergeCell ref="F17:J17"/>
    <mergeCell ref="L16:M16"/>
    <mergeCell ref="B44:E44"/>
    <mergeCell ref="K3:M3"/>
    <mergeCell ref="A4:C4"/>
    <mergeCell ref="B33:E33"/>
    <mergeCell ref="F53:J53"/>
    <mergeCell ref="B47:E47"/>
    <mergeCell ref="F39:J39"/>
    <mergeCell ref="B49:E49"/>
    <mergeCell ref="F34:J34"/>
    <mergeCell ref="K51:M51"/>
    <mergeCell ref="F18:J18"/>
    <mergeCell ref="F20:J20"/>
    <mergeCell ref="F19:J19"/>
    <mergeCell ref="K44:M44"/>
    <mergeCell ref="B18:E18"/>
    <mergeCell ref="I47:J47"/>
    <mergeCell ref="B16:E16"/>
    <mergeCell ref="B5:C5"/>
    <mergeCell ref="B35:E35"/>
    <mergeCell ref="F50:G50"/>
    <mergeCell ref="I44:J44"/>
    <mergeCell ref="B46:E46"/>
    <mergeCell ref="F41:J41"/>
    <mergeCell ref="B45:E45"/>
    <mergeCell ref="B54:E54"/>
    <mergeCell ref="B52:E52"/>
    <mergeCell ref="F37:J37"/>
    <mergeCell ref="B26:E26"/>
    <mergeCell ref="F25:J25"/>
    <mergeCell ref="B23:E23"/>
    <mergeCell ref="B19:E19"/>
    <mergeCell ref="B20:E20"/>
    <mergeCell ref="K50:M50"/>
    <mergeCell ref="F40:J40"/>
    <mergeCell ref="B48:E48"/>
    <mergeCell ref="B37:E37"/>
    <mergeCell ref="F23:J23"/>
    <mergeCell ref="B42:E42"/>
    <mergeCell ref="I50:J50"/>
    <mergeCell ref="F24:J24"/>
    <mergeCell ref="B17:E17"/>
    <mergeCell ref="F54:J54"/>
    <mergeCell ref="B34:E34"/>
    <mergeCell ref="F31:J31"/>
    <mergeCell ref="F49:G49"/>
    <mergeCell ref="B27:E27"/>
  </mergeCells>
  <pageMargins left="0.7" right="0.7" top="0.75" bottom="0.75" header="0.3" footer="0.3"/>
  <legacy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JV55"/>
  <sheetViews>
    <sheetView workbookViewId="0" zoomScale="58">
      <selection activeCell="C7" sqref="C7"/>
    </sheetView>
  </sheetViews>
  <sheetFormatPr defaultRowHeight="16.25" defaultColWidth="10"/>
  <sheetData>
    <row r="1" spans="8:8">
      <c r="A1" s="202" t="s">
        <v>2031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8:8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8:8">
      <c r="A3" s="54" t="s">
        <v>4</v>
      </c>
      <c r="B3" s="54"/>
      <c r="C3" s="54"/>
      <c r="D3" s="54"/>
      <c r="E3" s="54" t="s">
        <v>5</v>
      </c>
      <c r="F3" s="54"/>
      <c r="G3" s="54"/>
      <c r="H3" s="54"/>
      <c r="I3" s="54"/>
      <c r="J3" s="54"/>
      <c r="K3" s="203" t="s">
        <v>6</v>
      </c>
      <c r="L3" s="203"/>
      <c r="M3" s="203"/>
    </row>
    <row r="4" spans="8:8">
      <c r="A4" s="54" t="str">
        <f>VLOOKUP(E4,'DATA 2'!B3:F426,3)</f>
        <v>Cianjur</v>
      </c>
      <c r="B4" s="54"/>
      <c r="C4" s="54"/>
      <c r="D4" s="54"/>
      <c r="E4" s="204" t="s">
        <v>1844</v>
      </c>
      <c r="F4" s="204"/>
      <c r="G4" s="204"/>
      <c r="H4" s="204"/>
      <c r="I4" s="204"/>
      <c r="J4" s="54"/>
      <c r="K4" s="203" t="str">
        <f>VLOOKUP(E4,'DATA 2'!B3:F426,2)</f>
        <v>Jawa Barat</v>
      </c>
      <c r="L4" s="203"/>
      <c r="M4" s="203"/>
    </row>
    <row r="5" spans="8:8">
      <c r="A5" s="54"/>
      <c r="B5" s="13" t="s">
        <v>174</v>
      </c>
      <c r="C5" s="13"/>
      <c r="D5" s="13"/>
      <c r="E5" s="13" t="s">
        <v>20</v>
      </c>
      <c r="F5" s="13"/>
      <c r="G5" s="13" t="s">
        <v>123</v>
      </c>
      <c r="H5" s="13"/>
      <c r="I5" s="13" t="s">
        <v>125</v>
      </c>
      <c r="J5" s="13"/>
      <c r="K5" s="205" t="s">
        <v>124</v>
      </c>
      <c r="L5" s="205"/>
      <c r="M5" s="205" t="s">
        <v>126</v>
      </c>
    </row>
    <row r="6" spans="8:8">
      <c r="A6" s="54"/>
      <c r="B6" s="25" t="s">
        <v>121</v>
      </c>
      <c r="C6" s="206">
        <v>1440.0</v>
      </c>
      <c r="D6" s="13"/>
      <c r="E6" s="27">
        <f>VLOOKUP(C6,'DATA 1'!M6:R15,2)</f>
        <v>114.15</v>
      </c>
      <c r="F6" s="27"/>
      <c r="G6" s="27">
        <f>VLOOKUP(C6,'DATA 1'!M6:R15,3)</f>
        <v>79.05</v>
      </c>
      <c r="H6" s="27"/>
      <c r="I6" s="27">
        <f>VLOOKUP(C6,'DATA 1'!M6:R15,4)</f>
        <v>200.4</v>
      </c>
      <c r="J6" s="27"/>
      <c r="K6" s="27">
        <f>VLOOKUP(C6,'DATA 1'!M6:R15,5)</f>
        <v>256.217</v>
      </c>
      <c r="L6" s="27"/>
      <c r="M6" s="207">
        <f>VLOOKUP(C6,'DATA 1'!M6:R15,6)</f>
        <v>97.833</v>
      </c>
    </row>
    <row r="7" spans="8:8" ht="24.55">
      <c r="A7" s="54"/>
      <c r="B7" s="25" t="s">
        <v>121</v>
      </c>
      <c r="C7" s="206">
        <f>Lembar5!C7</f>
        <v>5.0</v>
      </c>
      <c r="D7" s="13"/>
      <c r="E7" s="27">
        <f>VLOOKUP(C7,'DATA 1'!M20:R30,2)</f>
        <v>20.033</v>
      </c>
      <c r="F7" s="27"/>
      <c r="G7" s="31">
        <f>VLOOKUP(C7,'DATA 1'!M20:R30,3)</f>
        <v>40.25</v>
      </c>
      <c r="H7" s="31"/>
      <c r="I7" s="27">
        <f>VLOOKUP(C7,'DATA 1'!M20:R30,4)</f>
        <v>306.4</v>
      </c>
      <c r="J7" s="27"/>
      <c r="K7" s="27">
        <f>VLOOKUP(C7,'DATA 1'!M20:R30,5)</f>
        <v>109.0</v>
      </c>
      <c r="L7" s="27"/>
      <c r="M7" s="207">
        <f>VLOOKUP(C7,'DATA 1'!M20:R30,6)</f>
        <v>306.333</v>
      </c>
    </row>
    <row r="8" spans="8:8" ht="24.55">
      <c r="A8" s="54"/>
      <c r="B8" s="25" t="s">
        <v>122</v>
      </c>
      <c r="C8" s="206">
        <v>6.0</v>
      </c>
      <c r="D8" s="13"/>
      <c r="E8" s="27">
        <f>VLOOKUP(C8,'DATA 1'!N35:S46,2)</f>
        <v>146.933</v>
      </c>
      <c r="F8" s="27"/>
      <c r="G8" s="27">
        <f>VLOOKUP(C8,'DATA 1'!N35:S46,3)</f>
        <v>122.683</v>
      </c>
      <c r="H8" s="27"/>
      <c r="I8" s="27">
        <f>VLOOKUP(C8,'DATA 1'!N35:S46,4)</f>
        <v>116.433</v>
      </c>
      <c r="J8" s="27"/>
      <c r="K8" s="27">
        <f>VLOOKUP(C8,'DATA 1'!N35:S46,5)</f>
        <v>103.267</v>
      </c>
      <c r="L8" s="27"/>
      <c r="M8" s="207">
        <f>VLOOKUP(C8,'DATA 1'!N35:S46,6)</f>
        <v>116.433</v>
      </c>
    </row>
    <row r="9" spans="8:8">
      <c r="A9" s="54"/>
      <c r="B9" s="25" t="s">
        <v>119</v>
      </c>
      <c r="C9" s="13" t="s">
        <v>120</v>
      </c>
      <c r="D9" s="13"/>
      <c r="E9" s="13">
        <f>MOD(E6+E7+E8,168)</f>
        <v>113.11599999999999</v>
      </c>
      <c r="F9" s="13"/>
      <c r="G9" s="13">
        <f>MOD(G6+G7+G8,360)</f>
        <v>241.983</v>
      </c>
      <c r="H9" s="13"/>
      <c r="I9" s="27">
        <f>MOD(I6+I7+I8,360)</f>
        <v>263.23299999999995</v>
      </c>
      <c r="J9" s="27"/>
      <c r="K9" s="27">
        <f>MOD(K6+K8+K7,360)</f>
        <v>108.48399999999998</v>
      </c>
      <c r="L9" s="27"/>
      <c r="M9" s="207">
        <f>MOD(M6+M7+M8,360)</f>
        <v>160.59900000000005</v>
      </c>
    </row>
    <row r="10" spans="8:8">
      <c r="A10" s="54"/>
      <c r="B10" s="25">
        <f>IF(C8=1,C6+C7+1,C6+C7)</f>
        <v>1445.0</v>
      </c>
      <c r="C10" s="13" t="str">
        <f>VLOOKUP(C8,'DATA 1'!T19:V30,3)</f>
        <v>Jumadist-Stani</v>
      </c>
      <c r="D10" s="13" t="s">
        <v>1937</v>
      </c>
      <c r="E10" s="13"/>
      <c r="F10" s="13" t="s">
        <v>1937</v>
      </c>
      <c r="G10" s="13"/>
      <c r="H10" s="13" t="s">
        <v>1937</v>
      </c>
      <c r="I10" s="27"/>
      <c r="J10" s="27" t="s">
        <v>1937</v>
      </c>
      <c r="K10" s="27"/>
      <c r="L10" s="27" t="s">
        <v>1938</v>
      </c>
      <c r="M10" s="207"/>
    </row>
    <row r="11" spans="8:8">
      <c r="A11" s="54"/>
      <c r="B11" s="25">
        <f>INT(B10/30)</f>
        <v>48.0</v>
      </c>
      <c r="C11" s="26">
        <f>MOD(B10,30)</f>
        <v>5.0</v>
      </c>
      <c r="D11" s="13">
        <f>(E6-MOD(E6,24))/24</f>
        <v>4.0</v>
      </c>
      <c r="E11" s="13" t="str">
        <f>TEXT(E6/24,"hh:mm:ss")</f>
        <v>18:09:00</v>
      </c>
      <c r="F11" s="13">
        <f>(G6-MOD(G6,24))/24</f>
        <v>3.0</v>
      </c>
      <c r="G11" s="13" t="str">
        <f>TEXT(G6/24,"hh:mm:ss")</f>
        <v>07:03:00</v>
      </c>
      <c r="H11" s="13">
        <f>(I6-MOD(I6,24))/24</f>
        <v>8.0</v>
      </c>
      <c r="I11" s="13" t="str">
        <f>TEXT(I6/24,"hh:mm:ss")</f>
        <v>08:24:00</v>
      </c>
      <c r="J11" s="13">
        <f>(K6-MOD(K6,24))/24</f>
        <v>10.0</v>
      </c>
      <c r="K11" s="13" t="str">
        <f>TEXT(K6/24,"hh:mm:ss")</f>
        <v>16:13:01</v>
      </c>
      <c r="L11" s="13">
        <f>(M6-MOD(M6,24))/24</f>
        <v>4.0</v>
      </c>
      <c r="M11" s="205" t="str">
        <f>TEXT(M6/24,"hh:mm:ss")</f>
        <v>01:49:59</v>
      </c>
    </row>
    <row r="12" spans="8:8">
      <c r="A12" s="54"/>
      <c r="B12" s="25" t="s">
        <v>2039</v>
      </c>
      <c r="C12" s="26" t="str">
        <f>VLOOKUP(C11,'DATA 2'!Q44:S74,2)</f>
        <v>Kabisah</v>
      </c>
      <c r="D12" s="13">
        <f>(E7-MOD(E7,24))/24</f>
        <v>0.0</v>
      </c>
      <c r="E12" s="13" t="str">
        <f>TEXT(E7/24,"hh:mm:ss")</f>
        <v>20:01:59</v>
      </c>
      <c r="F12" s="13">
        <f>(G7-MOD(G7,24))/24</f>
        <v>1.0</v>
      </c>
      <c r="G12" s="13" t="str">
        <f>TEXT(G7/24,"hh:mm:ss")</f>
        <v>16:15:00</v>
      </c>
      <c r="H12" s="13">
        <f>(I7-MOD(I7,24))/24</f>
        <v>12.0</v>
      </c>
      <c r="I12" s="13" t="str">
        <f>TEXT(I8/24,"hh:mm:ss")</f>
        <v>20:25:59</v>
      </c>
      <c r="J12" s="13">
        <f>(K7-MOD(K7,24))/24</f>
        <v>4.0</v>
      </c>
      <c r="K12" s="13" t="str">
        <f>TEXT(K7/24,"hh:mm:ss")</f>
        <v>13:00:00</v>
      </c>
      <c r="L12" s="13">
        <f>(M7-MOD(M7,24))/24</f>
        <v>12.0</v>
      </c>
      <c r="M12" s="205" t="str">
        <f>TEXT(M7/24,"hh:mm:ss")</f>
        <v>18:19:59</v>
      </c>
    </row>
    <row r="13" spans="8:8">
      <c r="A13" s="54"/>
      <c r="B13" s="25" t="s">
        <v>2043</v>
      </c>
      <c r="C13" s="13">
        <f>VLOOKUP(C11,'DATA 2'!Q44:S74,3)</f>
        <v>355.0</v>
      </c>
      <c r="D13" s="13">
        <f>(E8-MOD(E8,24))/24</f>
        <v>6.0</v>
      </c>
      <c r="E13" s="13" t="str">
        <f>TEXT(E8/24,"hh:mm:ss")</f>
        <v>02:55:59</v>
      </c>
      <c r="F13" s="13">
        <f>(G8-MOD(G8,24))/24</f>
        <v>5.0</v>
      </c>
      <c r="G13" s="13" t="str">
        <f>TEXT(G8/24,"hh:mm:ss")</f>
        <v>02:40:59</v>
      </c>
      <c r="H13" s="13">
        <f>(I8-MOD(I8,24))/24</f>
        <v>4.0</v>
      </c>
      <c r="I13" s="13" t="str">
        <f>TEXT(I8/24,"hh:mm:ss")</f>
        <v>20:25:59</v>
      </c>
      <c r="J13" s="13">
        <f>(K8-MOD(K8,24))/24</f>
        <v>4.0</v>
      </c>
      <c r="K13" s="13" t="str">
        <f>TEXT(K8/24,"hh:mm:ss")</f>
        <v>07:16:01</v>
      </c>
      <c r="L13" s="13">
        <f>(M8-MOD(M8,24))/24</f>
        <v>4.0</v>
      </c>
      <c r="M13" s="205" t="str">
        <f>TEXT(M8/24,"hh:mm:ss")</f>
        <v>20:25:59</v>
      </c>
    </row>
    <row r="14" spans="8:8">
      <c r="A14" s="54"/>
      <c r="B14" s="39" t="s">
        <v>2045</v>
      </c>
      <c r="C14" s="27" t="s">
        <v>2044</v>
      </c>
      <c r="D14" s="13">
        <f>(E9-MOD(E9,24))/24</f>
        <v>4.0</v>
      </c>
      <c r="E14" s="13" t="str">
        <f>TEXT(E9/24,"hh:mm:ss")</f>
        <v>17:06:58</v>
      </c>
      <c r="F14" s="13">
        <f>(G9-MOD(G9,24))/24</f>
        <v>10.0</v>
      </c>
      <c r="G14" s="13" t="str">
        <f>TEXT(G9/24,"hh:mm:ss")</f>
        <v>01:58:59</v>
      </c>
      <c r="H14" s="13">
        <f>(I9-MOD(I9,24))/24</f>
        <v>10.0</v>
      </c>
      <c r="I14" s="13" t="str">
        <f>TEXT(I9/24,"hh:mm:ss")</f>
        <v>23:13:59</v>
      </c>
      <c r="J14" s="13">
        <f>(K9-MOD(K9,24))/24</f>
        <v>4.0</v>
      </c>
      <c r="K14" s="13" t="str">
        <f>TEXT(K9/24,"hh:mm:ss")</f>
        <v>12:29:02</v>
      </c>
      <c r="L14" s="13">
        <f>(M9-MOD(M9,24))/24</f>
        <v>6.0</v>
      </c>
      <c r="M14" s="205" t="str">
        <f>TEXT(M9/24,"hh:mm:ss")</f>
        <v>16:35:56</v>
      </c>
    </row>
    <row r="15" spans="8:8">
      <c r="A15" s="54"/>
      <c r="B15" s="39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205"/>
    </row>
    <row r="16" spans="8:8">
      <c r="A16" s="54"/>
      <c r="B16" s="208" t="s">
        <v>1933</v>
      </c>
      <c r="C16" s="208"/>
      <c r="D16" s="208"/>
      <c r="E16" s="208"/>
      <c r="F16" s="208" t="s">
        <v>1934</v>
      </c>
      <c r="G16" s="208"/>
      <c r="H16" s="208"/>
      <c r="I16" s="208"/>
      <c r="J16" s="208"/>
      <c r="K16" s="205" t="s">
        <v>1935</v>
      </c>
      <c r="L16" s="208" t="s">
        <v>1940</v>
      </c>
      <c r="M16" s="208"/>
    </row>
    <row r="17" spans="8:8">
      <c r="A17" s="54"/>
      <c r="B17" s="25" t="s">
        <v>128</v>
      </c>
      <c r="C17" s="25"/>
      <c r="D17" s="25"/>
      <c r="E17" s="25"/>
      <c r="F17" s="25" t="s">
        <v>166</v>
      </c>
      <c r="G17" s="25"/>
      <c r="H17" s="25"/>
      <c r="I17" s="25"/>
      <c r="J17" s="25"/>
      <c r="K17" s="27">
        <f>VLOOKUP(ROUND(K9,0),'DATA 1'!T54:U414,2)</f>
        <v>0.15</v>
      </c>
      <c r="L17" s="13">
        <f>(K17-MOD(K17,30))/30</f>
        <v>0.0</v>
      </c>
      <c r="M17" s="205" t="str">
        <f>TEXT(K17/24,"hh:mm:ss")</f>
        <v>00:09:00</v>
      </c>
    </row>
    <row r="18" spans="8:8">
      <c r="A18" s="54"/>
      <c r="B18" s="25" t="s">
        <v>129</v>
      </c>
      <c r="C18" s="25"/>
      <c r="D18" s="25"/>
      <c r="E18" s="25"/>
      <c r="F18" s="25" t="s">
        <v>166</v>
      </c>
      <c r="G18" s="25"/>
      <c r="H18" s="25"/>
      <c r="I18" s="25"/>
      <c r="J18" s="25"/>
      <c r="K18" s="13">
        <f>VLOOKUP(ROUND(M9,0),'DATA 1'!W54:X415,2)</f>
        <v>2.6</v>
      </c>
      <c r="L18" s="13">
        <f>(K18-MOD(K18,30))/30</f>
        <v>0.0</v>
      </c>
      <c r="M18" s="205" t="str">
        <f>TEXT(K18/24,"hh:mm:ss")</f>
        <v>02:36:00</v>
      </c>
    </row>
    <row r="19" spans="8:8">
      <c r="A19" s="54"/>
      <c r="B19" s="25" t="s">
        <v>144</v>
      </c>
      <c r="C19" s="25"/>
      <c r="D19" s="25"/>
      <c r="E19" s="25"/>
      <c r="F19" s="25" t="s">
        <v>171</v>
      </c>
      <c r="G19" s="25"/>
      <c r="H19" s="25"/>
      <c r="I19" s="25"/>
      <c r="J19" s="25"/>
      <c r="K19" s="13">
        <f>K17+K18</f>
        <v>2.75</v>
      </c>
      <c r="L19" s="13">
        <f>(K19-MOD(K19,30))/30</f>
        <v>0.0</v>
      </c>
      <c r="M19" s="205" t="str">
        <f>TEXT(K19/24,"hh:mm:ss")</f>
        <v>02:45:00</v>
      </c>
    </row>
    <row r="20" spans="8:8">
      <c r="A20" s="54"/>
      <c r="B20" s="25" t="s">
        <v>146</v>
      </c>
      <c r="C20" s="25"/>
      <c r="D20" s="25"/>
      <c r="E20" s="25"/>
      <c r="F20" s="25" t="s">
        <v>169</v>
      </c>
      <c r="G20" s="25"/>
      <c r="H20" s="25"/>
      <c r="I20" s="25"/>
      <c r="J20" s="25"/>
      <c r="K20" s="27">
        <f>K19*0.08333</f>
        <v>0.22915750000000001</v>
      </c>
      <c r="L20" s="13">
        <f>(K20-MOD(K20,30))/30</f>
        <v>0.0</v>
      </c>
      <c r="M20" s="205" t="str">
        <f>TEXT(K20/24,"hh:mm:ss")</f>
        <v>00:13:45</v>
      </c>
    </row>
    <row r="21" spans="8:8">
      <c r="A21" s="54"/>
      <c r="B21" s="25" t="s">
        <v>175</v>
      </c>
      <c r="C21" s="25"/>
      <c r="D21" s="25"/>
      <c r="E21" s="25"/>
      <c r="F21" s="25" t="s">
        <v>170</v>
      </c>
      <c r="G21" s="25"/>
      <c r="H21" s="25"/>
      <c r="I21" s="25"/>
      <c r="J21" s="25"/>
      <c r="K21" s="27">
        <f>K20+K18</f>
        <v>2.8291575</v>
      </c>
      <c r="L21" s="13">
        <f>(K21-MOD(K21,30))/30</f>
        <v>0.0</v>
      </c>
      <c r="M21" s="205" t="str">
        <f>TEXT(K21/24,"hh:mm:ss")</f>
        <v>02:49:45</v>
      </c>
    </row>
    <row r="22" spans="8:8">
      <c r="A22" s="54"/>
      <c r="B22" s="25" t="s">
        <v>149</v>
      </c>
      <c r="C22" s="25"/>
      <c r="D22" s="25"/>
      <c r="E22" s="25"/>
      <c r="F22" s="25" t="s">
        <v>195</v>
      </c>
      <c r="G22" s="25"/>
      <c r="H22" s="25"/>
      <c r="I22" s="25"/>
      <c r="J22" s="25"/>
      <c r="K22" s="27">
        <f>I9-K21</f>
        <v>260.4038425</v>
      </c>
      <c r="L22" s="13">
        <f>(K22-MOD(K22,30))/30</f>
        <v>8.0</v>
      </c>
      <c r="M22" s="205" t="str">
        <f>TEXT(K22/24,"hh:mm:ss")</f>
        <v>20:24:14</v>
      </c>
    </row>
    <row r="23" spans="8:8">
      <c r="A23" s="54"/>
      <c r="B23" s="25" t="s">
        <v>155</v>
      </c>
      <c r="C23" s="25"/>
      <c r="D23" s="25"/>
      <c r="E23" s="25"/>
      <c r="F23" s="25" t="s">
        <v>166</v>
      </c>
      <c r="G23" s="25"/>
      <c r="H23" s="25"/>
      <c r="I23" s="25"/>
      <c r="J23" s="25"/>
      <c r="K23" s="13" t="str">
        <f>VLOOKUP(L22,'DATA 1'!W19:Y31,2)</f>
        <v>Al-Qous</v>
      </c>
      <c r="L23" s="13">
        <f>L22</f>
        <v>8.0</v>
      </c>
      <c r="M23" s="205" t="str">
        <f>VLOOKUP(L23,'DATA 1'!W19:Y31,3)</f>
        <v>Desember</v>
      </c>
    </row>
    <row r="24" spans="8:8">
      <c r="A24" s="54"/>
      <c r="B24" s="25" t="s">
        <v>179</v>
      </c>
      <c r="C24" s="25"/>
      <c r="D24" s="25"/>
      <c r="E24" s="25"/>
      <c r="F24" s="25" t="s">
        <v>166</v>
      </c>
      <c r="G24" s="25"/>
      <c r="H24" s="25"/>
      <c r="I24" s="25"/>
      <c r="J24" s="25"/>
      <c r="K24" s="13" t="str">
        <f>VLOOKUP(L22,'DATA 1'!W19:AA31,5)</f>
        <v>Al-Janub</v>
      </c>
      <c r="L24" s="13"/>
      <c r="M24" s="205" t="str">
        <f>VLOOKUP(K24,'DATA 1'!AA19:AB31,2)</f>
        <v>Selatan</v>
      </c>
    </row>
    <row r="25" spans="8:8">
      <c r="A25" s="54"/>
      <c r="B25" s="25" t="s">
        <v>150</v>
      </c>
      <c r="C25" s="25"/>
      <c r="D25" s="25"/>
      <c r="E25" s="25"/>
      <c r="F25" s="25" t="s">
        <v>166</v>
      </c>
      <c r="G25" s="25"/>
      <c r="H25" s="25"/>
      <c r="I25" s="25"/>
      <c r="J25" s="25"/>
      <c r="K25" s="27">
        <f>VLOOKUP(ROUND(K22,0),'DATA 1'!Q54:R414,2)</f>
        <v>0.183</v>
      </c>
      <c r="L25" s="13">
        <f>(K25-MOD(K25,30))/30</f>
        <v>0.0</v>
      </c>
      <c r="M25" s="205" t="str">
        <f>TEXT(K25/24,"hh:mm:ss")</f>
        <v>00:10:59</v>
      </c>
    </row>
    <row r="26" spans="8:8">
      <c r="A26" s="54"/>
      <c r="B26" s="25" t="s">
        <v>139</v>
      </c>
      <c r="C26" s="25"/>
      <c r="D26" s="25"/>
      <c r="E26" s="25"/>
      <c r="F26" s="25" t="s">
        <v>196</v>
      </c>
      <c r="G26" s="25"/>
      <c r="H26" s="25"/>
      <c r="I26" s="25"/>
      <c r="J26" s="25"/>
      <c r="K26" s="27">
        <f>K19-K25</f>
        <v>2.567</v>
      </c>
      <c r="L26" s="13">
        <f>(K26-MOD(K26,30))/30</f>
        <v>0.0</v>
      </c>
      <c r="M26" s="205" t="str">
        <f>TEXT(K26/24,"hh:mm:ss")</f>
        <v>02:34:01</v>
      </c>
    </row>
    <row r="27" spans="8:8">
      <c r="A27" s="54"/>
      <c r="B27" s="25" t="s">
        <v>141</v>
      </c>
      <c r="C27" s="25"/>
      <c r="D27" s="25"/>
      <c r="E27" s="25"/>
      <c r="F27" s="25" t="s">
        <v>197</v>
      </c>
      <c r="G27" s="25"/>
      <c r="H27" s="25"/>
      <c r="I27" s="25"/>
      <c r="J27" s="25"/>
      <c r="K27" s="27">
        <f>K22-K26</f>
        <v>257.8368425</v>
      </c>
      <c r="L27" s="13">
        <f>(K27-MOD(K27,30))/30</f>
        <v>8.0</v>
      </c>
      <c r="M27" s="205" t="str">
        <f>TEXT(K27/24,"hh:mm:ss")</f>
        <v>17:50:13</v>
      </c>
    </row>
    <row r="28" spans="8:8">
      <c r="A28" s="54"/>
      <c r="B28" s="25" t="s">
        <v>199</v>
      </c>
      <c r="C28" s="25"/>
      <c r="D28" s="25"/>
      <c r="E28" s="25"/>
      <c r="F28" s="25" t="s">
        <v>166</v>
      </c>
      <c r="G28" s="25"/>
      <c r="H28" s="25"/>
      <c r="I28" s="25"/>
      <c r="J28" s="25"/>
      <c r="K28" s="27">
        <f>VLOOKUP(ROUND(K9,0),'DATA 1'!N54:O414,2)</f>
        <v>1.95</v>
      </c>
      <c r="L28" s="13">
        <f>(K28-MOD(K28,30))/30</f>
        <v>0.0</v>
      </c>
      <c r="M28" s="205" t="str">
        <f>TEXT(K28/24,"hh:mm:ss")</f>
        <v>01:57:00</v>
      </c>
    </row>
    <row r="29" spans="8:8">
      <c r="A29" s="54"/>
      <c r="B29" s="25" t="s">
        <v>151</v>
      </c>
      <c r="C29" s="25"/>
      <c r="D29" s="25"/>
      <c r="E29" s="25"/>
      <c r="F29" s="25" t="s">
        <v>200</v>
      </c>
      <c r="G29" s="25"/>
      <c r="H29" s="25"/>
      <c r="I29" s="25"/>
      <c r="J29" s="25"/>
      <c r="K29" s="27">
        <f>K26*K28</f>
        <v>5.00565</v>
      </c>
      <c r="L29" s="13">
        <f>(K29-MOD(K29,30))/30</f>
        <v>0.0</v>
      </c>
      <c r="M29" s="205" t="str">
        <f>TEXT(K29/24,"hh:mm:ss")</f>
        <v>05:00:20</v>
      </c>
    </row>
    <row r="30" spans="8:8">
      <c r="A30" s="54"/>
      <c r="B30" s="25" t="s">
        <v>152</v>
      </c>
      <c r="C30" s="25"/>
      <c r="D30" s="25"/>
      <c r="E30" s="25"/>
      <c r="F30" s="25" t="s">
        <v>202</v>
      </c>
      <c r="G30" s="25"/>
      <c r="H30" s="25"/>
      <c r="I30" s="25"/>
      <c r="J30" s="25"/>
      <c r="K30" s="27">
        <f>IF(E9-K29&lt;0,(E9-K29)+168,E9-K29)</f>
        <v>108.11034999999998</v>
      </c>
      <c r="L30" s="13">
        <f>(K30-MOD(K30,30))/30</f>
        <v>3.0</v>
      </c>
      <c r="M30" s="205" t="str">
        <f>TEXT(K30/24,"hh:mm:ss")</f>
        <v>12:06:37</v>
      </c>
    </row>
    <row r="31" spans="8:8">
      <c r="A31" s="54"/>
      <c r="B31" s="25" t="s">
        <v>203</v>
      </c>
      <c r="C31" s="25"/>
      <c r="D31" s="25"/>
      <c r="E31" s="25"/>
      <c r="F31" s="25" t="s">
        <v>166</v>
      </c>
      <c r="G31" s="25"/>
      <c r="H31" s="25"/>
      <c r="I31" s="25"/>
      <c r="J31" s="25"/>
      <c r="K31" s="209">
        <f>VLOOKUP(E4,'DATA 2'!B4:F426,4)</f>
        <v>107.133</v>
      </c>
      <c r="L31" s="13">
        <f>(K31-MOD(K31,30))/30</f>
        <v>3.0</v>
      </c>
      <c r="M31" s="210" t="str">
        <f>TEXT(K31/24,"hh:mm:ss")</f>
        <v>11:07:59</v>
      </c>
    </row>
    <row r="32" spans="8:8">
      <c r="A32" s="54"/>
      <c r="B32" s="25" t="s">
        <v>1823</v>
      </c>
      <c r="C32" s="25"/>
      <c r="D32" s="25"/>
      <c r="E32" s="25"/>
      <c r="F32" s="25" t="s">
        <v>1854</v>
      </c>
      <c r="G32" s="25"/>
      <c r="H32" s="25"/>
      <c r="I32" s="25"/>
      <c r="J32" s="25"/>
      <c r="K32" s="211">
        <f>ABS(106.817-K31)/15</f>
        <v>0.021066666666666834</v>
      </c>
      <c r="L32" s="13"/>
      <c r="M32" s="210" t="str">
        <f>TEXT(K32/24,"hh:mm:ss")</f>
        <v>00:01:16</v>
      </c>
    </row>
    <row r="33" spans="8:8">
      <c r="A33" s="54"/>
      <c r="B33" s="25" t="s">
        <v>1856</v>
      </c>
      <c r="C33" s="25"/>
      <c r="D33" s="25"/>
      <c r="E33" s="25"/>
      <c r="F33" s="25" t="s">
        <v>1843</v>
      </c>
      <c r="G33" s="25"/>
      <c r="H33" s="25"/>
      <c r="I33" s="25"/>
      <c r="J33" s="25"/>
      <c r="K33" s="27">
        <f>K30-K32+1</f>
        <v>109.089283333333</v>
      </c>
      <c r="L33" s="13">
        <f>(K33-MOD(K33,30))/30</f>
        <v>3.0</v>
      </c>
      <c r="M33" s="205" t="str">
        <f>TEXT(K33/24,"hh:mm:ss")</f>
        <v>13:05:21</v>
      </c>
    </row>
    <row r="34" spans="8:8">
      <c r="A34" s="54"/>
      <c r="B34" s="25" t="s">
        <v>154</v>
      </c>
      <c r="C34" s="25"/>
      <c r="D34" s="25"/>
      <c r="E34" s="25"/>
      <c r="F34" s="25" t="s">
        <v>1864</v>
      </c>
      <c r="G34" s="25"/>
      <c r="H34" s="25"/>
      <c r="I34" s="25"/>
      <c r="J34" s="25"/>
      <c r="K34" s="26" t="str">
        <f>VLOOKUP(L34,'DATA 1'!U34:V41,2)</f>
        <v>Al-Arbaa</v>
      </c>
      <c r="L34" s="26">
        <f>INT(INT(K33)/24)</f>
        <v>4.0</v>
      </c>
      <c r="M34" s="212" t="str">
        <f>VLOOKUP(K34,'DATA 1'!V34:W41,2)</f>
        <v>Rabu</v>
      </c>
    </row>
    <row r="35" spans="8:8">
      <c r="A35" s="54"/>
      <c r="B35" s="25" t="s">
        <v>1893</v>
      </c>
      <c r="C35" s="25"/>
      <c r="D35" s="25"/>
      <c r="E35" s="25"/>
      <c r="F35" s="25" t="s">
        <v>1891</v>
      </c>
      <c r="G35" s="25"/>
      <c r="H35" s="25"/>
      <c r="I35" s="25"/>
      <c r="J35" s="25"/>
      <c r="K35" s="213">
        <f>MOD(K33,24)</f>
        <v>13.089283333333</v>
      </c>
      <c r="L35" s="26"/>
      <c r="M35" s="212" t="str">
        <f>TEXT(K35/24,"hh:mm:ss")</f>
        <v>13:05:21</v>
      </c>
    </row>
    <row r="36" spans="8:8">
      <c r="A36" s="54"/>
      <c r="B36" s="25" t="s">
        <v>157</v>
      </c>
      <c r="C36" s="25"/>
      <c r="D36" s="25"/>
      <c r="E36" s="25"/>
      <c r="F36" s="25"/>
      <c r="G36" s="25"/>
      <c r="H36" s="25"/>
      <c r="I36" s="25"/>
      <c r="J36" s="25"/>
      <c r="K36" s="26"/>
      <c r="L36" s="26"/>
      <c r="M36" s="212"/>
    </row>
    <row r="37" spans="8:8">
      <c r="A37" s="54"/>
      <c r="B37" s="25" t="s">
        <v>1894</v>
      </c>
      <c r="C37" s="25"/>
      <c r="D37" s="25"/>
      <c r="E37" s="25"/>
      <c r="F37" s="25" t="s">
        <v>1892</v>
      </c>
      <c r="G37" s="25"/>
      <c r="H37" s="25"/>
      <c r="I37" s="25"/>
      <c r="J37" s="25"/>
      <c r="K37" s="213">
        <f>IF(K35&lt;6,K35+6,IF(K35&lt;18,K35-6,IF(K35-18&lt;1,(K35-18)+12,K35-18)))</f>
        <v>7.089283333333</v>
      </c>
      <c r="L37" s="26"/>
      <c r="M37" s="212" t="str">
        <f>TEXT(K37/24,"hh:mm:ss")</f>
        <v>07:05:21</v>
      </c>
    </row>
    <row r="38" spans="8:8">
      <c r="A38" s="54"/>
      <c r="B38" s="25" t="s">
        <v>158</v>
      </c>
      <c r="C38" s="25"/>
      <c r="D38" s="25"/>
      <c r="E38" s="25"/>
      <c r="F38" s="25" t="s">
        <v>1895</v>
      </c>
      <c r="G38" s="25"/>
      <c r="H38" s="25"/>
      <c r="I38" s="25"/>
      <c r="J38" s="25"/>
      <c r="K38" s="213">
        <f>24-K35</f>
        <v>10.910716666667</v>
      </c>
      <c r="L38" s="26"/>
      <c r="M38" s="212" t="str">
        <f>TEXT(K38/24,"hh:mm:ss")</f>
        <v>10:54:39</v>
      </c>
    </row>
    <row r="39" spans="8:8">
      <c r="A39" s="54"/>
      <c r="B39" s="25" t="s">
        <v>1909</v>
      </c>
      <c r="C39" s="25"/>
      <c r="D39" s="25"/>
      <c r="E39" s="25"/>
      <c r="F39" s="25" t="s">
        <v>1898</v>
      </c>
      <c r="G39" s="25"/>
      <c r="H39" s="25"/>
      <c r="I39" s="25"/>
      <c r="J39" s="25"/>
      <c r="K39" s="213">
        <f>K38/2</f>
        <v>5.4553583333335</v>
      </c>
      <c r="L39" s="26"/>
      <c r="M39" s="212" t="str">
        <f>TEXT(K39/24,"hh:mm:ss")</f>
        <v>05:27:19</v>
      </c>
    </row>
    <row r="40" spans="8:8">
      <c r="A40" s="54"/>
      <c r="B40" s="25" t="s">
        <v>161</v>
      </c>
      <c r="C40" s="25"/>
      <c r="D40" s="25"/>
      <c r="E40" s="25"/>
      <c r="F40" s="25" t="s">
        <v>1899</v>
      </c>
      <c r="G40" s="25"/>
      <c r="H40" s="25"/>
      <c r="I40" s="25"/>
      <c r="J40" s="25"/>
      <c r="K40" s="27">
        <f>K39*0.0667</f>
        <v>0.36387240083334443</v>
      </c>
      <c r="L40" s="13"/>
      <c r="M40" s="205" t="str">
        <f>TEXT(K40/24,"hh:mm:ss")</f>
        <v>00:21:50</v>
      </c>
    </row>
    <row r="41" spans="8:8">
      <c r="A41" s="54"/>
      <c r="B41" s="25" t="s">
        <v>162</v>
      </c>
      <c r="C41" s="25"/>
      <c r="D41" s="25"/>
      <c r="E41" s="25"/>
      <c r="F41" s="25" t="s">
        <v>166</v>
      </c>
      <c r="G41" s="25"/>
      <c r="H41" s="25"/>
      <c r="I41" s="25"/>
      <c r="J41" s="25"/>
      <c r="K41" s="13">
        <f>VLOOKUP(ROUND(G9,0),'DATA 2'!I5:J366,2)</f>
        <v>0.2</v>
      </c>
      <c r="L41" s="13"/>
      <c r="M41" s="205" t="str">
        <f>TEXT(K41/24,"hh:mm:ss")</f>
        <v>00:12:00</v>
      </c>
    </row>
    <row r="42" spans="8:8">
      <c r="A42" s="54"/>
      <c r="B42" s="25" t="s">
        <v>163</v>
      </c>
      <c r="C42" s="25"/>
      <c r="D42" s="25"/>
      <c r="E42" s="25"/>
      <c r="F42" s="25" t="s">
        <v>1900</v>
      </c>
      <c r="G42" s="25"/>
      <c r="H42" s="25"/>
      <c r="I42" s="25"/>
      <c r="J42" s="25"/>
      <c r="K42" s="27">
        <f>K40+K41</f>
        <v>0.563872400833344</v>
      </c>
      <c r="L42" s="13"/>
      <c r="M42" s="205" t="str">
        <f>TEXT(K42/24,"hh:mm:ss")</f>
        <v>00:33:50</v>
      </c>
    </row>
    <row r="43" spans="8:8">
      <c r="A43" s="54"/>
      <c r="B43" s="214" t="s">
        <v>1905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</row>
    <row r="44" spans="8:8">
      <c r="A44" s="54"/>
      <c r="B44" s="215" t="s">
        <v>1906</v>
      </c>
      <c r="C44" s="215"/>
      <c r="D44" s="215"/>
      <c r="E44" s="215"/>
      <c r="F44" s="13"/>
      <c r="G44" s="13"/>
      <c r="H44" s="13"/>
      <c r="I44" s="13" t="str">
        <f>IF(K35&gt;12,"Malam","Hari")</f>
        <v>Malam</v>
      </c>
      <c r="J44" s="13"/>
      <c r="K44" s="13" t="str">
        <f>M34</f>
        <v>Rabu</v>
      </c>
      <c r="L44" s="13"/>
      <c r="M44" s="205"/>
    </row>
    <row r="45" spans="8:8">
      <c r="A45" s="54"/>
      <c r="B45" s="215" t="s">
        <v>1918</v>
      </c>
      <c r="C45" s="215"/>
      <c r="D45" s="215"/>
      <c r="E45" s="215"/>
      <c r="F45" s="27" t="str">
        <f>M35</f>
        <v>13:05:21</v>
      </c>
      <c r="G45" s="27"/>
      <c r="H45" s="27"/>
      <c r="I45" s="27" t="str">
        <f>IF(K35&lt;12,"Malam","Hari")</f>
        <v>Hari</v>
      </c>
      <c r="J45" s="27"/>
      <c r="K45" s="13" t="str">
        <f>K44</f>
        <v>Rabu</v>
      </c>
      <c r="L45" s="13"/>
      <c r="M45" s="205"/>
    </row>
    <row r="46" spans="8:8">
      <c r="A46" s="54"/>
      <c r="B46" s="215" t="s">
        <v>1907</v>
      </c>
      <c r="C46" s="215"/>
      <c r="D46" s="215"/>
      <c r="E46" s="215"/>
      <c r="F46" s="13" t="str">
        <f>M37</f>
        <v>07:05:21</v>
      </c>
      <c r="G46" s="13"/>
      <c r="H46" s="13"/>
      <c r="I46" s="13" t="str">
        <f>IF(K35&lt;10,"Malam",IF(K35&lt;12,"Subuh",IF(K35&lt;18,"Pagi",IF(K35&lt;21,"Siang",IF(K35&lt;24,"Sore")))))</f>
        <v>Pagi</v>
      </c>
      <c r="J46" s="13"/>
      <c r="K46" s="13" t="str">
        <f>K45</f>
        <v>Rabu</v>
      </c>
      <c r="L46" s="13"/>
      <c r="M46" s="205"/>
    </row>
    <row r="47" spans="8:8">
      <c r="A47" s="54"/>
      <c r="B47" s="215" t="s">
        <v>1919</v>
      </c>
      <c r="C47" s="215"/>
      <c r="D47" s="215"/>
      <c r="E47" s="215"/>
      <c r="F47" s="27" t="str">
        <f>M38</f>
        <v>10:54:39</v>
      </c>
      <c r="G47" s="27"/>
      <c r="H47" s="27"/>
      <c r="I47" s="27"/>
      <c r="J47" s="27"/>
      <c r="K47" s="13"/>
      <c r="L47" s="13"/>
      <c r="M47" s="205"/>
    </row>
    <row r="48" spans="8:8">
      <c r="A48" s="54"/>
      <c r="B48" s="215" t="s">
        <v>1920</v>
      </c>
      <c r="C48" s="215"/>
      <c r="D48" s="215"/>
      <c r="E48" s="215"/>
      <c r="F48" s="27" t="str">
        <f>M39</f>
        <v>05:27:19</v>
      </c>
      <c r="G48" s="27"/>
      <c r="H48" s="27" t="s">
        <v>1896</v>
      </c>
      <c r="I48" s="27" t="str">
        <f>VLOOKUP(L34,'DATA 1'!X34:Z41,3)</f>
        <v>Kamis</v>
      </c>
      <c r="J48" s="27"/>
      <c r="K48" s="13" t="str">
        <f>IF(K39&lt;2,"Tidak Imkan Ru'yat","Imkan Ru'yah")</f>
        <v>Imkan Ru'yah</v>
      </c>
      <c r="L48" s="13"/>
      <c r="M48" s="205"/>
    </row>
    <row r="49" spans="8:8">
      <c r="A49" s="54"/>
      <c r="B49" s="25" t="s">
        <v>1921</v>
      </c>
      <c r="C49" s="25"/>
      <c r="D49" s="25"/>
      <c r="E49" s="25"/>
      <c r="F49" s="13" t="str">
        <f>M40</f>
        <v>00:21:50</v>
      </c>
      <c r="G49" s="13"/>
      <c r="H49" s="13"/>
      <c r="I49" s="13"/>
      <c r="J49" s="13"/>
      <c r="K49" s="13"/>
      <c r="L49" s="13"/>
      <c r="M49" s="205"/>
    </row>
    <row r="50" spans="8:8">
      <c r="A50" s="54"/>
      <c r="B50" s="25" t="s">
        <v>1922</v>
      </c>
      <c r="C50" s="25"/>
      <c r="D50" s="25"/>
      <c r="E50" s="25"/>
      <c r="F50" s="13" t="str">
        <f>M42</f>
        <v>00:33:50</v>
      </c>
      <c r="G50" s="13"/>
      <c r="H50" s="13"/>
      <c r="I50" s="13"/>
      <c r="J50" s="13"/>
      <c r="K50" s="13"/>
      <c r="L50" s="13"/>
      <c r="M50" s="205"/>
    </row>
    <row r="51" spans="8:8">
      <c r="A51" s="54"/>
      <c r="B51" s="25" t="s">
        <v>2027</v>
      </c>
      <c r="C51" s="25"/>
      <c r="D51" s="25"/>
      <c r="E51" s="25"/>
      <c r="F51" s="13" t="str">
        <f>K24</f>
        <v>Al-Janub</v>
      </c>
      <c r="G51" s="13"/>
      <c r="H51" s="13"/>
      <c r="I51" s="13"/>
      <c r="J51" s="13"/>
      <c r="K51" s="205" t="str">
        <f>M24</f>
        <v>Selatan</v>
      </c>
      <c r="L51" s="205"/>
      <c r="M51" s="205"/>
    </row>
    <row r="52" spans="8:8">
      <c r="A52" s="54"/>
      <c r="B52" s="25" t="s">
        <v>2028</v>
      </c>
      <c r="C52" s="25"/>
      <c r="D52" s="25"/>
      <c r="E52" s="25"/>
      <c r="F52" s="13" t="str">
        <f>K23</f>
        <v>Al-Qous</v>
      </c>
      <c r="G52" s="13"/>
      <c r="H52" s="13"/>
      <c r="I52" s="13"/>
      <c r="J52" s="13"/>
      <c r="K52" s="205" t="str">
        <f>M23</f>
        <v>Desember</v>
      </c>
      <c r="L52" s="205"/>
      <c r="M52" s="205"/>
    </row>
    <row r="53" spans="8:8">
      <c r="A53" s="54"/>
      <c r="B53" s="25" t="s">
        <v>1923</v>
      </c>
      <c r="C53" s="25"/>
      <c r="D53" s="25"/>
      <c r="E53" s="25"/>
      <c r="F53" s="13" t="str">
        <f>C10</f>
        <v>Jumadist-Stani</v>
      </c>
      <c r="G53" s="13"/>
      <c r="H53" s="13"/>
      <c r="I53" s="13"/>
      <c r="J53" s="13"/>
      <c r="K53" s="13">
        <f>B10</f>
        <v>1445.0</v>
      </c>
      <c r="L53" s="13"/>
      <c r="M53" s="205" t="s">
        <v>1915</v>
      </c>
    </row>
    <row r="54" spans="8:8">
      <c r="A54" s="54"/>
      <c r="B54" s="216" t="s">
        <v>2029</v>
      </c>
      <c r="C54" s="216"/>
      <c r="D54" s="216"/>
      <c r="E54" s="216"/>
      <c r="F54" s="217" t="str">
        <f>IF(K39&lt;2,VLOOKUP(L34,'DATA 1'!X34:AA41,4),VLOOKUP(L34,'DATA 1'!X34:AA41,3))</f>
        <v>Kamis</v>
      </c>
      <c r="G54" s="217"/>
      <c r="H54" s="217"/>
      <c r="I54" s="217"/>
      <c r="J54" s="217"/>
      <c r="K54" s="218"/>
      <c r="L54" s="218"/>
      <c r="M54" s="218"/>
    </row>
    <row r="55" spans="8:8">
      <c r="A55" s="2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</sheetData>
  <mergeCells count="105">
    <mergeCell ref="K54:M54"/>
    <mergeCell ref="F29:J29"/>
    <mergeCell ref="B44:E44"/>
    <mergeCell ref="B18:E18"/>
    <mergeCell ref="F47:G47"/>
    <mergeCell ref="F28:J28"/>
    <mergeCell ref="K52:M52"/>
    <mergeCell ref="B23:E23"/>
    <mergeCell ref="K3:M3"/>
    <mergeCell ref="K48:M48"/>
    <mergeCell ref="F34:J34"/>
    <mergeCell ref="B35:E35"/>
    <mergeCell ref="F17:J17"/>
    <mergeCell ref="B55:G55"/>
    <mergeCell ref="F30:J30"/>
    <mergeCell ref="K46:M46"/>
    <mergeCell ref="F41:J41"/>
    <mergeCell ref="F54:J54"/>
    <mergeCell ref="A4:C4"/>
    <mergeCell ref="B26:E26"/>
    <mergeCell ref="F52:J52"/>
    <mergeCell ref="B50:E50"/>
    <mergeCell ref="F26:J26"/>
    <mergeCell ref="A1:M2"/>
    <mergeCell ref="K50:M50"/>
    <mergeCell ref="B19:E19"/>
    <mergeCell ref="F37:J37"/>
    <mergeCell ref="E3:I3"/>
    <mergeCell ref="B49:E49"/>
    <mergeCell ref="B47:E47"/>
    <mergeCell ref="B5:C5"/>
    <mergeCell ref="B17:E17"/>
    <mergeCell ref="I45:J45"/>
    <mergeCell ref="I55:M55"/>
    <mergeCell ref="A3:C3"/>
    <mergeCell ref="F53:J53"/>
    <mergeCell ref="B54:E54"/>
    <mergeCell ref="F38:J38"/>
    <mergeCell ref="B25:E25"/>
    <mergeCell ref="F19:J19"/>
    <mergeCell ref="B20:E20"/>
    <mergeCell ref="F25:J25"/>
    <mergeCell ref="F36:J36"/>
    <mergeCell ref="B46:E46"/>
    <mergeCell ref="K47:M47"/>
    <mergeCell ref="F51:J51"/>
    <mergeCell ref="B16:E16"/>
    <mergeCell ref="B39:E39"/>
    <mergeCell ref="F24:J24"/>
    <mergeCell ref="F39:J39"/>
    <mergeCell ref="B29:E29"/>
    <mergeCell ref="F22:J22"/>
    <mergeCell ref="B28:E28"/>
    <mergeCell ref="F23:J23"/>
    <mergeCell ref="F33:J33"/>
    <mergeCell ref="B53:E53"/>
    <mergeCell ref="K49:M49"/>
    <mergeCell ref="F35:J35"/>
    <mergeCell ref="B42:E42"/>
    <mergeCell ref="F46:G46"/>
    <mergeCell ref="I44:J44"/>
    <mergeCell ref="F45:G45"/>
    <mergeCell ref="F40:J40"/>
    <mergeCell ref="B22:E22"/>
    <mergeCell ref="F16:J16"/>
    <mergeCell ref="B32:E32"/>
    <mergeCell ref="I49:J49"/>
    <mergeCell ref="F27:J27"/>
    <mergeCell ref="B51:E51"/>
    <mergeCell ref="B24:E24"/>
    <mergeCell ref="I46:J46"/>
    <mergeCell ref="F50:G50"/>
    <mergeCell ref="B52:E52"/>
    <mergeCell ref="E4:I4"/>
    <mergeCell ref="K44:M44"/>
    <mergeCell ref="I50:J50"/>
    <mergeCell ref="B43:M43"/>
    <mergeCell ref="F42:J42"/>
    <mergeCell ref="F20:J20"/>
    <mergeCell ref="B36:E36"/>
    <mergeCell ref="B27:E27"/>
    <mergeCell ref="B31:E31"/>
    <mergeCell ref="B33:E33"/>
    <mergeCell ref="B30:E30"/>
    <mergeCell ref="K4:M4"/>
    <mergeCell ref="L16:M16"/>
    <mergeCell ref="B37:E37"/>
    <mergeCell ref="K51:M51"/>
    <mergeCell ref="F18:J18"/>
    <mergeCell ref="B41:E41"/>
    <mergeCell ref="F21:J21"/>
    <mergeCell ref="F32:J32"/>
    <mergeCell ref="K45:M45"/>
    <mergeCell ref="F49:G49"/>
    <mergeCell ref="B45:E45"/>
    <mergeCell ref="B40:E40"/>
    <mergeCell ref="I48:J48"/>
    <mergeCell ref="I47:J47"/>
    <mergeCell ref="F48:G48"/>
    <mergeCell ref="F44:G44"/>
    <mergeCell ref="B48:E48"/>
    <mergeCell ref="B34:E34"/>
    <mergeCell ref="B38:E38"/>
    <mergeCell ref="F31:J31"/>
    <mergeCell ref="B21:E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SM-A217F</dc:creator>
  <dcterms:created xsi:type="dcterms:W3CDTF">2023-10-18T23:27:20Z</dcterms:created>
  <dcterms:modified xsi:type="dcterms:W3CDTF">2025-07-29T16:59:25Z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34483f14ee8946d19faedf098ec8cd3e</vt:lpwstr>
  </property>
</Properties>
</file>