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workbookProtection lockStructure="1" workbookAlgorithmName="SHA-512" workbookHashValue="1U03aBg7r1VcbmjLkP7a0OMAhTzLu7rdQs0mN1hrfMM3CbxK1cpWt2IymtbagF1z8wbIWLs8z2mAAFkmd/IX5Q==" workbookSaltValue="YkYhGRU3qoMzbKivmTBKIg==" workbookSpinCount="100000"/>
  <bookViews>
    <workbookView xWindow="-120" yWindow="-120" windowWidth="29040" windowHeight="17640" activeTab="0"/>
  </bookViews>
  <sheets>
    <sheet name="Sheet1" sheetId="1" r:id="rId1"/>
    <sheet name="data" sheetId="2" r:id="rId2" state="hidden"/>
    <sheet name="Lembar1" sheetId="3" r:id="rId3" state="hidden"/>
    <sheet name="Lembar2" sheetId="4" r:id="rId4" state="hidden"/>
    <sheet name="Lembar3" sheetId="5" r:id="rId5" state="hidden"/>
    <sheet name="Lembar4" sheetId="6" r:id="rId6" state="hidden"/>
    <sheet name="Lembar5" sheetId="7" r:id="rId7" state="hidden"/>
    <sheet name="Lembar6" sheetId="8" r:id="rId8" state="hidden"/>
    <sheet name="Lembar7" sheetId="9" r:id="rId9" state="hidden"/>
    <sheet name="Lembar8" sheetId="10" r:id="rId10" state="hidden"/>
    <sheet name="Lembar9" sheetId="11" r:id="rId11" state="hidden"/>
    <sheet name="Lembar10" sheetId="12" r:id="rId12" state="hidden"/>
    <sheet name="Lembar11" sheetId="13" r:id="rId13" state="hidden"/>
    <sheet name="Lembar12" sheetId="14" r:id="rId14" state="hidden"/>
    <sheet name="Lembar13" sheetId="15" r:id="rId15" state="hidden"/>
    <sheet name="Lembar14" sheetId="16" r:id="rId16" state="hidden"/>
    <sheet name="Lembar15" sheetId="17" r:id="rId17" state="hidden"/>
    <sheet name="Lembar16" sheetId="18" r:id="rId18" state="hidden"/>
    <sheet name="Lembar17" sheetId="19" r:id="rId19" state="hidden"/>
    <sheet name="Lembar18" sheetId="20" r:id="rId20" state="hidden"/>
    <sheet name="Lembar19" sheetId="21" r:id="rId21" state="hidden"/>
    <sheet name="Lembar20" sheetId="22" r:id="rId22" state="hidden"/>
    <sheet name="Lembar21" sheetId="23" r:id="rId23" state="hidden"/>
    <sheet name="Lembar22" sheetId="24" r:id="rId24" state="hidden"/>
    <sheet name="Lembar23" sheetId="25" r:id="rId25" state="hidden"/>
    <sheet name="Lembar24" sheetId="26" r:id="rId26" state="hidden"/>
    <sheet name="Lembar25" sheetId="27" r:id="rId27" state="hidden"/>
    <sheet name="Lembar26" sheetId="28" r:id="rId28" state="hidden"/>
    <sheet name="Lembar27" sheetId="29" r:id="rId29" state="hidden"/>
    <sheet name="Lembar28" sheetId="30" r:id="rId30" state="hidden"/>
    <sheet name="Lembar29" sheetId="31" r:id="rId31" state="hidden"/>
    <sheet name="Lembar30" sheetId="32" r:id="rId32" state="hidden"/>
    <sheet name="Lembar31" sheetId="33" r:id="rId33" state="hidden"/>
  </sheets>
  <calcPr calcId="114210"/>
</workbook>
</file>

<file path=xl/comments1.xml><?xml version="1.0" encoding="utf-8"?>
<comments xmlns="http://schemas.openxmlformats.org/spreadsheetml/2006/main">
  <authors>
    <author>Ghofur
</author>
  </authors>
  <commentList>
    <comment ref="B4" authorId="0">
      <text>
        <r>
          <rPr>
            <sz val="11"/>
            <color indexed="81"/>
            <rFont val="Arial"/>
          </rPr>
          <t xml:space="preserve">Isi Data Tempat Anda</t>
        </r>
      </text>
    </comment>
    <comment ref="F4" authorId="0">
      <text>
        <r>
          <rPr>
            <sz val="11"/>
            <color indexed="81"/>
            <rFont val="Arial"/>
          </rPr>
          <t xml:space="preserve">Isi Bulan Yang Yang Dimaksud</t>
        </r>
      </text>
    </comment>
    <comment ref="D4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H4" authorId="0">
      <text>
        <r>
          <rPr>
            <sz val="11"/>
            <color indexed="81"/>
            <rFont val="Arial"/>
          </rPr>
          <t xml:space="preserve">Isi Tahun Yang Dimaksud</t>
        </r>
      </text>
    </comment>
    <comment ref="B7" authorId="0">
      <text>
        <r>
          <rPr>
            <sz val="11"/>
            <color indexed="81"/>
            <rFont val="Arial"/>
          </rPr>
          <t xml:space="preserve">Isi Busur Tempat Tinggal</t>
        </r>
      </text>
    </comment>
    <comment ref="D7" authorId="0">
      <text>
        <r>
          <rPr>
            <sz val="11"/>
            <color indexed="81"/>
            <rFont val="Arial"/>
          </rPr>
          <t xml:space="preserve">Isi Lintang Tempat Tinggal</t>
        </r>
      </text>
    </comment>
    <comment ref="F7" authorId="0">
      <text>
        <r>
          <rPr>
            <sz val="11"/>
            <color indexed="81"/>
            <rFont val="Arial"/>
          </rPr>
          <t xml:space="preserve">Isi Zona Waktu Tempat Kalian</t>
        </r>
      </text>
    </comment>
    <comment ref="H7" authorId="0">
      <text>
        <r>
          <rPr>
            <sz val="11"/>
            <color indexed="81"/>
            <rFont val="Arial"/>
          </rPr>
          <t xml:space="preserve">Ketinggian Tempat Sebaiknya Di Isi</t>
        </r>
      </text>
    </comment>
  </commentList>
</comments>
</file>

<file path=xl/sharedStrings.xml><?xml version="1.0" encoding="utf-8"?>
<sst xmlns="http://schemas.openxmlformats.org/spreadsheetml/2006/main" uniqueCount="154" count="154">
  <si>
    <t>Tahun</t>
  </si>
  <si>
    <t>Bulan</t>
  </si>
  <si>
    <t>Tanggal</t>
  </si>
  <si>
    <t>Y100</t>
  </si>
  <si>
    <t>Y4</t>
  </si>
  <si>
    <t>B</t>
  </si>
  <si>
    <t>JD</t>
  </si>
  <si>
    <t>int tahun /100</t>
  </si>
  <si>
    <t>int tahun /4</t>
  </si>
  <si>
    <t>2-y100+y4</t>
  </si>
  <si>
    <t>T</t>
  </si>
  <si>
    <t>S</t>
  </si>
  <si>
    <t>M</t>
  </si>
  <si>
    <t>int y100/4</t>
  </si>
  <si>
    <t>N</t>
  </si>
  <si>
    <t>K</t>
  </si>
  <si>
    <t>( 357.52910 + 35999.05030 × T ) / 360 ) × 360</t>
  </si>
  <si>
    <t>(((280.46645+(36000.76983*(C12)))/360)-TRUNC(((280.46645+(36000.76983*(C12)))/360)))*360</t>
  </si>
  <si>
    <t xml:space="preserve">( 280.46645 + 36000.76983 × T ) / 360 ) × 360 </t>
  </si>
  <si>
    <t>((( 357.52910 + (35999.05030 *C12))) / 360 )-</t>
  </si>
  <si>
    <t>((( 357.52910 + (35999.05030 *C12))) / 360 )-TRUNC(((</t>
  </si>
  <si>
    <t>((( 357.52910+(35999.05030 *C12))) / 360 )-TRUNC(((</t>
  </si>
  <si>
    <t>((( 357.52910+(35999.05030 *C12)))/360 )-TRUNC(((</t>
  </si>
  <si>
    <t>((( 357.52910+(35999.05030*C12)))/360 )-TRUNC(((357.52910+(35999.05030*(C12)))/360)))*360</t>
  </si>
  <si>
    <t>(((357.52910+(35999.05030*C12)))/360 )-TRUNC(((357.52910+(35999.05030*(C12)))/360)))*360</t>
  </si>
  <si>
    <t>(((357.52910+(35999.05030*(C12)))/360 )-TRUNC(((357.52910+(35999.05030*(C12)))/360)))*360</t>
  </si>
  <si>
    <t>(((357.5291+(35999.0503*(C12)))/360)-TRUNC(((357.5291+(35999.0503*(C12)))/360)))*360</t>
  </si>
  <si>
    <t>125.04-1934.136*C12)/360)*360</t>
  </si>
  <si>
    <t>(125.04-1934.136*C12)/360)*360</t>
  </si>
  <si>
    <t>K'</t>
  </si>
  <si>
    <t>K"</t>
  </si>
  <si>
    <t>(((125.04-(1934.136*(C12)))/360)-TRUNC(((125.04-(1934.136*(C12)))/360)))*360</t>
  </si>
  <si>
    <t>R'</t>
  </si>
  <si>
    <t>R"</t>
  </si>
  <si>
    <t>( 9.23 / 3600 ) × Cos N – ( 0.090 / 3600 ) × Cos (2xN)</t>
  </si>
  <si>
    <t>( 0.548 / 3600 ) × Cos 2S</t>
  </si>
  <si>
    <t>S =(((280,46645+(36000,76983*(AE88)))/360)-TRUNC(((280,46645+(36000,76983*(AE88)))/360)))*360</t>
  </si>
  <si>
    <t xml:space="preserve">m = Frac (( 357,52910 + 35999,05030 × T ) / 360 ) × 360 </t>
  </si>
  <si>
    <t>N =(((125,04-(1934,136*(AE88)))/360)-TRUNC((((125,04-1934,136*(AE88)))/360)))*360</t>
  </si>
  <si>
    <t>m =(((357,5291+(35999,0503*(AE88)))/360)-TRUNC(((357,5291+(35999,0503*(AE88)))/360)))*360</t>
  </si>
  <si>
    <t>M =(((357,5291+(35999,0503*(AE88)))/360)-TRUNC(((357,5291+(35999,0503*(AE88)))/360)))*360</t>
  </si>
  <si>
    <t>K' =((17,264/3600)*SIN(RADIANS(AE95)))+((0,206/3600)*SIN(RADIANS(2*(AE95))))</t>
  </si>
  <si>
    <t>K" =(-1,264/3600 )*SIN(RADIANS(2*(AE91)))</t>
  </si>
  <si>
    <t>R' =( 9,23/3600 )*COS(RADIANS(AE95))-(0,09/3600 )*COS(RADIANS(2*(AE95)))</t>
  </si>
  <si>
    <t>R" =(0,548/3600)*COS(RADIANS(2*(AE91)))</t>
  </si>
  <si>
    <t>K" =(-1,264/3600 )*SIN(RADIANS(2*(C13)))</t>
  </si>
  <si>
    <t>R" =(0,548/3600)*COS(RADIANS(2*(C13)))</t>
  </si>
  <si>
    <t>Q</t>
  </si>
  <si>
    <t xml:space="preserve">Q'= 23,43929111 + R' + R" – ( 46,8150 / 3600 ) × T 
</t>
  </si>
  <si>
    <t>Q'= 23,43929111 + R' + R" – ( 46,8150 / 3600 ) × T</t>
  </si>
  <si>
    <t>Q'= 2</t>
  </si>
  <si>
    <t>Q'= 2ctyhugcygggg</t>
  </si>
  <si>
    <t>23.43929111+C18+C19–( 46.8150/3600 )*C12</t>
  </si>
  <si>
    <t>((6898.06/3600)*SIN(RADIANS(C13)))+((72.095/3600)*SIN(RADIANS(2*(C13))))+((0.966/3600)*SIN(RADIANS(3*(C13))))</t>
  </si>
  <si>
    <t>E</t>
  </si>
  <si>
    <t>((6898.06/3600)*SIN(RADIANS(C14)))+((72.095/3600)*SIN(RADIANS(2*(C14))))+((0.966/3600)*SIN(RADIANS(3*(C14))))</t>
  </si>
  <si>
    <t>(C13)+(C21)+(C16)+(C17)-0.0056861</t>
  </si>
  <si>
    <t>S'</t>
  </si>
  <si>
    <t>Q'</t>
  </si>
  <si>
    <t>O</t>
  </si>
  <si>
    <t>PT</t>
  </si>
  <si>
    <t>e</t>
  </si>
  <si>
    <t>toWib</t>
  </si>
  <si>
    <t>TZ</t>
  </si>
  <si>
    <t>TT</t>
  </si>
  <si>
    <t>BT</t>
  </si>
  <si>
    <t>LT</t>
  </si>
  <si>
    <t>C26-((C6*15)</t>
  </si>
  <si>
    <t>C26-((C6*15)-</t>
  </si>
  <si>
    <t>Dzuhur</t>
  </si>
  <si>
    <t>DEGREES(ATAN(RADIANS(</t>
  </si>
  <si>
    <t>DEGREES(ATAN(1/(TAN(RADIANS())</t>
  </si>
  <si>
    <t>dip</t>
  </si>
  <si>
    <t>sd</t>
  </si>
  <si>
    <t>h</t>
  </si>
  <si>
    <t>ashar</t>
  </si>
  <si>
    <t>(duhur)+DEGREES(ACOS((Y246)+SIN(RADIANS(Y241))/(Y247)))/15</t>
  </si>
  <si>
    <t>H</t>
  </si>
  <si>
    <t>F</t>
  </si>
  <si>
    <t>G</t>
  </si>
  <si>
    <t>Magrib</t>
  </si>
  <si>
    <t>Isya</t>
  </si>
  <si>
    <t>Subuh</t>
  </si>
  <si>
    <t>ZW</t>
  </si>
  <si>
    <t>T/100</t>
  </si>
  <si>
    <t>Tt/4</t>
  </si>
  <si>
    <t>Daerah</t>
  </si>
  <si>
    <t>Tgl</t>
  </si>
  <si>
    <t>Bln</t>
  </si>
  <si>
    <t>Thn</t>
  </si>
  <si>
    <t>Tmpt</t>
  </si>
  <si>
    <t>Bt</t>
  </si>
  <si>
    <t>Lt</t>
  </si>
  <si>
    <t>Zw</t>
  </si>
  <si>
    <t>Dhuhur</t>
  </si>
  <si>
    <t>Ashar</t>
  </si>
  <si>
    <t>Imsak</t>
  </si>
  <si>
    <t>Dhuha</t>
  </si>
  <si>
    <t>terbit</t>
  </si>
  <si>
    <t>dhuha</t>
  </si>
  <si>
    <t>isyroq</t>
  </si>
  <si>
    <t>Isyroq</t>
  </si>
  <si>
    <t>istiwa</t>
  </si>
  <si>
    <t>imsak</t>
  </si>
  <si>
    <t>=</t>
  </si>
  <si>
    <t>Cjr</t>
  </si>
  <si>
    <t>TT/Mtr</t>
  </si>
  <si>
    <t>IRSYADUL MURIED</t>
  </si>
  <si>
    <t>METODE KITAB IRSYADUL MURIED</t>
  </si>
  <si>
    <t>AWAL WAKTU SHOLAT METODE IRSYADUL MURIED</t>
  </si>
  <si>
    <t>Terbit</t>
  </si>
  <si>
    <t>Isy/Dhu</t>
  </si>
  <si>
    <t>No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</si>
  <si>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</si>
  <si>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</si>
  <si>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</si>
  <si>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</si>
  <si>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</si>
  <si>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</si>
  <si>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</si>
  <si>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</si>
  <si>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</si>
  <si>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</si>
  <si>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</si>
  <si>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</si>
  <si>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Kabisah</t>
  </si>
  <si>
    <t>Basitoh</t>
  </si>
  <si>
    <t>maret</t>
  </si>
  <si>
    <t>februari</t>
  </si>
  <si>
    <t>Tempat</t>
  </si>
  <si>
    <t>Busur Tempat</t>
  </si>
  <si>
    <t>Lintang Tempat</t>
  </si>
  <si>
    <t>Zona Waktu</t>
  </si>
  <si>
    <t>Ketinggian</t>
  </si>
  <si>
    <t>Tolong Di Koreksi Jika Terjadi Kesalahan Pendataan Atau Perhitungan</t>
  </si>
  <si>
    <t>Mohon Dikoreksi Jika Terjadi Kesalahan Pendataan Atau Perhitungan</t>
  </si>
  <si>
    <t>Penyusun: Alfaqier Abdul Ghofur Bin Muhammad Syamsuddin Assapataani Attanjironji Albantanie</t>
  </si>
  <si>
    <t>Penyusun: Alfaqier Bin Muhammad Syamsuddin Assapataani Attanjironji Albantanie</t>
  </si>
  <si>
    <t>14 Maret 2024 M --- 03 Romadhon 1445 H</t>
  </si>
  <si>
    <t>14 Maret 2024 M ~~~ 03 Romadhon 1445 H</t>
  </si>
  <si>
    <t>Cianjur</t>
  </si>
  <si>
    <t>CUKUP GANTI BULAN DAN TAHUN DI-ATAS</t>
  </si>
  <si>
    <t>JADWAL WAKTU SHOLAT DALAM SEBULAN</t>
  </si>
  <si>
    <t>As</t>
  </si>
  <si>
    <t>Df</t>
  </si>
  <si>
    <t>Jk</t>
  </si>
  <si>
    <t>Sk</t>
  </si>
  <si>
    <t>Bp</t>
  </si>
  <si>
    <t>A</t>
  </si>
  <si>
    <t>a</t>
  </si>
  <si>
    <t>AWAL AWAL WAKTU SHOLAT METODE IRSYADUL MURIED</t>
  </si>
  <si>
    <t>JADWAL AWAL WAKTU SHOLAT DALAM SEBULAN</t>
  </si>
  <si>
    <t>Marty</t>
  </si>
  <si>
    <t>Sindanglaka</t>
  </si>
</sst>
</file>

<file path=xl/styles.xml><?xml version="1.0" encoding="utf-8"?>
<styleSheet xmlns="http://schemas.openxmlformats.org/spreadsheetml/2006/main">
  <numFmts count="2">
    <numFmt numFmtId="0" formatCode="General"/>
    <numFmt numFmtId="164" formatCode="0.000"/>
  </numFmts>
  <fonts count="15">
    <font>
      <name val="Arial"/>
      <sz val="11"/>
    </font>
    <font>
      <name val="Arial"/>
      <sz val="11"/>
    </font>
    <font>
      <name val="Arial"/>
      <sz val="11"/>
    </font>
    <font>
      <name val="Arial"/>
      <b/>
      <sz val="11"/>
    </font>
    <font>
      <name val="Arial"/>
      <b/>
      <i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Alignment="1">
      <alignment horizontal="left" vertical="center"/>
    </xf>
    <xf numFmtId="0" fontId="2" fillId="2" borderId="0" xfId="0" applyFill="1" applyBorder="1">
      <alignment vertical="center"/>
    </xf>
    <xf numFmtId="0" fontId="2" fillId="2" borderId="0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Border="1" applyAlignment="1">
      <alignment horizontal="left" vertical="center"/>
    </xf>
    <xf numFmtId="0" fontId="5" fillId="0" borderId="0" xfId="0" applyBorder="1" applyAlignment="1">
      <alignment horizontal="left" vertical="center"/>
    </xf>
    <xf numFmtId="0" fontId="5" fillId="0" borderId="0" xfId="0" applyAlignment="1">
      <alignment horizontal="center" vertical="center"/>
    </xf>
    <xf numFmtId="0" fontId="5" fillId="0" borderId="0" xfId="0" applyAlignment="1">
      <alignment horizontal="left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0" borderId="0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Alignment="1">
      <alignment horizontal="center" vertical="center"/>
    </xf>
    <xf numFmtId="0" fontId="8" fillId="0" borderId="0" xfId="0" applyBorder="1" applyAlignment="1">
      <alignment horizontal="center" vertical="center"/>
    </xf>
    <xf numFmtId="0" fontId="9" fillId="0" borderId="0" xfId="0" applyFill="1" applyBorder="1">
      <alignment vertical="center"/>
    </xf>
    <xf numFmtId="0" fontId="1" fillId="0" borderId="0" xfId="0" applyAlignment="1">
      <alignment horizontal="right" vertical="center"/>
    </xf>
    <xf numFmtId="0" fontId="1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64" fontId="11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164" fontId="13" fillId="0" borderId="0" xfId="0" applyNumberFormat="1" applyFont="1" applyAlignment="1">
      <alignment horizontal="right" vertical="center"/>
    </xf>
    <xf numFmtId="164" fontId="14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www.wps.cn/officeDocument/2020/cellImage" Target="cellimages.xml"/><Relationship Id="rId35" Type="http://schemas.openxmlformats.org/officeDocument/2006/relationships/sharedStrings" Target="sharedStrings.xml"/><Relationship Id="rId36" Type="http://schemas.openxmlformats.org/officeDocument/2006/relationships/styles" Target="styles.xml"/><Relationship Id="rId3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R74"/>
  <sheetViews>
    <sheetView tabSelected="1" workbookViewId="0" topLeftCell="B1" zoomScale="66">
      <selection activeCell="H4" sqref="H4:I4"/>
    </sheetView>
  </sheetViews>
  <sheetFormatPr defaultRowHeight="14.25" defaultColWidth="10"/>
  <cols>
    <col min="1" max="1" customWidth="1" width="3.9921875" style="0"/>
    <col min="2" max="2" customWidth="1" width="9.125" style="0"/>
    <col min="3" max="3" customWidth="1" width="9.125" style="0"/>
    <col min="4" max="4" customWidth="1" width="9.125" style="0"/>
    <col min="5" max="5" customWidth="1" width="9.125" style="0"/>
    <col min="6" max="6" customWidth="1" width="9.125" style="0"/>
    <col min="7" max="7" customWidth="1" width="9.125" style="0"/>
    <col min="8" max="8" customWidth="1" width="9.125" style="0"/>
    <col min="9" max="9" customWidth="1" width="9.125" style="1"/>
    <col min="10" max="10" customWidth="1" width="7.5" style="0"/>
    <col min="11" max="11" customWidth="1" width="7.5" style="0"/>
    <col min="12" max="12" customWidth="1" width="7.5" style="0"/>
    <col min="13" max="13" customWidth="1" width="7.5" style="0"/>
    <col min="14" max="14" customWidth="1" width="7.5" style="0"/>
    <col min="15" max="15" customWidth="1" bestFit="1" width="7.5" style="0"/>
    <col min="16" max="16" customWidth="1" bestFit="1" width="7.5" style="0"/>
    <col min="17" max="17" customWidth="1" bestFit="1" width="7.5" style="0"/>
    <col min="18" max="18" customWidth="1" bestFit="1" width="7.5" style="0"/>
    <col min="19" max="19" customWidth="1" bestFit="1" width="7.5" style="0"/>
  </cols>
  <sheetData>
    <row r="1" spans="8:8" ht="2.0" customHeight="1">
      <c r="B1" s="2"/>
      <c r="C1" s="2"/>
      <c r="D1" s="2"/>
      <c r="E1" s="2"/>
      <c r="F1" s="2"/>
      <c r="G1" s="2"/>
      <c r="H1" s="2"/>
      <c r="I1" s="3"/>
    </row>
    <row r="2" spans="8:8" ht="30.0" customHeight="1">
      <c r="A2" s="4" t="s">
        <v>109</v>
      </c>
      <c r="B2" s="4"/>
      <c r="C2" s="4"/>
      <c r="D2" s="4"/>
      <c r="E2" s="4"/>
      <c r="F2" s="4"/>
      <c r="G2" s="4"/>
      <c r="H2" s="4"/>
      <c r="I2" s="4"/>
    </row>
    <row r="3" spans="8:8" ht="17.0" customHeight="1">
      <c r="A3" s="5">
        <v>0.0</v>
      </c>
      <c r="B3" s="6" t="s">
        <v>129</v>
      </c>
      <c r="C3" s="7"/>
      <c r="D3" s="7" t="s">
        <v>2</v>
      </c>
      <c r="E3" s="7"/>
      <c r="F3" s="7" t="s">
        <v>1</v>
      </c>
      <c r="G3" s="7"/>
      <c r="H3" s="7" t="s">
        <v>0</v>
      </c>
      <c r="I3" s="7"/>
      <c r="J3" s="8"/>
      <c r="K3" s="9"/>
      <c r="L3" s="9"/>
      <c r="M3" s="9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8:8" ht="17.0" customHeight="1">
      <c r="A4" s="5">
        <v>1.0</v>
      </c>
      <c r="B4" s="6" t="s">
        <v>153</v>
      </c>
      <c r="C4" s="7"/>
      <c r="D4" s="7">
        <v>27.0</v>
      </c>
      <c r="E4" s="7"/>
      <c r="F4" s="7">
        <v>4.0</v>
      </c>
      <c r="G4" s="7"/>
      <c r="H4" s="7">
        <v>2024.0</v>
      </c>
      <c r="I4" s="7"/>
      <c r="J4" s="8"/>
      <c r="K4" s="11"/>
      <c r="L4" s="11"/>
      <c r="M4" s="11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8:8" ht="17.0" customHeight="1">
      <c r="A5" s="5">
        <v>2.0</v>
      </c>
      <c r="B5" s="6"/>
      <c r="C5" s="7"/>
      <c r="D5" s="7"/>
      <c r="E5" s="7"/>
      <c r="F5" s="7"/>
      <c r="G5" s="7"/>
      <c r="H5" s="7"/>
      <c r="I5" s="7"/>
      <c r="J5" s="8"/>
      <c r="K5" s="11"/>
      <c r="L5" s="11"/>
      <c r="M5" s="11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8:8" ht="17.0" customHeight="1">
      <c r="A6" s="5">
        <v>3.0</v>
      </c>
      <c r="B6" s="6" t="s">
        <v>130</v>
      </c>
      <c r="C6" s="7"/>
      <c r="D6" s="7" t="s">
        <v>131</v>
      </c>
      <c r="E6" s="7"/>
      <c r="F6" s="7" t="s">
        <v>132</v>
      </c>
      <c r="G6" s="7"/>
      <c r="H6" s="7" t="s">
        <v>133</v>
      </c>
      <c r="I6" s="7"/>
      <c r="J6" s="8"/>
      <c r="K6" s="11"/>
      <c r="L6" s="11"/>
      <c r="M6" s="11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8:8" ht="17.0" customHeight="1">
      <c r="A7" s="5">
        <v>4.0</v>
      </c>
      <c r="B7" s="12">
        <v>107.174</v>
      </c>
      <c r="C7" s="7"/>
      <c r="D7" s="7">
        <v>6.786</v>
      </c>
      <c r="E7" s="7"/>
      <c r="F7" s="7">
        <v>7.0</v>
      </c>
      <c r="G7" s="7"/>
      <c r="H7" s="7">
        <v>336.0</v>
      </c>
      <c r="I7" s="7"/>
      <c r="J7" s="8"/>
      <c r="K7" s="11"/>
      <c r="L7" s="11"/>
      <c r="M7" s="11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8:8" ht="17.0" customFormat="1" customHeight="1">
      <c r="A8" s="5">
        <v>5.0</v>
      </c>
      <c r="B8" s="13"/>
      <c r="C8" s="14"/>
      <c r="D8" s="14"/>
      <c r="E8" s="14"/>
      <c r="F8" s="14"/>
      <c r="G8" s="14"/>
      <c r="H8" s="14"/>
      <c r="I8" s="14"/>
      <c r="J8" s="8"/>
      <c r="K8" s="11"/>
      <c r="L8" s="11"/>
      <c r="M8" s="11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8:8" ht="17.0" customHeight="1">
      <c r="A9" s="5">
        <v>6.0</v>
      </c>
      <c r="B9" s="6" t="s">
        <v>102</v>
      </c>
      <c r="C9" s="7"/>
      <c r="D9" s="7" t="s">
        <v>69</v>
      </c>
      <c r="E9" s="7"/>
      <c r="F9" s="7" t="s">
        <v>95</v>
      </c>
      <c r="G9" s="7"/>
      <c r="H9" s="7" t="s">
        <v>80</v>
      </c>
      <c r="I9" s="7"/>
      <c r="J9" s="8"/>
      <c r="K9" s="11"/>
      <c r="L9" s="11"/>
      <c r="M9" s="11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8:8" ht="17.0" customHeight="1">
      <c r="A10" s="5">
        <v>7.0</v>
      </c>
      <c r="B10" s="6" t="str">
        <f>data!D27</f>
        <v>11:49</v>
      </c>
      <c r="C10" s="7"/>
      <c r="D10" s="7" t="str">
        <f>TRUNC(data!C28)&amp;":"&amp;ROUNDUP((data!C28-TRUNC(data!C28))*60, )</f>
        <v>11:51</v>
      </c>
      <c r="E10" s="7"/>
      <c r="F10" s="7" t="str">
        <f>TRUNC(data!C32)&amp;":"&amp;ROUNDUP((data!C32-TRUNC(data!C32))*60, )</f>
        <v>15:13</v>
      </c>
      <c r="G10" s="7"/>
      <c r="H10" s="7" t="str">
        <f>TRUNC(data!C36)&amp;":"&amp;ROUNDUP((data!C36-TRUNC(data!C36))*60, )</f>
        <v>17:50</v>
      </c>
      <c r="I10" s="7"/>
      <c r="J10" s="8"/>
      <c r="K10" s="11"/>
      <c r="L10" s="11"/>
      <c r="M10" s="11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8:8" ht="17.0" customHeight="1">
      <c r="A11" s="5">
        <v>8.0</v>
      </c>
      <c r="B11" s="6"/>
      <c r="C11" s="7"/>
      <c r="D11" s="7"/>
      <c r="E11" s="7"/>
      <c r="F11" s="7"/>
      <c r="G11" s="7"/>
      <c r="H11" s="7"/>
      <c r="I11" s="7"/>
      <c r="J11" s="8"/>
      <c r="K11" s="11"/>
      <c r="L11" s="11"/>
      <c r="M11" s="11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8:8" ht="17.0" customHeight="1">
      <c r="A12" s="5">
        <v>9.0</v>
      </c>
      <c r="B12" s="6" t="s">
        <v>81</v>
      </c>
      <c r="C12" s="7"/>
      <c r="D12" s="7" t="s">
        <v>96</v>
      </c>
      <c r="E12" s="7"/>
      <c r="F12" s="7" t="s">
        <v>82</v>
      </c>
      <c r="G12" s="7"/>
      <c r="H12" s="7" t="s">
        <v>98</v>
      </c>
      <c r="I12" s="7"/>
      <c r="J12" s="8"/>
      <c r="K12" s="11"/>
      <c r="L12" s="11"/>
      <c r="M12" s="11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8:8" ht="17.0" customHeight="1">
      <c r="A13" s="5">
        <v>10.0</v>
      </c>
      <c r="B13" s="6" t="str">
        <f>TRUNC(data!C37)&amp;":"&amp;ROUNDUP((data!C37-TRUNC(data!C37))*60, )</f>
        <v>18:59</v>
      </c>
      <c r="C13" s="7"/>
      <c r="D13" s="7" t="str">
        <f>data!D39</f>
        <v>4:26</v>
      </c>
      <c r="E13" s="7"/>
      <c r="F13" s="7" t="str">
        <f>data!D38</f>
        <v>4:36</v>
      </c>
      <c r="G13" s="7"/>
      <c r="H13" s="7" t="str">
        <f>data!D40</f>
        <v>5:46</v>
      </c>
      <c r="I13" s="7"/>
      <c r="J13" s="8"/>
      <c r="K13" s="11"/>
      <c r="L13" s="11"/>
      <c r="M13" s="11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8:8" ht="17.0" customFormat="1" customHeight="1">
      <c r="A14" s="5">
        <v>11.0</v>
      </c>
      <c r="B14" s="6"/>
      <c r="C14" s="7"/>
      <c r="D14" s="7"/>
      <c r="E14" s="7"/>
      <c r="F14" s="7"/>
      <c r="G14" s="7"/>
      <c r="H14" s="7"/>
      <c r="I14" s="7"/>
      <c r="J14" s="8"/>
      <c r="K14" s="11"/>
      <c r="L14" s="11"/>
      <c r="M14" s="11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8:8" ht="17.0" customHeight="1">
      <c r="A15" s="5">
        <v>12.0</v>
      </c>
      <c r="B15" s="6"/>
      <c r="C15" s="6"/>
      <c r="D15" s="7" t="s">
        <v>101</v>
      </c>
      <c r="E15" s="7"/>
      <c r="F15" s="7" t="s">
        <v>97</v>
      </c>
      <c r="G15" s="7"/>
      <c r="H15" s="7"/>
      <c r="I15" s="7"/>
      <c r="J15" s="8"/>
      <c r="K15" s="11"/>
      <c r="L15" s="11"/>
      <c r="M15" s="11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8:8" ht="17.0" customHeight="1">
      <c r="A16" s="5">
        <v>13.0</v>
      </c>
      <c r="B16" s="6"/>
      <c r="C16" s="6"/>
      <c r="D16" s="7" t="str">
        <f>data!D41</f>
        <v>6:17</v>
      </c>
      <c r="E16" s="7"/>
      <c r="F16" s="7" t="str">
        <f>data!D42</f>
        <v>6:38</v>
      </c>
      <c r="G16" s="7"/>
      <c r="H16" s="7"/>
      <c r="I16" s="7"/>
      <c r="J16" s="8"/>
      <c r="K16" s="11"/>
      <c r="L16" s="11"/>
      <c r="M16" s="11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8:8">
      <c r="A17" s="4" t="s">
        <v>151</v>
      </c>
      <c r="B17" s="4"/>
      <c r="C17" s="4"/>
      <c r="D17" s="4"/>
      <c r="E17" s="4"/>
      <c r="F17" s="4"/>
      <c r="G17" s="4"/>
      <c r="H17" s="4"/>
      <c r="I17" s="4"/>
      <c r="J17" s="8"/>
      <c r="K17" s="11"/>
      <c r="L17" s="11"/>
      <c r="M17" s="11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8:8" ht="15.1">
      <c r="A18" s="4"/>
      <c r="B18" s="4"/>
      <c r="C18" s="4"/>
      <c r="D18" s="4"/>
      <c r="E18" s="4"/>
      <c r="F18" s="4"/>
      <c r="G18" s="4"/>
      <c r="H18" s="4"/>
      <c r="I18" s="4"/>
      <c r="J18" s="8"/>
      <c r="K18" s="11"/>
      <c r="L18" s="11"/>
      <c r="M18" s="11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8:8" ht="17.0" customHeight="1">
      <c r="A19" s="7" t="s">
        <v>87</v>
      </c>
      <c r="B19" s="6" t="s">
        <v>69</v>
      </c>
      <c r="C19" s="7" t="s">
        <v>95</v>
      </c>
      <c r="D19" s="7" t="s">
        <v>80</v>
      </c>
      <c r="E19" s="7" t="s">
        <v>81</v>
      </c>
      <c r="F19" s="7" t="s">
        <v>103</v>
      </c>
      <c r="G19" s="7" t="s">
        <v>82</v>
      </c>
      <c r="H19" s="7" t="s">
        <v>110</v>
      </c>
      <c r="I19" s="7" t="s">
        <v>111</v>
      </c>
      <c r="J19" s="8"/>
      <c r="K19" s="11"/>
      <c r="L19" s="11"/>
      <c r="M19" s="11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8:8" ht="17.0" customHeight="1">
      <c r="A20" s="7">
        <v>1.0</v>
      </c>
      <c r="B20" s="6" t="str">
        <f>Lembar1!D28</f>
        <v>11:58</v>
      </c>
      <c r="C20" s="7" t="str">
        <f>Lembar1!D32</f>
        <v>15:14</v>
      </c>
      <c r="D20" s="7" t="str">
        <f>Lembar1!D36</f>
        <v>18:1</v>
      </c>
      <c r="E20" s="7" t="str">
        <f>Lembar1!D37</f>
        <v>19:8</v>
      </c>
      <c r="F20" s="7" t="str">
        <f>Lembar1!D39</f>
        <v>4:29</v>
      </c>
      <c r="G20" s="7" t="str">
        <f>Lembar1!D38</f>
        <v>4:39</v>
      </c>
      <c r="H20" s="7" t="str">
        <f>Lembar1!D40</f>
        <v>5:48</v>
      </c>
      <c r="I20" s="7" t="str">
        <f>Lembar1!D41</f>
        <v>6:18</v>
      </c>
      <c r="J20" s="8"/>
      <c r="K20" s="11"/>
      <c r="L20" s="11"/>
      <c r="M20" s="11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8:8" ht="17.0" customHeight="1">
      <c r="A21" s="7">
        <v>2.0</v>
      </c>
      <c r="B21" s="6" t="str">
        <f>Lembar2!D28</f>
        <v>11:57</v>
      </c>
      <c r="C21" s="7" t="str">
        <f>Lembar2!D32</f>
        <v>15:14</v>
      </c>
      <c r="D21" s="7" t="str">
        <f>Lembar2!D36</f>
        <v>18:1</v>
      </c>
      <c r="E21" s="7" t="str">
        <f>Lembar2!D37</f>
        <v>19:8</v>
      </c>
      <c r="F21" s="7" t="str">
        <f>Lembar2!D39</f>
        <v>4:29</v>
      </c>
      <c r="G21" s="7" t="str">
        <f>Lembar2!D38</f>
        <v>4:39</v>
      </c>
      <c r="H21" s="7" t="str">
        <f>Lembar2!D40</f>
        <v>5:48</v>
      </c>
      <c r="I21" s="7" t="str">
        <f>Lembar2!D41</f>
        <v>6:18</v>
      </c>
      <c r="J21" s="8"/>
      <c r="K21" s="11"/>
      <c r="L21" s="11"/>
      <c r="M21" s="11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8:8" ht="17.0" customHeight="1">
      <c r="A22" s="7">
        <v>3.0</v>
      </c>
      <c r="B22" s="6" t="str">
        <f>Lembar3!D28</f>
        <v>11:57</v>
      </c>
      <c r="C22" s="7" t="str">
        <f>Lembar3!D32</f>
        <v>15:14</v>
      </c>
      <c r="D22" s="7" t="str">
        <f>Lembar3!D36</f>
        <v>17:60</v>
      </c>
      <c r="E22" s="7" t="str">
        <f>Lembar3!D37</f>
        <v>19:7</v>
      </c>
      <c r="F22" s="7" t="str">
        <f>Lembar3!D39</f>
        <v>4:29</v>
      </c>
      <c r="G22" s="7" t="str">
        <f>Lembar3!D38</f>
        <v>4:39</v>
      </c>
      <c r="H22" s="7" t="str">
        <f>Lembar3!D40</f>
        <v>5:48</v>
      </c>
      <c r="I22" s="7" t="str">
        <f>Lembar3!D41</f>
        <v>6:18</v>
      </c>
      <c r="J22" s="8"/>
      <c r="K22" s="11"/>
      <c r="L22" s="11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8:8" ht="17.0" customHeight="1">
      <c r="A23" s="7">
        <v>4.0</v>
      </c>
      <c r="B23" s="6" t="str">
        <f>Lembar4!D28</f>
        <v>11:57</v>
      </c>
      <c r="C23" s="7" t="str">
        <f>Lembar4!D32</f>
        <v>15:14</v>
      </c>
      <c r="D23" s="7" t="str">
        <f>Lembar4!D36</f>
        <v>17:60</v>
      </c>
      <c r="E23" s="7" t="str">
        <f>Lembar4!D37</f>
        <v>19:7</v>
      </c>
      <c r="F23" s="7" t="str">
        <f>Lembar4!D39</f>
        <v>4:29</v>
      </c>
      <c r="G23" s="7" t="str">
        <f>Lembar4!D38</f>
        <v>4:39</v>
      </c>
      <c r="H23" s="7" t="str">
        <f>Lembar4!D40</f>
        <v>5:48</v>
      </c>
      <c r="I23" s="7" t="str">
        <f>Lembar4!D41</f>
        <v>6:18</v>
      </c>
      <c r="J23" s="15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8:8" ht="17.0" customHeight="1">
      <c r="A24" s="7">
        <v>5.0</v>
      </c>
      <c r="B24" s="6" t="str">
        <f>Lembar5!D28</f>
        <v>11:57</v>
      </c>
      <c r="C24" s="7" t="str">
        <f>Lembar5!D32</f>
        <v>15:14</v>
      </c>
      <c r="D24" s="7" t="str">
        <f>Lembar5!D36</f>
        <v>17:59</v>
      </c>
      <c r="E24" s="7" t="str">
        <f>Lembar5!D37</f>
        <v>19:6</v>
      </c>
      <c r="F24" s="7" t="str">
        <f>Lembar5!D39</f>
        <v>4:29</v>
      </c>
      <c r="G24" s="7" t="str">
        <f>Lembar5!D38</f>
        <v>4:39</v>
      </c>
      <c r="H24" s="7" t="str">
        <f>Lembar5!D40</f>
        <v>5:48</v>
      </c>
      <c r="I24" s="7" t="str">
        <f>Lembar5!D41</f>
        <v>6:18</v>
      </c>
      <c r="J24" s="15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8:8" ht="17.0" customHeight="1">
      <c r="A25" s="7">
        <v>6.0</v>
      </c>
      <c r="B25" s="6" t="str">
        <f>Lembar6!D28</f>
        <v>11:56</v>
      </c>
      <c r="C25" s="7" t="str">
        <f>Lembar6!D32</f>
        <v>15:14</v>
      </c>
      <c r="D25" s="7" t="str">
        <f>Lembar6!D36</f>
        <v>17:59</v>
      </c>
      <c r="E25" s="7" t="str">
        <f>Lembar6!D37</f>
        <v>19:6</v>
      </c>
      <c r="F25" s="7" t="str">
        <f>Lembar6!D39</f>
        <v>4:28</v>
      </c>
      <c r="G25" s="7" t="str">
        <f>Lembar6!D38</f>
        <v>4:38</v>
      </c>
      <c r="H25" s="7" t="str">
        <f>Lembar6!D40</f>
        <v>5:48</v>
      </c>
      <c r="I25" s="7" t="str">
        <f>Lembar6!D41</f>
        <v>6:18</v>
      </c>
      <c r="J25" s="15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8:8" ht="17.0" customHeight="1">
      <c r="A26" s="7">
        <v>7.0</v>
      </c>
      <c r="B26" s="6" t="str">
        <f>Lembar7!D28</f>
        <v>11:56</v>
      </c>
      <c r="C26" s="7" t="str">
        <f>Lembar7!D32</f>
        <v>15:14</v>
      </c>
      <c r="D26" s="7" t="str">
        <f>Lembar7!D36</f>
        <v>17:58</v>
      </c>
      <c r="E26" s="16" t="str">
        <f>Lembar7!D37</f>
        <v>19:6</v>
      </c>
      <c r="F26" s="16" t="str">
        <f>Lembar7!D39</f>
        <v>4:28</v>
      </c>
      <c r="G26" s="7" t="str">
        <f>Lembar7!D38</f>
        <v>4:38</v>
      </c>
      <c r="H26" s="7" t="str">
        <f>Lembar7!D40</f>
        <v>5:48</v>
      </c>
      <c r="I26" s="7" t="str">
        <f>Lembar7!D41</f>
        <v>6:18</v>
      </c>
      <c r="J26" s="15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8:8" ht="17.0" customHeight="1">
      <c r="A27" s="7">
        <v>8.0</v>
      </c>
      <c r="B27" s="6" t="str">
        <f>Lembar8!D28</f>
        <v>11:56</v>
      </c>
      <c r="C27" s="7" t="str">
        <f>Lembar8!D32</f>
        <v>15:14</v>
      </c>
      <c r="D27" s="7" t="str">
        <f>Lembar8!D36</f>
        <v>17:58</v>
      </c>
      <c r="E27" s="7" t="str">
        <f>Lembar8!D37</f>
        <v>19:5</v>
      </c>
      <c r="F27" s="7" t="str">
        <f>Lembar8!D39</f>
        <v>4:28</v>
      </c>
      <c r="G27" s="7" t="str">
        <f>Lembar8!D38</f>
        <v>4:38</v>
      </c>
      <c r="H27" s="7" t="str">
        <f>Lembar8!D40</f>
        <v>5:48</v>
      </c>
      <c r="I27" s="7" t="str">
        <f>Lembar8!D41</f>
        <v>6:17</v>
      </c>
      <c r="J27" s="15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8:8" ht="17.0" customHeight="1">
      <c r="A28" s="7">
        <v>9.0</v>
      </c>
      <c r="B28" s="6" t="str">
        <f>Lembar9!D28</f>
        <v>11:55</v>
      </c>
      <c r="C28" s="7" t="str">
        <f>Lembar9!D32</f>
        <v>15:14</v>
      </c>
      <c r="D28" s="7" t="str">
        <f>Lembar9!D36</f>
        <v>17:57</v>
      </c>
      <c r="E28" s="7" t="str">
        <f>Lembar9!D37</f>
        <v>19:5</v>
      </c>
      <c r="F28" s="7" t="str">
        <f>Lembar9!D39</f>
        <v>4:28</v>
      </c>
      <c r="G28" s="7" t="str">
        <f>Lembar9!D38</f>
        <v>4:38</v>
      </c>
      <c r="H28" s="7" t="str">
        <f>Lembar9!D40</f>
        <v>5:47</v>
      </c>
      <c r="I28" s="7" t="str">
        <f>Lembar9!D41</f>
        <v>6:17</v>
      </c>
      <c r="J28" s="15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8:8" ht="17.0" customHeight="1">
      <c r="A29" s="7">
        <v>10.0</v>
      </c>
      <c r="B29" s="6" t="str">
        <f>Lembar10!D28</f>
        <v>11:55</v>
      </c>
      <c r="C29" s="7" t="str">
        <f>Lembar10!D32</f>
        <v>15:14</v>
      </c>
      <c r="D29" s="7" t="str">
        <f>Lembar10!D36</f>
        <v>17:57</v>
      </c>
      <c r="E29" s="7" t="str">
        <f>Lembar10!D37</f>
        <v>19:4</v>
      </c>
      <c r="F29" s="7" t="str">
        <f>Lembar10!D39</f>
        <v>4:28</v>
      </c>
      <c r="G29" s="7" t="str">
        <f>Lembar10!D38</f>
        <v>4:38</v>
      </c>
      <c r="H29" s="7" t="str">
        <f>Lembar10!D40</f>
        <v>5:47</v>
      </c>
      <c r="I29" s="7" t="str">
        <f>Lembar10!D41</f>
        <v>6:17</v>
      </c>
      <c r="J29" s="15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8:8" ht="17.0" customHeight="1">
      <c r="A30" s="7">
        <v>11.0</v>
      </c>
      <c r="B30" s="6" t="str">
        <f>Lembar11!D28</f>
        <v>11:55</v>
      </c>
      <c r="C30" s="7" t="str">
        <f>Lembar11!D32</f>
        <v>15:14</v>
      </c>
      <c r="D30" s="7" t="str">
        <f>Lembar11!D36</f>
        <v>17:56</v>
      </c>
      <c r="E30" s="7" t="str">
        <f>Lembar11!D37</f>
        <v>19:4</v>
      </c>
      <c r="F30" s="7" t="str">
        <f>Lembar11!D39</f>
        <v>4:28</v>
      </c>
      <c r="G30" s="7" t="str">
        <f>Lembar11!D38</f>
        <v>4:38</v>
      </c>
      <c r="H30" s="7" t="str">
        <f>Lembar11!D40</f>
        <v>5:47</v>
      </c>
      <c r="I30" s="7" t="str">
        <f>Lembar11!D41</f>
        <v>6:17</v>
      </c>
      <c r="J30" s="15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8:8" ht="17.0" customHeight="1">
      <c r="A31" s="7">
        <v>12.0</v>
      </c>
      <c r="B31" s="6" t="str">
        <f>Lembar12!D28</f>
        <v>11:55</v>
      </c>
      <c r="C31" s="7" t="str">
        <f>Lembar12!D32</f>
        <v>15:14</v>
      </c>
      <c r="D31" s="7" t="str">
        <f>Lembar12!D36</f>
        <v>17:56</v>
      </c>
      <c r="E31" s="7" t="str">
        <f>Lembar12!D37</f>
        <v>19:4</v>
      </c>
      <c r="F31" s="7" t="str">
        <f>Lembar12!D39</f>
        <v>4:27</v>
      </c>
      <c r="G31" s="7" t="str">
        <f>Lembar12!D38</f>
        <v>4:37</v>
      </c>
      <c r="H31" s="7" t="str">
        <f>Lembar12!D40</f>
        <v>5:47</v>
      </c>
      <c r="I31" s="7" t="str">
        <f>Lembar12!D41</f>
        <v>6:17</v>
      </c>
      <c r="J31" s="15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8:8" ht="17.0" customHeight="1">
      <c r="A32" s="7">
        <v>13.0</v>
      </c>
      <c r="B32" s="6" t="str">
        <f>Lembar13!D28</f>
        <v>11:54</v>
      </c>
      <c r="C32" s="7" t="str">
        <f>Lembar13!D32</f>
        <v>15:14</v>
      </c>
      <c r="D32" s="7" t="str">
        <f>Lembar13!D36</f>
        <v>17:56</v>
      </c>
      <c r="E32" s="7" t="str">
        <f>Lembar13!D37</f>
        <v>19:3</v>
      </c>
      <c r="F32" s="7" t="str">
        <f>Lembar13!D39</f>
        <v>4:27</v>
      </c>
      <c r="G32" s="7" t="str">
        <f>Lembar13!D38</f>
        <v>4:37</v>
      </c>
      <c r="H32" s="7" t="str">
        <f>Lembar13!D40</f>
        <v>5:47</v>
      </c>
      <c r="I32" s="7" t="str">
        <f>Lembar13!D41</f>
        <v>6:17</v>
      </c>
      <c r="J32" s="15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8:8" ht="17.0" customHeight="1">
      <c r="A33" s="7">
        <v>14.0</v>
      </c>
      <c r="B33" s="6" t="str">
        <f>Lembar14!D28</f>
        <v>11:54</v>
      </c>
      <c r="C33" s="7" t="str">
        <f>Lembar14!D32</f>
        <v>15:13</v>
      </c>
      <c r="D33" s="7" t="str">
        <f>Lembar14!D36</f>
        <v>17:55</v>
      </c>
      <c r="E33" s="7" t="str">
        <f>Lembar14!D37</f>
        <v>19:3</v>
      </c>
      <c r="F33" s="7" t="str">
        <f>Lembar14!D39</f>
        <v>4:27</v>
      </c>
      <c r="G33" s="7" t="str">
        <f>Lembar14!D38</f>
        <v>4:37</v>
      </c>
      <c r="H33" s="7" t="str">
        <f>Lembar14!D40</f>
        <v>5:47</v>
      </c>
      <c r="I33" s="7" t="str">
        <f>Lembar14!D41</f>
        <v>6:17</v>
      </c>
      <c r="J33" s="15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8:8" ht="17.0" customHeight="1">
      <c r="A34" s="7">
        <v>15.0</v>
      </c>
      <c r="B34" s="6" t="str">
        <f>Lembar15!D28</f>
        <v>11:54</v>
      </c>
      <c r="C34" s="7" t="str">
        <f>Lembar15!D32</f>
        <v>15:13</v>
      </c>
      <c r="D34" s="7" t="str">
        <f>Lembar15!D36</f>
        <v>17:55</v>
      </c>
      <c r="E34" s="7" t="str">
        <f>Lembar15!D37</f>
        <v>19:3</v>
      </c>
      <c r="F34" s="7" t="str">
        <f>Lembar15!D39</f>
        <v>4:27</v>
      </c>
      <c r="G34" s="7" t="str">
        <f>Lembar15!D38</f>
        <v>4:37</v>
      </c>
      <c r="H34" s="7" t="str">
        <f>Lembar15!D40</f>
        <v>5:47</v>
      </c>
      <c r="I34" s="7" t="str">
        <f>Lembar15!D41</f>
        <v>6:17</v>
      </c>
      <c r="J34" s="15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8:8" ht="17.0" customHeight="1">
      <c r="A35" s="7">
        <v>16.0</v>
      </c>
      <c r="B35" s="6" t="str">
        <f>Lembar16!D28</f>
        <v>11:54</v>
      </c>
      <c r="C35" s="7" t="str">
        <f>Lembar16!D32</f>
        <v>15:13</v>
      </c>
      <c r="D35" s="7" t="str">
        <f>Lembar16!D36</f>
        <v>17:54</v>
      </c>
      <c r="E35" s="7" t="str">
        <f>Lembar16!D37</f>
        <v>19:2</v>
      </c>
      <c r="F35" s="7" t="str">
        <f>Lembar16!D39</f>
        <v>4:27</v>
      </c>
      <c r="G35" s="7" t="str">
        <f>Lembar16!D38</f>
        <v>4:37</v>
      </c>
      <c r="H35" s="7" t="str">
        <f>Lembar16!D40</f>
        <v>5:47</v>
      </c>
      <c r="I35" s="7" t="str">
        <f>Lembar16!D41</f>
        <v>6:17</v>
      </c>
      <c r="J35" s="15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8:8" ht="17.0" customHeight="1">
      <c r="A36" s="7">
        <v>17.0</v>
      </c>
      <c r="B36" s="6" t="str">
        <f>Lembar17!D28</f>
        <v>11:53</v>
      </c>
      <c r="C36" s="7" t="str">
        <f>Lembar17!D32</f>
        <v>15:13</v>
      </c>
      <c r="D36" s="7" t="str">
        <f>Lembar17!D36</f>
        <v>17:54</v>
      </c>
      <c r="E36" s="7" t="str">
        <f>Lembar17!D37</f>
        <v>19:2</v>
      </c>
      <c r="F36" s="7" t="str">
        <f>Lembar17!D39</f>
        <v>4:27</v>
      </c>
      <c r="G36" s="7" t="str">
        <f>Lembar17!D38</f>
        <v>4:37</v>
      </c>
      <c r="H36" s="7" t="str">
        <f>Lembar17!D40</f>
        <v>5:47</v>
      </c>
      <c r="I36" s="7" t="str">
        <f>Lembar17!D41</f>
        <v>6:17</v>
      </c>
      <c r="J36" s="15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8:8" ht="17.0" customHeight="1">
      <c r="A37" s="7">
        <v>18.0</v>
      </c>
      <c r="B37" s="6" t="str">
        <f>Lembar18!D28</f>
        <v>11:53</v>
      </c>
      <c r="C37" s="7" t="str">
        <f>Lembar18!D32</f>
        <v>15:13</v>
      </c>
      <c r="D37" s="7" t="str">
        <f>Lembar18!D36</f>
        <v>17:54</v>
      </c>
      <c r="E37" s="7" t="str">
        <f>Lembar18!D37</f>
        <v>19:2</v>
      </c>
      <c r="F37" s="7" t="str">
        <f>Lembar18!D39</f>
        <v>4:27</v>
      </c>
      <c r="G37" s="7" t="str">
        <f>Lembar18!D38</f>
        <v>4:37</v>
      </c>
      <c r="H37" s="7" t="str">
        <f>Lembar18!D40</f>
        <v>5:47</v>
      </c>
      <c r="I37" s="7" t="str">
        <f>Lembar18!D41</f>
        <v>6:17</v>
      </c>
      <c r="J37" s="15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8:8" ht="17.0" customHeight="1">
      <c r="A38" s="7">
        <v>19.0</v>
      </c>
      <c r="B38" s="6" t="str">
        <f>Lembar19!D28</f>
        <v>11:53</v>
      </c>
      <c r="C38" s="7" t="str">
        <f>Lembar19!D32</f>
        <v>15:13</v>
      </c>
      <c r="D38" s="7" t="str">
        <f>Lembar19!D36</f>
        <v>17:53</v>
      </c>
      <c r="E38" s="7" t="str">
        <f>Lembar19!D37</f>
        <v>19:1</v>
      </c>
      <c r="F38" s="7" t="str">
        <f>Lembar19!D39</f>
        <v>4:26</v>
      </c>
      <c r="G38" s="7" t="str">
        <f>Lembar19!D38</f>
        <v>4:36</v>
      </c>
      <c r="H38" s="7" t="str">
        <f>Lembar19!D40</f>
        <v>5:47</v>
      </c>
      <c r="I38" s="7" t="str">
        <f>Lembar19!D41</f>
        <v>6:17</v>
      </c>
      <c r="J38" s="15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8:8" ht="17.0" customHeight="1">
      <c r="A39" s="7">
        <v>20.0</v>
      </c>
      <c r="B39" s="6" t="str">
        <f>Lembar20!D28</f>
        <v>11:53</v>
      </c>
      <c r="C39" s="7" t="str">
        <f>Lembar20!D32</f>
        <v>15:13</v>
      </c>
      <c r="D39" s="7" t="str">
        <f>Lembar20!D36</f>
        <v>17:53</v>
      </c>
      <c r="E39" s="7" t="str">
        <f>Lembar20!D37</f>
        <v>19:1</v>
      </c>
      <c r="F39" s="7" t="str">
        <f>Lembar20!D39</f>
        <v>4:26</v>
      </c>
      <c r="G39" s="7" t="str">
        <f>Lembar20!D38</f>
        <v>4:36</v>
      </c>
      <c r="H39" s="7" t="str">
        <f>Lembar20!D40</f>
        <v>5:47</v>
      </c>
      <c r="I39" s="7" t="str">
        <f>Lembar20!D41</f>
        <v>6:17</v>
      </c>
      <c r="J39" s="15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8:8" ht="17.0" customHeight="1">
      <c r="A40" s="7">
        <v>21.0</v>
      </c>
      <c r="B40" s="6" t="str">
        <f>Lembar21!D28</f>
        <v>11:53</v>
      </c>
      <c r="C40" s="7" t="str">
        <f>Lembar21!D32</f>
        <v>15:13</v>
      </c>
      <c r="D40" s="7" t="str">
        <f>Lembar21!D36</f>
        <v>17:52</v>
      </c>
      <c r="E40" s="7" t="str">
        <f>Lembar21!D37</f>
        <v>19:1</v>
      </c>
      <c r="F40" s="7" t="str">
        <f>Lembar21!D39</f>
        <v>4:26</v>
      </c>
      <c r="G40" s="7" t="str">
        <f>Lembar21!D38</f>
        <v>4:36</v>
      </c>
      <c r="H40" s="7" t="str">
        <f>Lembar21!D40</f>
        <v>5:47</v>
      </c>
      <c r="I40" s="7" t="str">
        <f>Lembar21!D41</f>
        <v>6:17</v>
      </c>
      <c r="J40" s="15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8:8" ht="17.0" customHeight="1">
      <c r="A41" s="7">
        <v>22.0</v>
      </c>
      <c r="B41" s="6" t="str">
        <f>Lembar22!D28</f>
        <v>11:52</v>
      </c>
      <c r="C41" s="7" t="str">
        <f>Lembar22!D32</f>
        <v>15:13</v>
      </c>
      <c r="D41" s="7" t="str">
        <f>Lembar22!D36</f>
        <v>17:52</v>
      </c>
      <c r="E41" s="7" t="str">
        <f>Lembar22!D37</f>
        <v>18:60</v>
      </c>
      <c r="F41" s="7" t="str">
        <f>Lembar22!D39</f>
        <v>4:26</v>
      </c>
      <c r="G41" s="7" t="str">
        <f>Lembar22!D38</f>
        <v>4:36</v>
      </c>
      <c r="H41" s="7" t="str">
        <f>Lembar22!D40</f>
        <v>5:47</v>
      </c>
      <c r="I41" s="7" t="str">
        <f>Lembar22!D41</f>
        <v>6:17</v>
      </c>
      <c r="J41" s="15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8:8" ht="17.0" customHeight="1">
      <c r="A42" s="7">
        <v>23.0</v>
      </c>
      <c r="B42" s="6" t="str">
        <f>Lembar23!D28</f>
        <v>11:52</v>
      </c>
      <c r="C42" s="7" t="str">
        <f>Lembar23!D32</f>
        <v>15:13</v>
      </c>
      <c r="D42" s="7" t="str">
        <f>Lembar23!D36</f>
        <v>17:52</v>
      </c>
      <c r="E42" s="7" t="str">
        <f>Lembar23!D37</f>
        <v>18:60</v>
      </c>
      <c r="F42" s="7" t="str">
        <f>Lembar23!D39</f>
        <v>4:26</v>
      </c>
      <c r="G42" s="7" t="str">
        <f>Lembar23!D38</f>
        <v>4:36</v>
      </c>
      <c r="H42" s="7" t="str">
        <f>Lembar23!D40</f>
        <v>5:47</v>
      </c>
      <c r="I42" s="7" t="str">
        <f>Lembar23!D41</f>
        <v>6:17</v>
      </c>
      <c r="J42" s="15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8:8" ht="17.0" customHeight="1">
      <c r="A43" s="7">
        <v>24.0</v>
      </c>
      <c r="B43" s="6" t="str">
        <f>Lembar24!D28</f>
        <v>11:52</v>
      </c>
      <c r="C43" s="7" t="str">
        <f>Lembar24!D32</f>
        <v>15:13</v>
      </c>
      <c r="D43" s="7" t="str">
        <f>Lembar24!D36</f>
        <v>17:51</v>
      </c>
      <c r="E43" s="7" t="str">
        <f>Lembar24!D37</f>
        <v>18:60</v>
      </c>
      <c r="F43" s="7" t="str">
        <f>Lembar24!D39</f>
        <v>4:26</v>
      </c>
      <c r="G43" s="7" t="str">
        <f>Lembar24!D38</f>
        <v>4:36</v>
      </c>
      <c r="H43" s="7" t="str">
        <f>Lembar24!D40</f>
        <v>5:47</v>
      </c>
      <c r="I43" s="7" t="str">
        <f>Lembar24!D41</f>
        <v>6:17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8:8" ht="17.0" customHeight="1">
      <c r="A44" s="7">
        <v>25.0</v>
      </c>
      <c r="B44" s="6" t="str">
        <f>Lembar25!D28</f>
        <v>11:52</v>
      </c>
      <c r="C44" s="7" t="str">
        <f>Lembar25!D32</f>
        <v>15:13</v>
      </c>
      <c r="D44" s="7" t="str">
        <f>Lembar25!D36</f>
        <v>17:51</v>
      </c>
      <c r="E44" s="7" t="str">
        <f>Lembar25!D37</f>
        <v>18:60</v>
      </c>
      <c r="F44" s="7" t="str">
        <f>Lembar25!D39</f>
        <v>4:26</v>
      </c>
      <c r="G44" s="7" t="str">
        <f>Lembar25!D38</f>
        <v>4:36</v>
      </c>
      <c r="H44" s="7" t="str">
        <f>Lembar25!D40</f>
        <v>5:46</v>
      </c>
      <c r="I44" s="7" t="str">
        <f>Lembar25!D41</f>
        <v>6:17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8:8" ht="17.0" customHeight="1">
      <c r="A45" s="7">
        <v>26.0</v>
      </c>
      <c r="B45" s="6" t="str">
        <f>Lembar26!D28</f>
        <v>11:52</v>
      </c>
      <c r="C45" s="7" t="str">
        <f>Lembar26!D32</f>
        <v>15:13</v>
      </c>
      <c r="D45" s="7" t="str">
        <f>Lembar26!D36</f>
        <v>17:51</v>
      </c>
      <c r="E45" s="7" t="str">
        <f>Lembar26!D37</f>
        <v>18:59</v>
      </c>
      <c r="F45" s="7" t="str">
        <f>Lembar26!D39</f>
        <v>4:26</v>
      </c>
      <c r="G45" s="7" t="str">
        <f>Lembar26!D38</f>
        <v>4:36</v>
      </c>
      <c r="H45" s="7" t="str">
        <f>Lembar26!D40</f>
        <v>5:46</v>
      </c>
      <c r="I45" s="7" t="str">
        <f>Lembar26!D41</f>
        <v>6:17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8:8" ht="17.0" customHeight="1">
      <c r="A46" s="7">
        <v>27.0</v>
      </c>
      <c r="B46" s="6" t="str">
        <f>Lembar27!D28</f>
        <v>11:51</v>
      </c>
      <c r="C46" s="7" t="str">
        <f>Lembar27!D32</f>
        <v>15:13</v>
      </c>
      <c r="D46" s="7" t="str">
        <f>Lembar27!D36</f>
        <v>17:50</v>
      </c>
      <c r="E46" s="7" t="str">
        <f>Lembar27!D37</f>
        <v>18:59</v>
      </c>
      <c r="F46" s="7" t="str">
        <f>Lembar27!D39</f>
        <v>4:26</v>
      </c>
      <c r="G46" s="7" t="str">
        <f>Lembar27!D38</f>
        <v>4:36</v>
      </c>
      <c r="H46" s="7" t="str">
        <f>Lembar27!D40</f>
        <v>5:46</v>
      </c>
      <c r="I46" s="7" t="str">
        <f>Lembar27!D41</f>
        <v>6:17</v>
      </c>
      <c r="J46" s="17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8:8" ht="17.0" customHeight="1">
      <c r="A47" s="7">
        <v>28.0</v>
      </c>
      <c r="B47" s="6" t="str">
        <f>Lembar28!D28</f>
        <v>11:51</v>
      </c>
      <c r="C47" s="7" t="str">
        <f>Lembar28!D32</f>
        <v>15:13</v>
      </c>
      <c r="D47" s="7" t="str">
        <f>Lembar28!D36</f>
        <v>17:50</v>
      </c>
      <c r="E47" s="7" t="str">
        <f>Lembar28!D37</f>
        <v>18:59</v>
      </c>
      <c r="F47" s="7" t="str">
        <f>Lembar28!D39</f>
        <v>4:25</v>
      </c>
      <c r="G47" s="7" t="str">
        <f>Lembar28!D38</f>
        <v>4:35</v>
      </c>
      <c r="H47" s="7" t="str">
        <f>Lembar28!D40</f>
        <v>5:46</v>
      </c>
      <c r="I47" s="7" t="str">
        <f>Lembar28!D41</f>
        <v>6:17</v>
      </c>
      <c r="J47" s="17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8:8" ht="17.0" customHeight="1">
      <c r="A48" s="7">
        <v>29.0</v>
      </c>
      <c r="B48" s="6" t="str">
        <f>data!E32</f>
        <v>11:51</v>
      </c>
      <c r="C48" s="7" t="str">
        <f>data!F32</f>
        <v>15:12</v>
      </c>
      <c r="D48" s="7" t="str">
        <f>data!G32</f>
        <v>17:50</v>
      </c>
      <c r="E48" s="7" t="str">
        <f>data!H32</f>
        <v>18:59</v>
      </c>
      <c r="F48" s="7" t="str">
        <f>data!I32</f>
        <v>4:25</v>
      </c>
      <c r="G48" s="7" t="str">
        <f>data!J32</f>
        <v>4:35</v>
      </c>
      <c r="H48" s="7" t="str">
        <f>data!K32</f>
        <v>5:46</v>
      </c>
      <c r="I48" s="7" t="str">
        <f>data!L32</f>
        <v>6:17</v>
      </c>
      <c r="J48" s="17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8:8" ht="17.0" customHeight="1">
      <c r="A49" s="18">
        <v>30.0</v>
      </c>
      <c r="B49" s="6" t="str">
        <f>data!E33</f>
        <v>11:51</v>
      </c>
      <c r="C49" s="7" t="str">
        <f>data!F33</f>
        <v>15:12</v>
      </c>
      <c r="D49" s="7" t="str">
        <f>data!G33</f>
        <v>17:50</v>
      </c>
      <c r="E49" s="7" t="str">
        <f>data!H33</f>
        <v>18:59</v>
      </c>
      <c r="F49" s="7" t="str">
        <f>data!I33</f>
        <v>4:25</v>
      </c>
      <c r="G49" s="7" t="str">
        <f>data!J33</f>
        <v>4:35</v>
      </c>
      <c r="H49" s="7" t="str">
        <f>data!K33</f>
        <v>5:47</v>
      </c>
      <c r="I49" s="7" t="str">
        <f>data!L33</f>
        <v>6:17</v>
      </c>
      <c r="J49" s="17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8:8" ht="17.0" customHeight="1">
      <c r="A50" s="18">
        <v>31.0</v>
      </c>
      <c r="B50" s="19" t="str">
        <f>data!E34</f>
        <v> </v>
      </c>
      <c r="C50" s="18" t="str">
        <f>data!F34</f>
        <v> </v>
      </c>
      <c r="D50" s="18" t="str">
        <f>data!G34</f>
        <v> </v>
      </c>
      <c r="E50" s="18" t="str">
        <f>data!H34</f>
        <v> </v>
      </c>
      <c r="F50" s="18" t="str">
        <f>data!I34</f>
        <v> </v>
      </c>
      <c r="G50" s="18" t="str">
        <f>data!J34</f>
        <v> </v>
      </c>
      <c r="H50" s="18" t="str">
        <f>data!K34</f>
        <v> </v>
      </c>
      <c r="I50" s="18" t="str">
        <f>data!L34</f>
        <v> </v>
      </c>
      <c r="J50" s="17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8:8" ht="17.0" customHeight="1">
      <c r="A51" s="7"/>
      <c r="B51" s="7"/>
      <c r="C51" s="7"/>
      <c r="D51" s="7"/>
      <c r="E51" s="7"/>
      <c r="F51" s="7"/>
      <c r="G51" s="7"/>
      <c r="H51" s="7"/>
      <c r="I51" s="7"/>
      <c r="J51" s="2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8:8" ht="17.0" customHeight="1">
      <c r="A52" s="7" t="s">
        <v>135</v>
      </c>
      <c r="B52" s="7"/>
      <c r="C52" s="7"/>
      <c r="D52" s="7"/>
      <c r="E52" s="7"/>
      <c r="F52" s="7"/>
      <c r="G52" s="7"/>
      <c r="H52" s="7"/>
      <c r="I52" s="7"/>
      <c r="J52" s="2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8:8" ht="17.0" customHeight="1">
      <c r="A53" s="7" t="s">
        <v>137</v>
      </c>
      <c r="B53" s="7"/>
      <c r="C53" s="7"/>
      <c r="D53" s="7"/>
      <c r="E53" s="7"/>
      <c r="F53" s="7"/>
      <c r="G53" s="7"/>
      <c r="H53" s="7"/>
      <c r="I53" s="7"/>
      <c r="J53" s="2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8:8" ht="17.0" customHeight="1">
      <c r="A54" s="7" t="s">
        <v>139</v>
      </c>
      <c r="B54" s="7"/>
      <c r="C54" s="7"/>
      <c r="D54" s="7"/>
      <c r="E54" s="7"/>
      <c r="F54" s="7"/>
      <c r="G54" s="7"/>
      <c r="H54" s="7"/>
      <c r="I54" s="7"/>
      <c r="J54" s="2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8:8" ht="17.0" customHeight="1">
      <c r="A55" s="7"/>
      <c r="B55" s="7"/>
      <c r="C55" s="7"/>
      <c r="D55" s="7"/>
      <c r="E55" s="7"/>
      <c r="F55" s="7"/>
      <c r="G55" s="7"/>
      <c r="H55" s="7"/>
      <c r="I55" s="7"/>
      <c r="J55" s="21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8:8">
      <c r="A56" s="22"/>
      <c r="B56" s="21"/>
      <c r="C56" s="21"/>
      <c r="D56" s="21"/>
      <c r="E56" s="21"/>
      <c r="F56" s="21"/>
      <c r="G56" s="21"/>
      <c r="H56" s="21"/>
      <c r="I56" s="21"/>
      <c r="J56" s="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8:8">
      <c r="A57" s="22"/>
      <c r="B57" s="24"/>
      <c r="C57" s="23"/>
      <c r="D57" s="23"/>
      <c r="E57" s="23"/>
      <c r="F57" s="23"/>
      <c r="G57" s="23"/>
      <c r="H57" s="23"/>
      <c r="I57" s="23"/>
      <c r="J57" s="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8:8">
      <c r="A58" s="22"/>
      <c r="B58" s="24"/>
      <c r="C58" s="10"/>
      <c r="D58" s="10"/>
      <c r="E58" s="10"/>
      <c r="F58" s="10"/>
      <c r="G58" s="10"/>
      <c r="H58" s="10"/>
      <c r="I58" s="23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8:8">
      <c r="A59" s="22"/>
      <c r="B59" s="24"/>
      <c r="C59" s="10"/>
      <c r="D59" s="10"/>
      <c r="E59" s="10"/>
      <c r="F59" s="10"/>
      <c r="G59" s="10"/>
      <c r="H59" s="10"/>
      <c r="I59" s="23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8:8">
      <c r="A60" s="22"/>
      <c r="B60" s="24"/>
      <c r="C60" s="10"/>
      <c r="D60" s="10"/>
      <c r="E60" s="10"/>
      <c r="F60" s="10"/>
      <c r="G60" s="10"/>
      <c r="H60" s="10"/>
      <c r="I60" s="23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8:8">
      <c r="A61" s="22"/>
      <c r="B61" s="24"/>
      <c r="C61" s="10"/>
      <c r="D61" s="10"/>
      <c r="E61" s="10"/>
      <c r="F61" s="10"/>
      <c r="G61" s="10"/>
      <c r="H61" s="10"/>
      <c r="I61" s="23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8:8">
      <c r="A62" s="22"/>
      <c r="B62" s="24"/>
      <c r="C62" s="10"/>
      <c r="D62" s="10"/>
      <c r="E62" s="10"/>
      <c r="F62" s="10"/>
      <c r="G62" s="10"/>
      <c r="H62" s="10"/>
      <c r="I62" s="23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8:8">
      <c r="A63" s="22"/>
      <c r="B63" s="24"/>
      <c r="C63" s="10"/>
      <c r="D63" s="10"/>
      <c r="E63" s="10"/>
      <c r="F63" s="10"/>
      <c r="G63" s="10"/>
      <c r="H63" s="10"/>
      <c r="I63" s="23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8:8">
      <c r="A64" s="22"/>
      <c r="B64" s="24"/>
      <c r="C64" s="10"/>
      <c r="D64" s="10"/>
      <c r="E64" s="10"/>
      <c r="F64" s="10"/>
      <c r="G64" s="10"/>
      <c r="H64" s="10"/>
      <c r="I64" s="23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8:8">
      <c r="A65" s="22"/>
      <c r="B65" s="24"/>
      <c r="C65" s="10"/>
      <c r="D65" s="10"/>
      <c r="E65" s="10"/>
      <c r="F65" s="10"/>
      <c r="G65" s="10"/>
      <c r="H65" s="10"/>
      <c r="I65" s="23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8:8">
      <c r="A66" s="22"/>
      <c r="B66" s="24"/>
      <c r="C66" s="10"/>
      <c r="D66" s="10"/>
      <c r="E66" s="10"/>
      <c r="F66" s="10"/>
      <c r="G66" s="10"/>
      <c r="H66" s="10"/>
      <c r="I66" s="23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8:8">
      <c r="A67" s="22"/>
      <c r="B67" s="24"/>
      <c r="C67" s="10"/>
      <c r="D67" s="10"/>
      <c r="E67" s="10"/>
      <c r="F67" s="10"/>
      <c r="G67" s="10"/>
      <c r="H67" s="10"/>
      <c r="I67" s="23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8:8">
      <c r="A68" s="25"/>
      <c r="B68" s="24"/>
      <c r="C68" s="10"/>
      <c r="D68" s="10"/>
      <c r="E68" s="10"/>
      <c r="F68" s="10"/>
      <c r="G68" s="10"/>
      <c r="H68" s="10"/>
      <c r="I68" s="23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8:8">
      <c r="B69" s="10"/>
      <c r="C69" s="10"/>
      <c r="D69" s="10"/>
      <c r="E69" s="10"/>
      <c r="F69" s="10"/>
      <c r="G69" s="10"/>
      <c r="H69" s="10"/>
      <c r="I69" s="23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8:8">
      <c r="B70" s="10"/>
      <c r="C70" s="10"/>
      <c r="D70" s="10"/>
      <c r="E70" s="10"/>
      <c r="F70" s="10"/>
      <c r="G70" s="10"/>
      <c r="H70" s="10"/>
      <c r="I70" s="23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8:8">
      <c r="B71" s="10"/>
      <c r="C71" s="10"/>
      <c r="D71" s="10"/>
      <c r="E71" s="10"/>
      <c r="F71" s="10"/>
      <c r="G71" s="10"/>
      <c r="H71" s="10"/>
      <c r="I71" s="23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8:8">
      <c r="B72" s="10"/>
      <c r="C72" s="10"/>
      <c r="D72" s="10"/>
      <c r="E72" s="10"/>
      <c r="F72" s="10"/>
      <c r="G72" s="10"/>
      <c r="H72" s="10"/>
      <c r="I72" s="23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8:8">
      <c r="B73" s="10"/>
      <c r="C73" s="10"/>
      <c r="D73" s="10"/>
      <c r="E73" s="10"/>
      <c r="F73" s="10"/>
      <c r="G73" s="10"/>
      <c r="H73" s="10"/>
      <c r="I73" s="23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8:8">
      <c r="B74" s="10"/>
      <c r="C74" s="10"/>
      <c r="D74" s="10"/>
      <c r="E74" s="10"/>
      <c r="F74" s="10"/>
      <c r="G74" s="10"/>
      <c r="H74" s="10"/>
      <c r="I74" s="23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</sheetData>
  <mergeCells count="51">
    <mergeCell ref="H12:I12"/>
    <mergeCell ref="H16:I16"/>
    <mergeCell ref="F10:G10"/>
    <mergeCell ref="A53:I53"/>
    <mergeCell ref="A51:I51"/>
    <mergeCell ref="A54:I54"/>
    <mergeCell ref="A55:I55"/>
    <mergeCell ref="D12:E12"/>
    <mergeCell ref="B6:C6"/>
    <mergeCell ref="H10:I10"/>
    <mergeCell ref="B4:C4"/>
    <mergeCell ref="B7:C7"/>
    <mergeCell ref="B10:C10"/>
    <mergeCell ref="B3:C3"/>
    <mergeCell ref="H13:I13"/>
    <mergeCell ref="D16:E16"/>
    <mergeCell ref="F3:G3"/>
    <mergeCell ref="B8:I8"/>
    <mergeCell ref="F12:G12"/>
    <mergeCell ref="B12:C12"/>
    <mergeCell ref="H6:I6"/>
    <mergeCell ref="F13:G13"/>
    <mergeCell ref="F9:G9"/>
    <mergeCell ref="F7:G7"/>
    <mergeCell ref="D10:E10"/>
    <mergeCell ref="D15:E15"/>
    <mergeCell ref="A52:I52"/>
    <mergeCell ref="H7:I7"/>
    <mergeCell ref="B14:I14"/>
    <mergeCell ref="D6:E6"/>
    <mergeCell ref="A2:I2"/>
    <mergeCell ref="H4:I4"/>
    <mergeCell ref="D13:E13"/>
    <mergeCell ref="B9:C9"/>
    <mergeCell ref="A17:I18"/>
    <mergeCell ref="B16:C16"/>
    <mergeCell ref="F6:G6"/>
    <mergeCell ref="D3:E3"/>
    <mergeCell ref="F16:G16"/>
    <mergeCell ref="B15:C15"/>
    <mergeCell ref="F15:G15"/>
    <mergeCell ref="D4:E4"/>
    <mergeCell ref="H15:I15"/>
    <mergeCell ref="B13:C13"/>
    <mergeCell ref="B11:I11"/>
    <mergeCell ref="F4:G4"/>
    <mergeCell ref="H9:I9"/>
    <mergeCell ref="D7:E7"/>
    <mergeCell ref="D9:E9"/>
    <mergeCell ref="B5:I5"/>
    <mergeCell ref="H3:I3"/>
  </mergeCells>
  <pageMargins left="0.7" right="0.7" top="0.75" bottom="0.75" header="0.3" footer="0.3"/>
  <legacy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AJ42"/>
  <sheetViews>
    <sheetView workbookViewId="0" zoomScale="75">
      <selection activeCell="C28" sqref="C28"/>
    </sheetView>
  </sheetViews>
  <sheetFormatPr defaultRowHeight="16.25" defaultColWidth="10"/>
  <cols>
    <col min="3" max="3" customWidth="1" bestFit="1" width="11.8984375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8.0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2460408.5</v>
      </c>
    </row>
    <row r="12" spans="8:8">
      <c r="A12" s="28" t="s">
        <v>10</v>
      </c>
      <c r="B12" s="29"/>
      <c r="C12" s="31">
        <f>(C11-2451545)/36525</f>
        <v>0.2426694045174538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16.75182681601612</v>
      </c>
    </row>
    <row r="14" spans="8:8">
      <c r="A14" s="28" t="s">
        <v>12</v>
      </c>
      <c r="B14" s="29"/>
      <c r="C14" s="31">
        <f>(((357.5291+(35999.0503*(C12)))/360)-TRUNC(((357.5291+(35999.0503*(C12)))/360)))*360</f>
        <v>93.39719949486778</v>
      </c>
    </row>
    <row r="15" spans="8:8">
      <c r="A15" s="28" t="s">
        <v>14</v>
      </c>
      <c r="B15" s="29"/>
      <c r="C15" s="31">
        <f>(((125.04-(1934.136*(C12)))/360)-TRUNC(((125.04-(1934.136*(C12)))/360)))*360</f>
        <v>-344.31563137577</v>
      </c>
    </row>
    <row r="16" spans="8:8">
      <c r="A16" s="28" t="s">
        <v>29</v>
      </c>
      <c r="B16" s="29"/>
      <c r="C16" s="31">
        <f>((17.264/3600)*SIN(RADIANS(C15)))+((0.206/3600)*SIN(RADIANS(2*(C15))))</f>
        <v>0.0013262065907000018</v>
      </c>
    </row>
    <row r="17" spans="8:8">
      <c r="A17" s="28" t="s">
        <v>30</v>
      </c>
      <c r="B17" s="29"/>
      <c r="C17" s="31">
        <f>(-1.264/3600)*SIN(RADIANS(2*(C13)))</f>
        <v>-1.9380987816993052E-4</v>
      </c>
    </row>
    <row r="18" spans="8:8">
      <c r="A18" s="28" t="s">
        <v>32</v>
      </c>
      <c r="B18" s="29"/>
      <c r="C18" s="31">
        <f>(9.23/3600)*COS(RADIANS(C15))-(0.09/3600)*COS(RADIANS(2*(C15)))</f>
        <v>0.002447077985342352</v>
      </c>
    </row>
    <row r="19" spans="8:8">
      <c r="A19" s="28" t="s">
        <v>33</v>
      </c>
      <c r="B19" s="29"/>
      <c r="C19" s="31">
        <f>(0.548/3600)*COS(RADIANS(2*(C13)))</f>
        <v>1.269305950634651E-4</v>
      </c>
    </row>
    <row r="20" spans="8:8">
      <c r="A20" s="28" t="s">
        <v>58</v>
      </c>
      <c r="B20" s="29"/>
      <c r="C20" s="31">
        <f>23.43929111+(C18)+(C19)-((46.815/3600)*(C12))</f>
        <v>23.438709405199152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1.9101272558876596</v>
      </c>
    </row>
    <row r="22" spans="8:8">
      <c r="A22" s="28" t="s">
        <v>57</v>
      </c>
      <c r="B22" s="29"/>
      <c r="C22" s="31">
        <f>C13+C21+C16+C17-0.0056861</f>
        <v>18.6574003686163</v>
      </c>
    </row>
    <row r="23" spans="8:8">
      <c r="A23" s="28" t="s">
        <v>59</v>
      </c>
      <c r="B23" s="29"/>
      <c r="C23" s="31">
        <f>DEGREES(ASIN(SIN(RADIANS(C22))*SIN(RADIANS(C20))))</f>
        <v>7.310672801864667</v>
      </c>
    </row>
    <row r="24" spans="8:8">
      <c r="A24" s="28" t="s">
        <v>60</v>
      </c>
      <c r="B24" s="29"/>
      <c r="C24" s="31">
        <f>DEGREES(ATAN((TAN(RADIANS(C22)))*(COS(RADIANS(C20)))))</f>
        <v>17.212552134882284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197.2125521348823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-0.03103326159361145</v>
      </c>
    </row>
    <row r="27" spans="8:8">
      <c r="A27" s="28" t="s">
        <v>62</v>
      </c>
      <c r="B27" s="29"/>
      <c r="C27" s="31">
        <f>C26-((C6*15)-C4)/15</f>
        <v>0.1139000717397225</v>
      </c>
    </row>
    <row r="28" spans="8:8" ht="16.2">
      <c r="A28" s="28" t="s">
        <v>69</v>
      </c>
      <c r="B28" s="29"/>
      <c r="C28" s="31">
        <f>12-C27+2/60</f>
        <v>11.919433261593634</v>
      </c>
      <c r="D28" t="str">
        <f>TRUNC(C28)&amp;":"&amp;ROUNDUP((C28-TRUNC(C28))*60, )</f>
        <v>11:56</v>
      </c>
    </row>
    <row r="29" spans="8:8">
      <c r="A29" s="28" t="s">
        <v>77</v>
      </c>
      <c r="B29" s="29"/>
      <c r="C29" s="31">
        <f>DEGREES(ATAN(1/(TAN(RADIANS(ABS((C5)-(C23))))+1)))</f>
        <v>38.63475926911402</v>
      </c>
      <c r="D29" t="str">
        <f>TRUNC(C29)&amp;":"&amp;ROUNDUP((C29-TRUNC(C29))*60, )</f>
        <v>38:39</v>
      </c>
    </row>
    <row r="30" spans="8:8">
      <c r="A30" s="28" t="s">
        <v>78</v>
      </c>
      <c r="B30" s="29"/>
      <c r="C30" s="31">
        <f>-TAN(RADIANS(C5))*TAN(RADIANS(C23))</f>
        <v>0.015266137038177757</v>
      </c>
      <c r="D30" t="str">
        <f>TRUNC(C30)&amp;":"&amp;ROUNDUP((C30-TRUNC(C30))*60, )</f>
        <v>0:1</v>
      </c>
    </row>
    <row r="31" spans="8:8">
      <c r="A31" s="28" t="s">
        <v>79</v>
      </c>
      <c r="B31" s="29"/>
      <c r="C31" s="31">
        <f>COS(RADIANS(C5))*COS(RADIANS(C23))</f>
        <v>0.9849221165127845</v>
      </c>
      <c r="D31" t="str">
        <f>TRUNC(C31)&amp;":"&amp;ROUNDUP((C31-TRUNC(C31))*60, )</f>
        <v>0:60</v>
      </c>
    </row>
    <row r="32" spans="8:8">
      <c r="A32" s="28" t="s">
        <v>75</v>
      </c>
      <c r="B32" s="29"/>
      <c r="C32" s="31">
        <f>(C28)+DEGREES(ACOS((C30)+SIN(RADIANS(C29))/(C31)))/15</f>
        <v>15.220790659354961</v>
      </c>
      <c r="D32" t="str">
        <f>TRUNC(C32)&amp;":"&amp;ROUNDUP((C32-TRUNC(C32))*60, )</f>
        <v>15:14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0.2667313005197381</v>
      </c>
      <c r="D34" t="str">
        <f>TRUNC(C34)&amp;":"&amp;ROUNDUP((C34-TRUNC(C34))*60, )</f>
        <v>0:17</v>
      </c>
    </row>
    <row r="35" spans="8:8">
      <c r="A35" s="32" t="s">
        <v>74</v>
      </c>
      <c r="B35" s="32"/>
      <c r="C35" s="33">
        <f>-((C34)+(34.5/60)+(C33))-0.0024</f>
        <v>-1.38182018206122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17.95464394947613</v>
      </c>
      <c r="D36" t="str">
        <f>TRUNC(C36)&amp;":"&amp;ROUNDUP((C36-TRUNC(C36))*60, )</f>
        <v>17:58</v>
      </c>
    </row>
    <row r="37" spans="8:8">
      <c r="A37" s="32" t="s">
        <v>81</v>
      </c>
      <c r="B37" s="32"/>
      <c r="C37" s="33">
        <f>(C28)+DEGREES(ACOS((C30)+SIN(RADIANS(-18))/(C31)))/15</f>
        <v>19.077194713004552</v>
      </c>
      <c r="D37" t="str">
        <f>TRUNC(C37)&amp;":"&amp;ROUNDUP((C37-TRUNC(C37))*60, )</f>
        <v>19:5</v>
      </c>
    </row>
    <row r="38" spans="8:8">
      <c r="A38" s="32" t="s">
        <v>82</v>
      </c>
      <c r="B38" s="32"/>
      <c r="C38" s="33">
        <f>(C28)-DEGREES(ACOS((C30)+SIN(RADIANS(-20))/(C31)))/15</f>
        <v>4.62679336618763</v>
      </c>
      <c r="D38" t="str">
        <f>TRUNC(C38)&amp;":"&amp;ROUNDUP((C38-TRUNC(C38))*60, )</f>
        <v>4:38</v>
      </c>
    </row>
    <row r="39" spans="8:8">
      <c r="A39" t="s">
        <v>103</v>
      </c>
      <c r="C39">
        <f>C38-10/60</f>
        <v>4.460126699520963</v>
      </c>
      <c r="D39" t="str">
        <f>TRUNC(C39)&amp;":"&amp;ROUNDUP((C39-TRUNC(C39))*60, )</f>
        <v>4:28</v>
      </c>
    </row>
    <row r="40" spans="8:8">
      <c r="A40" t="s">
        <v>98</v>
      </c>
      <c r="C40">
        <f>(C28)-DEGREES(ACOS((C30)+SIN(RADIANS(C35))/(C31)))/15-6/60</f>
        <v>5.784222573711101</v>
      </c>
      <c r="D40" t="str">
        <f>TRUNC(C40)&amp;":"&amp;ROUNDUP((C40-TRUNC(C40))*60, )</f>
        <v>5:48</v>
      </c>
    </row>
    <row r="41" spans="8:8">
      <c r="A41" t="s">
        <v>101</v>
      </c>
      <c r="C41">
        <f>(C28)-DEGREES(ACOS((C30)+SIN(RADIANS(4.5))/(C31)))/15</f>
        <v>6.282571944743149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6.62178322572482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11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18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9.0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2460409.5</v>
      </c>
    </row>
    <row r="12" spans="8:8">
      <c r="A12" s="28" t="s">
        <v>10</v>
      </c>
      <c r="B12" s="29"/>
      <c r="C12" s="31">
        <f>(C11-2451545)/36525</f>
        <v>0.24269678302532513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17.737474176179973</v>
      </c>
    </row>
    <row r="14" spans="8:8">
      <c r="A14" s="28" t="s">
        <v>12</v>
      </c>
      <c r="B14" s="29"/>
      <c r="C14" s="31">
        <f>(((357.5291+(35999.0503*(C12)))/360)-TRUNC(((357.5291+(35999.0503*(C12)))/360)))*360</f>
        <v>94.38279977686562</v>
      </c>
    </row>
    <row r="15" spans="8:8">
      <c r="A15" s="28" t="s">
        <v>14</v>
      </c>
      <c r="B15" s="29"/>
      <c r="C15" s="31">
        <f>(((125.04-(1934.136*(C12)))/360)-TRUNC(((125.04-(1934.136*(C12)))/360)))*360</f>
        <v>-344.3685851334702</v>
      </c>
    </row>
    <row r="16" spans="8:8">
      <c r="A16" s="28" t="s">
        <v>29</v>
      </c>
      <c r="B16" s="29"/>
      <c r="C16" s="31">
        <f>((17.264/3600)*SIN(RADIANS(C15)))+((0.206/3600)*SIN(RADIANS(2*(C15))))</f>
        <v>0.001321848567552227</v>
      </c>
    </row>
    <row r="17" spans="8:8">
      <c r="A17" s="28" t="s">
        <v>30</v>
      </c>
      <c r="B17" s="29"/>
      <c r="C17" s="31">
        <f>(-1.264/3600)*SIN(RADIANS(2*(C13)))</f>
        <v>-2.0376625944122352E-4</v>
      </c>
    </row>
    <row r="18" spans="8:8">
      <c r="A18" s="28" t="s">
        <v>32</v>
      </c>
      <c r="B18" s="29"/>
      <c r="C18" s="31">
        <f>(9.23/3600)*COS(RADIANS(C15))-(0.09/3600)*COS(RADIANS(2*(C15)))</f>
        <v>0.002447693502659063</v>
      </c>
    </row>
    <row r="19" spans="8:8">
      <c r="A19" s="28" t="s">
        <v>33</v>
      </c>
      <c r="B19" s="29"/>
      <c r="C19" s="31">
        <f>(0.548/3600)*COS(RADIANS(2*(C13)))</f>
        <v>1.2396511116984313E-4</v>
      </c>
    </row>
    <row r="20" spans="8:8">
      <c r="A20" s="28" t="s">
        <v>58</v>
      </c>
      <c r="B20" s="29"/>
      <c r="C20" s="31">
        <f>23.43929111+(C18)+(C19)-((46.815/3600)*(C12))</f>
        <v>23.438706699197873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1.9072113491550453</v>
      </c>
    </row>
    <row r="22" spans="8:8">
      <c r="A22" s="28" t="s">
        <v>57</v>
      </c>
      <c r="B22" s="29"/>
      <c r="C22" s="31">
        <f>C13+C21+C16+C17-0.0056861</f>
        <v>19.6401175076431</v>
      </c>
    </row>
    <row r="23" spans="8:8">
      <c r="A23" s="28" t="s">
        <v>59</v>
      </c>
      <c r="B23" s="29"/>
      <c r="C23" s="31">
        <f>DEGREES(ASIN(SIN(RADIANS(C22))*SIN(RADIANS(C20))))</f>
        <v>7.683116959996368</v>
      </c>
    </row>
    <row r="24" spans="8:8">
      <c r="A24" s="28" t="s">
        <v>60</v>
      </c>
      <c r="B24" s="29"/>
      <c r="C24" s="31">
        <f>DEGREES(ATAN((TAN(RADIANS(C22)))*(COS(RADIANS(C20)))))</f>
        <v>18.129800159973385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198.1298001599734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-0.02646936495330895</v>
      </c>
    </row>
    <row r="27" spans="8:8">
      <c r="A27" s="28" t="s">
        <v>62</v>
      </c>
      <c r="B27" s="29">
        <f>12+C27</f>
        <v>12.118463968380025</v>
      </c>
      <c r="C27" s="31">
        <f>C26-((C6*15)-C4)/15</f>
        <v>0.118463968380025</v>
      </c>
    </row>
    <row r="28" spans="8:8">
      <c r="A28" s="28" t="s">
        <v>69</v>
      </c>
      <c r="B28" s="29"/>
      <c r="C28" s="31">
        <f>12-C27+2/60</f>
        <v>11.914869364953333</v>
      </c>
      <c r="D28" t="str">
        <f>TRUNC(C28)&amp;":"&amp;ROUNDUP((C28-TRUNC(C28))*60, )</f>
        <v>11:55</v>
      </c>
    </row>
    <row r="29" spans="8:8">
      <c r="A29" s="28" t="s">
        <v>77</v>
      </c>
      <c r="B29" s="29"/>
      <c r="C29" s="31">
        <f>DEGREES(ATAN(1/(TAN(RADIANS(ABS((C5)-(C23))))+1)))</f>
        <v>38.480684378501486</v>
      </c>
      <c r="D29" t="str">
        <f>TRUNC(C29)&amp;":"&amp;ROUNDUP((C29-TRUNC(C29))*60, )</f>
        <v>38:29</v>
      </c>
    </row>
    <row r="30" spans="8:8">
      <c r="A30" s="28" t="s">
        <v>78</v>
      </c>
      <c r="B30" s="29"/>
      <c r="C30" s="31">
        <f>-TAN(RADIANS(C5))*TAN(RADIANS(C23))</f>
        <v>0.016053047663260947</v>
      </c>
      <c r="D30" t="str">
        <f>TRUNC(C30)&amp;":"&amp;ROUNDUP((C30-TRUNC(C30))*60, )</f>
        <v>0:1</v>
      </c>
    </row>
    <row r="31" spans="8:8">
      <c r="A31" s="28" t="s">
        <v>79</v>
      </c>
      <c r="B31" s="29"/>
      <c r="C31" s="31">
        <f>COS(RADIANS(C5))*COS(RADIANS(C23))</f>
        <v>0.9840799394132616</v>
      </c>
      <c r="D31" t="str">
        <f>TRUNC(C31)&amp;":"&amp;ROUNDUP((C31-TRUNC(C31))*60, )</f>
        <v>0:60</v>
      </c>
    </row>
    <row r="32" spans="8:8">
      <c r="A32" s="28" t="s">
        <v>75</v>
      </c>
      <c r="B32" s="29"/>
      <c r="C32" s="31">
        <f>(C28)+DEGREES(ACOS((C30)+SIN(RADIANS(C29))/(C31)))/15</f>
        <v>15.22027968168668</v>
      </c>
      <c r="D32" t="str">
        <f>TRUNC(C32)&amp;":"&amp;ROUNDUP((C32-TRUNC(C32))*60, )</f>
        <v>15:14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0.266653580986323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-1.3817424625278099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17.94714893433978</v>
      </c>
      <c r="D36" t="str">
        <f>TRUNC(C36)&amp;":"&amp;ROUNDUP((C36-TRUNC(C36))*60, )</f>
        <v>17:57</v>
      </c>
    </row>
    <row r="37" spans="8:8">
      <c r="A37" s="32" t="s">
        <v>81</v>
      </c>
      <c r="B37" s="32"/>
      <c r="C37" s="33">
        <f>(C28)+DEGREES(ACOS((C30)+SIN(RADIANS(-18))/(C31)))/15</f>
        <v>19.07055625551202</v>
      </c>
      <c r="D37" t="str">
        <f>TRUNC(C37)&amp;":"&amp;ROUNDUP((C37-TRUNC(C37))*60, )</f>
        <v>19:5</v>
      </c>
    </row>
    <row r="38" spans="8:8">
      <c r="A38" s="32" t="s">
        <v>82</v>
      </c>
      <c r="B38" s="32"/>
      <c r="C38" s="33">
        <f>(C28)-DEGREES(ACOS((C30)+SIN(RADIANS(-20))/(C31)))/15</f>
        <v>4.624212388757661</v>
      </c>
      <c r="D38" t="str">
        <f>TRUNC(C38)&amp;":"&amp;ROUNDUP((C38-TRUNC(C38))*60, )</f>
        <v>4:38</v>
      </c>
    </row>
    <row r="39" spans="8:8">
      <c r="A39" t="s">
        <v>103</v>
      </c>
      <c r="C39">
        <f>C38-10/60</f>
        <v>4.457545722090993</v>
      </c>
      <c r="D39" t="str">
        <f>TRUNC(C39)&amp;":"&amp;ROUNDUP((C39-TRUNC(C39))*60, )</f>
        <v>4:28</v>
      </c>
    </row>
    <row r="40" spans="8:8">
      <c r="A40" t="s">
        <v>98</v>
      </c>
      <c r="C40">
        <f>(C28)-DEGREES(ACOS((C30)+SIN(RADIANS(C35))/(C31)))/15-6/60</f>
        <v>5.78258979556685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6.281289178970961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6.620834142921951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12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12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10.0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2460410.5</v>
      </c>
    </row>
    <row r="12" spans="8:8">
      <c r="A12" s="28" t="s">
        <v>10</v>
      </c>
      <c r="B12" s="29"/>
      <c r="C12" s="31">
        <f>(C11-2451545)/36525</f>
        <v>0.24272416153319645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18.723121536345104</v>
      </c>
    </row>
    <row r="14" spans="8:8">
      <c r="A14" s="28" t="s">
        <v>12</v>
      </c>
      <c r="B14" s="29"/>
      <c r="C14" s="31">
        <f>(((357.5291+(35999.0503*(C12)))/360)-TRUNC(((357.5291+(35999.0503*(C12)))/360)))*360</f>
        <v>95.36840005886603</v>
      </c>
    </row>
    <row r="15" spans="8:8">
      <c r="A15" s="28" t="s">
        <v>14</v>
      </c>
      <c r="B15" s="29"/>
      <c r="C15" s="31">
        <f>(((125.04-(1934.136*(C12)))/360)-TRUNC(((125.04-(1934.136*(C12)))/360)))*360</f>
        <v>-344.4215388911704</v>
      </c>
    </row>
    <row r="16" spans="8:8">
      <c r="A16" s="28" t="s">
        <v>29</v>
      </c>
      <c r="B16" s="29"/>
      <c r="C16" s="31">
        <f>((17.264/3600)*SIN(RADIANS(C15)))+((0.206/3600)*SIN(RADIANS(2*(C15))))</f>
        <v>0.0013174893392130034</v>
      </c>
    </row>
    <row r="17" spans="8:8">
      <c r="A17" s="28" t="s">
        <v>30</v>
      </c>
      <c r="B17" s="29"/>
      <c r="C17" s="31">
        <f>(-1.264/3600)*SIN(RADIANS(2*(C13)))</f>
        <v>-2.1348145738412218E-4</v>
      </c>
    </row>
    <row r="18" spans="8:8">
      <c r="A18" s="28" t="s">
        <v>32</v>
      </c>
      <c r="B18" s="29"/>
      <c r="C18" s="31">
        <f>(9.23/3600)*COS(RADIANS(C15))-(0.09/3600)*COS(RADIANS(2*(C15)))</f>
        <v>0.0024483069839714077</v>
      </c>
    </row>
    <row r="19" spans="8:8">
      <c r="A19" s="28" t="s">
        <v>33</v>
      </c>
      <c r="B19" s="29"/>
      <c r="C19" s="31">
        <f>(0.548/3600)*COS(RADIANS(2*(C13)))</f>
        <v>1.2085289877366588E-4</v>
      </c>
    </row>
    <row r="20" spans="8:8">
      <c r="A20" s="28" t="s">
        <v>58</v>
      </c>
      <c r="B20" s="29"/>
      <c r="C20" s="31">
        <f>23.43929111+(C18)+(C19)-((46.815/3600)*(C12))</f>
        <v>23.438703844432094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1.9037344249691772</v>
      </c>
    </row>
    <row r="22" spans="8:8">
      <c r="A22" s="28" t="s">
        <v>57</v>
      </c>
      <c r="B22" s="29"/>
      <c r="C22" s="31">
        <f>C13+C21+C16+C17-0.0056861</f>
        <v>20.622273869196103</v>
      </c>
    </row>
    <row r="23" spans="8:8">
      <c r="A23" s="28" t="s">
        <v>59</v>
      </c>
      <c r="B23" s="29"/>
      <c r="C23" s="31">
        <f>DEGREES(ASIN(SIN(RADIANS(C22))*SIN(RADIANS(C20))))</f>
        <v>8.053401203789129</v>
      </c>
    </row>
    <row r="24" spans="8:8">
      <c r="A24" s="28" t="s">
        <v>60</v>
      </c>
      <c r="B24" s="29"/>
      <c r="C24" s="31">
        <f>DEGREES(ATAN((TAN(RADIANS(C22)))*(COS(RADIANS(C20)))))</f>
        <v>19.048129315161113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199.0481293151611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-0.021976615324675063</v>
      </c>
    </row>
    <row r="27" spans="8:8">
      <c r="A27" s="28" t="s">
        <v>62</v>
      </c>
      <c r="B27" s="29">
        <f>12+C27</f>
        <v>12.122956718008659</v>
      </c>
      <c r="C27" s="31">
        <f>C26-((C6*15)-C4)/15</f>
        <v>0.1229567180086589</v>
      </c>
    </row>
    <row r="28" spans="8:8">
      <c r="A28" s="28" t="s">
        <v>69</v>
      </c>
      <c r="B28" s="29"/>
      <c r="C28" s="31">
        <f>12-C27+2/60</f>
        <v>11.910376615324633</v>
      </c>
      <c r="D28" t="str">
        <f>TRUNC(C28)&amp;":"&amp;ROUNDUP((C28-TRUNC(C28))*60, )</f>
        <v>11:55</v>
      </c>
    </row>
    <row r="29" spans="8:8">
      <c r="A29" s="28" t="s">
        <v>77</v>
      </c>
      <c r="B29" s="29"/>
      <c r="C29" s="31">
        <f>DEGREES(ATAN(1/(TAN(RADIANS(ABS((C5)-(C23))))+1)))</f>
        <v>38.328021425704925</v>
      </c>
      <c r="D29" t="str">
        <f>TRUNC(C29)&amp;":"&amp;ROUNDUP((C29-TRUNC(C29))*60, )</f>
        <v>38:20</v>
      </c>
    </row>
    <row r="30" spans="8:8">
      <c r="A30" s="28" t="s">
        <v>78</v>
      </c>
      <c r="B30" s="29"/>
      <c r="C30" s="31">
        <f>-TAN(RADIANS(C5))*TAN(RADIANS(C23))</f>
        <v>0.016836764001697722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0.9832014252469579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15.21967342635074</v>
      </c>
      <c r="D32" t="str">
        <f>TRUNC(C32)&amp;":"&amp;ROUNDUP((C32-TRUNC(C32))*60, )</f>
        <v>15:14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0.26657600904414364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-1.38166489058563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17.93974088699094</v>
      </c>
      <c r="D36" t="str">
        <f>TRUNC(C36)&amp;":"&amp;ROUNDUP((C36-TRUNC(C36))*60, )</f>
        <v>17:57</v>
      </c>
    </row>
    <row r="37" spans="8:8">
      <c r="A37" s="32" t="s">
        <v>81</v>
      </c>
      <c r="B37" s="32"/>
      <c r="C37" s="33">
        <f>(C28)+DEGREES(ACOS((C30)+SIN(RADIANS(-18))/(C31)))/15</f>
        <v>19.06405038731992</v>
      </c>
      <c r="D37" t="str">
        <f>TRUNC(C37)&amp;":"&amp;ROUNDUP((C37-TRUNC(C37))*60, )</f>
        <v>19:4</v>
      </c>
    </row>
    <row r="38" spans="8:8">
      <c r="A38" s="32" t="s">
        <v>82</v>
      </c>
      <c r="B38" s="32"/>
      <c r="C38" s="33">
        <f>(C28)-DEGREES(ACOS((C30)+SIN(RADIANS(-20))/(C31)))/15</f>
        <v>4.621635166247099</v>
      </c>
      <c r="D38" t="str">
        <f>TRUNC(C38)&amp;":"&amp;ROUNDUP((C38-TRUNC(C38))*60, )</f>
        <v>4:38</v>
      </c>
    </row>
    <row r="39" spans="8:8">
      <c r="A39" t="s">
        <v>103</v>
      </c>
      <c r="C39">
        <f>C38-10/60</f>
        <v>4.454968499580433</v>
      </c>
      <c r="D39" t="str">
        <f>TRUNC(C39)&amp;":"&amp;ROUNDUP((C39-TRUNC(C39))*60, )</f>
        <v>4:28</v>
      </c>
    </row>
    <row r="40" spans="8:8">
      <c r="A40" t="s">
        <v>98</v>
      </c>
      <c r="C40">
        <f>(C28)-DEGREES(ACOS((C30)+SIN(RADIANS(C35))/(C31)))/15-6/60</f>
        <v>5.7810123436583005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6.2800773387444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6.61996949838062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13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24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11.0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2460411.5</v>
      </c>
    </row>
    <row r="12" spans="8:8">
      <c r="A12" s="28" t="s">
        <v>10</v>
      </c>
      <c r="B12" s="29"/>
      <c r="C12" s="31">
        <f>(C11-2451545)/36525</f>
        <v>0.24275154004106775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19.708768896507678</v>
      </c>
    </row>
    <row r="14" spans="8:8">
      <c r="A14" s="28" t="s">
        <v>12</v>
      </c>
      <c r="B14" s="29"/>
      <c r="C14" s="31">
        <f>(((357.5291+(35999.0503*(C12)))/360)-TRUNC(((357.5291+(35999.0503*(C12)))/360)))*360</f>
        <v>96.35400034086132</v>
      </c>
    </row>
    <row r="15" spans="8:8">
      <c r="A15" s="28" t="s">
        <v>14</v>
      </c>
      <c r="B15" s="29"/>
      <c r="C15" s="31">
        <f>(((125.04-(1934.136*(C12)))/360)-TRUNC(((125.04-(1934.136*(C12)))/360)))*360</f>
        <v>-344.4744926488706</v>
      </c>
    </row>
    <row r="16" spans="8:8">
      <c r="A16" s="28" t="s">
        <v>29</v>
      </c>
      <c r="B16" s="29"/>
      <c r="C16" s="31">
        <f>((17.264/3600)*SIN(RADIANS(C15)))+((0.206/3600)*SIN(RADIANS(2*(C15))))</f>
        <v>0.0013131289096377096</v>
      </c>
    </row>
    <row r="17" spans="8:8">
      <c r="A17" s="28" t="s">
        <v>30</v>
      </c>
      <c r="B17" s="29"/>
      <c r="C17" s="31">
        <f>(-1.264/3600)*SIN(RADIANS(2*(C13)))</f>
        <v>-2.229439728240819E-4</v>
      </c>
    </row>
    <row r="18" spans="8:8">
      <c r="A18" s="28" t="s">
        <v>32</v>
      </c>
      <c r="B18" s="29"/>
      <c r="C18" s="31">
        <f>(9.23/3600)*COS(RADIANS(C15))-(0.09/3600)*COS(RADIANS(2*(C15)))</f>
        <v>0.0024489184288167295</v>
      </c>
    </row>
    <row r="19" spans="8:8">
      <c r="A19" s="28" t="s">
        <v>33</v>
      </c>
      <c r="B19" s="29"/>
      <c r="C19" s="31">
        <f>(0.548/3600)*COS(RADIANS(2*(C13)))</f>
        <v>1.1759764157482066E-4</v>
      </c>
    </row>
    <row r="20" spans="8:8">
      <c r="A20" s="28" t="s">
        <v>58</v>
      </c>
      <c r="B20" s="29"/>
      <c r="C20" s="31">
        <f>23.43929111+(C18)+(C19)-((46.815/3600)*(C12))</f>
        <v>23.438700844585117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1.8996981065676597</v>
      </c>
    </row>
    <row r="22" spans="8:8">
      <c r="A22" s="28" t="s">
        <v>57</v>
      </c>
      <c r="B22" s="29"/>
      <c r="C22" s="31">
        <f>C13+C21+C16+C17-0.0056861</f>
        <v>21.603871088012202</v>
      </c>
    </row>
    <row r="23" spans="8:8">
      <c r="A23" s="28" t="s">
        <v>59</v>
      </c>
      <c r="B23" s="29"/>
      <c r="C23" s="31">
        <f>DEGREES(ASIN(SIN(RADIANS(C22))*SIN(RADIANS(C20))))</f>
        <v>8.421430869267263</v>
      </c>
    </row>
    <row r="24" spans="8:8">
      <c r="A24" s="28" t="s">
        <v>60</v>
      </c>
      <c r="B24" s="29"/>
      <c r="C24" s="31">
        <f>DEGREES(ATAN((TAN(RADIANS(C22)))*(COS(RADIANS(C20)))))</f>
        <v>19.967610581257954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199.96761058125796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-0.017559795943091906</v>
      </c>
    </row>
    <row r="27" spans="8:8">
      <c r="A27" s="28" t="s">
        <v>62</v>
      </c>
      <c r="B27" s="29">
        <f>12+C27</f>
        <v>12.127373537390241</v>
      </c>
      <c r="C27" s="31">
        <f>C26-((C6*15)-C4)/15</f>
        <v>0.1273735373902421</v>
      </c>
    </row>
    <row r="28" spans="8:8">
      <c r="A28" s="28" t="s">
        <v>69</v>
      </c>
      <c r="B28" s="29"/>
      <c r="C28" s="31">
        <f>12-C27+2/60</f>
        <v>11.905959795943133</v>
      </c>
      <c r="D28" t="str">
        <f>TRUNC(C28)&amp;":"&amp;ROUNDUP((C28-TRUNC(C28))*60, )</f>
        <v>11:55</v>
      </c>
    </row>
    <row r="29" spans="8:8">
      <c r="A29" s="28" t="s">
        <v>77</v>
      </c>
      <c r="B29" s="29"/>
      <c r="C29" s="31">
        <f>DEGREES(ATAN(1/(TAN(RADIANS(ABS((C5)-(C23))))+1)))</f>
        <v>38.17678717330132</v>
      </c>
      <c r="D29" t="str">
        <f>TRUNC(C29)&amp;":"&amp;ROUNDUP((C29-TRUNC(C29))*60, )</f>
        <v>38:11</v>
      </c>
    </row>
    <row r="30" spans="8:8">
      <c r="A30" s="28" t="s">
        <v>78</v>
      </c>
      <c r="B30" s="29"/>
      <c r="C30" s="31">
        <f>-TAN(RADIANS(C5))*TAN(RADIANS(C23))</f>
        <v>0.017617129863341782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0.9822875699020388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15.21897960473107</v>
      </c>
      <c r="D32" t="str">
        <f>TRUNC(C32)&amp;":"&amp;ROUNDUP((C32-TRUNC(C32))*60, )</f>
        <v>15:14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0.2664986074087114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-1.3815874889502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17.93242511013171</v>
      </c>
      <c r="D36" t="str">
        <f>TRUNC(C36)&amp;":"&amp;ROUNDUP((C36-TRUNC(C36))*60, )</f>
        <v>17:56</v>
      </c>
    </row>
    <row r="37" spans="8:8">
      <c r="A37" s="32" t="s">
        <v>81</v>
      </c>
      <c r="B37" s="32"/>
      <c r="C37" s="33">
        <f>(C28)+DEGREES(ACOS((C30)+SIN(RADIANS(-18))/(C31)))/15</f>
        <v>19.05768146392515</v>
      </c>
      <c r="D37" t="str">
        <f>TRUNC(C37)&amp;":"&amp;ROUNDUP((C37-TRUNC(C37))*60, )</f>
        <v>19:4</v>
      </c>
    </row>
    <row r="38" spans="8:8">
      <c r="A38" s="32" t="s">
        <v>82</v>
      </c>
      <c r="B38" s="32"/>
      <c r="C38" s="33">
        <f>(C28)-DEGREES(ACOS((C30)+SIN(RADIANS(-20))/(C31)))/15</f>
        <v>4.619067029921419</v>
      </c>
      <c r="D38" t="str">
        <f>TRUNC(C38)&amp;":"&amp;ROUNDUP((C38-TRUNC(C38))*60, )</f>
        <v>4:38</v>
      </c>
    </row>
    <row r="39" spans="8:8">
      <c r="A39" t="s">
        <v>103</v>
      </c>
      <c r="C39">
        <f>C38-10/60</f>
        <v>4.452400363254753</v>
      </c>
      <c r="D39" t="str">
        <f>TRUNC(C39)&amp;":"&amp;ROUNDUP((C39-TRUNC(C39))*60, )</f>
        <v>4:28</v>
      </c>
    </row>
    <row r="40" spans="8:8">
      <c r="A40" t="s">
        <v>98</v>
      </c>
      <c r="C40">
        <f>(C28)-DEGREES(ACOS((C30)+SIN(RADIANS(C35))/(C31)))/15-6/60</f>
        <v>5.77949448175453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6.278940361320399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6.619192948271239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14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22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12.0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2460412.5</v>
      </c>
    </row>
    <row r="12" spans="8:8">
      <c r="A12" s="28" t="s">
        <v>10</v>
      </c>
      <c r="B12" s="29"/>
      <c r="C12" s="31">
        <f>(C11-2451545)/36525</f>
        <v>0.24277891854893907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20.69441625667281</v>
      </c>
    </row>
    <row r="14" spans="8:8">
      <c r="A14" s="28" t="s">
        <v>12</v>
      </c>
      <c r="B14" s="29"/>
      <c r="C14" s="31">
        <f>(((357.5291+(35999.0503*(C12)))/360)-TRUNC(((357.5291+(35999.0503*(C12)))/360)))*360</f>
        <v>97.33960062286172</v>
      </c>
    </row>
    <row r="15" spans="8:8">
      <c r="A15" s="28" t="s">
        <v>14</v>
      </c>
      <c r="B15" s="29"/>
      <c r="C15" s="31">
        <f>(((125.04-(1934.136*(C12)))/360)-TRUNC(((125.04-(1934.136*(C12)))/360)))*360</f>
        <v>-344.5274464065708</v>
      </c>
    </row>
    <row r="16" spans="8:8">
      <c r="A16" s="28" t="s">
        <v>29</v>
      </c>
      <c r="B16" s="29"/>
      <c r="C16" s="31">
        <f>((17.264/3600)*SIN(RADIANS(C15)))+((0.206/3600)*SIN(RADIANS(2*(C15))))</f>
        <v>0.0013087672827829795</v>
      </c>
    </row>
    <row r="17" spans="8:8">
      <c r="A17" s="28" t="s">
        <v>30</v>
      </c>
      <c r="B17" s="29"/>
      <c r="C17" s="31">
        <f>(-1.264/3600)*SIN(RADIANS(2*(C13)))</f>
        <v>-2.3214260566857924E-4</v>
      </c>
    </row>
    <row r="18" spans="8:8">
      <c r="A18" s="28" t="s">
        <v>32</v>
      </c>
      <c r="B18" s="29"/>
      <c r="C18" s="31">
        <f>(9.23/3600)*COS(RADIANS(C15))-(0.09/3600)*COS(RADIANS(2*(C15)))</f>
        <v>0.002449527836733912</v>
      </c>
    </row>
    <row r="19" spans="8:8">
      <c r="A19" s="28" t="s">
        <v>33</v>
      </c>
      <c r="B19" s="29"/>
      <c r="C19" s="31">
        <f>(0.548/3600)*COS(RADIANS(2*(C13)))</f>
        <v>1.1420319258491376E-4</v>
      </c>
    </row>
    <row r="20" spans="8:8">
      <c r="A20" s="28" t="s">
        <v>58</v>
      </c>
      <c r="B20" s="29"/>
      <c r="C20" s="31">
        <f>23.43929111+(C18)+(C19)-((46.815/3600)*(C12))</f>
        <v>23.438697703509337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1.895104177169223</v>
      </c>
    </row>
    <row r="22" spans="8:8">
      <c r="A22" s="28" t="s">
        <v>57</v>
      </c>
      <c r="B22" s="29"/>
      <c r="C22" s="31">
        <f>C13+C21+C16+C17-0.0056861</f>
        <v>22.584910958519103</v>
      </c>
    </row>
    <row r="23" spans="8:8">
      <c r="A23" s="28" t="s">
        <v>59</v>
      </c>
      <c r="B23" s="29"/>
      <c r="C23" s="31">
        <f>DEGREES(ASIN(SIN(RADIANS(C22))*SIN(RADIANS(C20))))</f>
        <v>8.787111521073198</v>
      </c>
    </row>
    <row r="24" spans="8:8">
      <c r="A24" s="28" t="s">
        <v>60</v>
      </c>
      <c r="B24" s="29"/>
      <c r="C24" s="31">
        <f>DEGREES(ATAN((TAN(RADIANS(C22)))*(COS(RADIANS(C20)))))</f>
        <v>20.888313638543497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200.8883136385435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-0.013223612283219176</v>
      </c>
    </row>
    <row r="27" spans="8:8">
      <c r="A27" s="28" t="s">
        <v>62</v>
      </c>
      <c r="B27" s="29">
        <f>12+C27</f>
        <v>12.131709721050115</v>
      </c>
      <c r="C27" s="31">
        <f>C26-((C6*15)-C4)/15</f>
        <v>0.1317097210501148</v>
      </c>
    </row>
    <row r="28" spans="8:8">
      <c r="A28" s="28" t="s">
        <v>69</v>
      </c>
      <c r="B28" s="29"/>
      <c r="C28" s="31">
        <f>12-C27+2/60</f>
        <v>11.901623612283233</v>
      </c>
      <c r="D28" t="str">
        <f>TRUNC(C28)&amp;":"&amp;ROUNDUP((C28-TRUNC(C28))*60, )</f>
        <v>11:55</v>
      </c>
    </row>
    <row r="29" spans="8:8">
      <c r="A29" s="28" t="s">
        <v>77</v>
      </c>
      <c r="B29" s="29"/>
      <c r="C29" s="31">
        <f>DEGREES(ATAN(1/(TAN(RADIANS(ABS((C5)-(C23))))+1)))</f>
        <v>38.02699844770321</v>
      </c>
      <c r="D29" t="str">
        <f>TRUNC(C29)&amp;":"&amp;ROUNDUP((C29-TRUNC(C29))*60, )</f>
        <v>38:2</v>
      </c>
    </row>
    <row r="30" spans="8:8">
      <c r="A30" s="28" t="s">
        <v>78</v>
      </c>
      <c r="B30" s="29"/>
      <c r="C30" s="31">
        <f>-TAN(RADIANS(C5))*TAN(RADIANS(C23))</f>
        <v>0.018393986207219295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0.9813394062873352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15.218205886946311</v>
      </c>
      <c r="D32" t="str">
        <f>TRUNC(C32)&amp;":"&amp;ROUNDUP((C32-TRUNC(C32))*60, )</f>
        <v>15:14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0.26642139870593784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-1.38151028024742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17.92520683625441</v>
      </c>
      <c r="D36" t="str">
        <f>TRUNC(C36)&amp;":"&amp;ROUNDUP((C36-TRUNC(C36))*60, )</f>
        <v>17:56</v>
      </c>
    </row>
    <row r="37" spans="8:8">
      <c r="A37" s="32" t="s">
        <v>81</v>
      </c>
      <c r="B37" s="32"/>
      <c r="C37" s="33">
        <f>(C28)+DEGREES(ACOS((C30)+SIN(RADIANS(-18))/(C31)))/15</f>
        <v>19.051453730073902</v>
      </c>
      <c r="D37" t="str">
        <f>TRUNC(C37)&amp;":"&amp;ROUNDUP((C37-TRUNC(C37))*60, )</f>
        <v>19:4</v>
      </c>
    </row>
    <row r="38" spans="8:8">
      <c r="A38" s="32" t="s">
        <v>82</v>
      </c>
      <c r="B38" s="32"/>
      <c r="C38" s="33">
        <f>(C28)-DEGREES(ACOS((C30)+SIN(RADIANS(-20))/(C31)))/15</f>
        <v>4.616513271192191</v>
      </c>
      <c r="D38" t="str">
        <f>TRUNC(C38)&amp;":"&amp;ROUNDUP((C38-TRUNC(C38))*60, )</f>
        <v>4:37</v>
      </c>
    </row>
    <row r="39" spans="8:8">
      <c r="A39" t="s">
        <v>103</v>
      </c>
      <c r="C39">
        <f>C38-10/60</f>
        <v>4.449846604525523</v>
      </c>
      <c r="D39" t="str">
        <f>TRUNC(C39)&amp;":"&amp;ROUNDUP((C39-TRUNC(C39))*60, )</f>
        <v>4:27</v>
      </c>
    </row>
    <row r="40" spans="8:8">
      <c r="A40" t="s">
        <v>98</v>
      </c>
      <c r="C40">
        <f>(C28)-DEGREES(ACOS((C30)+SIN(RADIANS(C35))/(C31)))/15-6/60</f>
        <v>5.77804038831203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6.277882083835381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6.618508035483991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15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18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13.0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2460413.5</v>
      </c>
    </row>
    <row r="12" spans="8:8">
      <c r="A12" s="28" t="s">
        <v>10</v>
      </c>
      <c r="B12" s="29"/>
      <c r="C12" s="31">
        <f>(C11-2451545)/36525</f>
        <v>0.2428062970568104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21.680063616836662</v>
      </c>
    </row>
    <row r="14" spans="8:8">
      <c r="A14" s="28" t="s">
        <v>12</v>
      </c>
      <c r="B14" s="29"/>
      <c r="C14" s="31">
        <f>(((357.5291+(35999.0503*(C12)))/360)-TRUNC(((357.5291+(35999.0503*(C12)))/360)))*360</f>
        <v>98.32520090485957</v>
      </c>
    </row>
    <row r="15" spans="8:8">
      <c r="A15" s="28" t="s">
        <v>14</v>
      </c>
      <c r="B15" s="29"/>
      <c r="C15" s="31">
        <f>(((125.04-(1934.136*(C12)))/360)-TRUNC(((125.04-(1934.136*(C12)))/360)))*360</f>
        <v>-344.580400164271</v>
      </c>
    </row>
    <row r="16" spans="8:8">
      <c r="A16" s="28" t="s">
        <v>29</v>
      </c>
      <c r="B16" s="29"/>
      <c r="C16" s="31">
        <f>((17.264/3600)*SIN(RADIANS(C15)))+((0.206/3600)*SIN(RADIANS(2*(C15))))</f>
        <v>0.0013044044626067816</v>
      </c>
    </row>
    <row r="17" spans="8:8">
      <c r="A17" s="28" t="s">
        <v>30</v>
      </c>
      <c r="B17" s="29"/>
      <c r="C17" s="31">
        <f>(-1.264/3600)*SIN(RADIANS(2*(C13)))</f>
        <v>-2.4106646816367635E-4</v>
      </c>
    </row>
    <row r="18" spans="8:8">
      <c r="A18" s="28" t="s">
        <v>32</v>
      </c>
      <c r="B18" s="29"/>
      <c r="C18" s="31">
        <f>(9.23/3600)*COS(RADIANS(C15))-(0.09/3600)*COS(RADIANS(2*(C15)))</f>
        <v>0.0024501352072633905</v>
      </c>
    </row>
    <row r="19" spans="8:8">
      <c r="A19" s="28" t="s">
        <v>33</v>
      </c>
      <c r="B19" s="29"/>
      <c r="C19" s="31">
        <f>(0.548/3600)*COS(RADIANS(2*(C13)))</f>
        <v>1.1067356956679945E-4</v>
      </c>
    </row>
    <row r="20" spans="8:8">
      <c r="A20" s="28" t="s">
        <v>58</v>
      </c>
      <c r="B20" s="29"/>
      <c r="C20" s="31">
        <f>23.43929111+(C18)+(C19)-((46.815/3600)*(C12))</f>
        <v>23.438694425222156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1.889954578763915</v>
      </c>
    </row>
    <row r="22" spans="8:8">
      <c r="A22" s="28" t="s">
        <v>57</v>
      </c>
      <c r="B22" s="29"/>
      <c r="C22" s="31">
        <f>C13+C21+C16+C17-0.0056861</f>
        <v>23.565395433595</v>
      </c>
    </row>
    <row r="23" spans="8:8">
      <c r="A23" s="28" t="s">
        <v>59</v>
      </c>
      <c r="B23" s="29"/>
      <c r="C23" s="31">
        <f>DEGREES(ASIN(SIN(RADIANS(C22))*SIN(RADIANS(C20))))</f>
        <v>9.150348951976513</v>
      </c>
    </row>
    <row r="24" spans="8:8">
      <c r="A24" s="28" t="s">
        <v>60</v>
      </c>
      <c r="B24" s="29"/>
      <c r="C24" s="31">
        <f>DEGREES(ATAN((TAN(RADIANS(C22)))*(COS(RADIANS(C20)))))</f>
        <v>21.810306805554948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201.81030680555494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-0.008972687375905153</v>
      </c>
    </row>
    <row r="27" spans="8:8">
      <c r="A27" s="28" t="s">
        <v>62</v>
      </c>
      <c r="B27" s="29">
        <f>12+C27</f>
        <v>12.135960645957429</v>
      </c>
      <c r="C27" s="31">
        <f>C26-((C6*15)-C4)/15</f>
        <v>0.13596064595742885</v>
      </c>
    </row>
    <row r="28" spans="8:8">
      <c r="A28" s="28" t="s">
        <v>69</v>
      </c>
      <c r="B28" s="29"/>
      <c r="C28" s="31">
        <f>12-C27+2/60</f>
        <v>11.897372687375933</v>
      </c>
      <c r="D28" t="str">
        <f>TRUNC(C28)&amp;":"&amp;ROUNDUP((C28-TRUNC(C28))*60, )</f>
        <v>11:54</v>
      </c>
    </row>
    <row r="29" spans="8:8">
      <c r="A29" s="28" t="s">
        <v>77</v>
      </c>
      <c r="B29" s="29"/>
      <c r="C29" s="31">
        <f>DEGREES(ATAN(1/(TAN(RADIANS(ABS((C5)-(C23))))+1)))</f>
        <v>37.8786721615002</v>
      </c>
      <c r="D29" t="str">
        <f>TRUNC(C29)&amp;":"&amp;ROUNDUP((C29-TRUNC(C29))*60, )</f>
        <v>37:53</v>
      </c>
    </row>
    <row r="30" spans="8:8">
      <c r="A30" s="28" t="s">
        <v>78</v>
      </c>
      <c r="B30" s="29"/>
      <c r="C30" s="31">
        <f>-TAN(RADIANS(C5))*TAN(RADIANS(C23))</f>
        <v>0.019167171026626177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0.9803580033763837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15.21735989561816</v>
      </c>
      <c r="D32" t="str">
        <f>TRUNC(C32)&amp;":"&amp;ROUNDUP((C32-TRUNC(C32))*60, )</f>
        <v>15:14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0.26634440546582605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-1.38143328700731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17.918091223395777</v>
      </c>
      <c r="D36" t="str">
        <f>TRUNC(C36)&amp;":"&amp;ROUNDUP((C36-TRUNC(C36))*60, )</f>
        <v>17:56</v>
      </c>
    </row>
    <row r="37" spans="8:8">
      <c r="A37" s="32" t="s">
        <v>81</v>
      </c>
      <c r="B37" s="32"/>
      <c r="C37" s="33">
        <f>(C28)+DEGREES(ACOS((C30)+SIN(RADIANS(-18))/(C31)))/15</f>
        <v>19.04537131545823</v>
      </c>
      <c r="D37" t="str">
        <f>TRUNC(C37)&amp;":"&amp;ROUNDUP((C37-TRUNC(C37))*60, )</f>
        <v>19:3</v>
      </c>
    </row>
    <row r="38" spans="8:8">
      <c r="A38" s="32" t="s">
        <v>82</v>
      </c>
      <c r="B38" s="32"/>
      <c r="C38" s="33">
        <f>(C28)-DEGREES(ACOS((C30)+SIN(RADIANS(-20))/(C31)))/15</f>
        <v>4.6139791365679095</v>
      </c>
      <c r="D38" t="str">
        <f>TRUNC(C38)&amp;":"&amp;ROUNDUP((C38-TRUNC(C38))*60, )</f>
        <v>4:37</v>
      </c>
    </row>
    <row r="39" spans="8:8">
      <c r="A39" t="s">
        <v>103</v>
      </c>
      <c r="C39">
        <f>C38-10/60</f>
        <v>4.447312469901243</v>
      </c>
      <c r="D39" t="str">
        <f>TRUNC(C39)&amp;":"&amp;ROUNDUP((C39-TRUNC(C39))*60, )</f>
        <v>4:27</v>
      </c>
    </row>
    <row r="40" spans="8:8">
      <c r="A40" t="s">
        <v>98</v>
      </c>
      <c r="C40">
        <f>(C28)-DEGREES(ACOS((C30)+SIN(RADIANS(C35))/(C31)))/15-6/60</f>
        <v>5.77665415135605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6.276906238148079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6.617918184411999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16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20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14.0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2460414.5</v>
      </c>
    </row>
    <row r="12" spans="8:8">
      <c r="A12" s="28" t="s">
        <v>10</v>
      </c>
      <c r="B12" s="29"/>
      <c r="C12" s="31">
        <f>(C11-2451545)/36525</f>
        <v>0.24283367556468172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22.665710977000515</v>
      </c>
    </row>
    <row r="14" spans="8:8">
      <c r="A14" s="28" t="s">
        <v>12</v>
      </c>
      <c r="B14" s="29"/>
      <c r="C14" s="31">
        <f>(((357.5291+(35999.0503*(C12)))/360)-TRUNC(((357.5291+(35999.0503*(C12)))/360)))*360</f>
        <v>99.3108011868587</v>
      </c>
    </row>
    <row r="15" spans="8:8">
      <c r="A15" s="28" t="s">
        <v>14</v>
      </c>
      <c r="B15" s="29"/>
      <c r="C15" s="31">
        <f>(((125.04-(1934.136*(C12)))/360)-TRUNC(((125.04-(1934.136*(C12)))/360)))*360</f>
        <v>-344.6333539219712</v>
      </c>
    </row>
    <row r="16" spans="8:8">
      <c r="A16" s="28" t="s">
        <v>29</v>
      </c>
      <c r="B16" s="29"/>
      <c r="C16" s="31">
        <f>((17.264/3600)*SIN(RADIANS(C15)))+((0.206/3600)*SIN(RADIANS(2*(C15))))</f>
        <v>0.001300040453068318</v>
      </c>
    </row>
    <row r="17" spans="8:8">
      <c r="A17" s="28" t="s">
        <v>30</v>
      </c>
      <c r="B17" s="29"/>
      <c r="C17" s="31">
        <f>(-1.264/3600)*SIN(RADIANS(2*(C13)))</f>
        <v>-2.497049977811988E-4</v>
      </c>
    </row>
    <row r="18" spans="8:8">
      <c r="A18" s="28" t="s">
        <v>32</v>
      </c>
      <c r="B18" s="29"/>
      <c r="C18" s="31">
        <f>(9.23/3600)*COS(RADIANS(C15))-(0.09/3600)*COS(RADIANS(2*(C15)))</f>
        <v>0.002450740539947179</v>
      </c>
    </row>
    <row r="19" spans="8:8">
      <c r="A19" s="28" t="s">
        <v>33</v>
      </c>
      <c r="B19" s="29"/>
      <c r="C19" s="31">
        <f>(0.548/3600)*COS(RADIANS(2*(C13)))</f>
        <v>1.0701295027899857E-4</v>
      </c>
    </row>
    <row r="20" spans="8:8">
      <c r="A20" s="28" t="s">
        <v>58</v>
      </c>
      <c r="B20" s="29"/>
      <c r="C20" s="31">
        <f>23.43929111+(C18)+(C19)-((46.815/3600)*(C12))</f>
        <v>23.43869101390088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1.8842514108657837</v>
      </c>
    </row>
    <row r="22" spans="8:8">
      <c r="A22" s="28" t="s">
        <v>57</v>
      </c>
      <c r="B22" s="29"/>
      <c r="C22" s="31">
        <f>C13+C21+C16+C17-0.0056861</f>
        <v>24.5453266233216</v>
      </c>
    </row>
    <row r="23" spans="8:8">
      <c r="A23" s="28" t="s">
        <v>59</v>
      </c>
      <c r="B23" s="29"/>
      <c r="C23" s="31">
        <f>DEGREES(ASIN(SIN(RADIANS(C22))*SIN(RADIANS(C20))))</f>
        <v>9.511049183586138</v>
      </c>
    </row>
    <row r="24" spans="8:8">
      <c r="A24" s="28" t="s">
        <v>60</v>
      </c>
      <c r="B24" s="29"/>
      <c r="C24" s="31">
        <f>DEGREES(ATAN((TAN(RADIANS(C22)))*(COS(RADIANS(C20)))))</f>
        <v>22.73365697713175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202.73365697713174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-0.004811556991242264</v>
      </c>
    </row>
    <row r="27" spans="8:8">
      <c r="A27" s="28" t="s">
        <v>62</v>
      </c>
      <c r="B27" s="29">
        <f>12+C27</f>
        <v>12.140121776342092</v>
      </c>
      <c r="C27" s="31">
        <f>C26-((C6*15)-C4)/15</f>
        <v>0.14012177634209175</v>
      </c>
    </row>
    <row r="28" spans="8:8">
      <c r="A28" s="28" t="s">
        <v>69</v>
      </c>
      <c r="B28" s="29"/>
      <c r="C28" s="31">
        <f>12-C27+2/60</f>
        <v>11.893211556991233</v>
      </c>
      <c r="D28" t="str">
        <f>TRUNC(C28)&amp;":"&amp;ROUNDUP((C28-TRUNC(C28))*60, )</f>
        <v>11:54</v>
      </c>
    </row>
    <row r="29" spans="8:8">
      <c r="A29" s="28" t="s">
        <v>77</v>
      </c>
      <c r="B29" s="29"/>
      <c r="C29" s="31">
        <f>DEGREES(ATAN(1/(TAN(RADIANS(ABS((C5)-(C23))))+1)))</f>
        <v>37.73182533429083</v>
      </c>
      <c r="D29" t="str">
        <f>TRUNC(C29)&amp;":"&amp;ROUNDUP((C29-TRUNC(C29))*60, )</f>
        <v>37:44</v>
      </c>
    </row>
    <row r="30" spans="8:8">
      <c r="A30" s="28" t="s">
        <v>78</v>
      </c>
      <c r="B30" s="29"/>
      <c r="C30" s="31">
        <f>-TAN(RADIANS(C5))*TAN(RADIANS(C23))</f>
        <v>0.019936519241125914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0.9793444652227464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15.216449199571361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0.26626765011622916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-1.3813565316577099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17.91108335073068</v>
      </c>
      <c r="D36" t="str">
        <f>TRUNC(C36)&amp;":"&amp;ROUNDUP((C36-TRUNC(C36))*60, )</f>
        <v>17:55</v>
      </c>
    </row>
    <row r="37" spans="8:8">
      <c r="A37" s="32" t="s">
        <v>81</v>
      </c>
      <c r="B37" s="32"/>
      <c r="C37" s="33">
        <f>(C28)+DEGREES(ACOS((C30)+SIN(RADIANS(-18))/(C31)))/15</f>
        <v>19.03943823026488</v>
      </c>
      <c r="D37" t="str">
        <f>TRUNC(C37)&amp;":"&amp;ROUNDUP((C37-TRUNC(C37))*60, )</f>
        <v>19:3</v>
      </c>
    </row>
    <row r="38" spans="8:8">
      <c r="A38" s="32" t="s">
        <v>82</v>
      </c>
      <c r="B38" s="32"/>
      <c r="C38" s="33">
        <f>(C28)-DEGREES(ACOS((C30)+SIN(RADIANS(-20))/(C31)))/15</f>
        <v>4.611469822480791</v>
      </c>
      <c r="D38" t="str">
        <f>TRUNC(C38)&amp;":"&amp;ROUNDUP((C38-TRUNC(C38))*60, )</f>
        <v>4:37</v>
      </c>
    </row>
    <row r="39" spans="8:8">
      <c r="A39" t="s">
        <v>103</v>
      </c>
      <c r="C39">
        <f>C38-10/60</f>
        <v>4.444803155814123</v>
      </c>
      <c r="D39" t="str">
        <f>TRUNC(C39)&amp;":"&amp;ROUNDUP((C39-TRUNC(C39))*60, )</f>
        <v>4:27</v>
      </c>
    </row>
    <row r="40" spans="8:8">
      <c r="A40" t="s">
        <v>98</v>
      </c>
      <c r="C40">
        <f>(C28)-DEGREES(ACOS((C30)+SIN(RADIANS(C35))/(C31)))/15-6/60</f>
        <v>5.7753397632517505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6.276016445577601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6.617426695634021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17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16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15.0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2460415.5</v>
      </c>
    </row>
    <row r="12" spans="8:8">
      <c r="A12" s="28" t="s">
        <v>10</v>
      </c>
      <c r="B12" s="29"/>
      <c r="C12" s="31">
        <f>(C11-2451545)/36525</f>
        <v>0.24286105407255304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23.651358337165647</v>
      </c>
    </row>
    <row r="14" spans="8:8">
      <c r="A14" s="28" t="s">
        <v>12</v>
      </c>
      <c r="B14" s="29"/>
      <c r="C14" s="31">
        <f>(((357.5291+(35999.0503*(C12)))/360)-TRUNC(((357.5291+(35999.0503*(C12)))/360)))*360</f>
        <v>100.29640146885654</v>
      </c>
    </row>
    <row r="15" spans="8:8">
      <c r="A15" s="28" t="s">
        <v>14</v>
      </c>
      <c r="B15" s="29"/>
      <c r="C15" s="31">
        <f>(((125.04-(1934.136*(C12)))/360)-TRUNC(((125.04-(1934.136*(C12)))/360)))*360</f>
        <v>-344.6863076796714</v>
      </c>
    </row>
    <row r="16" spans="8:8">
      <c r="A16" s="28" t="s">
        <v>29</v>
      </c>
      <c r="B16" s="29"/>
      <c r="C16" s="31">
        <f>((17.264/3600)*SIN(RADIANS(C15)))+((0.206/3600)*SIN(RADIANS(2*(C15))))</f>
        <v>0.0012956752581280635</v>
      </c>
    </row>
    <row r="17" spans="8:8">
      <c r="A17" s="28" t="s">
        <v>30</v>
      </c>
      <c r="B17" s="29"/>
      <c r="C17" s="31">
        <f>(-1.264/3600)*SIN(RADIANS(2*(C13)))</f>
        <v>-2.5804796972078356E-4</v>
      </c>
    </row>
    <row r="18" spans="8:8">
      <c r="A18" s="28" t="s">
        <v>32</v>
      </c>
      <c r="B18" s="29"/>
      <c r="C18" s="31">
        <f>(9.23/3600)*COS(RADIANS(C15))-(0.09/3600)*COS(RADIANS(2*(C15)))</f>
        <v>0.00245134383432881</v>
      </c>
    </row>
    <row r="19" spans="8:8">
      <c r="A19" s="28" t="s">
        <v>33</v>
      </c>
      <c r="B19" s="29"/>
      <c r="C19" s="31">
        <f>(0.548/3600)*COS(RADIANS(2*(C13)))</f>
        <v>1.0322566753080578E-4</v>
      </c>
    </row>
    <row r="20" spans="8:8">
      <c r="A20" s="28" t="s">
        <v>58</v>
      </c>
      <c r="B20" s="29"/>
      <c r="C20" s="31">
        <f>23.43929111+(C18)+(C19)-((46.815/3600)*(C12))</f>
        <v>23.4386874738779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1.8779969292295937</v>
      </c>
    </row>
    <row r="22" spans="8:8">
      <c r="A22" s="28" t="s">
        <v>57</v>
      </c>
      <c r="B22" s="29"/>
      <c r="C22" s="31">
        <f>C13+C21+C16+C17-0.0056861</f>
        <v>25.524706793683603</v>
      </c>
    </row>
    <row r="23" spans="8:8">
      <c r="A23" s="28" t="s">
        <v>59</v>
      </c>
      <c r="B23" s="29"/>
      <c r="C23" s="31">
        <f>DEGREES(ASIN(SIN(RADIANS(C22))*SIN(RADIANS(C20))))</f>
        <v>9.869118468303633</v>
      </c>
    </row>
    <row r="24" spans="8:8">
      <c r="A24" s="28" t="s">
        <v>60</v>
      </c>
      <c r="B24" s="29"/>
      <c r="C24" s="31">
        <f>DEGREES(ATAN((TAN(RADIANS(C22)))*(COS(RADIANS(C20)))))</f>
        <v>23.658429561671504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203.6584295616715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-7.446646948260772E-4</v>
      </c>
    </row>
    <row r="27" spans="8:8">
      <c r="A27" s="28" t="s">
        <v>62</v>
      </c>
      <c r="B27" s="29">
        <f>12+C27</f>
        <v>12.144188668638508</v>
      </c>
      <c r="C27" s="31">
        <f>C26-((C6*15)-C4)/15</f>
        <v>0.14418866863850793</v>
      </c>
    </row>
    <row r="28" spans="8:8">
      <c r="A28" s="28" t="s">
        <v>69</v>
      </c>
      <c r="B28" s="29"/>
      <c r="C28" s="31">
        <f>12-C27+2/60</f>
        <v>11.889144664694832</v>
      </c>
      <c r="D28" t="str">
        <f>TRUNC(C28)&amp;":"&amp;ROUNDUP((C28-TRUNC(C28))*60, )</f>
        <v>11:54</v>
      </c>
    </row>
    <row r="29" spans="8:8">
      <c r="A29" s="28" t="s">
        <v>77</v>
      </c>
      <c r="B29" s="29"/>
      <c r="C29" s="31">
        <f>DEGREES(ATAN(1/(TAN(RADIANS(ABS((C5)-(C23))))+1)))</f>
        <v>37.5864751120101</v>
      </c>
      <c r="D29" t="str">
        <f>TRUNC(C29)&amp;":"&amp;ROUNDUP((C29-TRUNC(C29))*60, )</f>
        <v>37:36</v>
      </c>
    </row>
    <row r="30" spans="8:8">
      <c r="A30" s="28" t="s">
        <v>78</v>
      </c>
      <c r="B30" s="29"/>
      <c r="C30" s="31">
        <f>-TAN(RADIANS(C5))*TAN(RADIANS(C23))</f>
        <v>0.02070186259579862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0.9782999299465118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15.21548130746576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0.2661911549766885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-1.3812800365181699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17.9041882140139</v>
      </c>
      <c r="D36" t="str">
        <f>TRUNC(C36)&amp;":"&amp;ROUNDUP((C36-TRUNC(C36))*60, )</f>
        <v>17:55</v>
      </c>
    </row>
    <row r="37" spans="8:8">
      <c r="A37" s="32" t="s">
        <v>81</v>
      </c>
      <c r="B37" s="32"/>
      <c r="C37" s="33">
        <f>(C28)+DEGREES(ACOS((C30)+SIN(RADIANS(-18))/(C31)))/15</f>
        <v>19.03365836058926</v>
      </c>
      <c r="D37" t="str">
        <f>TRUNC(C37)&amp;":"&amp;ROUNDUP((C37-TRUNC(C37))*60, )</f>
        <v>19:3</v>
      </c>
    </row>
    <row r="38" spans="8:8">
      <c r="A38" s="32" t="s">
        <v>82</v>
      </c>
      <c r="B38" s="32"/>
      <c r="C38" s="33">
        <f>(C28)-DEGREES(ACOS((C30)+SIN(RADIANS(-20))/(C31)))/15</f>
        <v>4.60899046999551</v>
      </c>
      <c r="D38" t="str">
        <f>TRUNC(C38)&amp;":"&amp;ROUNDUP((C38-TRUNC(C38))*60, )</f>
        <v>4:37</v>
      </c>
    </row>
    <row r="39" spans="8:8">
      <c r="A39" t="s">
        <v>103</v>
      </c>
      <c r="C39">
        <f>C38-10/60</f>
        <v>4.4423238033288435</v>
      </c>
      <c r="D39" t="str">
        <f>TRUNC(C39)&amp;":"&amp;ROUNDUP((C39-TRUNC(C39))*60, )</f>
        <v>4:27</v>
      </c>
    </row>
    <row r="40" spans="8:8">
      <c r="A40" t="s">
        <v>98</v>
      </c>
      <c r="C40">
        <f>(C28)-DEGREES(ACOS((C30)+SIN(RADIANS(C35))/(C31)))/15-6/60</f>
        <v>5.77410111537573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6.27521621154869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6.61703674051048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18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12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16.0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2460416.5</v>
      </c>
    </row>
    <row r="12" spans="8:8">
      <c r="A12" s="28" t="s">
        <v>10</v>
      </c>
      <c r="B12" s="29"/>
      <c r="C12" s="31">
        <f>(C11-2451545)/36525</f>
        <v>0.24288843258042436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24.6370056973295</v>
      </c>
    </row>
    <row r="14" spans="8:8">
      <c r="A14" s="28" t="s">
        <v>12</v>
      </c>
      <c r="B14" s="29"/>
      <c r="C14" s="31">
        <f>(((357.5291+(35999.0503*(C12)))/360)-TRUNC(((357.5291+(35999.0503*(C12)))/360)))*360</f>
        <v>101.28200175085695</v>
      </c>
    </row>
    <row r="15" spans="8:8">
      <c r="A15" s="28" t="s">
        <v>14</v>
      </c>
      <c r="B15" s="29"/>
      <c r="C15" s="31">
        <f>(((125.04-(1934.136*(C12)))/360)-TRUNC(((125.04-(1934.136*(C12)))/360)))*360</f>
        <v>-344.7392614373716</v>
      </c>
    </row>
    <row r="16" spans="8:8">
      <c r="A16" s="28" t="s">
        <v>29</v>
      </c>
      <c r="B16" s="29"/>
      <c r="C16" s="31">
        <f>((17.264/3600)*SIN(RADIANS(C15)))+((0.206/3600)*SIN(RADIANS(2*(C15))))</f>
        <v>0.0012913088817478038</v>
      </c>
    </row>
    <row r="17" spans="8:8">
      <c r="A17" s="28" t="s">
        <v>30</v>
      </c>
      <c r="B17" s="29"/>
      <c r="C17" s="31">
        <f>(-1.264/3600)*SIN(RADIANS(2*(C13)))</f>
        <v>-2.660855090122017E-4</v>
      </c>
    </row>
    <row r="18" spans="8:8">
      <c r="A18" s="28" t="s">
        <v>32</v>
      </c>
      <c r="B18" s="29"/>
      <c r="C18" s="31">
        <f>(9.23/3600)*COS(RADIANS(C15))-(0.09/3600)*COS(RADIANS(2*(C15)))</f>
        <v>0.0024519450899533977</v>
      </c>
    </row>
    <row r="19" spans="8:8">
      <c r="A19" s="28" t="s">
        <v>33</v>
      </c>
      <c r="B19" s="29"/>
      <c r="C19" s="31">
        <f>(0.548/3600)*COS(RADIANS(2*(C13)))</f>
        <v>9.931620405387323E-5</v>
      </c>
    </row>
    <row r="20" spans="8:8">
      <c r="A20" s="28" t="s">
        <v>58</v>
      </c>
      <c r="B20" s="29"/>
      <c r="C20" s="31">
        <f>23.43929111+(C18)+(C19)-((46.815/3600)*(C12))</f>
        <v>23.43868380963532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1.8711935445324628</v>
      </c>
    </row>
    <row r="22" spans="8:8">
      <c r="A22" s="28" t="s">
        <v>57</v>
      </c>
      <c r="B22" s="29"/>
      <c r="C22" s="31">
        <f>C13+C21+C16+C17-0.0056861</f>
        <v>26.5035383652347</v>
      </c>
    </row>
    <row r="23" spans="8:8">
      <c r="A23" s="28" t="s">
        <v>59</v>
      </c>
      <c r="B23" s="29"/>
      <c r="C23" s="31">
        <f>DEGREES(ASIN(SIN(RADIANS(C22))*SIN(RADIANS(C20))))</f>
        <v>10.224463292578735</v>
      </c>
    </row>
    <row r="24" spans="8:8">
      <c r="A24" s="28" t="s">
        <v>60</v>
      </c>
      <c r="B24" s="29"/>
      <c r="C24" s="31">
        <f>DEGREES(ATAN((TAN(RADIANS(C22)))*(COS(RADIANS(C20)))))</f>
        <v>24.5846884176262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204.5846884176262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0.0032236432147675523</v>
      </c>
    </row>
    <row r="27" spans="8:8">
      <c r="A27" s="28" t="s">
        <v>62</v>
      </c>
      <c r="B27" s="29">
        <f>12+C27</f>
        <v>12.148156976548101</v>
      </c>
      <c r="C27" s="31">
        <f>C26-((C6*15)-C4)/15</f>
        <v>0.14815697654810156</v>
      </c>
    </row>
    <row r="28" spans="8:8">
      <c r="A28" s="28" t="s">
        <v>69</v>
      </c>
      <c r="B28" s="29"/>
      <c r="C28" s="31">
        <f>12-C27+2/60</f>
        <v>11.885176356785234</v>
      </c>
      <c r="D28" t="str">
        <f>TRUNC(C28)&amp;":"&amp;ROUNDUP((C28-TRUNC(C28))*60, )</f>
        <v>11:54</v>
      </c>
    </row>
    <row r="29" spans="8:8">
      <c r="A29" s="28" t="s">
        <v>77</v>
      </c>
      <c r="B29" s="29"/>
      <c r="C29" s="31">
        <f>DEGREES(ATAN(1/(TAN(RADIANS(ABS((C5)-(C23))))+1)))</f>
        <v>37.442638784746954</v>
      </c>
      <c r="D29" t="str">
        <f>TRUNC(C29)&amp;":"&amp;ROUNDUP((C29-TRUNC(C29))*60, )</f>
        <v>37:27</v>
      </c>
    </row>
    <row r="30" spans="8:8">
      <c r="A30" s="28" t="s">
        <v>78</v>
      </c>
      <c r="B30" s="29"/>
      <c r="C30" s="31">
        <f>-TAN(RADIANS(C5))*TAN(RADIANS(C23))</f>
        <v>0.021463029568157595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0.9772255686918121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15.21446366135709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0.2661149422523429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-1.38120382379383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17.89741072087508</v>
      </c>
      <c r="D36" t="str">
        <f>TRUNC(C36)&amp;":"&amp;ROUNDUP((C36-TRUNC(C36))*60, )</f>
        <v>17:54</v>
      </c>
    </row>
    <row r="37" spans="8:8">
      <c r="A37" s="32" t="s">
        <v>81</v>
      </c>
      <c r="B37" s="32"/>
      <c r="C37" s="33">
        <f>(C28)+DEGREES(ACOS((C30)+SIN(RADIANS(-18))/(C31)))/15</f>
        <v>19.02803546372387</v>
      </c>
      <c r="D37" t="str">
        <f>TRUNC(C37)&amp;":"&amp;ROUNDUP((C37-TRUNC(C37))*60, )</f>
        <v>19:2</v>
      </c>
    </row>
    <row r="38" spans="8:8">
      <c r="A38" s="32" t="s">
        <v>82</v>
      </c>
      <c r="B38" s="32"/>
      <c r="C38" s="33">
        <f>(C28)-DEGREES(ACOS((C30)+SIN(RADIANS(-20))/(C31)))/15</f>
        <v>4.60654615940195</v>
      </c>
      <c r="D38" t="str">
        <f>TRUNC(C38)&amp;":"&amp;ROUNDUP((C38-TRUNC(C38))*60, )</f>
        <v>4:37</v>
      </c>
    </row>
    <row r="39" spans="8:8">
      <c r="A39" t="s">
        <v>103</v>
      </c>
      <c r="C39">
        <f>C38-10/60</f>
        <v>4.439879492735283</v>
      </c>
      <c r="D39" t="str">
        <f>TRUNC(C39)&amp;":"&amp;ROUNDUP((C39-TRUNC(C39))*60, )</f>
        <v>4:27</v>
      </c>
    </row>
    <row r="40" spans="8:8">
      <c r="A40" t="s">
        <v>98</v>
      </c>
      <c r="C40">
        <f>(C28)-DEGREES(ACOS((C30)+SIN(RADIANS(C35))/(C31)))/15-6/60</f>
        <v>5.77294199269535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6.27450892015318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6.61675135570289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19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15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17.0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2460417.5</v>
      </c>
    </row>
    <row r="12" spans="8:8">
      <c r="A12" s="28" t="s">
        <v>10</v>
      </c>
      <c r="B12" s="29"/>
      <c r="C12" s="31">
        <f>(C11-2451545)/36525</f>
        <v>0.24291581108829569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25.622653057493352</v>
      </c>
    </row>
    <row r="14" spans="8:8">
      <c r="A14" s="28" t="s">
        <v>12</v>
      </c>
      <c r="B14" s="29"/>
      <c r="C14" s="31">
        <f>(((357.5291+(35999.0503*(C12)))/360)-TRUNC(((357.5291+(35999.0503*(C12)))/360)))*360</f>
        <v>102.2676020328548</v>
      </c>
    </row>
    <row r="15" spans="8:8">
      <c r="A15" s="28" t="s">
        <v>14</v>
      </c>
      <c r="B15" s="29"/>
      <c r="C15" s="31">
        <f>(((125.04-(1934.136*(C12)))/360)-TRUNC(((125.04-(1934.136*(C12)))/360)))*360</f>
        <v>-344.79221519507183</v>
      </c>
    </row>
    <row r="16" spans="8:8">
      <c r="A16" s="28" t="s">
        <v>29</v>
      </c>
      <c r="B16" s="29"/>
      <c r="C16" s="31">
        <f>((17.264/3600)*SIN(RADIANS(C15)))+((0.206/3600)*SIN(RADIANS(2*(C15))))</f>
        <v>0.0012869413278905348</v>
      </c>
    </row>
    <row r="17" spans="8:8">
      <c r="A17" s="28" t="s">
        <v>30</v>
      </c>
      <c r="B17" s="29"/>
      <c r="C17" s="31">
        <f>(-1.264/3600)*SIN(RADIANS(2*(C13)))</f>
        <v>-2.738081022037093E-4</v>
      </c>
    </row>
    <row r="18" spans="8:8">
      <c r="A18" s="28" t="s">
        <v>32</v>
      </c>
      <c r="B18" s="29"/>
      <c r="C18" s="31">
        <f>(9.23/3600)*COS(RADIANS(C15))-(0.09/3600)*COS(RADIANS(2*(C15)))</f>
        <v>0.002452544306367591</v>
      </c>
    </row>
    <row r="19" spans="8:8">
      <c r="A19" s="28" t="s">
        <v>33</v>
      </c>
      <c r="B19" s="29"/>
      <c r="C19" s="31">
        <f>(0.548/3600)*COS(RADIANS(2*(C13)))</f>
        <v>9.528918719629696E-5</v>
      </c>
    </row>
    <row r="20" spans="8:8">
      <c r="A20" s="28" t="s">
        <v>58</v>
      </c>
      <c r="B20" s="29"/>
      <c r="C20" s="31">
        <f>23.43929111+(C18)+(C19)-((46.815/3600)*(C12))</f>
        <v>23.438680025800238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1.8638438210216959</v>
      </c>
    </row>
    <row r="22" spans="8:8">
      <c r="A22" s="28" t="s">
        <v>57</v>
      </c>
      <c r="B22" s="29"/>
      <c r="C22" s="31">
        <f>C13+C21+C16+C17-0.0056861</f>
        <v>27.4818239117407</v>
      </c>
    </row>
    <row r="23" spans="8:8">
      <c r="A23" s="28" t="s">
        <v>59</v>
      </c>
      <c r="B23" s="29"/>
      <c r="C23" s="31">
        <f>DEGREES(ASIN(SIN(RADIANS(C22))*SIN(RADIANS(C20))))</f>
        <v>10.576990381524304</v>
      </c>
    </row>
    <row r="24" spans="8:8">
      <c r="A24" s="28" t="s">
        <v>60</v>
      </c>
      <c r="B24" s="29"/>
      <c r="C24" s="31">
        <f>DEGREES(ATAN((TAN(RADIANS(C22)))*(COS(RADIANS(C20)))))</f>
        <v>25.512495789268005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205.512495789268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0.007089122877916506</v>
      </c>
    </row>
    <row r="27" spans="8:8">
      <c r="A27" s="28" t="s">
        <v>62</v>
      </c>
      <c r="B27" s="29">
        <f>12+C27</f>
        <v>12.15202245621125</v>
      </c>
      <c r="C27" s="31">
        <f>C26-((C6*15)-C4)/15</f>
        <v>0.15202245621125052</v>
      </c>
    </row>
    <row r="28" spans="8:8">
      <c r="A28" s="28" t="s">
        <v>69</v>
      </c>
      <c r="B28" s="29"/>
      <c r="C28" s="31">
        <f>12-C27+2/60</f>
        <v>11.881310877122134</v>
      </c>
      <c r="D28" t="str">
        <f>TRUNC(C28)&amp;":"&amp;ROUNDUP((C28-TRUNC(C28))*60, )</f>
        <v>11:53</v>
      </c>
    </row>
    <row r="29" spans="8:8">
      <c r="A29" s="28" t="s">
        <v>77</v>
      </c>
      <c r="B29" s="29"/>
      <c r="C29" s="31">
        <f>DEGREES(ATAN(1/(TAN(RADIANS(ABS((C5)-(C23))))+1)))</f>
        <v>37.30033380304713</v>
      </c>
      <c r="D29" t="str">
        <f>TRUNC(C29)&amp;":"&amp;ROUNDUP((C29-TRUNC(C29))*60, )</f>
        <v>37:19</v>
      </c>
    </row>
    <row r="30" spans="8:8">
      <c r="A30" s="28" t="s">
        <v>78</v>
      </c>
      <c r="B30" s="29"/>
      <c r="C30" s="31">
        <f>-TAN(RADIANS(C5))*TAN(RADIANS(C23))</f>
        <v>0.022219845283156858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0.9761225845551882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15.21340363018858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0.26603903402791856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-1.3811279155694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17.89075568597624</v>
      </c>
      <c r="D36" t="str">
        <f>TRUNC(C36)&amp;":"&amp;ROUNDUP((C36-TRUNC(C36))*60, )</f>
        <v>17:54</v>
      </c>
    </row>
    <row r="37" spans="8:8">
      <c r="A37" s="32" t="s">
        <v>81</v>
      </c>
      <c r="B37" s="32"/>
      <c r="C37" s="33">
        <f>(C28)+DEGREES(ACOS((C30)+SIN(RADIANS(-18))/(C31)))/15</f>
        <v>19.02257316333553</v>
      </c>
      <c r="D37" t="str">
        <f>TRUNC(C37)&amp;":"&amp;ROUNDUP((C37-TRUNC(C37))*60, )</f>
        <v>19:2</v>
      </c>
    </row>
    <row r="38" spans="8:8">
      <c r="A38" s="32" t="s">
        <v>82</v>
      </c>
      <c r="B38" s="32"/>
      <c r="C38" s="33">
        <f>(C28)-DEGREES(ACOS((C30)+SIN(RADIANS(-20))/(C31)))/15</f>
        <v>4.604141904699031</v>
      </c>
      <c r="D38" t="str">
        <f>TRUNC(C38)&amp;":"&amp;ROUNDUP((C38-TRUNC(C38))*60, )</f>
        <v>4:37</v>
      </c>
    </row>
    <row r="39" spans="8:8">
      <c r="A39" t="s">
        <v>103</v>
      </c>
      <c r="C39">
        <f>C38-10/60</f>
        <v>4.437475238032363</v>
      </c>
      <c r="D39" t="str">
        <f>TRUNC(C39)&amp;":"&amp;ROUNDUP((C39-TRUNC(C39))*60, )</f>
        <v>4:27</v>
      </c>
    </row>
    <row r="40" spans="8:8">
      <c r="A40" t="s">
        <v>98</v>
      </c>
      <c r="C40">
        <f>(C28)-DEGREES(ACOS((C30)+SIN(RADIANS(C35))/(C31)))/15-6/60</f>
        <v>5.771866068268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6.27389782864155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6.61657343763217</v>
      </c>
      <c r="D42" t="str">
        <f>TRUNC(C42)&amp;":"&amp;ROUNDUP((C42-TRUNC(C42))*60, )</f>
        <v>6:37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DF42"/>
  <sheetViews>
    <sheetView workbookViewId="0" topLeftCell="A8" zoomScale="88">
      <selection activeCell="C52" sqref="C52"/>
    </sheetView>
  </sheetViews>
  <sheetFormatPr defaultRowHeight="14.25" defaultColWidth="10"/>
  <cols>
    <col min="2" max="2" customWidth="1" width="7.796875" style="0"/>
    <col min="3" max="3" customWidth="1" width="14.355469" style="0"/>
    <col min="5" max="5" customWidth="1" bestFit="1" width="10.0" style="0"/>
  </cols>
  <sheetData>
    <row r="1" spans="8:8" ht="15.35">
      <c r="A1" t="s">
        <v>0</v>
      </c>
      <c r="C1" s="26">
        <f>Sheet1!H4</f>
        <v>2024.0</v>
      </c>
    </row>
    <row r="2" spans="8:8" ht="15.35">
      <c r="A2" t="s">
        <v>1</v>
      </c>
      <c r="C2" s="26">
        <f>Sheet1!F4</f>
        <v>4.0</v>
      </c>
    </row>
    <row r="3" spans="8:8" ht="15.35">
      <c r="A3" t="s">
        <v>2</v>
      </c>
      <c r="C3" s="26">
        <f>Sheet1!D4</f>
        <v>27.0</v>
      </c>
      <c r="F3" s="27"/>
      <c r="G3" s="27"/>
      <c r="H3" s="27"/>
    </row>
    <row r="4" spans="8:8" ht="15.35">
      <c r="A4" t="s">
        <v>65</v>
      </c>
      <c r="C4" s="26">
        <f>Sheet1!B7</f>
        <v>107.174</v>
      </c>
      <c r="F4" s="27"/>
      <c r="G4" s="27"/>
      <c r="H4" s="27"/>
    </row>
    <row r="5" spans="8:8" ht="15.35">
      <c r="A5" t="s">
        <v>66</v>
      </c>
      <c r="C5" s="26">
        <f>Sheet1!D7-Sheet1!D7-Sheet1!D7</f>
        <v>-6.786</v>
      </c>
      <c r="F5" s="27"/>
      <c r="G5" s="27"/>
      <c r="H5" s="27"/>
    </row>
    <row r="6" spans="8:8" ht="15.35">
      <c r="A6" t="s">
        <v>83</v>
      </c>
      <c r="C6" s="26">
        <f>Sheet1!F7</f>
        <v>7.0</v>
      </c>
      <c r="F6" s="27"/>
      <c r="G6" s="27"/>
      <c r="H6" s="27"/>
    </row>
    <row r="7" spans="8:8" ht="15.35">
      <c r="A7" t="s">
        <v>64</v>
      </c>
      <c r="C7" s="26">
        <f>Sheet1!H7</f>
        <v>336.0</v>
      </c>
      <c r="F7" s="27"/>
      <c r="G7" s="27"/>
      <c r="H7" s="27"/>
    </row>
    <row r="8" spans="8:8" ht="15.35">
      <c r="A8" s="28" t="s">
        <v>84</v>
      </c>
      <c r="B8" s="29"/>
      <c r="C8" s="30">
        <f>INT(C1/100)</f>
        <v>20.0</v>
      </c>
      <c r="F8" s="27"/>
      <c r="G8" s="27"/>
      <c r="H8" s="27"/>
    </row>
    <row r="9" spans="8:8" ht="15.35">
      <c r="A9" s="28" t="s">
        <v>85</v>
      </c>
      <c r="B9" s="29"/>
      <c r="C9" s="30">
        <f>INT(C8/4)</f>
        <v>5.0</v>
      </c>
      <c r="F9" s="27"/>
      <c r="G9" s="27"/>
      <c r="H9" s="27"/>
    </row>
    <row r="10" spans="8:8" ht="15.35">
      <c r="A10" s="28" t="s">
        <v>5</v>
      </c>
      <c r="B10" s="29"/>
      <c r="C10" s="30">
        <f>2-C8+C9</f>
        <v>-13.0</v>
      </c>
      <c r="F10" s="27"/>
      <c r="G10" s="27"/>
      <c r="H10" s="27"/>
    </row>
    <row r="11" spans="8:8" ht="15.35">
      <c r="A11" s="28" t="s">
        <v>6</v>
      </c>
      <c r="B11" s="29"/>
      <c r="C11" s="31">
        <f>INT(365.25*(C1+4716))+INT(30.6001*(C2+1))+C3+C10-1524.5</f>
        <v>2460427.5</v>
      </c>
      <c r="F11" s="27"/>
      <c r="G11" s="27"/>
      <c r="H11" s="27"/>
    </row>
    <row r="12" spans="8:8" ht="15.35">
      <c r="A12" s="28" t="s">
        <v>10</v>
      </c>
      <c r="B12" s="29"/>
      <c r="C12" s="31">
        <f>(C11-2451545)/36525</f>
        <v>0.2431895961670089</v>
      </c>
      <c r="F12" s="27"/>
      <c r="G12" s="27" t="s">
        <v>125</v>
      </c>
      <c r="H12" s="27">
        <v>29.0</v>
      </c>
    </row>
    <row r="13" spans="8:8" ht="15.35">
      <c r="A13" s="28" t="s">
        <v>11</v>
      </c>
      <c r="B13" s="29"/>
      <c r="C13" s="31">
        <f>(((280.46645+(36000.76983*(C12)))/360)-TRUNC(((280.46645+(36000.76983*(C12)))/360)))*360</f>
        <v>35.479126659136995</v>
      </c>
      <c r="F13" s="27"/>
      <c r="G13" s="27" t="s">
        <v>126</v>
      </c>
      <c r="H13" s="27">
        <v>28.0</v>
      </c>
    </row>
    <row r="14" spans="8:8" ht="14.85">
      <c r="A14" s="28" t="s">
        <v>12</v>
      </c>
      <c r="B14" s="29"/>
      <c r="C14" s="31">
        <f>(((357.5291+(35999.0503*(C12)))/360)-TRUNC(((357.5291+(35999.0503*(C12)))/360)))*360</f>
        <v>112.12360485284094</v>
      </c>
      <c r="F14" s="27"/>
      <c r="G14" s="27">
        <f>Sheet1!H4</f>
        <v>2024.0</v>
      </c>
      <c r="H14" s="27" t="str">
        <f>IF(((MOD(G14,4)=0)*((MOD(G14,100)&lt;&gt;0)+(MOD(G14,400)=0))=1),"Kabisah","Basitoh")</f>
        <v>Kabisah</v>
      </c>
    </row>
    <row r="15" spans="8:8" ht="15.1">
      <c r="A15" s="28" t="s">
        <v>14</v>
      </c>
      <c r="B15" s="29"/>
      <c r="C15" s="31">
        <f>(((125.04-(1934.136*(C12)))/360)-TRUNC(((125.04-(1934.136*(C12)))/360)))*360</f>
        <v>-345.32175277207386</v>
      </c>
    </row>
    <row r="16" spans="8:8" ht="15.1">
      <c r="A16" s="28" t="s">
        <v>29</v>
      </c>
      <c r="B16" s="29"/>
      <c r="C16" s="31">
        <f>((17.264/3600)*SIN(RADIANS(C15)))+((0.206/3600)*SIN(RADIANS(2*(C15))))</f>
        <v>0.0012432019008433545</v>
      </c>
    </row>
    <row r="17" spans="8:8" ht="14.85">
      <c r="A17" s="28" t="s">
        <v>30</v>
      </c>
      <c r="B17" s="29"/>
      <c r="C17" s="31">
        <f>(-1.264/3600)*SIN(RADIANS(2*(C13)))</f>
        <v>-3.3189870089112467E-4</v>
      </c>
      <c r="E17">
        <v>1.0</v>
      </c>
      <c r="F17" s="27" t="s">
        <v>113</v>
      </c>
      <c r="G17">
        <v>31.0</v>
      </c>
      <c r="H17">
        <v>1.0</v>
      </c>
    </row>
    <row r="18" spans="8:8" ht="15.95">
      <c r="A18" s="28" t="s">
        <v>32</v>
      </c>
      <c r="B18" s="29"/>
      <c r="C18" s="31">
        <f>(9.23/3600)*COS(RADIANS(C15))-(0.09/3600)*COS(RADIANS(2*(C15)))</f>
        <v>0.0024584242153125025</v>
      </c>
      <c r="E18">
        <v>2.0</v>
      </c>
      <c r="F18" s="27" t="s">
        <v>114</v>
      </c>
      <c r="G18">
        <f>VLOOKUP(H14,G12:H13,2)</f>
        <v>29.0</v>
      </c>
      <c r="H18">
        <v>2.0</v>
      </c>
    </row>
    <row r="19" spans="8:8" ht="15.95">
      <c r="A19" s="28" t="s">
        <v>33</v>
      </c>
      <c r="B19" s="29"/>
      <c r="C19" s="31">
        <f>(0.548/3600)*COS(RADIANS(2*(C13)))</f>
        <v>4.9663563870489995E-5</v>
      </c>
      <c r="E19">
        <v>3.0</v>
      </c>
      <c r="F19" s="27" t="s">
        <v>115</v>
      </c>
      <c r="G19">
        <v>31.0</v>
      </c>
      <c r="H19">
        <v>3.0</v>
      </c>
    </row>
    <row r="20" spans="8:8" ht="15.95">
      <c r="A20" s="28" t="s">
        <v>58</v>
      </c>
      <c r="B20" s="29"/>
      <c r="C20" s="31">
        <f>23.43929111+(C18)+(C19)-((46.815/3600)*(C12))</f>
        <v>23.438636719739044</v>
      </c>
      <c r="E20">
        <v>4.0</v>
      </c>
      <c r="F20" s="27" t="s">
        <v>116</v>
      </c>
      <c r="G20">
        <v>30.0</v>
      </c>
      <c r="H20">
        <v>4.0</v>
      </c>
    </row>
    <row r="21" spans="8:8" ht="15.95">
      <c r="A21" s="28" t="s">
        <v>54</v>
      </c>
      <c r="B21" s="29"/>
      <c r="C21" s="31">
        <f>((6898.06/3600)*SIN(RADIANS(C14)))+((72.095/3600)*SIN(RADIANS(2*(C14))))+((0.966/3600)*SIN(RADIANS(3*(C14))))</f>
        <v>1.760969023593109</v>
      </c>
      <c r="E21">
        <v>5.0</v>
      </c>
      <c r="F21" s="27" t="s">
        <v>117</v>
      </c>
      <c r="G21">
        <v>31.0</v>
      </c>
      <c r="H21">
        <v>5.0</v>
      </c>
    </row>
    <row r="22" spans="8:8" ht="15.95">
      <c r="A22" s="28" t="s">
        <v>57</v>
      </c>
      <c r="B22" s="29"/>
      <c r="C22" s="31">
        <f>C13+C21+C16+C17-0.0056861</f>
        <v>37.2353208859301</v>
      </c>
      <c r="E22">
        <v>6.0</v>
      </c>
      <c r="F22" s="27" t="s">
        <v>118</v>
      </c>
      <c r="G22">
        <v>30.0</v>
      </c>
      <c r="H22">
        <v>6.0</v>
      </c>
    </row>
    <row r="23" spans="8:8" ht="15.95">
      <c r="A23" s="28" t="s">
        <v>59</v>
      </c>
      <c r="B23" s="29"/>
      <c r="C23" s="31">
        <f>DEGREES(ASIN(SIN(RADIANS(C22))*SIN(RADIANS(C20))))</f>
        <v>13.926952583582317</v>
      </c>
      <c r="E23">
        <v>7.0</v>
      </c>
      <c r="F23" s="27" t="s">
        <v>119</v>
      </c>
      <c r="G23">
        <v>31.0</v>
      </c>
      <c r="H23">
        <v>7.0</v>
      </c>
    </row>
    <row r="24" spans="8:8" ht="15.95">
      <c r="A24" s="28" t="s">
        <v>60</v>
      </c>
      <c r="B24" s="29"/>
      <c r="C24" s="31">
        <f>DEGREES(ATAN((TAN(RADIANS(C22)))*(COS(RADIANS(C20)))))</f>
        <v>34.88814562291275</v>
      </c>
      <c r="E24">
        <v>8.0</v>
      </c>
      <c r="F24" s="27" t="s">
        <v>120</v>
      </c>
      <c r="G24">
        <v>31.0</v>
      </c>
      <c r="H24">
        <v>8.0</v>
      </c>
    </row>
    <row r="25" spans="8:8" ht="15.95">
      <c r="A25" s="28" t="s">
        <v>60</v>
      </c>
      <c r="B25" s="29"/>
      <c r="C25" s="31">
        <f>IF(0&lt;(C22)&lt;=90,(C24),IF((C22)&lt;=270,(C24)+180,IF((C22)&lt;=360,(C24)+360,"0")))</f>
        <v>214.88814562291276</v>
      </c>
      <c r="E25">
        <v>9.0</v>
      </c>
      <c r="F25" s="27" t="s">
        <v>121</v>
      </c>
      <c r="G25">
        <v>30.0</v>
      </c>
      <c r="H25">
        <v>9.0</v>
      </c>
    </row>
    <row r="26" spans="8:8" ht="15.95">
      <c r="A26" s="28" t="s">
        <v>61</v>
      </c>
      <c r="B26" s="29"/>
      <c r="C26" s="31">
        <f>((-1.915*SIN(RADIANS(C14)))+(-0.02*SIN(RADIANS(2*(C14))))+(2.466*SIN(RADIANS(2*(C22))))+(-0.053*SIN(RADIANS(4*(C22)))))/15</f>
        <v>0.039238727017593164</v>
      </c>
      <c r="E26">
        <v>10.0</v>
      </c>
      <c r="F26" s="27" t="s">
        <v>122</v>
      </c>
      <c r="G26">
        <v>31.0</v>
      </c>
      <c r="H26">
        <v>10.0</v>
      </c>
    </row>
    <row r="27" spans="8:8" ht="14.85">
      <c r="A27" s="28" t="s">
        <v>62</v>
      </c>
      <c r="B27" s="29">
        <f>12-C27</f>
        <v>11.815827939649074</v>
      </c>
      <c r="C27" s="31">
        <f>C26-((C6*15)-C4)/15</f>
        <v>0.1841720603509272</v>
      </c>
      <c r="D27" t="str">
        <f>TRUNC(B27)&amp;":"&amp;ROUNDUP((B27-TRUNC(B27))*60, )</f>
        <v>11:49</v>
      </c>
      <c r="E27">
        <v>11.0</v>
      </c>
      <c r="F27" s="27" t="s">
        <v>123</v>
      </c>
      <c r="G27">
        <v>30.0</v>
      </c>
      <c r="H27">
        <v>11.0</v>
      </c>
    </row>
    <row r="28" spans="8:8" ht="15.25">
      <c r="A28" s="28" t="s">
        <v>69</v>
      </c>
      <c r="B28" s="29"/>
      <c r="C28" s="31">
        <f>12-C27+2/60</f>
        <v>11.849161272982434</v>
      </c>
      <c r="D28" t="str">
        <f>TRUNC(data!C28)&amp;":"&amp;ROUNDUP((data!C28-TRUNC(data!C28))*60, )</f>
        <v>11:51</v>
      </c>
      <c r="E28">
        <v>12.0</v>
      </c>
      <c r="F28" s="27" t="s">
        <v>124</v>
      </c>
      <c r="G28">
        <v>31.0</v>
      </c>
      <c r="H28">
        <v>12.0</v>
      </c>
    </row>
    <row r="29" spans="8:8" ht="15.35">
      <c r="A29" s="28" t="s">
        <v>77</v>
      </c>
      <c r="B29" s="29"/>
      <c r="C29" s="31">
        <f>DEGREES(ATAN(1/(TAN(RADIANS(ABS((C5)-(C23))))+1)))</f>
        <v>35.96548685603065</v>
      </c>
      <c r="D29"/>
      <c r="E29"/>
    </row>
    <row r="30" spans="8:8" ht="14.85">
      <c r="A30" s="28" t="s">
        <v>78</v>
      </c>
      <c r="B30" s="29"/>
      <c r="C30" s="31">
        <f>-TAN(RADIANS(C5))*TAN(RADIANS(C23))</f>
        <v>0.02950768899635245</v>
      </c>
      <c r="D30"/>
      <c r="E30"/>
      <c r="F30" t="s">
        <v>1</v>
      </c>
      <c r="G30" t="str">
        <f>VLOOKUP(Sheet1!F4,E17:F28,2)</f>
        <v>April</v>
      </c>
      <c r="H30">
        <f>VLOOKUP(G30,F17:G28,2)</f>
        <v>30.0</v>
      </c>
    </row>
    <row r="31" spans="8:8" ht="15.95">
      <c r="A31" s="28" t="s">
        <v>79</v>
      </c>
      <c r="B31" s="29"/>
      <c r="C31" s="31">
        <f>COS(RADIANS(C5))*COS(RADIANS(C23))</f>
        <v>0.9638037189477114</v>
      </c>
      <c r="D31"/>
      <c r="E31" t="s">
        <v>69</v>
      </c>
      <c r="F31" t="s">
        <v>95</v>
      </c>
      <c r="G31" t="s">
        <v>80</v>
      </c>
      <c r="H31" t="s">
        <v>81</v>
      </c>
      <c r="I31" t="s">
        <v>96</v>
      </c>
      <c r="J31" t="s">
        <v>82</v>
      </c>
      <c r="K31" t="s">
        <v>110</v>
      </c>
      <c r="L31" t="s">
        <v>101</v>
      </c>
    </row>
    <row r="32" spans="8:8" ht="15.35">
      <c r="A32" s="28" t="s">
        <v>75</v>
      </c>
      <c r="B32" s="29"/>
      <c r="C32" s="31">
        <f>(C28)+DEGREES(ACOS((C30)+SIN(RADIANS(C29))/(C31)))/15</f>
        <v>15.2020276861103</v>
      </c>
      <c r="D32" t="str">
        <f>TRUNC(data!C32)&amp;":"&amp;ROUNDUP((data!C32-TRUNC(data!C32))*60, )</f>
        <v>15:13</v>
      </c>
      <c r="E32" t="str">
        <f>IF(H30&gt;28,Lembar29!D28," ")</f>
        <v>11:51</v>
      </c>
      <c r="F32" t="str">
        <f>IF(H30&gt;28,Lembar29!D32," ")</f>
        <v>15:12</v>
      </c>
      <c r="G32" t="str">
        <f>IF(H30&gt;28,Lembar29!D36," ")</f>
        <v>17:50</v>
      </c>
      <c r="H32" t="str">
        <f>IF(H30&gt;28,Lembar29!D37," ")</f>
        <v>18:59</v>
      </c>
      <c r="I32" t="str">
        <f>IF(H30&gt;28,Lembar29!D39," ")</f>
        <v>4:25</v>
      </c>
      <c r="J32" t="str">
        <f>IF(H30&gt;28,Lembar29!D38," ")</f>
        <v>4:35</v>
      </c>
      <c r="K32" t="str">
        <f>IF(H30&gt;28,Lembar29!D40," ")</f>
        <v>5:46</v>
      </c>
      <c r="L32" t="str">
        <f>IF(H30&gt;28,Lembar29!D41," ")</f>
        <v>6:17</v>
      </c>
    </row>
    <row r="33" spans="8:8" ht="14.85">
      <c r="A33" s="28" t="s">
        <v>72</v>
      </c>
      <c r="B33" s="29"/>
      <c r="C33" s="31">
        <f>(1.76/60)*((C7)^0.5)</f>
        <v>0.5376888815414852</v>
      </c>
      <c r="D33"/>
      <c r="E33" t="str">
        <f>IF(H30&gt;29,Lembar30!D28," ")</f>
        <v>11:51</v>
      </c>
      <c r="F33" t="str">
        <f>IF(H30&gt;29,Lembar30!D32," ")</f>
        <v>15:12</v>
      </c>
      <c r="G33" t="str">
        <f>IF(H30&gt;29,Lembar30!D36," ")</f>
        <v>17:50</v>
      </c>
      <c r="H33" t="str">
        <f>IF(H30&gt;29,Lembar30!D37," ")</f>
        <v>18:59</v>
      </c>
      <c r="I33" t="str">
        <f>IF(H30&gt;29,Lembar30!D39," ")</f>
        <v>4:25</v>
      </c>
      <c r="J33" t="str">
        <f>IF(H30&gt;29,Lembar30!D38," ")</f>
        <v>4:35</v>
      </c>
      <c r="K33" t="str">
        <f>IF(H30&gt;29,Lembar30!D40," ")</f>
        <v>5:47</v>
      </c>
      <c r="L33" t="str">
        <f>IF(H30&gt;29,Lembar30!D41," ")</f>
        <v>6:17</v>
      </c>
    </row>
    <row r="34" spans="8:8" ht="14.85">
      <c r="A34" s="28" t="s">
        <v>73</v>
      </c>
      <c r="B34" s="29"/>
      <c r="C34" s="31">
        <f>0.267/(1-0.017*COS(RADIANS(C14)))</f>
        <v>0.26530146018033585</v>
      </c>
      <c r="D34"/>
      <c r="E34" t="str">
        <f>IF(H30&gt;30,Lembar31!D28," ")</f>
        <v> </v>
      </c>
      <c r="F34" t="str">
        <f>IF(H30&gt;30,Lembar31!D32," ")</f>
        <v> </v>
      </c>
      <c r="G34" t="str">
        <f>IF(H30&gt;30,Lembar31!D36," ")</f>
        <v> </v>
      </c>
      <c r="H34" t="str">
        <f>IF(H30&gt;30,Lembar31!D37," ")</f>
        <v> </v>
      </c>
      <c r="I34" t="str">
        <f>IF(H30&gt;30,Lembar31!D39," ")</f>
        <v> </v>
      </c>
      <c r="J34" t="str">
        <f>IF(H30&gt;30,Lembar31!D38," ")</f>
        <v> </v>
      </c>
      <c r="K34" t="str">
        <f>IF(H30&gt;30,Lembar31!D40," ")</f>
        <v> </v>
      </c>
      <c r="L34" t="str">
        <f>IF(H30&gt;30,Lembar31!D41," ")</f>
        <v> </v>
      </c>
    </row>
    <row r="35" spans="8:8" ht="15.35">
      <c r="A35" s="32" t="s">
        <v>74</v>
      </c>
      <c r="B35" s="32"/>
      <c r="C35" s="33">
        <f>-((C34)+(34.5/60)+(C33))-0.0024</f>
        <v>-1.38039034172182</v>
      </c>
      <c r="D35"/>
      <c r="E35"/>
    </row>
    <row r="36" spans="8:8" ht="15.35">
      <c r="A36" s="32" t="s">
        <v>80</v>
      </c>
      <c r="B36" s="32"/>
      <c r="C36" s="33">
        <f>(C28)+DEGREES(ACOS((C30)+SIN(RADIANS(C35))/(C31)))/15</f>
        <v>17.83192302870639</v>
      </c>
      <c r="D36" t="str">
        <f>TRUNC(data!C36)&amp;":"&amp;ROUNDUP((data!C36-TRUNC(data!C36))*60, )</f>
        <v>17:50</v>
      </c>
      <c r="E36"/>
    </row>
    <row r="37" spans="8:8" ht="15.35">
      <c r="A37" s="32" t="s">
        <v>81</v>
      </c>
      <c r="B37" s="32"/>
      <c r="C37" s="33">
        <f>(C28)+DEGREES(ACOS((C30)+SIN(RADIANS(-18))/(C31)))/15</f>
        <v>18.97747459021313</v>
      </c>
      <c r="D37" t="str">
        <f>TRUNC(data!C37)&amp;":"&amp;ROUNDUP((data!C37-TRUNC(data!C37))*60, )</f>
        <v>18:59</v>
      </c>
      <c r="E37"/>
    </row>
    <row r="38" spans="8:8" ht="15.35">
      <c r="A38" s="32" t="s">
        <v>82</v>
      </c>
      <c r="B38" s="32"/>
      <c r="C38" s="33">
        <f>(C28)-DEGREES(ACOS((C30)+SIN(RADIANS(-20))/(C31)))/15</f>
        <v>4.5833466075559794</v>
      </c>
      <c r="D38" t="str">
        <f>TRUNC(data!C38)&amp;":"&amp;ROUNDUP((data!C38-TRUNC(data!C38))*60, )</f>
        <v>4:36</v>
      </c>
      <c r="E38"/>
    </row>
    <row r="39" spans="8:8" ht="15.35">
      <c r="A39" t="s">
        <v>103</v>
      </c>
      <c r="C39">
        <f>C38-10/60</f>
        <v>4.416679940889313</v>
      </c>
      <c r="D39" t="str">
        <f>TRUNC(data!C39)&amp;":"&amp;ROUNDUP((data!C39-TRUNC(data!C39))*60, )</f>
        <v>4:26</v>
      </c>
      <c r="E39"/>
    </row>
    <row r="40" spans="8:8" ht="15.35">
      <c r="A40" t="s">
        <v>98</v>
      </c>
      <c r="C40">
        <f>(C28)-DEGREES(ACOS((C30)+SIN(RADIANS(C35))/(C31)))/15-6/60</f>
        <v>5.76639951725844</v>
      </c>
      <c r="D40" t="str">
        <f>TRUNC(data!C40)&amp;":"&amp;ROUNDUP((data!C40-TRUNC(data!C40))*60, )</f>
        <v>5:46</v>
      </c>
      <c r="E40"/>
    </row>
    <row r="41" spans="8:8" ht="15.35">
      <c r="A41" t="s">
        <v>101</v>
      </c>
      <c r="C41">
        <f>(C28)-DEGREES(ACOS((C30)+SIN(RADIANS(4.5))/(C31)))/15</f>
        <v>6.27369259775417</v>
      </c>
      <c r="D41" t="str">
        <f>TRUNC(data!C41)&amp;":"&amp;ROUNDUP((data!C41-TRUNC(data!C41))*60, )</f>
        <v>6:17</v>
      </c>
      <c r="E41"/>
    </row>
    <row r="42" spans="8:8" ht="15.35">
      <c r="A42" t="s">
        <v>97</v>
      </c>
      <c r="C42">
        <f>(C28)-DEGREES(ACOS((C30)+SIN(RADIANS(9.5))/(C31)))/15</f>
        <v>6.6212306508752</v>
      </c>
      <c r="D42" t="str">
        <f>TRUNC(data!C42)&amp;":"&amp;ROUNDUP((data!C42-TRUNC(data!C42))*60, )</f>
        <v>6:38</v>
      </c>
      <c r="E42"/>
    </row>
  </sheetData>
  <pageMargins left="0.7" right="0.7" top="0.75" bottom="0.75" header="0.3" footer="0.3"/>
</worksheet>
</file>

<file path=xl/worksheets/sheet20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18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18.0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2460418.5</v>
      </c>
    </row>
    <row r="12" spans="8:8">
      <c r="A12" s="28" t="s">
        <v>10</v>
      </c>
      <c r="B12" s="29"/>
      <c r="C12" s="31">
        <f>(C11-2451545)/36525</f>
        <v>0.242943189596167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26.608300417658484</v>
      </c>
    </row>
    <row r="14" spans="8:8">
      <c r="A14" s="28" t="s">
        <v>12</v>
      </c>
      <c r="B14" s="29"/>
      <c r="C14" s="31">
        <f>(((357.5291+(35999.0503*(C12)))/360)-TRUNC(((357.5291+(35999.0503*(C12)))/360)))*360</f>
        <v>103.25320231485264</v>
      </c>
    </row>
    <row r="15" spans="8:8">
      <c r="A15" s="28" t="s">
        <v>14</v>
      </c>
      <c r="B15" s="29"/>
      <c r="C15" s="31">
        <f>(((125.04-(1934.136*(C12)))/360)-TRUNC(((125.04-(1934.136*(C12)))/360)))*360</f>
        <v>-344.84516895277204</v>
      </c>
    </row>
    <row r="16" spans="8:8">
      <c r="A16" s="28" t="s">
        <v>29</v>
      </c>
      <c r="B16" s="29"/>
      <c r="C16" s="31">
        <f>((17.264/3600)*SIN(RADIANS(C15)))+((0.206/3600)*SIN(RADIANS(2*(C15))))</f>
        <v>0.001282572600520563</v>
      </c>
    </row>
    <row r="17" spans="8:8">
      <c r="A17" s="28" t="s">
        <v>30</v>
      </c>
      <c r="B17" s="29"/>
      <c r="C17" s="31">
        <f>(-1.264/3600)*SIN(RADIANS(2*(C13)))</f>
        <v>-2.812066086223948E-4</v>
      </c>
    </row>
    <row r="18" spans="8:8">
      <c r="A18" s="28" t="s">
        <v>32</v>
      </c>
      <c r="B18" s="29"/>
      <c r="C18" s="31">
        <f>(9.23/3600)*COS(RADIANS(C15))-(0.09/3600)*COS(RADIANS(2*(C15)))</f>
        <v>0.002453141483119583</v>
      </c>
    </row>
    <row r="19" spans="8:8">
      <c r="A19" s="28" t="s">
        <v>33</v>
      </c>
      <c r="B19" s="29"/>
      <c r="C19" s="31">
        <f>(0.548/3600)*COS(RADIANS(2*(C13)))</f>
        <v>9.1149383445575E-5</v>
      </c>
    </row>
    <row r="20" spans="8:8">
      <c r="A20" s="28" t="s">
        <v>58</v>
      </c>
      <c r="B20" s="29"/>
      <c r="C20" s="31">
        <f>23.43929111+(C18)+(C19)-((46.815/3600)*(C12))</f>
        <v>23.43867612713856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1.8559504751295743</v>
      </c>
    </row>
    <row r="22" spans="8:8">
      <c r="A22" s="28" t="s">
        <v>57</v>
      </c>
      <c r="B22" s="29"/>
      <c r="C22" s="31">
        <f>C13+C21+C16+C17-0.0056861</f>
        <v>28.459566158780003</v>
      </c>
    </row>
    <row r="23" spans="8:8">
      <c r="A23" s="28" t="s">
        <v>59</v>
      </c>
      <c r="B23" s="29"/>
      <c r="C23" s="31">
        <f>DEGREES(ASIN(SIN(RADIANS(C22))*SIN(RADIANS(C20))))</f>
        <v>10.92660670493399</v>
      </c>
    </row>
    <row r="24" spans="8:8">
      <c r="A24" s="28" t="s">
        <v>60</v>
      </c>
      <c r="B24" s="29"/>
      <c r="C24" s="31">
        <f>DEGREES(ATAN((TAN(RADIANS(C22)))*(COS(RADIANS(C20)))))</f>
        <v>26.441912241734986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206.441912241735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0.010847638144656845</v>
      </c>
    </row>
    <row r="27" spans="8:8">
      <c r="A27" s="28" t="s">
        <v>62</v>
      </c>
      <c r="B27" s="29">
        <f>12+C27</f>
        <v>12.155780971477991</v>
      </c>
      <c r="C27" s="31">
        <f>C26-((C6*15)-C4)/15</f>
        <v>0.1557809714779908</v>
      </c>
    </row>
    <row r="28" spans="8:8">
      <c r="A28" s="28" t="s">
        <v>69</v>
      </c>
      <c r="B28" s="29"/>
      <c r="C28" s="31">
        <f>12-C27+2/60</f>
        <v>11.877552361855333</v>
      </c>
      <c r="D28" t="str">
        <f>TRUNC(C28)&amp;":"&amp;ROUNDUP((C28-TRUNC(C28))*60, )</f>
        <v>11:53</v>
      </c>
    </row>
    <row r="29" spans="8:8">
      <c r="A29" s="28" t="s">
        <v>77</v>
      </c>
      <c r="B29" s="29"/>
      <c r="C29" s="31">
        <f>DEGREES(ATAN(1/(TAN(RADIANS(ABS((C5)-(C23))))+1)))</f>
        <v>37.15957779270072</v>
      </c>
      <c r="D29" t="str">
        <f>TRUNC(C29)&amp;":"&amp;ROUNDUP((C29-TRUNC(C29))*60, )</f>
        <v>37:10</v>
      </c>
    </row>
    <row r="30" spans="8:8">
      <c r="A30" s="28" t="s">
        <v>78</v>
      </c>
      <c r="B30" s="29"/>
      <c r="C30" s="31">
        <f>-TAN(RADIANS(C5))*TAN(RADIANS(C23))</f>
        <v>0.022972131436699173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0.9749922114846671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15.21230850321329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0.2659634522617927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-1.3810523338032799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17.88422782604005</v>
      </c>
      <c r="D36" t="str">
        <f>TRUNC(C36)&amp;":"&amp;ROUNDUP((C36-TRUNC(C36))*60, )</f>
        <v>17:54</v>
      </c>
    </row>
    <row r="37" spans="8:8">
      <c r="A37" s="32" t="s">
        <v>81</v>
      </c>
      <c r="B37" s="32"/>
      <c r="C37" s="33">
        <f>(C28)+DEGREES(ACOS((C30)+SIN(RADIANS(-18))/(C31)))/15</f>
        <v>19.01727494454418</v>
      </c>
      <c r="D37" t="str">
        <f>TRUNC(C37)&amp;":"&amp;ROUNDUP((C37-TRUNC(C37))*60, )</f>
        <v>19:2</v>
      </c>
    </row>
    <row r="38" spans="8:8">
      <c r="A38" s="32" t="s">
        <v>82</v>
      </c>
      <c r="B38" s="32"/>
      <c r="C38" s="33">
        <f>(C28)-DEGREES(ACOS((C30)+SIN(RADIANS(-20))/(C31)))/15</f>
        <v>4.6017826479746295</v>
      </c>
      <c r="D38" t="str">
        <f>TRUNC(C38)&amp;":"&amp;ROUNDUP((C38-TRUNC(C38))*60, )</f>
        <v>4:37</v>
      </c>
    </row>
    <row r="39" spans="8:8">
      <c r="A39" t="s">
        <v>103</v>
      </c>
      <c r="C39">
        <f>C38-10/60</f>
        <v>4.4351159813079635</v>
      </c>
      <c r="D39" t="str">
        <f>TRUNC(C39)&amp;":"&amp;ROUNDUP((C39-TRUNC(C39))*60, )</f>
        <v>4:27</v>
      </c>
    </row>
    <row r="40" spans="8:8">
      <c r="A40" t="s">
        <v>98</v>
      </c>
      <c r="C40">
        <f>(C28)-DEGREES(ACOS((C30)+SIN(RADIANS(C35))/(C31)))/15-6/60</f>
        <v>5.770876897670591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6.2733860618563995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6.616505736889329</v>
      </c>
      <c r="D42" t="str">
        <f>TRUNC(C42)&amp;":"&amp;ROUNDUP((C42-TRUNC(C42))*60, )</f>
        <v>6:37</v>
      </c>
    </row>
  </sheetData>
  <pageMargins left="0.7" right="0.7" top="0.75" bottom="0.75" header="0.3" footer="0.3"/>
</worksheet>
</file>

<file path=xl/worksheets/sheet21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19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19.0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2460419.5</v>
      </c>
    </row>
    <row r="12" spans="8:8">
      <c r="A12" s="28" t="s">
        <v>10</v>
      </c>
      <c r="B12" s="29"/>
      <c r="C12" s="31">
        <f>(C11-2451545)/36525</f>
        <v>0.24297056810403833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27.593947777822336</v>
      </c>
    </row>
    <row r="14" spans="8:8">
      <c r="A14" s="28" t="s">
        <v>12</v>
      </c>
      <c r="B14" s="29"/>
      <c r="C14" s="31">
        <f>(((357.5291+(35999.0503*(C12)))/360)-TRUNC(((357.5291+(35999.0503*(C12)))/360)))*360</f>
        <v>104.23880259685177</v>
      </c>
    </row>
    <row r="15" spans="8:8">
      <c r="A15" s="28" t="s">
        <v>14</v>
      </c>
      <c r="B15" s="29"/>
      <c r="C15" s="31">
        <f>(((125.04-(1934.136*(C12)))/360)-TRUNC(((125.04-(1934.136*(C12)))/360)))*360</f>
        <v>-344.89812271047225</v>
      </c>
    </row>
    <row r="16" spans="8:8">
      <c r="A16" s="28" t="s">
        <v>29</v>
      </c>
      <c r="B16" s="29"/>
      <c r="C16" s="31">
        <f>((17.264/3600)*SIN(RADIANS(C15)))+((0.206/3600)*SIN(RADIANS(2*(C15))))</f>
        <v>0.0012782027036034012</v>
      </c>
    </row>
    <row r="17" spans="8:8">
      <c r="A17" s="28" t="s">
        <v>30</v>
      </c>
      <c r="B17" s="29"/>
      <c r="C17" s="31">
        <f>(-1.264/3600)*SIN(RADIANS(2*(C13)))</f>
        <v>-2.8827227119330344E-4</v>
      </c>
    </row>
    <row r="18" spans="8:8">
      <c r="A18" s="28" t="s">
        <v>32</v>
      </c>
      <c r="B18" s="29"/>
      <c r="C18" s="31">
        <f>(9.23/3600)*COS(RADIANS(C15))-(0.09/3600)*COS(RADIANS(2*(C15)))</f>
        <v>0.00245373661975916</v>
      </c>
    </row>
    <row r="19" spans="8:8">
      <c r="A19" s="28" t="s">
        <v>33</v>
      </c>
      <c r="B19" s="29"/>
      <c r="C19" s="31">
        <f>(0.548/3600)*COS(RADIANS(2*(C13)))</f>
        <v>8.690169278687903E-5</v>
      </c>
    </row>
    <row r="20" spans="8:8">
      <c r="A20" s="28" t="s">
        <v>58</v>
      </c>
      <c r="B20" s="29"/>
      <c r="C20" s="31">
        <f>23.43929111+(C18)+(C19)-((46.815/3600)*(C12))</f>
        <v>23.43867211854978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1.8475163740566012</v>
      </c>
    </row>
    <row r="22" spans="8:8">
      <c r="A22" s="28" t="s">
        <v>57</v>
      </c>
      <c r="B22" s="29"/>
      <c r="C22" s="31">
        <f>C13+C21+C16+C17-0.0056861</f>
        <v>29.436767982311302</v>
      </c>
    </row>
    <row r="23" spans="8:8">
      <c r="A23" s="28" t="s">
        <v>59</v>
      </c>
      <c r="B23" s="29"/>
      <c r="C23" s="31">
        <f>DEGREES(ASIN(SIN(RADIANS(C22))*SIN(RADIANS(C20))))</f>
        <v>11.273219484757213</v>
      </c>
    </row>
    <row r="24" spans="8:8">
      <c r="A24" s="28" t="s">
        <v>60</v>
      </c>
      <c r="B24" s="29"/>
      <c r="C24" s="31">
        <f>DEGREES(ATAN((TAN(RADIANS(C22)))*(COS(RADIANS(C20)))))</f>
        <v>27.372996595404256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207.37299659540426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0.014495165932424439</v>
      </c>
    </row>
    <row r="27" spans="8:8">
      <c r="A27" s="28" t="s">
        <v>62</v>
      </c>
      <c r="B27" s="29">
        <f>12+C27</f>
        <v>12.159428499265758</v>
      </c>
      <c r="C27" s="31">
        <f>C26-((C6*15)-C4)/15</f>
        <v>0.1594284992657584</v>
      </c>
    </row>
    <row r="28" spans="8:8">
      <c r="A28" s="28" t="s">
        <v>69</v>
      </c>
      <c r="B28" s="29"/>
      <c r="C28" s="31">
        <f>12-C27+2/60</f>
        <v>11.873904834067533</v>
      </c>
      <c r="D28" t="str">
        <f>TRUNC(C28)&amp;":"&amp;ROUNDUP((C28-TRUNC(C28))*60, )</f>
        <v>11:53</v>
      </c>
    </row>
    <row r="29" spans="8:8">
      <c r="A29" s="28" t="s">
        <v>77</v>
      </c>
      <c r="B29" s="29"/>
      <c r="C29" s="31">
        <f>DEGREES(ATAN(1/(TAN(RADIANS(ABS((C5)-(C23))))+1)))</f>
        <v>37.02038856800834</v>
      </c>
      <c r="D29" t="str">
        <f>TRUNC(C29)&amp;":"&amp;ROUNDUP((C29-TRUNC(C29))*60, )</f>
        <v>37:2</v>
      </c>
    </row>
    <row r="30" spans="8:8">
      <c r="A30" s="28" t="s">
        <v>78</v>
      </c>
      <c r="B30" s="29"/>
      <c r="C30" s="31">
        <f>-TAN(RADIANS(C5))*TAN(RADIANS(C23))</f>
        <v>0.023719706228092795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0.9738357131493908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15.2111854833521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0.265888218780138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-1.38097710032162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17.877831754760862</v>
      </c>
      <c r="D36" t="str">
        <f>TRUNC(C36)&amp;":"&amp;ROUNDUP((C36-TRUNC(C36))*60, )</f>
        <v>17:53</v>
      </c>
    </row>
    <row r="37" spans="8:8">
      <c r="A37" s="32" t="s">
        <v>81</v>
      </c>
      <c r="B37" s="32"/>
      <c r="C37" s="33">
        <f>(C28)+DEGREES(ACOS((C30)+SIN(RADIANS(-18))/(C31)))/15</f>
        <v>19.012144148919962</v>
      </c>
      <c r="D37" t="str">
        <f>TRUNC(C37)&amp;":"&amp;ROUNDUP((C37-TRUNC(C37))*60, )</f>
        <v>19:1</v>
      </c>
    </row>
    <row r="38" spans="8:8">
      <c r="A38" s="32" t="s">
        <v>82</v>
      </c>
      <c r="B38" s="32"/>
      <c r="C38" s="33">
        <f>(C28)-DEGREES(ACOS((C30)+SIN(RADIANS(-20))/(C31)))/15</f>
        <v>4.599473253690781</v>
      </c>
      <c r="D38" t="str">
        <f>TRUNC(C38)&amp;":"&amp;ROUNDUP((C38-TRUNC(C38))*60, )</f>
        <v>4:36</v>
      </c>
    </row>
    <row r="39" spans="8:8">
      <c r="A39" t="s">
        <v>103</v>
      </c>
      <c r="C39">
        <f>C38-10/60</f>
        <v>4.432806587024113</v>
      </c>
      <c r="D39" t="str">
        <f>TRUNC(C39)&amp;":"&amp;ROUNDUP((C39-TRUNC(C39))*60, )</f>
        <v>4:26</v>
      </c>
    </row>
    <row r="40" spans="8:8">
      <c r="A40" t="s">
        <v>98</v>
      </c>
      <c r="C40">
        <f>(C28)-DEGREES(ACOS((C30)+SIN(RADIANS(C35))/(C31)))/15-6/60</f>
        <v>5.76997791337417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6.272976606624611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6.6165508526166805</v>
      </c>
      <c r="D42" t="str">
        <f>TRUNC(C42)&amp;":"&amp;ROUNDUP((C42-TRUNC(C42))*60, )</f>
        <v>6:37</v>
      </c>
    </row>
  </sheetData>
  <pageMargins left="0.7" right="0.7" top="0.75" bottom="0.75" header="0.3" footer="0.3"/>
</worksheet>
</file>

<file path=xl/worksheets/sheet22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16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20.0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2460420.5</v>
      </c>
    </row>
    <row r="12" spans="8:8">
      <c r="A12" s="28" t="s">
        <v>10</v>
      </c>
      <c r="B12" s="29"/>
      <c r="C12" s="31">
        <f>(C11-2451545)/36525</f>
        <v>0.24299794661190965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28.579595137987468</v>
      </c>
    </row>
    <row r="14" spans="8:8">
      <c r="A14" s="28" t="s">
        <v>12</v>
      </c>
      <c r="B14" s="29"/>
      <c r="C14" s="31">
        <f>(((357.5291+(35999.0503*(C12)))/360)-TRUNC(((357.5291+(35999.0503*(C12)))/360)))*360</f>
        <v>105.22440287884962</v>
      </c>
    </row>
    <row r="15" spans="8:8">
      <c r="A15" s="28" t="s">
        <v>14</v>
      </c>
      <c r="B15" s="29"/>
      <c r="C15" s="31">
        <f>(((125.04-(1934.136*(C12)))/360)-TRUNC(((125.04-(1934.136*(C12)))/360)))*360</f>
        <v>-344.95107646817246</v>
      </c>
    </row>
    <row r="16" spans="8:8">
      <c r="A16" s="28" t="s">
        <v>29</v>
      </c>
      <c r="B16" s="29"/>
      <c r="C16" s="31">
        <f>((17.264/3600)*SIN(RADIANS(C15)))+((0.206/3600)*SIN(RADIANS(2*(C15))))</f>
        <v>0.0012738316411058505</v>
      </c>
    </row>
    <row r="17" spans="8:8">
      <c r="A17" s="28" t="s">
        <v>30</v>
      </c>
      <c r="B17" s="29"/>
      <c r="C17" s="31">
        <f>(-1.264/3600)*SIN(RADIANS(2*(C13)))</f>
        <v>-2.949967268046167E-4</v>
      </c>
    </row>
    <row r="18" spans="8:8">
      <c r="A18" s="28" t="s">
        <v>32</v>
      </c>
      <c r="B18" s="29"/>
      <c r="C18" s="31">
        <f>(9.23/3600)*COS(RADIANS(C15))-(0.09/3600)*COS(RADIANS(2*(C15)))</f>
        <v>0.0024543297158376195</v>
      </c>
    </row>
    <row r="19" spans="8:8">
      <c r="A19" s="28" t="s">
        <v>33</v>
      </c>
      <c r="B19" s="29"/>
      <c r="C19" s="31">
        <f>(0.548/3600)*COS(RADIANS(2*(C13)))</f>
        <v>8.255114290325953E-5</v>
      </c>
    </row>
    <row r="20" spans="8:8">
      <c r="A20" s="28" t="s">
        <v>58</v>
      </c>
      <c r="B20" s="29"/>
      <c r="C20" s="31">
        <f>23.43929111+(C18)+(C19)-((46.815/3600)*(C12))</f>
        <v>23.438668005061302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1.8385445343240843</v>
      </c>
    </row>
    <row r="22" spans="8:8">
      <c r="A22" s="28" t="s">
        <v>57</v>
      </c>
      <c r="B22" s="29"/>
      <c r="C22" s="31">
        <f>C13+C21+C16+C17-0.0056861</f>
        <v>30.4134324072259</v>
      </c>
    </row>
    <row r="23" spans="8:8">
      <c r="A23" s="28" t="s">
        <v>59</v>
      </c>
      <c r="B23" s="29"/>
      <c r="C23" s="31">
        <f>DEGREES(ASIN(SIN(RADIANS(C22))*SIN(RADIANS(C20))))</f>
        <v>11.616736204085464</v>
      </c>
    </row>
    <row r="24" spans="8:8">
      <c r="A24" s="28" t="s">
        <v>60</v>
      </c>
      <c r="B24" s="29"/>
      <c r="C24" s="31">
        <f>DEGREES(ATAN((TAN(RADIANS(C22)))*(COS(RADIANS(C20)))))</f>
        <v>28.305805859658257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208.30580585965825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0.01802780165805331</v>
      </c>
    </row>
    <row r="27" spans="8:8">
      <c r="A27" s="28" t="s">
        <v>62</v>
      </c>
      <c r="B27" s="29">
        <f>12+C27</f>
        <v>12.162961134991386</v>
      </c>
      <c r="C27" s="31">
        <f>C26-((C6*15)-C4)/15</f>
        <v>0.16296113499138729</v>
      </c>
    </row>
    <row r="28" spans="8:8">
      <c r="A28" s="28" t="s">
        <v>69</v>
      </c>
      <c r="B28" s="29"/>
      <c r="C28" s="31">
        <f>12-C27+2/60</f>
        <v>11.870372198341933</v>
      </c>
      <c r="D28" t="str">
        <f>TRUNC(C28)&amp;":"&amp;ROUNDUP((C28-TRUNC(C28))*60, )</f>
        <v>11:53</v>
      </c>
    </row>
    <row r="29" spans="8:8">
      <c r="A29" s="28" t="s">
        <v>77</v>
      </c>
      <c r="B29" s="29"/>
      <c r="C29" s="31">
        <f>DEGREES(ATAN(1/(TAN(RADIANS(ABS((C5)-(C23))))+1)))</f>
        <v>36.88278414351883</v>
      </c>
      <c r="D29" t="str">
        <f>TRUNC(C29)&amp;":"&amp;ROUNDUP((C29-TRUNC(C29))*60, )</f>
        <v>36:53</v>
      </c>
    </row>
    <row r="30" spans="8:8">
      <c r="A30" s="28" t="s">
        <v>78</v>
      </c>
      <c r="B30" s="29"/>
      <c r="C30" s="31">
        <f>-TAN(RADIANS(C5))*TAN(RADIANS(C23))</f>
        <v>0.0244623843019182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0.9726543817796273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15.21004168048951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0.265813355271146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-1.38090223681263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17.87157197760801</v>
      </c>
      <c r="D36" t="str">
        <f>TRUNC(C36)&amp;":"&amp;ROUNDUP((C36-TRUNC(C36))*60, )</f>
        <v>17:53</v>
      </c>
    </row>
    <row r="37" spans="8:8">
      <c r="A37" s="32" t="s">
        <v>81</v>
      </c>
      <c r="B37" s="32"/>
      <c r="C37" s="33">
        <f>(C28)+DEGREES(ACOS((C30)+SIN(RADIANS(-18))/(C31)))/15</f>
        <v>19.007183969413433</v>
      </c>
      <c r="D37" t="str">
        <f>TRUNC(C37)&amp;":"&amp;ROUNDUP((C37-TRUNC(C37))*60, )</f>
        <v>19:1</v>
      </c>
    </row>
    <row r="38" spans="8:8">
      <c r="A38" s="32" t="s">
        <v>82</v>
      </c>
      <c r="B38" s="32"/>
      <c r="C38" s="33">
        <f>(C28)-DEGREES(ACOS((C30)+SIN(RADIANS(-20))/(C31)))/15</f>
        <v>4.597218502880871</v>
      </c>
      <c r="D38" t="str">
        <f>TRUNC(C38)&amp;":"&amp;ROUNDUP((C38-TRUNC(C38))*60, )</f>
        <v>4:36</v>
      </c>
    </row>
    <row r="39" spans="8:8">
      <c r="A39" t="s">
        <v>103</v>
      </c>
      <c r="C39">
        <f>C38-10/60</f>
        <v>4.430551836214203</v>
      </c>
      <c r="D39" t="str">
        <f>TRUNC(C39)&amp;":"&amp;ROUNDUP((C39-TRUNC(C39))*60, )</f>
        <v>4:26</v>
      </c>
    </row>
    <row r="40" spans="8:8">
      <c r="A40" t="s">
        <v>98</v>
      </c>
      <c r="C40">
        <f>(C28)-DEGREES(ACOS((C30)+SIN(RADIANS(C35))/(C31)))/15-6/60</f>
        <v>5.7691724190758205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6.272672306121961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6.616711226875041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23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6" zoomScale="63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21.0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2460421.5</v>
      </c>
    </row>
    <row r="12" spans="8:8">
      <c r="A12" s="28" t="s">
        <v>10</v>
      </c>
      <c r="B12" s="29"/>
      <c r="C12" s="31">
        <f>(C11-2451545)/36525</f>
        <v>0.24302532511978098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29.56524249815132</v>
      </c>
    </row>
    <row r="14" spans="8:8">
      <c r="A14" s="28" t="s">
        <v>12</v>
      </c>
      <c r="B14" s="29"/>
      <c r="C14" s="31">
        <f>(((357.5291+(35999.0503*(C12)))/360)-TRUNC(((357.5291+(35999.0503*(C12)))/360)))*360</f>
        <v>106.21000316085002</v>
      </c>
    </row>
    <row r="15" spans="8:8">
      <c r="A15" s="28" t="s">
        <v>14</v>
      </c>
      <c r="B15" s="29"/>
      <c r="C15" s="31">
        <f>(((125.04-(1934.136*(C12)))/360)-TRUNC(((125.04-(1934.136*(C12)))/360)))*360</f>
        <v>-345.00403022587267</v>
      </c>
    </row>
    <row r="16" spans="8:8">
      <c r="A16" s="28" t="s">
        <v>29</v>
      </c>
      <c r="B16" s="29"/>
      <c r="C16" s="31">
        <f>((17.264/3600)*SIN(RADIANS(C15)))+((0.206/3600)*SIN(RADIANS(2*(C15))))</f>
        <v>0.0012694594169959474</v>
      </c>
    </row>
    <row r="17" spans="8:8">
      <c r="A17" s="28" t="s">
        <v>30</v>
      </c>
      <c r="B17" s="29"/>
      <c r="C17" s="31">
        <f>(-1.264/3600)*SIN(RADIANS(2*(C13)))</f>
        <v>-3.0137201620638785E-4</v>
      </c>
    </row>
    <row r="18" spans="8:8">
      <c r="A18" s="28" t="s">
        <v>32</v>
      </c>
      <c r="B18" s="29"/>
      <c r="C18" s="31">
        <f>(9.23/3600)*COS(RADIANS(C15))-(0.09/3600)*COS(RADIANS(2*(C15)))</f>
        <v>0.0024549207709078447</v>
      </c>
    </row>
    <row r="19" spans="8:8">
      <c r="A19" s="28" t="s">
        <v>33</v>
      </c>
      <c r="B19" s="29"/>
      <c r="C19" s="31">
        <f>(0.548/3600)*COS(RADIANS(2*(C13)))</f>
        <v>7.810288322478657E-5</v>
      </c>
    </row>
    <row r="20" spans="8:8">
      <c r="A20" s="28" t="s">
        <v>58</v>
      </c>
      <c r="B20" s="29"/>
      <c r="C20" s="31">
        <f>23.43929111+(C18)+(C19)-((46.815/3600)*(C12))</f>
        <v>23.438663791822023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1.829038120296891</v>
      </c>
    </row>
    <row r="22" spans="8:8">
      <c r="A22" s="28" t="s">
        <v>57</v>
      </c>
      <c r="B22" s="29"/>
      <c r="C22" s="31">
        <f>C13+C21+C16+C17-0.0056861</f>
        <v>31.389562605849</v>
      </c>
    </row>
    <row r="23" spans="8:8">
      <c r="A23" s="28" t="s">
        <v>59</v>
      </c>
      <c r="B23" s="29"/>
      <c r="C23" s="31">
        <f>DEGREES(ASIN(SIN(RADIANS(C22))*SIN(RADIANS(C20))))</f>
        <v>11.95706461768338</v>
      </c>
    </row>
    <row r="24" spans="8:8">
      <c r="A24" s="28" t="s">
        <v>60</v>
      </c>
      <c r="B24" s="29"/>
      <c r="C24" s="31">
        <f>DEGREES(ATAN((TAN(RADIANS(C22)))*(COS(RADIANS(C20)))))</f>
        <v>29.240395166069487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209.24039516606948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0.021441764730043455</v>
      </c>
    </row>
    <row r="27" spans="8:8">
      <c r="A27" s="28" t="s">
        <v>62</v>
      </c>
      <c r="B27" s="29">
        <f>12+C27</f>
        <v>12.166375098063378</v>
      </c>
      <c r="C27" s="31">
        <f>C26-((C6*15)-C4)/15</f>
        <v>0.1663750980633775</v>
      </c>
    </row>
    <row r="28" spans="8:8" ht="19.3">
      <c r="A28" s="28" t="s">
        <v>69</v>
      </c>
      <c r="B28" s="29"/>
      <c r="C28" s="31">
        <f>12-C27+2/60</f>
        <v>11.866958235269934</v>
      </c>
      <c r="D28" t="str">
        <f>TRUNC(C28)&amp;":"&amp;ROUNDUP((C28-TRUNC(C28))*60, )</f>
        <v>11:53</v>
      </c>
    </row>
    <row r="29" spans="8:8">
      <c r="A29" s="28" t="s">
        <v>77</v>
      </c>
      <c r="B29" s="29"/>
      <c r="C29" s="31">
        <f>DEGREES(ATAN(1/(TAN(RADIANS(ABS((C5)-(C23))))+1)))</f>
        <v>36.746782744238565</v>
      </c>
      <c r="D29" t="str">
        <f>TRUNC(C29)&amp;":"&amp;ROUNDUP((C29-TRUNC(C29))*60, )</f>
        <v>36:45</v>
      </c>
    </row>
    <row r="30" spans="8:8">
      <c r="A30" s="28" t="s">
        <v>78</v>
      </c>
      <c r="B30" s="29"/>
      <c r="C30" s="31">
        <f>-TAN(RADIANS(C5))*TAN(RADIANS(C23))</f>
        <v>0.025199976699734825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0.9714495369770786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15.20888410471396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0.2657388832793296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-1.38082776482081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17.86545288653549</v>
      </c>
      <c r="D36" t="str">
        <f>TRUNC(C36)&amp;":"&amp;ROUNDUP((C36-TRUNC(C36))*60, )</f>
        <v>17:52</v>
      </c>
    </row>
    <row r="37" spans="8:8">
      <c r="A37" s="32" t="s">
        <v>81</v>
      </c>
      <c r="B37" s="32"/>
      <c r="C37" s="33">
        <f>(C28)+DEGREES(ACOS((C30)+SIN(RADIANS(-18))/(C31)))/15</f>
        <v>19.00239744523763</v>
      </c>
      <c r="D37" t="str">
        <f>TRUNC(C37)&amp;":"&amp;ROUNDUP((C37-TRUNC(C37))*60, )</f>
        <v>19:1</v>
      </c>
    </row>
    <row r="38" spans="8:8">
      <c r="A38" s="32" t="s">
        <v>82</v>
      </c>
      <c r="B38" s="32"/>
      <c r="C38" s="33">
        <f>(C28)-DEGREES(ACOS((C30)+SIN(RADIANS(-20))/(C31)))/15</f>
        <v>4.59502308726961</v>
      </c>
      <c r="D38" t="str">
        <f>TRUNC(C38)&amp;":"&amp;ROUNDUP((C38-TRUNC(C38))*60, )</f>
        <v>4:36</v>
      </c>
    </row>
    <row r="39" spans="8:8">
      <c r="A39" t="s">
        <v>103</v>
      </c>
      <c r="C39">
        <f>C38-10/60</f>
        <v>4.428356420602943</v>
      </c>
      <c r="D39" t="str">
        <f>TRUNC(C39)&amp;":"&amp;ROUNDUP((C39-TRUNC(C39))*60, )</f>
        <v>4:26</v>
      </c>
    </row>
    <row r="40" spans="8:8">
      <c r="A40" t="s">
        <v>98</v>
      </c>
      <c r="C40">
        <f>(C28)-DEGREES(ACOS((C30)+SIN(RADIANS(C35))/(C31)))/15-6/60</f>
        <v>5.768463584004341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6.2724758542287296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6.61698913901719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24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20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22.0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2460422.5</v>
      </c>
    </row>
    <row r="12" spans="8:8">
      <c r="A12" s="28" t="s">
        <v>10</v>
      </c>
      <c r="B12" s="29"/>
      <c r="C12" s="31">
        <f>(C11-2451545)/36525</f>
        <v>0.2430527036276523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30.550889858315173</v>
      </c>
    </row>
    <row r="14" spans="8:8">
      <c r="A14" s="28" t="s">
        <v>12</v>
      </c>
      <c r="B14" s="29"/>
      <c r="C14" s="31">
        <f>(((357.5291+(35999.0503*(C12)))/360)-TRUNC(((357.5291+(35999.0503*(C12)))/360)))*360</f>
        <v>107.19560344284787</v>
      </c>
    </row>
    <row r="15" spans="8:8">
      <c r="A15" s="28" t="s">
        <v>14</v>
      </c>
      <c r="B15" s="29"/>
      <c r="C15" s="31">
        <f>(((125.04-(1934.136*(C12)))/360)-TRUNC(((125.04-(1934.136*(C12)))/360)))*360</f>
        <v>-345.0569839835729</v>
      </c>
    </row>
    <row r="16" spans="8:8">
      <c r="A16" s="28" t="s">
        <v>29</v>
      </c>
      <c r="B16" s="29"/>
      <c r="C16" s="31">
        <f>((17.264/3600)*SIN(RADIANS(C15)))+((0.206/3600)*SIN(RADIANS(2*(C15))))</f>
        <v>0.0012650860352429745</v>
      </c>
    </row>
    <row r="17" spans="8:8">
      <c r="A17" s="28" t="s">
        <v>30</v>
      </c>
      <c r="B17" s="29"/>
      <c r="C17" s="31">
        <f>(-1.264/3600)*SIN(RADIANS(2*(C13)))</f>
        <v>-3.073905934313901E-4</v>
      </c>
    </row>
    <row r="18" spans="8:8">
      <c r="A18" s="28" t="s">
        <v>32</v>
      </c>
      <c r="B18" s="29"/>
      <c r="C18" s="31">
        <f>(9.23/3600)*COS(RADIANS(C15))-(0.09/3600)*COS(RADIANS(2*(C15)))</f>
        <v>0.002455509784524238</v>
      </c>
    </row>
    <row r="19" spans="8:8">
      <c r="A19" s="28" t="s">
        <v>33</v>
      </c>
      <c r="B19" s="29"/>
      <c r="C19" s="31">
        <f>(0.548/3600)*COS(RADIANS(2*(C13)))</f>
        <v>7.356217883350406E-5</v>
      </c>
    </row>
    <row r="20" spans="8:8">
      <c r="A20" s="28" t="s">
        <v>58</v>
      </c>
      <c r="B20" s="29"/>
      <c r="C20" s="31">
        <f>23.43929111+(C18)+(C19)-((46.815/3600)*(C12))</f>
        <v>23.438659484096643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1.8190004426779944</v>
      </c>
    </row>
    <row r="22" spans="8:8">
      <c r="A22" s="28" t="s">
        <v>57</v>
      </c>
      <c r="B22" s="29"/>
      <c r="C22" s="31">
        <f>C13+C21+C16+C17-0.0056861</f>
        <v>32.365161896435005</v>
      </c>
    </row>
    <row r="23" spans="8:8">
      <c r="A23" s="28" t="s">
        <v>59</v>
      </c>
      <c r="B23" s="29"/>
      <c r="C23" s="31">
        <f>DEGREES(ASIN(SIN(RADIANS(C22))*SIN(RADIANS(C20))))</f>
        <v>12.294112764125751</v>
      </c>
    </row>
    <row r="24" spans="8:8">
      <c r="A24" s="28" t="s">
        <v>60</v>
      </c>
      <c r="B24" s="29"/>
      <c r="C24" s="31">
        <f>DEGREES(ATAN((TAN(RADIANS(C22)))*(COS(RADIANS(C20)))))</f>
        <v>30.17681770111659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210.1768177011166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0.024733404086371917</v>
      </c>
    </row>
    <row r="27" spans="8:8">
      <c r="A27" s="28" t="s">
        <v>62</v>
      </c>
      <c r="B27" s="29">
        <f>12+C27</f>
        <v>12.169666737419705</v>
      </c>
      <c r="C27" s="31">
        <f>C26-((C6*15)-C4)/15</f>
        <v>0.1696667374197059</v>
      </c>
    </row>
    <row r="28" spans="8:8">
      <c r="A28" s="28" t="s">
        <v>69</v>
      </c>
      <c r="B28" s="29"/>
      <c r="C28" s="31">
        <f>12-C27+2/60</f>
        <v>11.863666595913633</v>
      </c>
      <c r="D28" t="str">
        <f>TRUNC(C28)&amp;":"&amp;ROUNDUP((C28-TRUNC(C28))*60, )</f>
        <v>11:52</v>
      </c>
    </row>
    <row r="29" spans="8:8">
      <c r="A29" s="28" t="s">
        <v>77</v>
      </c>
      <c r="B29" s="29"/>
      <c r="C29" s="31">
        <f>DEGREES(ATAN(1/(TAN(RADIANS(ABS((C5)-(C23))))+1)))</f>
        <v>36.61240281430018</v>
      </c>
      <c r="D29" t="str">
        <f>TRUNC(C29)&amp;":"&amp;ROUNDUP((C29-TRUNC(C29))*60, )</f>
        <v>36:37</v>
      </c>
    </row>
    <row r="30" spans="8:8">
      <c r="A30" s="28" t="s">
        <v>78</v>
      </c>
      <c r="B30" s="29"/>
      <c r="C30" s="31">
        <f>-TAN(RADIANS(C5))*TAN(RADIANS(C23))</f>
        <v>0.02593229082212963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0.9702225244953132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15.207719659509419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0.26566482419990795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-1.38075370574139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17.85947875461114</v>
      </c>
      <c r="D36" t="str">
        <f>TRUNC(C36)&amp;":"&amp;ROUNDUP((C36-TRUNC(C36))*60, )</f>
        <v>17:52</v>
      </c>
    </row>
    <row r="37" spans="8:8">
      <c r="A37" s="32" t="s">
        <v>81</v>
      </c>
      <c r="B37" s="32"/>
      <c r="C37" s="33">
        <f>(C28)+DEGREES(ACOS((C30)+SIN(RADIANS(-18))/(C31)))/15</f>
        <v>18.99778745672058</v>
      </c>
      <c r="D37" t="str">
        <f>TRUNC(C37)&amp;":"&amp;ROUNDUP((C37-TRUNC(C37))*60, )</f>
        <v>18:60</v>
      </c>
    </row>
    <row r="38" spans="8:8">
      <c r="A38" s="32" t="s">
        <v>82</v>
      </c>
      <c r="B38" s="32"/>
      <c r="C38" s="33">
        <f>(C28)-DEGREES(ACOS((C30)+SIN(RADIANS(-20))/(C31)))/15</f>
        <v>4.592891603326249</v>
      </c>
      <c r="D38" t="str">
        <f>TRUNC(C38)&amp;":"&amp;ROUNDUP((C38-TRUNC(C38))*60, )</f>
        <v>4:36</v>
      </c>
    </row>
    <row r="39" spans="8:8">
      <c r="A39" t="s">
        <v>103</v>
      </c>
      <c r="C39">
        <f>C38-10/60</f>
        <v>4.426224936659583</v>
      </c>
      <c r="D39" t="str">
        <f>TRUNC(C39)&amp;":"&amp;ROUNDUP((C39-TRUNC(C39))*60, )</f>
        <v>4:26</v>
      </c>
    </row>
    <row r="40" spans="8:8">
      <c r="A40" t="s">
        <v>98</v>
      </c>
      <c r="C40">
        <f>(C28)-DEGREES(ACOS((C30)+SIN(RADIANS(C35))/(C31)))/15-6/60</f>
        <v>5.767854437216091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6.272389789894239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6.61738670008714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25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21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23.0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2460423.5</v>
      </c>
    </row>
    <row r="12" spans="8:8">
      <c r="A12" s="28" t="s">
        <v>10</v>
      </c>
      <c r="B12" s="29"/>
      <c r="C12" s="31">
        <f>(C11-2451545)/36525</f>
        <v>0.24308008213552362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31.536537218480305</v>
      </c>
    </row>
    <row r="14" spans="8:8">
      <c r="A14" s="28" t="s">
        <v>12</v>
      </c>
      <c r="B14" s="29"/>
      <c r="C14" s="31">
        <f>(((357.5291+(35999.0503*(C12)))/360)-TRUNC(((357.5291+(35999.0503*(C12)))/360)))*360</f>
        <v>108.181203724847</v>
      </c>
    </row>
    <row r="15" spans="8:8">
      <c r="A15" s="28" t="s">
        <v>14</v>
      </c>
      <c r="B15" s="29"/>
      <c r="C15" s="31">
        <f>(((125.04-(1934.136*(C12)))/360)-TRUNC(((125.04-(1934.136*(C12)))/360)))*360</f>
        <v>-345.1099377412731</v>
      </c>
    </row>
    <row r="16" spans="8:8">
      <c r="A16" s="28" t="s">
        <v>29</v>
      </c>
      <c r="B16" s="29"/>
      <c r="C16" s="31">
        <f>((17.264/3600)*SIN(RADIANS(C15)))+((0.206/3600)*SIN(RADIANS(2*(C15))))</f>
        <v>0.0012607114998174468</v>
      </c>
    </row>
    <row r="17" spans="8:8">
      <c r="A17" s="28" t="s">
        <v>30</v>
      </c>
      <c r="B17" s="29"/>
      <c r="C17" s="31">
        <f>(-1.264/3600)*SIN(RADIANS(2*(C13)))</f>
        <v>-3.1304533472670227E-4</v>
      </c>
    </row>
    <row r="18" spans="8:8">
      <c r="A18" s="28" t="s">
        <v>32</v>
      </c>
      <c r="B18" s="29"/>
      <c r="C18" s="31">
        <f>(9.23/3600)*COS(RADIANS(C15))-(0.09/3600)*COS(RADIANS(2*(C15)))</f>
        <v>0.0024560967562427876</v>
      </c>
    </row>
    <row r="19" spans="8:8">
      <c r="A19" s="28" t="s">
        <v>33</v>
      </c>
      <c r="B19" s="29"/>
      <c r="C19" s="31">
        <f>(0.548/3600)*COS(RADIANS(2*(C13)))</f>
        <v>6.893440423155073E-5</v>
      </c>
    </row>
    <row r="20" spans="8:8">
      <c r="A20" s="28" t="s">
        <v>58</v>
      </c>
      <c r="B20" s="29"/>
      <c r="C20" s="31">
        <f>23.43929111+(C18)+(C19)-((46.815/3600)*(C12))</f>
        <v>23.438655087259065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1.8084349569750497</v>
      </c>
    </row>
    <row r="22" spans="8:8">
      <c r="A22" s="28" t="s">
        <v>57</v>
      </c>
      <c r="B22" s="29"/>
      <c r="C22" s="31">
        <f>C13+C21+C16+C17-0.0056861</f>
        <v>33.3402337416204</v>
      </c>
    </row>
    <row r="23" spans="8:8">
      <c r="A23" s="28" t="s">
        <v>59</v>
      </c>
      <c r="B23" s="29"/>
      <c r="C23" s="31">
        <f>DEGREES(ASIN(SIN(RADIANS(C22))*SIN(RADIANS(C20))))</f>
        <v>12.627788979568901</v>
      </c>
    </row>
    <row r="24" spans="8:8">
      <c r="A24" s="28" t="s">
        <v>60</v>
      </c>
      <c r="B24" s="29"/>
      <c r="C24" s="31">
        <f>DEGREES(ATAN((TAN(RADIANS(C22)))*(COS(RADIANS(C20)))))</f>
        <v>31.115124638478484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211.11512463847848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0.027899203762034523</v>
      </c>
    </row>
    <row r="27" spans="8:8">
      <c r="A27" s="28" t="s">
        <v>62</v>
      </c>
      <c r="B27" s="29">
        <f>12+C27</f>
        <v>12.172832537095369</v>
      </c>
      <c r="C27" s="31">
        <f>C26-((C6*15)-C4)/15</f>
        <v>0.1728325370953685</v>
      </c>
    </row>
    <row r="28" spans="8:8">
      <c r="A28" s="28" t="s">
        <v>69</v>
      </c>
      <c r="B28" s="29"/>
      <c r="C28" s="31">
        <f>12-C27+2/60</f>
        <v>11.860500796237933</v>
      </c>
      <c r="D28" t="str">
        <f>TRUNC(C28)&amp;":"&amp;ROUNDUP((C28-TRUNC(C28))*60, )</f>
        <v>11:52</v>
      </c>
    </row>
    <row r="29" spans="8:8">
      <c r="A29" s="28" t="s">
        <v>77</v>
      </c>
      <c r="B29" s="29"/>
      <c r="C29" s="31">
        <f>DEGREES(ATAN(1/(TAN(RADIANS(ABS((C5)-(C23))))+1)))</f>
        <v>36.47966302409068</v>
      </c>
      <c r="D29" t="str">
        <f>TRUNC(C29)&amp;":"&amp;ROUNDUP((C29-TRUNC(C29))*60, )</f>
        <v>36:29</v>
      </c>
    </row>
    <row r="30" spans="8:8">
      <c r="A30" s="28" t="s">
        <v>78</v>
      </c>
      <c r="B30" s="29"/>
      <c r="C30" s="31">
        <f>-TAN(RADIANS(C5))*TAN(RADIANS(C23))</f>
        <v>0.026659130401549266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0.9689747149902811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15.20655513490462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0.26559119927327063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-1.38068008081476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17.85365373057893</v>
      </c>
      <c r="D36" t="str">
        <f>TRUNC(C36)&amp;":"&amp;ROUNDUP((C36-TRUNC(C36))*60, )</f>
        <v>17:52</v>
      </c>
    </row>
    <row r="37" spans="8:8">
      <c r="A37" s="32" t="s">
        <v>81</v>
      </c>
      <c r="B37" s="32"/>
      <c r="C37" s="33">
        <f>(C28)+DEGREES(ACOS((C30)+SIN(RADIANS(-18))/(C31)))/15</f>
        <v>18.993356720146792</v>
      </c>
      <c r="D37" t="str">
        <f>TRUNC(C37)&amp;":"&amp;ROUNDUP((C37-TRUNC(C37))*60, )</f>
        <v>18:60</v>
      </c>
    </row>
    <row r="38" spans="8:8">
      <c r="A38" s="32" t="s">
        <v>82</v>
      </c>
      <c r="B38" s="32"/>
      <c r="C38" s="33">
        <f>(C28)-DEGREES(ACOS((C30)+SIN(RADIANS(-20))/(C31)))/15</f>
        <v>4.590828546261211</v>
      </c>
      <c r="D38" t="str">
        <f>TRUNC(C38)&amp;":"&amp;ROUNDUP((C38-TRUNC(C38))*60, )</f>
        <v>4:36</v>
      </c>
    </row>
    <row r="39" spans="8:8">
      <c r="A39" t="s">
        <v>103</v>
      </c>
      <c r="C39">
        <f>C38-10/60</f>
        <v>4.424161879594543</v>
      </c>
      <c r="D39" t="str">
        <f>TRUNC(C39)&amp;":"&amp;ROUNDUP((C39-TRUNC(C39))*60, )</f>
        <v>4:26</v>
      </c>
    </row>
    <row r="40" spans="8:8">
      <c r="A40" t="s">
        <v>98</v>
      </c>
      <c r="C40">
        <f>(C28)-DEGREES(ACOS((C30)+SIN(RADIANS(C35))/(C31)))/15-6/60</f>
        <v>5.7673478618969005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6.272416491528361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6.617905847265031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26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15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24.0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2460424.5</v>
      </c>
    </row>
    <row r="12" spans="8:8">
      <c r="A12" s="28" t="s">
        <v>10</v>
      </c>
      <c r="B12" s="29"/>
      <c r="C12" s="31">
        <f>(C11-2451545)/36525</f>
        <v>0.24310746064339495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32.52218457864416</v>
      </c>
    </row>
    <row r="14" spans="8:8">
      <c r="A14" s="28" t="s">
        <v>12</v>
      </c>
      <c r="B14" s="29"/>
      <c r="C14" s="31">
        <f>(((357.5291+(35999.0503*(C12)))/360)-TRUNC(((357.5291+(35999.0503*(C12)))/360)))*360</f>
        <v>109.16680400684484</v>
      </c>
    </row>
    <row r="15" spans="8:8">
      <c r="A15" s="28" t="s">
        <v>14</v>
      </c>
      <c r="B15" s="29"/>
      <c r="C15" s="31">
        <f>(((125.04-(1934.136*(C12)))/360)-TRUNC(((125.04-(1934.136*(C12)))/360)))*360</f>
        <v>-345.1628914989733</v>
      </c>
    </row>
    <row r="16" spans="8:8">
      <c r="A16" s="28" t="s">
        <v>29</v>
      </c>
      <c r="B16" s="29"/>
      <c r="C16" s="31">
        <f>((17.264/3600)*SIN(RADIANS(C15)))+((0.206/3600)*SIN(RADIANS(2*(C15))))</f>
        <v>0.0012563358146911233</v>
      </c>
    </row>
    <row r="17" spans="8:8">
      <c r="A17" s="28" t="s">
        <v>30</v>
      </c>
      <c r="B17" s="29"/>
      <c r="C17" s="31">
        <f>(-1.264/3600)*SIN(RADIANS(2*(C13)))</f>
        <v>-3.183295469855577E-4</v>
      </c>
    </row>
    <row r="18" spans="8:8">
      <c r="A18" s="28" t="s">
        <v>32</v>
      </c>
      <c r="B18" s="29"/>
      <c r="C18" s="31">
        <f>(9.23/3600)*COS(RADIANS(C15))-(0.09/3600)*COS(RADIANS(2*(C15)))</f>
        <v>0.002456681685621031</v>
      </c>
    </row>
    <row r="19" spans="8:8">
      <c r="A19" s="28" t="s">
        <v>33</v>
      </c>
      <c r="B19" s="29"/>
      <c r="C19" s="31">
        <f>(0.548/3600)*COS(RADIANS(2*(C13)))</f>
        <v>6.422503697977065E-5</v>
      </c>
    </row>
    <row r="20" spans="8:8">
      <c r="A20" s="28" t="s">
        <v>58</v>
      </c>
      <c r="B20" s="29"/>
      <c r="C20" s="31">
        <f>23.43929111+(C18)+(C19)-((46.815/3600)*(C12))</f>
        <v>23.438650606786485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1.7973452619408388</v>
      </c>
    </row>
    <row r="22" spans="8:8">
      <c r="A22" s="28" t="s">
        <v>57</v>
      </c>
      <c r="B22" s="29"/>
      <c r="C22" s="31">
        <f>C13+C21+C16+C17-0.0056861</f>
        <v>34.3147817468527</v>
      </c>
    </row>
    <row r="23" spans="8:8">
      <c r="A23" s="28" t="s">
        <v>59</v>
      </c>
      <c r="B23" s="29"/>
      <c r="C23" s="31">
        <f>DEGREES(ASIN(SIN(RADIANS(C22))*SIN(RADIANS(C20))))</f>
        <v>12.958001913203443</v>
      </c>
    </row>
    <row r="24" spans="8:8">
      <c r="A24" s="28" t="s">
        <v>60</v>
      </c>
      <c r="B24" s="29"/>
      <c r="C24" s="31">
        <f>DEGREES(ATAN((TAN(RADIANS(C22)))*(COS(RADIANS(C20)))))</f>
        <v>32.05536507101666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212.05536507101667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0.03093578846978541</v>
      </c>
    </row>
    <row r="27" spans="8:8">
      <c r="A27" s="28" t="s">
        <v>62</v>
      </c>
      <c r="B27" s="29">
        <f>12+C27</f>
        <v>12.17586912180312</v>
      </c>
      <c r="C27" s="31">
        <f>C26-((C6*15)-C4)/15</f>
        <v>0.1758691218031194</v>
      </c>
    </row>
    <row r="28" spans="8:8">
      <c r="A28" s="28" t="s">
        <v>69</v>
      </c>
      <c r="B28" s="29"/>
      <c r="C28" s="31">
        <f>12-C27+2/60</f>
        <v>11.857464211530234</v>
      </c>
      <c r="D28" t="str">
        <f>TRUNC(C28)&amp;":"&amp;ROUNDUP((C28-TRUNC(C28))*60, )</f>
        <v>11:52</v>
      </c>
    </row>
    <row r="29" spans="8:8">
      <c r="A29" s="28" t="s">
        <v>77</v>
      </c>
      <c r="B29" s="29"/>
      <c r="C29" s="31">
        <f>DEGREES(ATAN(1/(TAN(RADIANS(ABS((C5)-(C23))))+1)))</f>
        <v>36.348582275830346</v>
      </c>
      <c r="D29" t="str">
        <f>TRUNC(C29)&amp;":"&amp;ROUNDUP((C29-TRUNC(C29))*60, )</f>
        <v>36:21</v>
      </c>
    </row>
    <row r="30" spans="8:8">
      <c r="A30" s="28" t="s">
        <v>78</v>
      </c>
      <c r="B30" s="29"/>
      <c r="C30" s="31">
        <f>-TAN(RADIANS(C5))*TAN(RADIANS(C23))</f>
        <v>0.027380295486406823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0.9677075027408251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15.20539720059033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0.2655180295795266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-1.38060691112101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17.84798183337081</v>
      </c>
      <c r="D36" t="str">
        <f>TRUNC(C36)&amp;":"&amp;ROUNDUP((C36-TRUNC(C36))*60, )</f>
        <v>17:51</v>
      </c>
    </row>
    <row r="37" spans="8:8">
      <c r="A37" s="32" t="s">
        <v>81</v>
      </c>
      <c r="B37" s="32"/>
      <c r="C37" s="33">
        <f>(C28)+DEGREES(ACOS((C30)+SIN(RADIANS(-18))/(C31)))/15</f>
        <v>18.98910778260964</v>
      </c>
      <c r="D37" t="str">
        <f>TRUNC(C37)&amp;":"&amp;ROUNDUP((C37-TRUNC(C37))*60, )</f>
        <v>18:60</v>
      </c>
    </row>
    <row r="38" spans="8:8">
      <c r="A38" s="32" t="s">
        <v>82</v>
      </c>
      <c r="B38" s="32"/>
      <c r="C38" s="33">
        <f>(C28)-DEGREES(ACOS((C30)+SIN(RADIANS(-20))/(C31)))/15</f>
        <v>4.58883830397966</v>
      </c>
      <c r="D38" t="str">
        <f>TRUNC(C38)&amp;":"&amp;ROUNDUP((C38-TRUNC(C38))*60, )</f>
        <v>4:36</v>
      </c>
    </row>
    <row r="39" spans="8:8">
      <c r="A39" t="s">
        <v>103</v>
      </c>
      <c r="C39">
        <f>C38-10/60</f>
        <v>4.422171637312993</v>
      </c>
      <c r="D39" t="str">
        <f>TRUNC(C39)&amp;":"&amp;ROUNDUP((C39-TRUNC(C39))*60, )</f>
        <v>4:26</v>
      </c>
    </row>
    <row r="40" spans="8:8">
      <c r="A40" t="s">
        <v>98</v>
      </c>
      <c r="C40">
        <f>(C28)-DEGREES(ACOS((C30)+SIN(RADIANS(C35))/(C31)))/15-6/60</f>
        <v>5.76694658968963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6.27255817144125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6.618548338380609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27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14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25.0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2460425.5</v>
      </c>
    </row>
    <row r="12" spans="8:8">
      <c r="A12" s="28" t="s">
        <v>10</v>
      </c>
      <c r="B12" s="29"/>
      <c r="C12" s="31">
        <f>(C11-2451545)/36525</f>
        <v>0.24313483915126627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33.50783193880801</v>
      </c>
    </row>
    <row r="14" spans="8:8">
      <c r="A14" s="28" t="s">
        <v>12</v>
      </c>
      <c r="B14" s="29"/>
      <c r="C14" s="31">
        <f>(((357.5291+(35999.0503*(C12)))/360)-TRUNC(((357.5291+(35999.0503*(C12)))/360)))*360</f>
        <v>110.15240428884525</v>
      </c>
    </row>
    <row r="15" spans="8:8">
      <c r="A15" s="28" t="s">
        <v>14</v>
      </c>
      <c r="B15" s="29"/>
      <c r="C15" s="31">
        <f>(((125.04-(1934.136*(C12)))/360)-TRUNC(((125.04-(1934.136*(C12)))/360)))*360</f>
        <v>-345.2158452566735</v>
      </c>
    </row>
    <row r="16" spans="8:8">
      <c r="A16" s="28" t="s">
        <v>29</v>
      </c>
      <c r="B16" s="29"/>
      <c r="C16" s="31">
        <f>((17.264/3600)*SIN(RADIANS(C15)))+((0.206/3600)*SIN(RADIANS(2*(C15))))</f>
        <v>0.0012519589838369844</v>
      </c>
    </row>
    <row r="17" spans="8:8">
      <c r="A17" s="28" t="s">
        <v>30</v>
      </c>
      <c r="B17" s="29"/>
      <c r="C17" s="31">
        <f>(-1.264/3600)*SIN(RADIANS(2*(C13)))</f>
        <v>-3.232369756695331E-4</v>
      </c>
    </row>
    <row r="18" spans="8:8">
      <c r="A18" s="28" t="s">
        <v>32</v>
      </c>
      <c r="B18" s="29"/>
      <c r="C18" s="31">
        <f>(9.23/3600)*COS(RADIANS(C15))-(0.09/3600)*COS(RADIANS(2*(C15)))</f>
        <v>0.002457264572218049</v>
      </c>
    </row>
    <row r="19" spans="8:8">
      <c r="A19" s="28" t="s">
        <v>33</v>
      </c>
      <c r="B19" s="29"/>
      <c r="C19" s="31">
        <f>(0.548/3600)*COS(RADIANS(2*(C13)))</f>
        <v>5.943965121428615E-5</v>
      </c>
    </row>
    <row r="20" spans="8:8">
      <c r="A20" s="28" t="s">
        <v>58</v>
      </c>
      <c r="B20" s="29"/>
      <c r="C20" s="31">
        <f>23.43929111+(C18)+(C19)-((46.815/3600)*(C12))</f>
        <v>23.438646048252604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1.785735097987899</v>
      </c>
    </row>
    <row r="22" spans="8:8">
      <c r="A22" s="28" t="s">
        <v>57</v>
      </c>
      <c r="B22" s="29"/>
      <c r="C22" s="31">
        <f>C13+C21+C16+C17-0.0056861</f>
        <v>35.288809658804105</v>
      </c>
    </row>
    <row r="23" spans="8:8">
      <c r="A23" s="28" t="s">
        <v>59</v>
      </c>
      <c r="B23" s="29"/>
      <c r="C23" s="31">
        <f>DEGREES(ASIN(SIN(RADIANS(C22))*SIN(RADIANS(C20))))</f>
        <v>13.284660544427318</v>
      </c>
    </row>
    <row r="24" spans="8:8">
      <c r="A24" s="28" t="s">
        <v>60</v>
      </c>
      <c r="B24" s="29"/>
      <c r="C24" s="31">
        <f>DEGREES(ATAN((TAN(RADIANS(C22)))*(COS(RADIANS(C20)))))</f>
        <v>32.997585942558125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212.99758594255812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0.033839929176846605</v>
      </c>
    </row>
    <row r="27" spans="8:8">
      <c r="A27" s="28" t="s">
        <v>62</v>
      </c>
      <c r="B27" s="29">
        <f>12+C27</f>
        <v>12.17877326251018</v>
      </c>
      <c r="C27" s="31">
        <f>C26-((C6*15)-C4)/15</f>
        <v>0.1787732625101806</v>
      </c>
    </row>
    <row r="28" spans="8:8">
      <c r="A28" s="28" t="s">
        <v>69</v>
      </c>
      <c r="B28" s="29"/>
      <c r="C28" s="31">
        <f>12-C27+2/60</f>
        <v>11.854560070823133</v>
      </c>
      <c r="D28" t="str">
        <f>TRUNC(C28)&amp;":"&amp;ROUNDUP((C28-TRUNC(C28))*60, )</f>
        <v>11:52</v>
      </c>
    </row>
    <row r="29" spans="8:8">
      <c r="A29" s="28" t="s">
        <v>77</v>
      </c>
      <c r="B29" s="29"/>
      <c r="C29" s="31">
        <f>DEGREES(ATAN(1/(TAN(RADIANS(ABS((C5)-(C23))))+1)))</f>
        <v>36.21917970759639</v>
      </c>
      <c r="D29" t="str">
        <f>TRUNC(C29)&amp;":"&amp;ROUNDUP((C29-TRUNC(C29))*60, )</f>
        <v>36:14</v>
      </c>
    </row>
    <row r="30" spans="8:8">
      <c r="A30" s="28" t="s">
        <v>78</v>
      </c>
      <c r="B30" s="29"/>
      <c r="C30" s="31">
        <f>-TAN(RADIANS(C5))*TAN(RADIANS(C23))</f>
        <v>0.028095582436944194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0.9664223043391532</v>
      </c>
      <c r="D31" t="str">
        <f>TRUNC(C31)&amp;":"&amp;ROUNDUP((C31-TRUNC(C31))*60, )</f>
        <v>0:58</v>
      </c>
    </row>
    <row r="32" spans="8:8">
      <c r="A32" s="28" t="s">
        <v>75</v>
      </c>
      <c r="B32" s="29"/>
      <c r="C32" s="31">
        <f>(C28)+DEGREES(ACOS((C30)+SIN(RADIANS(C29))/(C31)))/15</f>
        <v>15.20425239901235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0.265445336033133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-1.38053421757462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17.84246694658214</v>
      </c>
      <c r="D36" t="str">
        <f>TRUNC(C36)&amp;":"&amp;ROUNDUP((C36-TRUNC(C36))*60, )</f>
        <v>17:51</v>
      </c>
    </row>
    <row r="37" spans="8:8">
      <c r="A37" s="32" t="s">
        <v>81</v>
      </c>
      <c r="B37" s="32"/>
      <c r="C37" s="33">
        <f>(C28)+DEGREES(ACOS((C30)+SIN(RADIANS(-18))/(C31)))/15</f>
        <v>18.98504301689367</v>
      </c>
      <c r="D37" t="str">
        <f>TRUNC(C37)&amp;":"&amp;ROUNDUP((C37-TRUNC(C37))*60, )</f>
        <v>18:60</v>
      </c>
    </row>
    <row r="38" spans="8:8">
      <c r="A38" s="32" t="s">
        <v>82</v>
      </c>
      <c r="B38" s="32"/>
      <c r="C38" s="33">
        <f>(C28)-DEGREES(ACOS((C30)+SIN(RADIANS(-20))/(C31)))/15</f>
        <v>4.58692515100298</v>
      </c>
      <c r="D38" t="str">
        <f>TRUNC(C38)&amp;":"&amp;ROUNDUP((C38-TRUNC(C38))*60, )</f>
        <v>4:36</v>
      </c>
    </row>
    <row r="39" spans="8:8">
      <c r="A39" t="s">
        <v>103</v>
      </c>
      <c r="C39">
        <f>C38-10/60</f>
        <v>4.420258484336313</v>
      </c>
      <c r="D39" t="str">
        <f>TRUNC(C39)&amp;":"&amp;ROUNDUP((C39-TRUNC(C39))*60, )</f>
        <v>4:26</v>
      </c>
    </row>
    <row r="40" spans="8:8">
      <c r="A40" t="s">
        <v>98</v>
      </c>
      <c r="C40">
        <f>(C28)-DEGREES(ACOS((C30)+SIN(RADIANS(C35))/(C31)))/15-6/60</f>
        <v>5.766653195064101</v>
      </c>
      <c r="D40" t="str">
        <f>TRUNC(C40)&amp;":"&amp;ROUNDUP((C40-TRUNC(C40))*60, )</f>
        <v>5:46</v>
      </c>
    </row>
    <row r="41" spans="8:8">
      <c r="A41" t="s">
        <v>101</v>
      </c>
      <c r="C41">
        <f>(C28)-DEGREES(ACOS((C30)+SIN(RADIANS(4.5))/(C31)))/15</f>
        <v>6.27281687035016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6.6193157465159995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28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22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26.0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2460426.5</v>
      </c>
    </row>
    <row r="12" spans="8:8">
      <c r="A12" s="28" t="s">
        <v>10</v>
      </c>
      <c r="B12" s="29"/>
      <c r="C12" s="31">
        <f>(C11-2451545)/36525</f>
        <v>0.24316221765913756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34.49347929897186</v>
      </c>
    </row>
    <row r="14" spans="8:8">
      <c r="A14" s="28" t="s">
        <v>12</v>
      </c>
      <c r="B14" s="29"/>
      <c r="C14" s="31">
        <f>(((357.5291+(35999.0503*(C12)))/360)-TRUNC(((357.5291+(35999.0503*(C12)))/360)))*360</f>
        <v>111.13800457084054</v>
      </c>
    </row>
    <row r="15" spans="8:8">
      <c r="A15" s="28" t="s">
        <v>14</v>
      </c>
      <c r="B15" s="29"/>
      <c r="C15" s="31">
        <f>(((125.04-(1934.136*(C12)))/360)-TRUNC(((125.04-(1934.136*(C12)))/360)))*360</f>
        <v>-345.26879901437366</v>
      </c>
    </row>
    <row r="16" spans="8:8">
      <c r="A16" s="28" t="s">
        <v>29</v>
      </c>
      <c r="B16" s="29"/>
      <c r="C16" s="31">
        <f>((17.264/3600)*SIN(RADIANS(C15)))+((0.206/3600)*SIN(RADIANS(2*(C15))))</f>
        <v>0.0012475810112292515</v>
      </c>
    </row>
    <row r="17" spans="8:8">
      <c r="A17" s="28" t="s">
        <v>30</v>
      </c>
      <c r="B17" s="29"/>
      <c r="C17" s="31">
        <f>(-1.264/3600)*SIN(RADIANS(2*(C13)))</f>
        <v>-3.2776181221156155E-4</v>
      </c>
    </row>
    <row r="18" spans="8:8">
      <c r="A18" s="28" t="s">
        <v>32</v>
      </c>
      <c r="B18" s="29"/>
      <c r="C18" s="31">
        <f>(9.23/3600)*COS(RADIANS(C15))-(0.09/3600)*COS(RADIANS(2*(C15)))</f>
        <v>0.002457845415594471</v>
      </c>
    </row>
    <row r="19" spans="8:8">
      <c r="A19" s="28" t="s">
        <v>33</v>
      </c>
      <c r="B19" s="29"/>
      <c r="C19" s="31">
        <f>(0.548/3600)*COS(RADIANS(2*(C13)))</f>
        <v>5.4583911048821435E-5</v>
      </c>
    </row>
    <row r="20" spans="8:8">
      <c r="A20" s="28" t="s">
        <v>58</v>
      </c>
      <c r="B20" s="29"/>
      <c r="C20" s="31">
        <f>23.43929111+(C18)+(C19)-((46.815/3600)*(C12))</f>
        <v>23.438641417321122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1.773608345578943</v>
      </c>
    </row>
    <row r="22" spans="8:8">
      <c r="A22" s="28" t="s">
        <v>57</v>
      </c>
      <c r="B22" s="29"/>
      <c r="C22" s="31">
        <f>C13+C21+C16+C17-0.0056861</f>
        <v>36.2623213637498</v>
      </c>
    </row>
    <row r="23" spans="8:8">
      <c r="A23" s="28" t="s">
        <v>59</v>
      </c>
      <c r="B23" s="29"/>
      <c r="C23" s="31">
        <f>DEGREES(ASIN(SIN(RADIANS(C22))*SIN(RADIANS(C20))))</f>
        <v>13.607674201766802</v>
      </c>
    </row>
    <row r="24" spans="8:8">
      <c r="A24" s="28" t="s">
        <v>60</v>
      </c>
      <c r="B24" s="29"/>
      <c r="C24" s="31">
        <f>DEGREES(ATAN((TAN(RADIANS(C22)))*(COS(RADIANS(C20)))))</f>
        <v>33.94183197957585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213.94183197957585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0.0366085486595605</v>
      </c>
    </row>
    <row r="27" spans="8:8">
      <c r="A27" s="28" t="s">
        <v>62</v>
      </c>
      <c r="B27" s="29">
        <f>12+C27</f>
        <v>12.181541881992896</v>
      </c>
      <c r="C27" s="31">
        <f>C26-((C6*15)-C4)/15</f>
        <v>0.1815418819928945</v>
      </c>
    </row>
    <row r="28" spans="8:8">
      <c r="A28" s="28" t="s">
        <v>69</v>
      </c>
      <c r="B28" s="29"/>
      <c r="C28" s="31">
        <f>12-C27+2/60</f>
        <v>11.851791451340434</v>
      </c>
      <c r="D28" t="str">
        <f>TRUNC(C28)&amp;":"&amp;ROUNDUP((C28-TRUNC(C28))*60, )</f>
        <v>11:52</v>
      </c>
    </row>
    <row r="29" spans="8:8">
      <c r="A29" s="28" t="s">
        <v>77</v>
      </c>
      <c r="B29" s="29"/>
      <c r="C29" s="31">
        <f>DEGREES(ATAN(1/(TAN(RADIANS(ABS((C5)-(C23))))+1)))</f>
        <v>36.091474695788676</v>
      </c>
      <c r="D29" t="str">
        <f>TRUNC(C29)&amp;":"&amp;ROUNDUP((C29-TRUNC(C29))*60, )</f>
        <v>36:6</v>
      </c>
    </row>
    <row r="30" spans="8:8">
      <c r="A30" s="28" t="s">
        <v>78</v>
      </c>
      <c r="B30" s="29"/>
      <c r="C30" s="31">
        <f>-TAN(RADIANS(C5))*TAN(RADIANS(C23))</f>
        <v>0.028804783933312022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0.9651205573513144</v>
      </c>
      <c r="D31" t="str">
        <f>TRUNC(C31)&amp;":"&amp;ROUNDUP((C31-TRUNC(C31))*60, )</f>
        <v>0:58</v>
      </c>
    </row>
    <row r="32" spans="8:8">
      <c r="A32" s="28" t="s">
        <v>75</v>
      </c>
      <c r="B32" s="29"/>
      <c r="C32" s="31">
        <f>(C28)+DEGREES(ACOS((C30)+SIN(RADIANS(C29))/(C31)))/15</f>
        <v>15.20312713845302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0.2653731393776102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-1.3804620209190999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17.83711281292963</v>
      </c>
      <c r="D36" t="str">
        <f>TRUNC(C36)&amp;":"&amp;ROUNDUP((C36-TRUNC(C36))*60, )</f>
        <v>17:51</v>
      </c>
    </row>
    <row r="37" spans="8:8">
      <c r="A37" s="32" t="s">
        <v>81</v>
      </c>
      <c r="B37" s="32"/>
      <c r="C37" s="33">
        <f>(C28)+DEGREES(ACOS((C30)+SIN(RADIANS(-18))/(C31)))/15</f>
        <v>18.98116461641126</v>
      </c>
      <c r="D37" t="str">
        <f>TRUNC(C37)&amp;":"&amp;ROUNDUP((C37-TRUNC(C37))*60, )</f>
        <v>18:59</v>
      </c>
    </row>
    <row r="38" spans="8:8">
      <c r="A38" s="32" t="s">
        <v>82</v>
      </c>
      <c r="B38" s="32"/>
      <c r="C38" s="33">
        <f>(C28)-DEGREES(ACOS((C30)+SIN(RADIANS(-20))/(C31)))/15</f>
        <v>4.5850932423737705</v>
      </c>
      <c r="D38" t="str">
        <f>TRUNC(C38)&amp;":"&amp;ROUNDUP((C38-TRUNC(C38))*60, )</f>
        <v>4:36</v>
      </c>
    </row>
    <row r="39" spans="8:8">
      <c r="A39" t="s">
        <v>103</v>
      </c>
      <c r="C39">
        <f>C38-10/60</f>
        <v>4.418426575707103</v>
      </c>
      <c r="D39" t="str">
        <f>TRUNC(C39)&amp;":"&amp;ROUNDUP((C39-TRUNC(C39))*60, )</f>
        <v>4:26</v>
      </c>
    </row>
    <row r="40" spans="8:8">
      <c r="A40" t="s">
        <v>98</v>
      </c>
      <c r="C40">
        <f>(C28)-DEGREES(ACOS((C30)+SIN(RADIANS(C35))/(C31)))/15-6/60</f>
        <v>5.7664700897512</v>
      </c>
      <c r="D40" t="str">
        <f>TRUNC(C40)&amp;":"&amp;ROUNDUP((C40-TRUNC(C40))*60, )</f>
        <v>5:46</v>
      </c>
    </row>
    <row r="41" spans="8:8">
      <c r="A41" t="s">
        <v>101</v>
      </c>
      <c r="C41">
        <f>(C28)-DEGREES(ACOS((C30)+SIN(RADIANS(4.5))/(C31)))/15</f>
        <v>6.27319445197672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6.6202094547228505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29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22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27.0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2460427.5</v>
      </c>
    </row>
    <row r="12" spans="8:8">
      <c r="A12" s="28" t="s">
        <v>10</v>
      </c>
      <c r="B12" s="29"/>
      <c r="C12" s="31">
        <f>(C11-2451545)/36525</f>
        <v>0.2431895961670089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35.479126659136995</v>
      </c>
    </row>
    <row r="14" spans="8:8">
      <c r="A14" s="28" t="s">
        <v>12</v>
      </c>
      <c r="B14" s="29"/>
      <c r="C14" s="31">
        <f>(((357.5291+(35999.0503*(C12)))/360)-TRUNC(((357.5291+(35999.0503*(C12)))/360)))*360</f>
        <v>112.12360485284094</v>
      </c>
    </row>
    <row r="15" spans="8:8">
      <c r="A15" s="28" t="s">
        <v>14</v>
      </c>
      <c r="B15" s="29"/>
      <c r="C15" s="31">
        <f>(((125.04-(1934.136*(C12)))/360)-TRUNC(((125.04-(1934.136*(C12)))/360)))*360</f>
        <v>-345.32175277207386</v>
      </c>
    </row>
    <row r="16" spans="8:8">
      <c r="A16" s="28" t="s">
        <v>29</v>
      </c>
      <c r="B16" s="29"/>
      <c r="C16" s="31">
        <f>((17.264/3600)*SIN(RADIANS(C15)))+((0.206/3600)*SIN(RADIANS(2*(C15))))</f>
        <v>0.0012432019008433545</v>
      </c>
    </row>
    <row r="17" spans="8:8">
      <c r="A17" s="28" t="s">
        <v>30</v>
      </c>
      <c r="B17" s="29"/>
      <c r="C17" s="31">
        <f>(-1.264/3600)*SIN(RADIANS(2*(C13)))</f>
        <v>-3.3189870089112467E-4</v>
      </c>
    </row>
    <row r="18" spans="8:8">
      <c r="A18" s="28" t="s">
        <v>32</v>
      </c>
      <c r="B18" s="29"/>
      <c r="C18" s="31">
        <f>(9.23/3600)*COS(RADIANS(C15))-(0.09/3600)*COS(RADIANS(2*(C15)))</f>
        <v>0.0024584242153125025</v>
      </c>
    </row>
    <row r="19" spans="8:8">
      <c r="A19" s="28" t="s">
        <v>33</v>
      </c>
      <c r="B19" s="29"/>
      <c r="C19" s="31">
        <f>(0.548/3600)*COS(RADIANS(2*(C13)))</f>
        <v>4.9663563870489995E-5</v>
      </c>
    </row>
    <row r="20" spans="8:8">
      <c r="A20" s="28" t="s">
        <v>58</v>
      </c>
      <c r="B20" s="29"/>
      <c r="C20" s="31">
        <f>23.43929111+(C18)+(C19)-((46.815/3600)*(C12))</f>
        <v>23.438636719739044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1.760969023593109</v>
      </c>
    </row>
    <row r="22" spans="8:8">
      <c r="A22" s="28" t="s">
        <v>57</v>
      </c>
      <c r="B22" s="29"/>
      <c r="C22" s="31">
        <f>C13+C21+C16+C17-0.0056861</f>
        <v>37.2353208859301</v>
      </c>
    </row>
    <row r="23" spans="8:8">
      <c r="A23" s="28" t="s">
        <v>59</v>
      </c>
      <c r="B23" s="29"/>
      <c r="C23" s="31">
        <f>DEGREES(ASIN(SIN(RADIANS(C22))*SIN(RADIANS(C20))))</f>
        <v>13.926952583582317</v>
      </c>
    </row>
    <row r="24" spans="8:8">
      <c r="A24" s="28" t="s">
        <v>60</v>
      </c>
      <c r="B24" s="29"/>
      <c r="C24" s="31">
        <f>DEGREES(ATAN((TAN(RADIANS(C22)))*(COS(RADIANS(C20)))))</f>
        <v>34.88814562291275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214.88814562291276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0.039238727017593164</v>
      </c>
    </row>
    <row r="27" spans="8:8">
      <c r="A27" s="28" t="s">
        <v>62</v>
      </c>
      <c r="B27" s="29">
        <f>12+C27</f>
        <v>12.184172060350926</v>
      </c>
      <c r="C27" s="31">
        <f>C26-((C6*15)-C4)/15</f>
        <v>0.1841720603509272</v>
      </c>
    </row>
    <row r="28" spans="8:8">
      <c r="A28" s="28" t="s">
        <v>69</v>
      </c>
      <c r="B28" s="29"/>
      <c r="C28" s="31">
        <f>12-C27+2/60</f>
        <v>11.849161272982434</v>
      </c>
      <c r="D28" t="str">
        <f>TRUNC(C28)&amp;":"&amp;ROUNDUP((C28-TRUNC(C28))*60, )</f>
        <v>11:51</v>
      </c>
    </row>
    <row r="29" spans="8:8">
      <c r="A29" s="28" t="s">
        <v>77</v>
      </c>
      <c r="B29" s="29"/>
      <c r="C29" s="31">
        <f>DEGREES(ATAN(1/(TAN(RADIANS(ABS((C5)-(C23))))+1)))</f>
        <v>35.96548685603065</v>
      </c>
      <c r="D29" t="str">
        <f>TRUNC(C29)&amp;":"&amp;ROUNDUP((C29-TRUNC(C29))*60, )</f>
        <v>35:58</v>
      </c>
    </row>
    <row r="30" spans="8:8">
      <c r="A30" s="28" t="s">
        <v>78</v>
      </c>
      <c r="B30" s="29"/>
      <c r="C30" s="31">
        <f>-TAN(RADIANS(C5))*TAN(RADIANS(C23))</f>
        <v>0.02950768899635245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0.9638037189477114</v>
      </c>
      <c r="D31" t="str">
        <f>TRUNC(C31)&amp;":"&amp;ROUNDUP((C31-TRUNC(C31))*60, )</f>
        <v>0:58</v>
      </c>
    </row>
    <row r="32" spans="8:8">
      <c r="A32" s="28" t="s">
        <v>75</v>
      </c>
      <c r="B32" s="29"/>
      <c r="C32" s="31">
        <f>(C28)+DEGREES(ACOS((C30)+SIN(RADIANS(C29))/(C31)))/15</f>
        <v>15.2020276861103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0.26530146018033585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-1.38039034172182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17.83192302870639</v>
      </c>
      <c r="D36" t="str">
        <f>TRUNC(C36)&amp;":"&amp;ROUNDUP((C36-TRUNC(C36))*60, )</f>
        <v>17:50</v>
      </c>
    </row>
    <row r="37" spans="8:8">
      <c r="A37" s="32" t="s">
        <v>81</v>
      </c>
      <c r="B37" s="32"/>
      <c r="C37" s="33">
        <f>(C28)+DEGREES(ACOS((C30)+SIN(RADIANS(-18))/(C31)))/15</f>
        <v>18.97747459021313</v>
      </c>
      <c r="D37" t="str">
        <f>TRUNC(C37)&amp;":"&amp;ROUNDUP((C37-TRUNC(C37))*60, )</f>
        <v>18:59</v>
      </c>
    </row>
    <row r="38" spans="8:8">
      <c r="A38" s="32" t="s">
        <v>82</v>
      </c>
      <c r="B38" s="32"/>
      <c r="C38" s="33">
        <f>(C28)-DEGREES(ACOS((C30)+SIN(RADIANS(-20))/(C31)))/15</f>
        <v>4.5833466075559794</v>
      </c>
      <c r="D38" t="str">
        <f>TRUNC(C38)&amp;":"&amp;ROUNDUP((C38-TRUNC(C38))*60, )</f>
        <v>4:36</v>
      </c>
    </row>
    <row r="39" spans="8:8">
      <c r="A39" t="s">
        <v>103</v>
      </c>
      <c r="C39">
        <f>C38-10/60</f>
        <v>4.416679940889313</v>
      </c>
      <c r="D39" t="str">
        <f>TRUNC(C39)&amp;":"&amp;ROUNDUP((C39-TRUNC(C39))*60, )</f>
        <v>4:26</v>
      </c>
    </row>
    <row r="40" spans="8:8">
      <c r="A40" t="s">
        <v>98</v>
      </c>
      <c r="C40">
        <f>(C28)-DEGREES(ACOS((C30)+SIN(RADIANS(C35))/(C31)))/15-6/60</f>
        <v>5.76639951725844</v>
      </c>
      <c r="D40" t="str">
        <f>TRUNC(C40)&amp;":"&amp;ROUNDUP((C40-TRUNC(C40))*60, )</f>
        <v>5:46</v>
      </c>
    </row>
    <row r="41" spans="8:8">
      <c r="A41" t="s">
        <v>101</v>
      </c>
      <c r="C41">
        <f>(C28)-DEGREES(ACOS((C30)+SIN(RADIANS(4.5))/(C31)))/15</f>
        <v>6.27369259775417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6.6212306508752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AK42"/>
  <sheetViews>
    <sheetView workbookViewId="0" topLeftCell="A16" zoomScale="73">
      <selection activeCell="E37" sqref="E37"/>
    </sheetView>
  </sheetViews>
  <sheetFormatPr defaultRowHeight="16.25" defaultColWidth="10"/>
  <cols>
    <col min="3" max="3" customWidth="1" width="13.453125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1.0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1">
        <f>INT(365.25*(C1+4716))+INT(30.6001*(C2+1))+C3+C10-1524.5</f>
        <v>2460401.5</v>
      </c>
    </row>
    <row r="12" spans="8:8">
      <c r="A12" s="28" t="s">
        <v>10</v>
      </c>
      <c r="B12" s="29"/>
      <c r="C12" s="31">
        <f>(C11-2451545)/36525</f>
        <v>0.24247775496235455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9.852295294866593</v>
      </c>
    </row>
    <row r="14" spans="8:8">
      <c r="A14" s="28" t="s">
        <v>12</v>
      </c>
      <c r="B14" s="29"/>
      <c r="C14" s="31">
        <f>(((357.5291+(35999.0503*(C12)))/360)-TRUNC(((357.5291+(35999.0503*(C12)))/360)))*360</f>
        <v>86.49799752087773</v>
      </c>
    </row>
    <row r="15" spans="8:8">
      <c r="A15" s="28" t="s">
        <v>14</v>
      </c>
      <c r="B15" s="29"/>
      <c r="C15" s="31">
        <f>(((125.04-(1934.136*(C12)))/360)-TRUNC(((125.04-(1934.136*(C12)))/360)))*360</f>
        <v>-343.94495507186855</v>
      </c>
    </row>
    <row r="16" spans="8:8">
      <c r="A16" s="28" t="s">
        <v>29</v>
      </c>
      <c r="B16" s="29"/>
      <c r="C16" s="31">
        <f>((17.264/3600)*SIN(RADIANS(C15)))+((0.206/3600)*SIN(RADIANS(2*(C15))))</f>
        <v>0.001356678675394401</v>
      </c>
    </row>
    <row r="17" spans="8:8">
      <c r="A17" s="28" t="s">
        <v>30</v>
      </c>
      <c r="B17" s="29"/>
      <c r="C17" s="31">
        <f>(-1.264/3600)*SIN(RADIANS(2*(C13)))</f>
        <v>-1.1838437518342091E-4</v>
      </c>
    </row>
    <row r="18" spans="8:8">
      <c r="A18" s="28" t="s">
        <v>32</v>
      </c>
      <c r="B18" s="29"/>
      <c r="C18" s="31">
        <f>(9.23/3600)*COS(RADIANS(C15))-(0.09/3600)*COS(RADIANS(2*(C15)))</f>
        <v>0.0024427123951924964</v>
      </c>
    </row>
    <row r="19" spans="8:8">
      <c r="A19" s="28" t="s">
        <v>33</v>
      </c>
      <c r="B19" s="29"/>
      <c r="C19" s="31">
        <f>(0.548/3600)*COS(RADIANS(2*(C13)))</f>
        <v>1.433086267528555E-4</v>
      </c>
    </row>
    <row r="20" spans="8:8">
      <c r="A20" s="28" t="s">
        <v>58</v>
      </c>
      <c r="B20" s="29"/>
      <c r="C20" s="31">
        <f>23.43929111+(C18)+(C19)-((46.815/3600)*(C12))</f>
        <v>23.43872390988341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1.9147278810574866</v>
      </c>
    </row>
    <row r="22" spans="8:8">
      <c r="A22" s="28" t="s">
        <v>57</v>
      </c>
      <c r="B22" s="29"/>
      <c r="C22" s="31">
        <f>C13+C21+C16+C17-0.0056861</f>
        <v>11.7625753702243</v>
      </c>
    </row>
    <row r="23" spans="8:8">
      <c r="A23" s="28" t="s">
        <v>59</v>
      </c>
      <c r="B23" s="29"/>
      <c r="C23" s="31">
        <f>DEGREES(ASIN(SIN(RADIANS(C22))*SIN(RADIANS(C20))))</f>
        <v>4.651087104073706</v>
      </c>
    </row>
    <row r="24" spans="8:8">
      <c r="A24" s="28" t="s">
        <v>60</v>
      </c>
      <c r="B24" s="29"/>
      <c r="C24" s="31">
        <f>DEGREES(ATAN((TAN(RADIANS(C22)))*(COS(RADIANS(C20)))))</f>
        <v>10.815879675692539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190.81587967569254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-0.06455656530585928</v>
      </c>
    </row>
    <row r="27" spans="8:8">
      <c r="A27" s="28" t="s">
        <v>62</v>
      </c>
      <c r="B27" s="29">
        <f>12+C27</f>
        <v>12.080376768027474</v>
      </c>
      <c r="C27" s="31">
        <f>C26-((C6*15)-C4)/15</f>
        <v>0.08037676802747469</v>
      </c>
      <c r="D27" t="str">
        <f>IF(B27&lt;0,"-","")&amp;TEXT(ABS(B27/24),"hh:mm:ss")</f>
        <v>12:04:49</v>
      </c>
    </row>
    <row r="28" spans="8:8" ht="16.65">
      <c r="A28" s="28" t="s">
        <v>69</v>
      </c>
      <c r="B28" s="29"/>
      <c r="C28" s="31">
        <f>12-C27+2/60</f>
        <v>11.952956565305833</v>
      </c>
      <c r="D28" t="str">
        <f>TRUNC(C28)&amp;":"&amp;ROUNDUP((C28-TRUNC(C28))*60, )</f>
        <v>11:58</v>
      </c>
    </row>
    <row r="29" spans="8:8">
      <c r="A29" s="28" t="s">
        <v>77</v>
      </c>
      <c r="B29" s="29"/>
      <c r="C29" s="31">
        <f>DEGREES(ATAN(1/(TAN(RADIANS(ABS((C5)-(C23))))+1)))</f>
        <v>39.751411401788005</v>
      </c>
      <c r="D29" t="str">
        <f>TRUNC(C29)&amp;":"&amp;ROUNDUP((C29-TRUNC(C29))*60, )</f>
        <v>39:46</v>
      </c>
    </row>
    <row r="30" spans="8:8">
      <c r="A30" s="28" t="s">
        <v>78</v>
      </c>
      <c r="B30" s="29"/>
      <c r="C30" s="31">
        <f>-TAN(RADIANS(C5))*TAN(RADIANS(C23))</f>
        <v>0.009680902744079447</v>
      </c>
      <c r="D30" t="str">
        <f>TRUNC(C30)&amp;":"&amp;ROUNDUP((C30-TRUNC(C30))*60, )</f>
        <v>0:1</v>
      </c>
    </row>
    <row r="31" spans="8:8">
      <c r="A31" s="28" t="s">
        <v>79</v>
      </c>
      <c r="B31" s="29"/>
      <c r="C31" s="31">
        <f>COS(RADIANS(C5))*COS(RADIANS(C23))</f>
        <v>0.9897244534169618</v>
      </c>
      <c r="D31" t="str">
        <f>TRUNC(C31)&amp;":"&amp;ROUNDUP((C31-TRUNC(C31))*60, )</f>
        <v>0:60</v>
      </c>
    </row>
    <row r="32" spans="8:8">
      <c r="A32" s="28" t="s">
        <v>75</v>
      </c>
      <c r="B32" s="29"/>
      <c r="C32" s="31">
        <f>(C28)+DEGREES(ACOS((C30)+SIN(RADIANS(C29))/(C31)))/15</f>
        <v>15.221046133200211</v>
      </c>
      <c r="D32" t="str">
        <f>TRUNC(C32)&amp;":"&amp;ROUNDUP((C32-TRUNC(C32))*60, )</f>
        <v>15:14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0.26727754587096225</v>
      </c>
      <c r="D34" t="str">
        <f>TRUNC(C34)&amp;":"&amp;ROUNDUP((C34-TRUNC(C34))*60, )</f>
        <v>0:17</v>
      </c>
    </row>
    <row r="35" spans="8:8">
      <c r="A35" s="32" t="s">
        <v>74</v>
      </c>
      <c r="B35" s="32"/>
      <c r="C35" s="33">
        <f>-((C34)+(34.5/60)+(C33))-0.0024</f>
        <v>-1.3823664274124499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18.00908579208697</v>
      </c>
      <c r="D36" t="str">
        <f>TRUNC(C36)&amp;":"&amp;ROUNDUP((C36-TRUNC(C36))*60, )</f>
        <v>18:1</v>
      </c>
    </row>
    <row r="37" spans="8:8">
      <c r="A37" s="32" t="s">
        <v>81</v>
      </c>
      <c r="B37" s="32"/>
      <c r="C37" s="33">
        <f>(C28)+DEGREES(ACOS((C30)+SIN(RADIANS(-18))/(C31)))/15</f>
        <v>19.126989137417972</v>
      </c>
      <c r="D37" t="str">
        <f>TRUNC(C37)&amp;":"&amp;ROUNDUP((C37-TRUNC(C37))*60, )</f>
        <v>19:8</v>
      </c>
    </row>
    <row r="38" spans="8:8">
      <c r="A38" s="32" t="s">
        <v>82</v>
      </c>
      <c r="B38" s="32"/>
      <c r="C38" s="33">
        <f>(C28)-DEGREES(ACOS((C30)+SIN(RADIANS(-20))/(C31)))/15</f>
        <v>4.644511368960851</v>
      </c>
      <c r="D38" t="str">
        <f>TRUNC(C38)&amp;":"&amp;ROUNDUP((C38-TRUNC(C38))*60, )</f>
        <v>4:39</v>
      </c>
    </row>
    <row r="39" spans="8:8">
      <c r="A39" t="s">
        <v>103</v>
      </c>
      <c r="C39">
        <f>C38-10/60</f>
        <v>4.477844702294183</v>
      </c>
      <c r="D39" t="str">
        <f>TRUNC(C39)&amp;":"&amp;ROUNDUP((C39-TRUNC(C39))*60, )</f>
        <v>4:29</v>
      </c>
    </row>
    <row r="40" spans="8:8">
      <c r="A40" t="s">
        <v>98</v>
      </c>
      <c r="C40">
        <f>(C28)-DEGREES(ACOS((C30)+SIN(RADIANS(C35))/(C31)))/15-6/60</f>
        <v>5.79682733852467</v>
      </c>
      <c r="D40" t="str">
        <f>TRUNC(C40)&amp;":"&amp;ROUNDUP((C40-TRUNC(C40))*60, )</f>
        <v>5:48</v>
      </c>
    </row>
    <row r="41" spans="8:8">
      <c r="A41" t="s">
        <v>101</v>
      </c>
      <c r="C41">
        <f>(C28)-DEGREES(ACOS((C30)+SIN(RADIANS(4.5))/(C31)))/15</f>
        <v>6.293187741252121</v>
      </c>
      <c r="D41" t="str">
        <f>TRUNC(C41)&amp;":"&amp;ROUNDUP((C41-TRUNC(C41))*60, )</f>
        <v>6:18</v>
      </c>
    </row>
    <row r="42" spans="8:8">
      <c r="A42" t="s">
        <v>97</v>
      </c>
      <c r="C42">
        <f>(C28)-DEGREES(ACOS((C30)+SIN(RADIANS(9.5))/(C31)))/15</f>
        <v>6.630462474828831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30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25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28.0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2460428.5</v>
      </c>
    </row>
    <row r="12" spans="8:8">
      <c r="A12" s="28" t="s">
        <v>10</v>
      </c>
      <c r="B12" s="29"/>
      <c r="C12" s="31">
        <f>(C11-2451545)/36525</f>
        <v>0.2432169746748802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36.46477401930085</v>
      </c>
    </row>
    <row r="14" spans="8:8">
      <c r="A14" s="28" t="s">
        <v>12</v>
      </c>
      <c r="B14" s="29"/>
      <c r="C14" s="31">
        <f>(((357.5291+(35999.0503*(C12)))/360)-TRUNC(((357.5291+(35999.0503*(C12)))/360)))*360</f>
        <v>113.10920513483879</v>
      </c>
    </row>
    <row r="15" spans="8:8">
      <c r="A15" s="28" t="s">
        <v>14</v>
      </c>
      <c r="B15" s="29"/>
      <c r="C15" s="31">
        <f>(((125.04-(1934.136*(C12)))/360)-TRUNC(((125.04-(1934.136*(C12)))/360)))*360</f>
        <v>-345.3747065297741</v>
      </c>
    </row>
    <row r="16" spans="8:8">
      <c r="A16" s="28" t="s">
        <v>29</v>
      </c>
      <c r="B16" s="29"/>
      <c r="C16" s="31">
        <f>((17.264/3600)*SIN(RADIANS(C15)))+((0.206/3600)*SIN(RADIANS(2*(C15))))</f>
        <v>0.0012388216566559438</v>
      </c>
    </row>
    <row r="17" spans="8:8">
      <c r="A17" s="28" t="s">
        <v>30</v>
      </c>
      <c r="B17" s="29"/>
      <c r="C17" s="31">
        <f>(-1.264/3600)*SIN(RADIANS(2*(C13)))</f>
        <v>-3.356427451734089E-4</v>
      </c>
    </row>
    <row r="18" spans="8:8">
      <c r="A18" s="28" t="s">
        <v>32</v>
      </c>
      <c r="B18" s="29"/>
      <c r="C18" s="31">
        <f>(9.23/3600)*COS(RADIANS(C15))-(0.09/3600)*COS(RADIANS(2*(C15)))</f>
        <v>0.002459000970935905</v>
      </c>
    </row>
    <row r="19" spans="8:8">
      <c r="A19" s="28" t="s">
        <v>33</v>
      </c>
      <c r="B19" s="29"/>
      <c r="C19" s="31">
        <f>(0.548/3600)*COS(RADIANS(2*(C13)))</f>
        <v>4.468443353705533E-5</v>
      </c>
    </row>
    <row r="20" spans="8:8">
      <c r="A20" s="28" t="s">
        <v>58</v>
      </c>
      <c r="B20" s="29"/>
      <c r="C20" s="31">
        <f>23.43929111+(C18)+(C19)-((46.815/3600)*(C12))</f>
        <v>23.438631961329666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1.747821287670397</v>
      </c>
    </row>
    <row r="22" spans="8:8">
      <c r="A22" s="28" t="s">
        <v>57</v>
      </c>
      <c r="B22" s="29"/>
      <c r="C22" s="31">
        <f>C13+C21+C16+C17-0.0056861</f>
        <v>38.207812385882704</v>
      </c>
    </row>
    <row r="23" spans="8:8">
      <c r="A23" s="28" t="s">
        <v>59</v>
      </c>
      <c r="B23" s="29"/>
      <c r="C23" s="31">
        <f>DEGREES(ASIN(SIN(RADIANS(C22))*SIN(RADIANS(C20))))</f>
        <v>14.242405780581443</v>
      </c>
    </row>
    <row r="24" spans="8:8">
      <c r="A24" s="28" t="s">
        <v>60</v>
      </c>
      <c r="B24" s="29"/>
      <c r="C24" s="31">
        <f>DEGREES(ATAN((TAN(RADIANS(C22)))*(COS(RADIANS(C20)))))</f>
        <v>35.836566959676006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215.83656695967602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0.04172770712859264</v>
      </c>
    </row>
    <row r="27" spans="8:8">
      <c r="A27" s="28" t="s">
        <v>62</v>
      </c>
      <c r="B27" s="29">
        <f>12+C27</f>
        <v>12.186661040461926</v>
      </c>
      <c r="C27" s="31">
        <f>C26-((C6*15)-C4)/15</f>
        <v>0.1866610404619266</v>
      </c>
    </row>
    <row r="28" spans="8:8">
      <c r="A28" s="28" t="s">
        <v>69</v>
      </c>
      <c r="B28" s="29"/>
      <c r="C28" s="31">
        <f>12-C27+2/60</f>
        <v>11.846672292871434</v>
      </c>
      <c r="D28" t="str">
        <f>TRUNC(C28)&amp;":"&amp;ROUNDUP((C28-TRUNC(C28))*60, )</f>
        <v>11:51</v>
      </c>
    </row>
    <row r="29" spans="8:8">
      <c r="A29" s="28" t="s">
        <v>77</v>
      </c>
      <c r="B29" s="29"/>
      <c r="C29" s="31">
        <f>DEGREES(ATAN(1/(TAN(RADIANS(ABS((C5)-(C23))))+1)))</f>
        <v>35.841236042503716</v>
      </c>
      <c r="D29" t="str">
        <f>TRUNC(C29)&amp;":"&amp;ROUNDUP((C29-TRUNC(C29))*60, )</f>
        <v>35:51</v>
      </c>
    </row>
    <row r="30" spans="8:8">
      <c r="A30" s="28" t="s">
        <v>78</v>
      </c>
      <c r="B30" s="29"/>
      <c r="C30" s="31">
        <f>-TAN(RADIANS(C5))*TAN(RADIANS(C23))</f>
        <v>0.030204083021539176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0.9624732645037914</v>
      </c>
      <c r="D31" t="str">
        <f>TRUNC(C31)&amp;":"&amp;ROUNDUP((C31-TRUNC(C31))*60, )</f>
        <v>0:58</v>
      </c>
    </row>
    <row r="32" spans="8:8">
      <c r="A32" s="28" t="s">
        <v>75</v>
      </c>
      <c r="B32" s="29"/>
      <c r="C32" s="31">
        <f>(C28)+DEGREES(ACOS((C30)+SIN(RADIANS(C29))/(C31)))/15</f>
        <v>15.2009601611883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0.26523031882742876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-1.38031920036891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17.82690103825355</v>
      </c>
      <c r="D36" t="str">
        <f>TRUNC(C36)&amp;":"&amp;ROUNDUP((C36-TRUNC(C36))*60, )</f>
        <v>17:50</v>
      </c>
    </row>
    <row r="37" spans="8:8">
      <c r="A37" s="32" t="s">
        <v>81</v>
      </c>
      <c r="B37" s="32"/>
      <c r="C37" s="33">
        <f>(C28)+DEGREES(ACOS((C30)+SIN(RADIANS(-18))/(C31)))/15</f>
        <v>18.973974758097718</v>
      </c>
      <c r="D37" t="str">
        <f>TRUNC(C37)&amp;":"&amp;ROUNDUP((C37-TRUNC(C37))*60, )</f>
        <v>18:59</v>
      </c>
    </row>
    <row r="38" spans="8:8">
      <c r="A38" s="32" t="s">
        <v>82</v>
      </c>
      <c r="B38" s="32"/>
      <c r="C38" s="33">
        <f>(C28)-DEGREES(ACOS((C30)+SIN(RADIANS(-20))/(C31)))/15</f>
        <v>4.58168914434645</v>
      </c>
      <c r="D38" t="str">
        <f>TRUNC(C38)&amp;":"&amp;ROUNDUP((C38-TRUNC(C38))*60, )</f>
        <v>4:35</v>
      </c>
    </row>
    <row r="39" spans="8:8">
      <c r="A39" t="s">
        <v>103</v>
      </c>
      <c r="C39">
        <f>C38-10/60</f>
        <v>4.415022477679783</v>
      </c>
      <c r="D39" t="str">
        <f>TRUNC(C39)&amp;":"&amp;ROUNDUP((C39-TRUNC(C39))*60, )</f>
        <v>4:25</v>
      </c>
    </row>
    <row r="40" spans="8:8">
      <c r="A40" t="s">
        <v>98</v>
      </c>
      <c r="C40">
        <f>(C28)-DEGREES(ACOS((C30)+SIN(RADIANS(C35))/(C31)))/15-6/60</f>
        <v>5.76644354748928</v>
      </c>
      <c r="D40" t="str">
        <f>TRUNC(C40)&amp;":"&amp;ROUNDUP((C40-TRUNC(C40))*60, )</f>
        <v>5:46</v>
      </c>
    </row>
    <row r="41" spans="8:8">
      <c r="A41" t="s">
        <v>101</v>
      </c>
      <c r="C41">
        <f>(C28)-DEGREES(ACOS((C30)+SIN(RADIANS(4.5))/(C31)))/15</f>
        <v>6.2743128016686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6.62238032268383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31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24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29.0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2460429.5</v>
      </c>
    </row>
    <row r="12" spans="8:8">
      <c r="A12" s="28" t="s">
        <v>10</v>
      </c>
      <c r="B12" s="29"/>
      <c r="C12" s="31">
        <f>(C11-2451545)/36525</f>
        <v>0.24324435318275153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37.4504213794647</v>
      </c>
    </row>
    <row r="14" spans="8:8">
      <c r="A14" s="28" t="s">
        <v>12</v>
      </c>
      <c r="B14" s="29"/>
      <c r="C14" s="31">
        <f>(((357.5291+(35999.0503*(C12)))/360)-TRUNC(((357.5291+(35999.0503*(C12)))/360)))*360</f>
        <v>114.09480541683791</v>
      </c>
    </row>
    <row r="15" spans="8:8">
      <c r="A15" s="28" t="s">
        <v>14</v>
      </c>
      <c r="B15" s="29"/>
      <c r="C15" s="31">
        <f>(((125.04-(1934.136*(C12)))/360)-TRUNC(((125.04-(1934.136*(C12)))/360)))*360</f>
        <v>-345.4276602874743</v>
      </c>
    </row>
    <row r="16" spans="8:8">
      <c r="A16" s="28" t="s">
        <v>29</v>
      </c>
      <c r="B16" s="29"/>
      <c r="C16" s="31">
        <f>((17.264/3600)*SIN(RADIANS(C15)))+((0.206/3600)*SIN(RADIANS(2*(C15))))</f>
        <v>0.0012344402826448854</v>
      </c>
    </row>
    <row r="17" spans="8:8">
      <c r="A17" s="28" t="s">
        <v>30</v>
      </c>
      <c r="B17" s="29"/>
      <c r="C17" s="31">
        <f>(-1.264/3600)*SIN(RADIANS(2*(C13)))</f>
        <v>-3.389895135050107E-4</v>
      </c>
    </row>
    <row r="18" spans="8:8">
      <c r="A18" s="28" t="s">
        <v>32</v>
      </c>
      <c r="B18" s="29"/>
      <c r="C18" s="31">
        <f>(9.23/3600)*COS(RADIANS(C15))-(0.09/3600)*COS(RADIANS(2*(C15)))</f>
        <v>0.002459575682029964</v>
      </c>
    </row>
    <row r="19" spans="8:8">
      <c r="A19" s="28" t="s">
        <v>33</v>
      </c>
      <c r="B19" s="29"/>
      <c r="C19" s="31">
        <f>(0.548/3600)*COS(RADIANS(2*(C13)))</f>
        <v>3.965241348361505E-5</v>
      </c>
    </row>
    <row r="20" spans="8:8">
      <c r="A20" s="28" t="s">
        <v>58</v>
      </c>
      <c r="B20" s="29"/>
      <c r="C20" s="31">
        <f>23.43929111+(C18)+(C19)-((46.815/3600)*(C12))</f>
        <v>23.438627147985986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1.7341694285336553</v>
      </c>
    </row>
    <row r="22" spans="8:8">
      <c r="A22" s="28" t="s">
        <v>57</v>
      </c>
      <c r="B22" s="29"/>
      <c r="C22" s="31">
        <f>C13+C21+C16+C17-0.0056861</f>
        <v>39.1798001587675</v>
      </c>
    </row>
    <row r="23" spans="8:8">
      <c r="A23" s="28" t="s">
        <v>59</v>
      </c>
      <c r="B23" s="29"/>
      <c r="C23" s="31">
        <f>DEGREES(ASIN(SIN(RADIANS(C22))*SIN(RADIANS(C20))))</f>
        <v>14.553944300170148</v>
      </c>
    </row>
    <row r="24" spans="8:8">
      <c r="A24" s="28" t="s">
        <v>60</v>
      </c>
      <c r="B24" s="29"/>
      <c r="C24" s="31">
        <f>DEGREES(ATAN((TAN(RADIANS(C22)))*(COS(RADIANS(C20)))))</f>
        <v>36.78713365547513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216.78713365547515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0.044072900024087605</v>
      </c>
    </row>
    <row r="27" spans="8:8">
      <c r="A27" s="28" t="s">
        <v>62</v>
      </c>
      <c r="B27" s="29">
        <f>12+C27</f>
        <v>12.189006233357421</v>
      </c>
      <c r="C27" s="31">
        <f>C26-((C6*15)-C4)/15</f>
        <v>0.1890062333574216</v>
      </c>
    </row>
    <row r="28" spans="8:8">
      <c r="A28" s="28" t="s">
        <v>69</v>
      </c>
      <c r="B28" s="29"/>
      <c r="C28" s="31">
        <f>12-C27+2/60</f>
        <v>11.844327099975933</v>
      </c>
      <c r="D28" t="str">
        <f>TRUNC(C28)&amp;":"&amp;ROUNDUP((C28-TRUNC(C28))*60, )</f>
        <v>11:51</v>
      </c>
    </row>
    <row r="29" spans="8:8">
      <c r="A29" s="28" t="s">
        <v>77</v>
      </c>
      <c r="B29" s="29"/>
      <c r="C29" s="31">
        <f>DEGREES(ATAN(1/(TAN(RADIANS(ABS((C5)-(C23))))+1)))</f>
        <v>35.718742345709174</v>
      </c>
      <c r="D29" t="str">
        <f>TRUNC(C29)&amp;":"&amp;ROUNDUP((C29-TRUNC(C29))*60, )</f>
        <v>35:44</v>
      </c>
    </row>
    <row r="30" spans="8:8">
      <c r="A30" s="28" t="s">
        <v>78</v>
      </c>
      <c r="B30" s="29"/>
      <c r="C30" s="31">
        <f>-TAN(RADIANS(C5))*TAN(RADIANS(C23))</f>
        <v>0.030893747826546917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0.961130686171054</v>
      </c>
      <c r="D31" t="str">
        <f>TRUNC(C31)&amp;":"&amp;ROUNDUP((C31-TRUNC(C31))*60, )</f>
        <v>0:58</v>
      </c>
    </row>
    <row r="32" spans="8:8">
      <c r="A32" s="28" t="s">
        <v>75</v>
      </c>
      <c r="B32" s="29"/>
      <c r="C32" s="31">
        <f>(C28)+DEGREES(ACOS((C30)+SIN(RADIANS(C29))/(C31)))/15</f>
        <v>15.19993052801124</v>
      </c>
      <c r="D32" t="str">
        <f>TRUNC(C32)&amp;":"&amp;ROUNDUP((C32-TRUNC(C32))*60, )</f>
        <v>15:12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0.26515973551871125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-1.3802486170602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17.82205012846566</v>
      </c>
      <c r="D36" t="str">
        <f>TRUNC(C36)&amp;":"&amp;ROUNDUP((C36-TRUNC(C36))*60, )</f>
        <v>17:50</v>
      </c>
    </row>
    <row r="37" spans="8:8">
      <c r="A37" s="32" t="s">
        <v>81</v>
      </c>
      <c r="B37" s="32"/>
      <c r="C37" s="33">
        <f>(C28)+DEGREES(ACOS((C30)+SIN(RADIANS(-18))/(C31)))/15</f>
        <v>18.970666745841427</v>
      </c>
      <c r="D37" t="str">
        <f>TRUNC(C37)&amp;":"&amp;ROUNDUP((C37-TRUNC(C37))*60, )</f>
        <v>18:59</v>
      </c>
    </row>
    <row r="38" spans="8:8">
      <c r="A38" s="32" t="s">
        <v>82</v>
      </c>
      <c r="B38" s="32"/>
      <c r="C38" s="33">
        <f>(C28)-DEGREES(ACOS((C30)+SIN(RADIANS(-20))/(C31)))/15</f>
        <v>4.58012461281212</v>
      </c>
      <c r="D38" t="str">
        <f>TRUNC(C38)&amp;":"&amp;ROUNDUP((C38-TRUNC(C38))*60, )</f>
        <v>4:35</v>
      </c>
    </row>
    <row r="39" spans="8:8">
      <c r="A39" t="s">
        <v>103</v>
      </c>
      <c r="C39">
        <f>C38-10/60</f>
        <v>4.413457946145453</v>
      </c>
      <c r="D39" t="str">
        <f>TRUNC(C39)&amp;":"&amp;ROUNDUP((C39-TRUNC(C39))*60, )</f>
        <v>4:25</v>
      </c>
    </row>
    <row r="40" spans="8:8">
      <c r="A40" t="s">
        <v>98</v>
      </c>
      <c r="C40">
        <f>(C28)-DEGREES(ACOS((C30)+SIN(RADIANS(C35))/(C31)))/15-6/60</f>
        <v>5.76660407148617</v>
      </c>
      <c r="D40" t="str">
        <f>TRUNC(C40)&amp;":"&amp;ROUNDUP((C40-TRUNC(C40))*60, )</f>
        <v>5:46</v>
      </c>
    </row>
    <row r="41" spans="8:8">
      <c r="A41" t="s">
        <v>101</v>
      </c>
      <c r="C41">
        <f>(C28)-DEGREES(ACOS((C30)+SIN(RADIANS(4.5))/(C31)))/15</f>
        <v>6.2750563652559395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6.6236592528956795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32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21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30.0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2460430.5</v>
      </c>
    </row>
    <row r="12" spans="8:8">
      <c r="A12" s="28" t="s">
        <v>10</v>
      </c>
      <c r="B12" s="29"/>
      <c r="C12" s="31">
        <f>(C11-2451545)/36525</f>
        <v>0.24327173169062286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38.43606873962983</v>
      </c>
    </row>
    <row r="14" spans="8:8">
      <c r="A14" s="28" t="s">
        <v>12</v>
      </c>
      <c r="B14" s="29"/>
      <c r="C14" s="31">
        <f>(((357.5291+(35999.0503*(C12)))/360)-TRUNC(((357.5291+(35999.0503*(C12)))/360)))*360</f>
        <v>115.08040569883576</v>
      </c>
    </row>
    <row r="15" spans="8:8">
      <c r="A15" s="28" t="s">
        <v>14</v>
      </c>
      <c r="B15" s="29"/>
      <c r="C15" s="31">
        <f>(((125.04-(1934.136*(C12)))/360)-TRUNC(((125.04-(1934.136*(C12)))/360)))*360</f>
        <v>-345.4806140451745</v>
      </c>
    </row>
    <row r="16" spans="8:8">
      <c r="A16" s="28" t="s">
        <v>29</v>
      </c>
      <c r="B16" s="29"/>
      <c r="C16" s="31">
        <f>((17.264/3600)*SIN(RADIANS(C15)))+((0.206/3600)*SIN(RADIANS(2*(C15))))</f>
        <v>0.0012300577827892725</v>
      </c>
    </row>
    <row r="17" spans="8:8">
      <c r="A17" s="28" t="s">
        <v>30</v>
      </c>
      <c r="B17" s="29"/>
      <c r="C17" s="31">
        <f>(-1.264/3600)*SIN(RADIANS(2*(C13)))</f>
        <v>-3.4193504455922607E-4</v>
      </c>
    </row>
    <row r="18" spans="8:8">
      <c r="A18" s="28" t="s">
        <v>32</v>
      </c>
      <c r="B18" s="29"/>
      <c r="C18" s="31">
        <f>(9.23/3600)*COS(RADIANS(C15))-(0.09/3600)*COS(RADIANS(2*(C15)))</f>
        <v>0.0024601483481615526</v>
      </c>
    </row>
    <row r="19" spans="8:8">
      <c r="A19" s="28" t="s">
        <v>33</v>
      </c>
      <c r="B19" s="29"/>
      <c r="C19" s="31">
        <f>(0.548/3600)*COS(RADIANS(2*(C13)))</f>
        <v>3.457345974698839E-5</v>
      </c>
    </row>
    <row r="20" spans="8:8">
      <c r="A20" s="28" t="s">
        <v>58</v>
      </c>
      <c r="B20" s="29"/>
      <c r="C20" s="31">
        <f>23.43929111+(C18)+(C19)-((46.815/3600)*(C12))</f>
        <v>23.438622285663705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1.720017870290213</v>
      </c>
    </row>
    <row r="22" spans="8:8">
      <c r="A22" s="28" t="s">
        <v>57</v>
      </c>
      <c r="B22" s="29"/>
      <c r="C22" s="31">
        <f>C13+C21+C16+C17-0.0056861</f>
        <v>40.1512886326583</v>
      </c>
    </row>
    <row r="23" spans="8:8">
      <c r="A23" s="28" t="s">
        <v>59</v>
      </c>
      <c r="B23" s="29"/>
      <c r="C23" s="31">
        <f>DEGREES(ASIN(SIN(RADIANS(C22))*SIN(RADIANS(C20))))</f>
        <v>14.861479092652303</v>
      </c>
    </row>
    <row r="24" spans="8:8">
      <c r="A24" s="28" t="s">
        <v>60</v>
      </c>
      <c r="B24" s="29"/>
      <c r="C24" s="31">
        <f>DEGREES(ATAN((TAN(RADIANS(C22)))*(COS(RADIANS(C20)))))</f>
        <v>37.73988088714297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217.73988088714296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0.04627189016682769</v>
      </c>
    </row>
    <row r="27" spans="8:8">
      <c r="A27" s="28" t="s">
        <v>62</v>
      </c>
      <c r="B27" s="29">
        <f>12+C27</f>
        <v>12.191205223500162</v>
      </c>
      <c r="C27" s="31">
        <f>C26-((C6*15)-C4)/15</f>
        <v>0.1912052235001617</v>
      </c>
    </row>
    <row r="28" spans="8:8">
      <c r="A28" s="28" t="s">
        <v>69</v>
      </c>
      <c r="B28" s="29"/>
      <c r="C28" s="31">
        <f>12-C27+2/60</f>
        <v>11.842128109833133</v>
      </c>
      <c r="D28" t="str">
        <f>TRUNC(C28)&amp;":"&amp;ROUNDUP((C28-TRUNC(C28))*60, )</f>
        <v>11:51</v>
      </c>
    </row>
    <row r="29" spans="8:8">
      <c r="A29" s="28" t="s">
        <v>77</v>
      </c>
      <c r="B29" s="29"/>
      <c r="C29" s="31">
        <f>DEGREES(ATAN(1/(TAN(RADIANS(ABS((C5)-(C23))))+1)))</f>
        <v>35.59802608865996</v>
      </c>
      <c r="D29" t="str">
        <f>TRUNC(C29)&amp;":"&amp;ROUNDUP((C29-TRUNC(C29))*60, )</f>
        <v>35:36</v>
      </c>
    </row>
    <row r="30" spans="8:8">
      <c r="A30" s="28" t="s">
        <v>78</v>
      </c>
      <c r="B30" s="29"/>
      <c r="C30" s="31">
        <f>-TAN(RADIANS(C5))*TAN(RADIANS(C23))</f>
        <v>0.03157646171287154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0.9597774914186606</v>
      </c>
      <c r="D31" t="str">
        <f>TRUNC(C31)&amp;":"&amp;ROUNDUP((C31-TRUNC(C31))*60, )</f>
        <v>0:58</v>
      </c>
    </row>
    <row r="32" spans="8:8">
      <c r="A32" s="28" t="s">
        <v>75</v>
      </c>
      <c r="B32" s="29"/>
      <c r="C32" s="31">
        <f>(C28)+DEGREES(ACOS((C30)+SIN(RADIANS(C29))/(C31)))/15</f>
        <v>15.19894458917422</v>
      </c>
      <c r="D32" t="str">
        <f>TRUNC(C32)&amp;":"&amp;ROUNDUP((C32-TRUNC(C32))*60, )</f>
        <v>15:12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0.2650897302627597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-1.38017861180424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17.817373423348208</v>
      </c>
      <c r="D36" t="str">
        <f>TRUNC(C36)&amp;":"&amp;ROUNDUP((C36-TRUNC(C36))*60, )</f>
        <v>17:50</v>
      </c>
    </row>
    <row r="37" spans="8:8">
      <c r="A37" s="32" t="s">
        <v>81</v>
      </c>
      <c r="B37" s="32"/>
      <c r="C37" s="33">
        <f>(C28)+DEGREES(ACOS((C30)+SIN(RADIANS(-18))/(C31)))/15</f>
        <v>18.9675519805731</v>
      </c>
      <c r="D37" t="str">
        <f>TRUNC(C37)&amp;":"&amp;ROUNDUP((C37-TRUNC(C37))*60, )</f>
        <v>18:59</v>
      </c>
    </row>
    <row r="38" spans="8:8">
      <c r="A38" s="32" t="s">
        <v>82</v>
      </c>
      <c r="B38" s="32"/>
      <c r="C38" s="33">
        <f>(C28)-DEGREES(ACOS((C30)+SIN(RADIANS(-20))/(C31)))/15</f>
        <v>4.57865662926797</v>
      </c>
      <c r="D38" t="str">
        <f>TRUNC(C38)&amp;":"&amp;ROUNDUP((C38-TRUNC(C38))*60, )</f>
        <v>4:35</v>
      </c>
    </row>
    <row r="39" spans="8:8">
      <c r="A39" t="s">
        <v>103</v>
      </c>
      <c r="C39">
        <f>C38-10/60</f>
        <v>4.411989962601303</v>
      </c>
      <c r="D39" t="str">
        <f>TRUNC(C39)&amp;":"&amp;ROUNDUP((C39-TRUNC(C39))*60, )</f>
        <v>4:25</v>
      </c>
    </row>
    <row r="40" spans="8:8">
      <c r="A40" t="s">
        <v>98</v>
      </c>
      <c r="C40">
        <f>(C28)-DEGREES(ACOS((C30)+SIN(RADIANS(C35))/(C31)))/15-6/60</f>
        <v>5.76688279631803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6.275924392777419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6.62506801470266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33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22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31.0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2460431.5</v>
      </c>
    </row>
    <row r="12" spans="8:8">
      <c r="A12" s="28" t="s">
        <v>10</v>
      </c>
      <c r="B12" s="29"/>
      <c r="C12" s="31">
        <f>(C11-2451545)/36525</f>
        <v>0.24329911019849418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39.421716099793684</v>
      </c>
    </row>
    <row r="14" spans="8:8">
      <c r="A14" s="28" t="s">
        <v>12</v>
      </c>
      <c r="B14" s="29"/>
      <c r="C14" s="31">
        <f>(((357.5291+(35999.0503*(C12)))/360)-TRUNC(((357.5291+(35999.0503*(C12)))/360)))*360</f>
        <v>116.06600598083617</v>
      </c>
    </row>
    <row r="15" spans="8:8">
      <c r="A15" s="28" t="s">
        <v>14</v>
      </c>
      <c r="B15" s="29"/>
      <c r="C15" s="31">
        <f>(((125.04-(1934.136*(C12)))/360)-TRUNC(((125.04-(1934.136*(C12)))/360)))*360</f>
        <v>-345.5335678028747</v>
      </c>
    </row>
    <row r="16" spans="8:8">
      <c r="A16" s="28" t="s">
        <v>29</v>
      </c>
      <c r="B16" s="29"/>
      <c r="C16" s="31">
        <f>((17.264/3600)*SIN(RADIANS(C15)))+((0.206/3600)*SIN(RADIANS(2*(C15))))</f>
        <v>0.001225674161069364</v>
      </c>
    </row>
    <row r="17" spans="8:8">
      <c r="A17" s="28" t="s">
        <v>30</v>
      </c>
      <c r="B17" s="29"/>
      <c r="C17" s="31">
        <f>(-1.264/3600)*SIN(RADIANS(2*(C13)))</f>
        <v>-3.444758519247763E-4</v>
      </c>
    </row>
    <row r="18" spans="8:8">
      <c r="A18" s="28" t="s">
        <v>32</v>
      </c>
      <c r="B18" s="29"/>
      <c r="C18" s="31">
        <f>(9.23/3600)*COS(RADIANS(C15))-(0.09/3600)*COS(RADIANS(2*(C15)))</f>
        <v>0.0024607189688990775</v>
      </c>
    </row>
    <row r="19" spans="8:8">
      <c r="A19" s="28" t="s">
        <v>33</v>
      </c>
      <c r="B19" s="29"/>
      <c r="C19" s="31">
        <f>(0.548/3600)*COS(RADIANS(2*(C13)))</f>
        <v>2.94535839160079E-5</v>
      </c>
    </row>
    <row r="20" spans="8:8">
      <c r="A20" s="28" t="s">
        <v>58</v>
      </c>
      <c r="B20" s="29"/>
      <c r="C20" s="31">
        <f>23.43929111+(C18)+(C19)-((46.815/3600)*(C12))</f>
        <v>23.438617380373927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1.7053711687133934</v>
      </c>
    </row>
    <row r="22" spans="8:8">
      <c r="A22" s="28" t="s">
        <v>57</v>
      </c>
      <c r="B22" s="29"/>
      <c r="C22" s="31">
        <f>C13+C21+C16+C17-0.0056861</f>
        <v>41.1222823668162</v>
      </c>
    </row>
    <row r="23" spans="8:8">
      <c r="A23" s="28" t="s">
        <v>59</v>
      </c>
      <c r="B23" s="29"/>
      <c r="C23" s="31">
        <f>DEGREES(ASIN(SIN(RADIANS(C22))*SIN(RADIANS(C20))))</f>
        <v>15.164921579297172</v>
      </c>
    </row>
    <row r="24" spans="8:8">
      <c r="A24" s="28" t="s">
        <v>60</v>
      </c>
      <c r="B24" s="29"/>
      <c r="C24" s="31">
        <f>DEGREES(ATAN((TAN(RADIANS(C22)))*(COS(RADIANS(C20)))))</f>
        <v>38.69484127612946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218.69484127612947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0.04832244060980363</v>
      </c>
    </row>
    <row r="27" spans="8:8">
      <c r="A27" s="28" t="s">
        <v>62</v>
      </c>
      <c r="B27" s="29">
        <f>12+C27</f>
        <v>12.193255773943138</v>
      </c>
      <c r="C27" s="31">
        <f>C26-((C6*15)-C4)/15</f>
        <v>0.1932557739431376</v>
      </c>
    </row>
    <row r="28" spans="8:8">
      <c r="A28" s="28" t="s">
        <v>69</v>
      </c>
      <c r="B28" s="29"/>
      <c r="C28" s="31">
        <f>12-C27+2/60</f>
        <v>11.840077559390233</v>
      </c>
      <c r="D28" t="str">
        <f>TRUNC(C28)&amp;":"&amp;ROUNDUP((C28-TRUNC(C28))*60, )</f>
        <v>11:51</v>
      </c>
    </row>
    <row r="29" spans="8:8">
      <c r="A29" s="28" t="s">
        <v>77</v>
      </c>
      <c r="B29" s="29"/>
      <c r="C29" s="31">
        <f>DEGREES(ATAN(1/(TAN(RADIANS(ABS((C5)-(C23))))+1)))</f>
        <v>35.4791078215002</v>
      </c>
      <c r="D29" t="str">
        <f>TRUNC(C29)&amp;":"&amp;ROUNDUP((C29-TRUNC(C29))*60, )</f>
        <v>35:29</v>
      </c>
    </row>
    <row r="30" spans="8:8">
      <c r="A30" s="28" t="s">
        <v>78</v>
      </c>
      <c r="B30" s="29"/>
      <c r="C30" s="31">
        <f>-TAN(RADIANS(C5))*TAN(RADIANS(C23))</f>
        <v>0.03225199954193595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0.9584152015459365</v>
      </c>
      <c r="D31" t="str">
        <f>TRUNC(C31)&amp;":"&amp;ROUNDUP((C31-TRUNC(C31))*60, )</f>
        <v>0:58</v>
      </c>
    </row>
    <row r="32" spans="8:8">
      <c r="A32" s="28" t="s">
        <v>75</v>
      </c>
      <c r="B32" s="29"/>
      <c r="C32" s="31">
        <f>(C28)+DEGREES(ACOS((C30)+SIN(RADIANS(C29))/(C31)))/15</f>
        <v>15.19800797874533</v>
      </c>
      <c r="D32" t="str">
        <f>TRUNC(C32)&amp;":"&amp;ROUNDUP((C32-TRUNC(C32))*60, )</f>
        <v>15:12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0.2650203228720381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-1.38010920441352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17.81287387864642</v>
      </c>
      <c r="D36" t="str">
        <f>TRUNC(C36)&amp;":"&amp;ROUNDUP((C36-TRUNC(C36))*60, )</f>
        <v>17:49</v>
      </c>
    </row>
    <row r="37" spans="8:8">
      <c r="A37" s="32" t="s">
        <v>81</v>
      </c>
      <c r="B37" s="32"/>
      <c r="C37" s="33">
        <f>(C28)+DEGREES(ACOS((C30)+SIN(RADIANS(-18))/(C31)))/15</f>
        <v>18.96463168631685</v>
      </c>
      <c r="D37" t="str">
        <f>TRUNC(C37)&amp;":"&amp;ROUNDUP((C37-TRUNC(C37))*60, )</f>
        <v>18:58</v>
      </c>
    </row>
    <row r="38" spans="8:8">
      <c r="A38" s="32" t="s">
        <v>82</v>
      </c>
      <c r="B38" s="32"/>
      <c r="C38" s="33">
        <f>(C28)-DEGREES(ACOS((C30)+SIN(RADIANS(-20))/(C31)))/15</f>
        <v>4.57728866031206</v>
      </c>
      <c r="D38" t="str">
        <f>TRUNC(C38)&amp;":"&amp;ROUNDUP((C38-TRUNC(C38))*60, )</f>
        <v>4:35</v>
      </c>
    </row>
    <row r="39" spans="8:8">
      <c r="A39" t="s">
        <v>103</v>
      </c>
      <c r="C39">
        <f>C38-10/60</f>
        <v>4.410621993645393</v>
      </c>
      <c r="D39" t="str">
        <f>TRUNC(C39)&amp;":"&amp;ROUNDUP((C39-TRUNC(C39))*60, )</f>
        <v>4:25</v>
      </c>
    </row>
    <row r="40" spans="8:8">
      <c r="A40" t="s">
        <v>98</v>
      </c>
      <c r="C40">
        <f>(C28)-DEGREES(ACOS((C30)+SIN(RADIANS(C35))/(C31)))/15-6/60</f>
        <v>5.76728124013401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6.2769177865969406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6.626606967385181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11" zoomScale="75">
      <selection activeCell="C28" sqref="C28"/>
    </sheetView>
  </sheetViews>
  <sheetFormatPr defaultRowHeight="16.25" defaultColWidth="10"/>
  <cols>
    <col min="3" max="3" customWidth="1" width="14.8984375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2.0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2460402.5</v>
      </c>
    </row>
    <row r="12" spans="8:8">
      <c r="A12" s="28" t="s">
        <v>10</v>
      </c>
      <c r="B12" s="29"/>
      <c r="C12" s="31">
        <f>(C11-2451545)/36525</f>
        <v>0.24250513347022587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10.837942655029167</v>
      </c>
    </row>
    <row r="14" spans="8:8">
      <c r="A14" s="28" t="s">
        <v>12</v>
      </c>
      <c r="B14" s="29"/>
      <c r="C14" s="31">
        <f>(((357.5291+(35999.0503*(C12)))/360)-TRUNC(((357.5291+(35999.0503*(C12)))/360)))*360</f>
        <v>87.48359780287558</v>
      </c>
    </row>
    <row r="15" spans="8:8">
      <c r="A15" s="28" t="s">
        <v>14</v>
      </c>
      <c r="B15" s="29"/>
      <c r="C15" s="31">
        <f>(((125.04-(1934.136*(C12)))/360)-TRUNC(((125.04-(1934.136*(C12)))/360)))*360</f>
        <v>-343.99790882956876</v>
      </c>
    </row>
    <row r="16" spans="8:8">
      <c r="A16" s="28" t="s">
        <v>29</v>
      </c>
      <c r="B16" s="29"/>
      <c r="C16" s="31">
        <f>((17.264/3600)*SIN(RADIANS(C15)))+((0.206/3600)*SIN(RADIANS(2*(C15))))</f>
        <v>0.00135232919922836</v>
      </c>
    </row>
    <row r="17" spans="8:8">
      <c r="A17" s="28" t="s">
        <v>30</v>
      </c>
      <c r="B17" s="29"/>
      <c r="C17" s="31">
        <f>(-1.264/3600)*SIN(RADIANS(2*(C13)))</f>
        <v>-1.2968487987665545E-4</v>
      </c>
    </row>
    <row r="18" spans="8:8">
      <c r="A18" s="28" t="s">
        <v>32</v>
      </c>
      <c r="B18" s="29"/>
      <c r="C18" s="31">
        <f>(9.23/3600)*COS(RADIANS(C15))-(0.09/3600)*COS(RADIANS(2*(C15)))</f>
        <v>0.0024433421514549135</v>
      </c>
    </row>
    <row r="19" spans="8:8">
      <c r="A19" s="28" t="s">
        <v>33</v>
      </c>
      <c r="B19" s="29"/>
      <c r="C19" s="31">
        <f>(0.548/3600)*COS(RADIANS(2*(C13)))</f>
        <v>1.4145830096418357E-4</v>
      </c>
    </row>
    <row r="20" spans="8:8">
      <c r="A20" s="28" t="s">
        <v>58</v>
      </c>
      <c r="B20" s="29"/>
      <c r="C20" s="31">
        <f>23.43929111+(C18)+(C19)-((46.815/3600)*(C12))</f>
        <v>23.43872233327923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1.9157708728940892</v>
      </c>
    </row>
    <row r="22" spans="8:8">
      <c r="A22" s="28" t="s">
        <v>57</v>
      </c>
      <c r="B22" s="29"/>
      <c r="C22" s="31">
        <f>C13+C21+C16+C17-0.0056861</f>
        <v>12.7492500722426</v>
      </c>
    </row>
    <row r="23" spans="8:8">
      <c r="A23" s="28" t="s">
        <v>59</v>
      </c>
      <c r="B23" s="29"/>
      <c r="C23" s="31">
        <f>DEGREES(ASIN(SIN(RADIANS(C22))*SIN(RADIANS(C20))))</f>
        <v>5.035980267832706</v>
      </c>
    </row>
    <row r="24" spans="8:8">
      <c r="A24" s="28" t="s">
        <v>60</v>
      </c>
      <c r="B24" s="29"/>
      <c r="C24" s="31">
        <f>DEGREES(ATAN((TAN(RADIANS(C22)))*(COS(RADIANS(C20)))))</f>
        <v>11.727643993969597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191.7276439939696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-0.059634184367589764</v>
      </c>
    </row>
    <row r="27" spans="8:8">
      <c r="A27" s="28" t="s">
        <v>62</v>
      </c>
      <c r="B27" s="29">
        <f>12+C27</f>
        <v>12.085299148965744</v>
      </c>
      <c r="C27" s="31">
        <f>C26-((C6*15)-C4)/15</f>
        <v>0.0852991489657442</v>
      </c>
    </row>
    <row r="28" spans="8:8" ht="16.2">
      <c r="A28" s="28" t="s">
        <v>69</v>
      </c>
      <c r="B28" s="29"/>
      <c r="C28" s="31">
        <f>12-C27+2/60</f>
        <v>11.948034184367634</v>
      </c>
      <c r="D28" t="str">
        <f>TRUNC(C28)&amp;":"&amp;ROUNDUP((C28-TRUNC(C28))*60, )</f>
        <v>11:57</v>
      </c>
    </row>
    <row r="29" spans="8:8">
      <c r="A29" s="28" t="s">
        <v>77</v>
      </c>
      <c r="B29" s="29"/>
      <c r="C29" s="31">
        <f>DEGREES(ATAN(1/(TAN(RADIANS(ABS((C5)-(C23))))+1)))</f>
        <v>39.587922322079486</v>
      </c>
      <c r="D29" t="str">
        <f>TRUNC(C29)&amp;":"&amp;ROUNDUP((C29-TRUNC(C29))*60, )</f>
        <v>39:36</v>
      </c>
    </row>
    <row r="30" spans="8:8">
      <c r="A30" s="28" t="s">
        <v>78</v>
      </c>
      <c r="B30" s="29"/>
      <c r="C30" s="31">
        <f>-TAN(RADIANS(C5))*TAN(RADIANS(C23))</f>
        <v>0.010486012551569689</v>
      </c>
      <c r="D30" t="str">
        <f>TRUNC(C30)&amp;":"&amp;ROUNDUP((C30-TRUNC(C30))*60, )</f>
        <v>0:1</v>
      </c>
    </row>
    <row r="31" spans="8:8">
      <c r="A31" s="28" t="s">
        <v>79</v>
      </c>
      <c r="B31" s="29"/>
      <c r="C31" s="31">
        <f>COS(RADIANS(C5))*COS(RADIANS(C23))</f>
        <v>0.9891612233162358</v>
      </c>
      <c r="D31" t="str">
        <f>TRUNC(C31)&amp;":"&amp;ROUNDUP((C31-TRUNC(C31))*60, )</f>
        <v>0:60</v>
      </c>
    </row>
    <row r="32" spans="8:8">
      <c r="A32" s="28" t="s">
        <v>75</v>
      </c>
      <c r="B32" s="29"/>
      <c r="C32" s="31">
        <f>(C28)+DEGREES(ACOS((C30)+SIN(RADIANS(C29))/(C31)))/15</f>
        <v>15.22142020123986</v>
      </c>
      <c r="D32" t="str">
        <f>TRUNC(C32)&amp;":"&amp;ROUNDUP((C32-TRUNC(C32))*60, )</f>
        <v>15:14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0.26719943540145935</v>
      </c>
      <c r="D34" t="str">
        <f>TRUNC(C34)&amp;":"&amp;ROUNDUP((C34-TRUNC(C34))*60, )</f>
        <v>0:17</v>
      </c>
    </row>
    <row r="35" spans="8:8">
      <c r="A35" s="32" t="s">
        <v>74</v>
      </c>
      <c r="B35" s="32"/>
      <c r="C35" s="33">
        <f>-((C34)+(34.5/60)+(C33))-0.0024</f>
        <v>-1.3822883169429399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18.00113556019068</v>
      </c>
      <c r="D36" t="str">
        <f>TRUNC(C36)&amp;":"&amp;ROUNDUP((C36-TRUNC(C36))*60, )</f>
        <v>18:1</v>
      </c>
    </row>
    <row r="37" spans="8:8">
      <c r="A37" s="32" t="s">
        <v>81</v>
      </c>
      <c r="B37" s="32"/>
      <c r="C37" s="33">
        <f>(C28)+DEGREES(ACOS((C30)+SIN(RADIANS(-18))/(C31)))/15</f>
        <v>19.11955298207475</v>
      </c>
      <c r="D37" t="str">
        <f>TRUNC(C37)&amp;":"&amp;ROUNDUP((C37-TRUNC(C37))*60, )</f>
        <v>19:8</v>
      </c>
    </row>
    <row r="38" spans="8:8">
      <c r="A38" s="32" t="s">
        <v>82</v>
      </c>
      <c r="B38" s="32"/>
      <c r="C38" s="33">
        <f>(C28)-DEGREES(ACOS((C30)+SIN(RADIANS(-20))/(C31)))/15</f>
        <v>4.64205572694133</v>
      </c>
      <c r="D38" t="str">
        <f>TRUNC(C38)&amp;":"&amp;ROUNDUP((C38-TRUNC(C38))*60, )</f>
        <v>4:39</v>
      </c>
    </row>
    <row r="39" spans="8:8">
      <c r="A39" t="s">
        <v>103</v>
      </c>
      <c r="C39">
        <f>C38-10/60</f>
        <v>4.475389060274663</v>
      </c>
      <c r="D39" t="str">
        <f>TRUNC(C39)&amp;":"&amp;ROUNDUP((C39-TRUNC(C39))*60, )</f>
        <v>4:29</v>
      </c>
    </row>
    <row r="40" spans="8:8">
      <c r="A40" t="s">
        <v>98</v>
      </c>
      <c r="C40">
        <f>(C28)-DEGREES(ACOS((C30)+SIN(RADIANS(C35))/(C31)))/15-6/60</f>
        <v>5.79493280854456</v>
      </c>
      <c r="D40" t="str">
        <f>TRUNC(C40)&amp;":"&amp;ROUNDUP((C40-TRUNC(C40))*60, )</f>
        <v>5:48</v>
      </c>
    </row>
    <row r="41" spans="8:8">
      <c r="A41" t="s">
        <v>101</v>
      </c>
      <c r="C41">
        <f>(C28)-DEGREES(ACOS((C30)+SIN(RADIANS(4.5))/(C31)))/15</f>
        <v>6.29152612076286</v>
      </c>
      <c r="D41" t="str">
        <f>TRUNC(C41)&amp;":"&amp;ROUNDUP((C41-TRUNC(C41))*60, )</f>
        <v>6:18</v>
      </c>
    </row>
    <row r="42" spans="8:8">
      <c r="A42" t="s">
        <v>97</v>
      </c>
      <c r="C42">
        <f>(C28)-DEGREES(ACOS((C30)+SIN(RADIANS(9.5))/(C31)))/15</f>
        <v>6.62903316982096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14" zoomScale="65">
      <selection activeCell="C28" sqref="C28"/>
    </sheetView>
  </sheetViews>
  <sheetFormatPr defaultRowHeight="16.25" defaultColWidth="10"/>
  <cols>
    <col min="3" max="3" customWidth="1" bestFit="1" width="11.4453125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3.0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2460403.5</v>
      </c>
    </row>
    <row r="12" spans="8:8">
      <c r="A12" s="28" t="s">
        <v>10</v>
      </c>
      <c r="B12" s="29"/>
      <c r="C12" s="31">
        <f>(C11-2451545)/36525</f>
        <v>0.2425325119780972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11.823590015194299</v>
      </c>
    </row>
    <row r="14" spans="8:8">
      <c r="A14" s="28" t="s">
        <v>12</v>
      </c>
      <c r="B14" s="29"/>
      <c r="C14" s="31">
        <f>(((357.5291+(35999.0503*(C12)))/360)-TRUNC(((357.5291+(35999.0503*(C12)))/360)))*360</f>
        <v>88.46919808487343</v>
      </c>
    </row>
    <row r="15" spans="8:8">
      <c r="A15" s="28" t="s">
        <v>14</v>
      </c>
      <c r="B15" s="29"/>
      <c r="C15" s="31">
        <f>(((125.04-(1934.136*(C12)))/360)-TRUNC(((125.04-(1934.136*(C12)))/360)))*360</f>
        <v>-344.05086258726897</v>
      </c>
    </row>
    <row r="16" spans="8:8">
      <c r="A16" s="28" t="s">
        <v>29</v>
      </c>
      <c r="B16" s="29"/>
      <c r="C16" s="31">
        <f>((17.264/3600)*SIN(RADIANS(C15)))+((0.206/3600)*SIN(RADIANS(2*(C15))))</f>
        <v>0.001347978490219607</v>
      </c>
    </row>
    <row r="17" spans="8:8">
      <c r="A17" s="28" t="s">
        <v>30</v>
      </c>
      <c r="B17" s="29"/>
      <c r="C17" s="31">
        <f>(-1.264/3600)*SIN(RADIANS(2*(C13)))</f>
        <v>-1.4083188599238984E-4</v>
      </c>
    </row>
    <row r="18" spans="8:8">
      <c r="A18" s="28" t="s">
        <v>32</v>
      </c>
      <c r="B18" s="29"/>
      <c r="C18" s="31">
        <f>(9.23/3600)*COS(RADIANS(C15))-(0.09/3600)*COS(RADIANS(2*(C15)))</f>
        <v>0.0024439698749950454</v>
      </c>
    </row>
    <row r="19" spans="8:8">
      <c r="A19" s="28" t="s">
        <v>33</v>
      </c>
      <c r="B19" s="29"/>
      <c r="C19" s="31">
        <f>(0.548/3600)*COS(RADIANS(2*(C13)))</f>
        <v>1.3944054125415543E-4</v>
      </c>
    </row>
    <row r="20" spans="8:8">
      <c r="A20" s="28" t="s">
        <v>58</v>
      </c>
      <c r="B20" s="29"/>
      <c r="C20" s="31">
        <f>23.43929111+(C18)+(C19)-((46.815/3600)*(C12))</f>
        <v>23.43872058720845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1.9162460573786582</v>
      </c>
    </row>
    <row r="22" spans="8:8">
      <c r="A22" s="28" t="s">
        <v>57</v>
      </c>
      <c r="B22" s="29"/>
      <c r="C22" s="31">
        <f>C13+C21+C16+C17-0.0056861</f>
        <v>13.7353571191772</v>
      </c>
    </row>
    <row r="23" spans="8:8">
      <c r="A23" s="28" t="s">
        <v>59</v>
      </c>
      <c r="B23" s="29"/>
      <c r="C23" s="31">
        <f>DEGREES(ASIN(SIN(RADIANS(C22))*SIN(RADIANS(C20))))</f>
        <v>5.419382830934954</v>
      </c>
    </row>
    <row r="24" spans="8:8">
      <c r="A24" s="28" t="s">
        <v>60</v>
      </c>
      <c r="B24" s="29"/>
      <c r="C24" s="31">
        <f>DEGREES(ATAN((TAN(RADIANS(C22)))*(COS(RADIANS(C20)))))</f>
        <v>12.639961145404534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192.63996114540453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-0.05474765389858623</v>
      </c>
    </row>
    <row r="27" spans="8:8">
      <c r="A27" s="28" t="s">
        <v>62</v>
      </c>
      <c r="B27" s="29">
        <f>12+C27</f>
        <v>12.090185679434748</v>
      </c>
      <c r="C27" s="31">
        <f>C26-((C6*15)-C4)/15</f>
        <v>0.0901856794347478</v>
      </c>
    </row>
    <row r="28" spans="8:8" ht="18.7">
      <c r="A28" s="28" t="s">
        <v>69</v>
      </c>
      <c r="B28" s="29"/>
      <c r="C28" s="31">
        <f>12-C27+2/60</f>
        <v>11.943147653898633</v>
      </c>
      <c r="D28" t="str">
        <f>TRUNC(C28)&amp;":"&amp;ROUNDUP((C28-TRUNC(C28))*60, )</f>
        <v>11:57</v>
      </c>
    </row>
    <row r="29" spans="8:8">
      <c r="A29" s="28" t="s">
        <v>77</v>
      </c>
      <c r="B29" s="29"/>
      <c r="C29" s="31">
        <f>DEGREES(ATAN(1/(TAN(RADIANS(ABS((C5)-(C23))))+1)))</f>
        <v>39.42572743738583</v>
      </c>
      <c r="D29" t="str">
        <f>TRUNC(C29)&amp;":"&amp;ROUNDUP((C29-TRUNC(C29))*60, )</f>
        <v>39:26</v>
      </c>
    </row>
    <row r="30" spans="8:8">
      <c r="A30" s="28" t="s">
        <v>78</v>
      </c>
      <c r="B30" s="29"/>
      <c r="C30" s="31">
        <f>-TAN(RADIANS(C5))*TAN(RADIANS(C23))</f>
        <v>0.011288952509006515</v>
      </c>
      <c r="D30" t="str">
        <f>TRUNC(C30)&amp;":"&amp;ROUNDUP((C30-TRUNC(C30))*60, )</f>
        <v>0:1</v>
      </c>
    </row>
    <row r="31" spans="8:8">
      <c r="A31" s="28" t="s">
        <v>79</v>
      </c>
      <c r="B31" s="29"/>
      <c r="C31" s="31">
        <f>COS(RADIANS(C5))*COS(RADIANS(C23))</f>
        <v>0.9885557958364195</v>
      </c>
      <c r="D31" t="str">
        <f>TRUNC(C31)&amp;":"&amp;ROUNDUP((C31-TRUNC(C31))*60, )</f>
        <v>0:60</v>
      </c>
    </row>
    <row r="32" spans="8:8">
      <c r="A32" s="28" t="s">
        <v>75</v>
      </c>
      <c r="B32" s="29"/>
      <c r="C32" s="31">
        <f>(C28)+DEGREES(ACOS((C30)+SIN(RADIANS(C29))/(C31)))/15</f>
        <v>15.22164436860152</v>
      </c>
      <c r="D32" t="str">
        <f>TRUNC(C32)&amp;":"&amp;ROUNDUP((C32-TRUNC(C32))*60, )</f>
        <v>15:14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0.2671213115507793</v>
      </c>
      <c r="D34" t="str">
        <f>TRUNC(C34)&amp;":"&amp;ROUNDUP((C34-TRUNC(C34))*60, )</f>
        <v>0:17</v>
      </c>
    </row>
    <row r="35" spans="8:8">
      <c r="A35" s="32" t="s">
        <v>74</v>
      </c>
      <c r="B35" s="32"/>
      <c r="C35" s="33">
        <f>-((C34)+(34.5/60)+(C33))-0.0024</f>
        <v>-1.38221019309226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17.99323353328689</v>
      </c>
      <c r="D36" t="str">
        <f>TRUNC(C36)&amp;":"&amp;ROUNDUP((C36-TRUNC(C36))*60, )</f>
        <v>17:60</v>
      </c>
    </row>
    <row r="37" spans="8:8">
      <c r="A37" s="32" t="s">
        <v>81</v>
      </c>
      <c r="B37" s="32"/>
      <c r="C37" s="33">
        <f>(C28)+DEGREES(ACOS((C30)+SIN(RADIANS(-18))/(C31)))/15</f>
        <v>19.112216154160272</v>
      </c>
      <c r="D37" t="str">
        <f>TRUNC(C37)&amp;":"&amp;ROUNDUP((C37-TRUNC(C37))*60, )</f>
        <v>19:7</v>
      </c>
    </row>
    <row r="38" spans="8:8">
      <c r="A38" s="32" t="s">
        <v>82</v>
      </c>
      <c r="B38" s="32"/>
      <c r="C38" s="33">
        <f>(C28)-DEGREES(ACOS((C30)+SIN(RADIANS(-20))/(C31)))/15</f>
        <v>4.639565803321151</v>
      </c>
      <c r="D38" t="str">
        <f>TRUNC(C38)&amp;":"&amp;ROUNDUP((C38-TRUNC(C38))*60, )</f>
        <v>4:39</v>
      </c>
    </row>
    <row r="39" spans="8:8">
      <c r="A39" t="s">
        <v>103</v>
      </c>
      <c r="C39">
        <f>C38-10/60</f>
        <v>4.472899136654483</v>
      </c>
      <c r="D39" t="str">
        <f>TRUNC(C39)&amp;":"&amp;ROUNDUP((C39-TRUNC(C39))*60, )</f>
        <v>4:29</v>
      </c>
    </row>
    <row r="40" spans="8:8">
      <c r="A40" t="s">
        <v>98</v>
      </c>
      <c r="C40">
        <f>(C28)-DEGREES(ACOS((C30)+SIN(RADIANS(C35))/(C31)))/15-6/60</f>
        <v>5.79306177451034</v>
      </c>
      <c r="D40" t="str">
        <f>TRUNC(C40)&amp;":"&amp;ROUNDUP((C40-TRUNC(C40))*60, )</f>
        <v>5:48</v>
      </c>
    </row>
    <row r="41" spans="8:8">
      <c r="A41" t="s">
        <v>101</v>
      </c>
      <c r="C41">
        <f>(C28)-DEGREES(ACOS((C30)+SIN(RADIANS(4.5))/(C31)))/15</f>
        <v>6.289905470195331</v>
      </c>
      <c r="D41" t="str">
        <f>TRUNC(C41)&amp;":"&amp;ROUNDUP((C41-TRUNC(C41))*60, )</f>
        <v>6:18</v>
      </c>
    </row>
    <row r="42" spans="8:8">
      <c r="A42" t="s">
        <v>97</v>
      </c>
      <c r="C42">
        <f>(C28)-DEGREES(ACOS((C30)+SIN(RADIANS(9.5))/(C31)))/15</f>
        <v>6.627659951973051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8" zoomScale="81">
      <selection activeCell="C28" sqref="C28"/>
    </sheetView>
  </sheetViews>
  <sheetFormatPr defaultRowHeight="16.25" defaultColWidth="10"/>
  <cols>
    <col min="3" max="3" customWidth="1" bestFit="1" width="10.746094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4.0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2460404.5</v>
      </c>
    </row>
    <row r="12" spans="8:8">
      <c r="A12" s="28" t="s">
        <v>10</v>
      </c>
      <c r="B12" s="29"/>
      <c r="C12" s="31">
        <f>(C11-2451545)/36525</f>
        <v>0.24255989048596852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12.80923737535943</v>
      </c>
    </row>
    <row r="14" spans="8:8">
      <c r="A14" s="28" t="s">
        <v>12</v>
      </c>
      <c r="B14" s="29"/>
      <c r="C14" s="31">
        <f>(((357.5291+(35999.0503*(C12)))/360)-TRUNC(((357.5291+(35999.0503*(C12)))/360)))*360</f>
        <v>89.45479836687255</v>
      </c>
    </row>
    <row r="15" spans="8:8">
      <c r="A15" s="28" t="s">
        <v>14</v>
      </c>
      <c r="B15" s="29"/>
      <c r="C15" s="31">
        <f>(((125.04-(1934.136*(C12)))/360)-TRUNC(((125.04-(1934.136*(C12)))/360)))*360</f>
        <v>-344.1038163449692</v>
      </c>
    </row>
    <row r="16" spans="8:8">
      <c r="A16" s="28" t="s">
        <v>29</v>
      </c>
      <c r="B16" s="29"/>
      <c r="C16" s="31">
        <f>((17.264/3600)*SIN(RADIANS(C15)))+((0.206/3600)*SIN(RADIANS(2*(C15))))</f>
        <v>0.0013436265523143814</v>
      </c>
    </row>
    <row r="17" spans="8:8">
      <c r="A17" s="28" t="s">
        <v>30</v>
      </c>
      <c r="B17" s="29"/>
      <c r="C17" s="31">
        <f>(-1.264/3600)*SIN(RADIANS(2*(C13)))</f>
        <v>-1.518121996286986E-4</v>
      </c>
    </row>
    <row r="18" spans="8:8">
      <c r="A18" s="28" t="s">
        <v>32</v>
      </c>
      <c r="B18" s="29"/>
      <c r="C18" s="31">
        <f>(9.23/3600)*COS(RADIANS(C15))-(0.09/3600)*COS(RADIANS(2*(C15)))</f>
        <v>0.002444595565339356</v>
      </c>
    </row>
    <row r="19" spans="8:8">
      <c r="A19" s="28" t="s">
        <v>33</v>
      </c>
      <c r="B19" s="29"/>
      <c r="C19" s="31">
        <f>(0.548/3600)*COS(RADIANS(2*(C13)))</f>
        <v>1.3725773589846034E-4</v>
      </c>
    </row>
    <row r="20" spans="8:8">
      <c r="A20" s="28" t="s">
        <v>58</v>
      </c>
      <c r="B20" s="29"/>
      <c r="C20" s="31">
        <f>23.43929111+(C18)+(C19)-((46.815/3600)*(C12))</f>
        <v>23.438718674058673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1.9161539073684273</v>
      </c>
    </row>
    <row r="22" spans="8:8">
      <c r="A22" s="28" t="s">
        <v>57</v>
      </c>
      <c r="B22" s="29"/>
      <c r="C22" s="31">
        <f>C13+C21+C16+C17-0.0056861</f>
        <v>14.7208969970805</v>
      </c>
    </row>
    <row r="23" spans="8:8">
      <c r="A23" s="28" t="s">
        <v>59</v>
      </c>
      <c r="B23" s="29"/>
      <c r="C23" s="31">
        <f>DEGREES(ASIN(SIN(RADIANS(C22))*SIN(RADIANS(C20))))</f>
        <v>5.801198427429693</v>
      </c>
    </row>
    <row r="24" spans="8:8">
      <c r="A24" s="28" t="s">
        <v>60</v>
      </c>
      <c r="B24" s="29"/>
      <c r="C24" s="31">
        <f>DEGREES(ATAN((TAN(RADIANS(C22)))*(COS(RADIANS(C20)))))</f>
        <v>13.552909563054273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193.55290956305427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-0.04990218236882509</v>
      </c>
    </row>
    <row r="27" spans="8:8">
      <c r="A27" s="28" t="s">
        <v>62</v>
      </c>
      <c r="B27" s="29">
        <f>12+C27</f>
        <v>12.095031150964509</v>
      </c>
      <c r="C27" s="31">
        <f>C26-((C6*15)-C4)/15</f>
        <v>0.0950311509645089</v>
      </c>
    </row>
    <row r="28" spans="8:8">
      <c r="A28" s="28" t="s">
        <v>69</v>
      </c>
      <c r="B28" s="29"/>
      <c r="C28" s="31">
        <f>12-C27+2/60</f>
        <v>11.938302182368833</v>
      </c>
      <c r="D28" t="str">
        <f>TRUNC(C28)&amp;":"&amp;ROUNDUP((C28-TRUNC(C28))*60, )</f>
        <v>11:57</v>
      </c>
    </row>
    <row r="29" spans="8:8">
      <c r="A29" s="28" t="s">
        <v>77</v>
      </c>
      <c r="B29" s="29"/>
      <c r="C29" s="31">
        <f>DEGREES(ATAN(1/(TAN(RADIANS(ABS((C5)-(C23))))+1)))</f>
        <v>39.264843815210675</v>
      </c>
      <c r="D29" t="str">
        <f>TRUNC(C29)&amp;":"&amp;ROUNDUP((C29-TRUNC(C29))*60, )</f>
        <v>39:16</v>
      </c>
    </row>
    <row r="30" spans="8:8">
      <c r="A30" s="28" t="s">
        <v>78</v>
      </c>
      <c r="B30" s="29"/>
      <c r="C30" s="31">
        <f>-TAN(RADIANS(C5))*TAN(RADIANS(C23))</f>
        <v>0.012089582662333861</v>
      </c>
      <c r="D30" t="str">
        <f>TRUNC(C30)&amp;":"&amp;ROUNDUP((C30-TRUNC(C30))*60, )</f>
        <v>0:1</v>
      </c>
    </row>
    <row r="31" spans="8:8">
      <c r="A31" s="28" t="s">
        <v>79</v>
      </c>
      <c r="B31" s="29"/>
      <c r="C31" s="31">
        <f>COS(RADIANS(C5))*COS(RADIANS(C23))</f>
        <v>0.9879088833422559</v>
      </c>
      <c r="D31" t="str">
        <f>TRUNC(C31)&amp;":"&amp;ROUNDUP((C31-TRUNC(C31))*60, )</f>
        <v>0:60</v>
      </c>
    </row>
    <row r="32" spans="8:8">
      <c r="A32" s="28" t="s">
        <v>75</v>
      </c>
      <c r="B32" s="29"/>
      <c r="C32" s="31">
        <f>(C28)+DEGREES(ACOS((C30)+SIN(RADIANS(C29))/(C31)))/15</f>
        <v>15.22172646538705</v>
      </c>
      <c r="D32" t="str">
        <f>TRUNC(C32)&amp;":"&amp;ROUNDUP((C32-TRUNC(C32))*60, )</f>
        <v>15:14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0.2670431974790362</v>
      </c>
      <c r="D34" t="str">
        <f>TRUNC(C34)&amp;":"&amp;ROUNDUP((C34-TRUNC(C34))*60, )</f>
        <v>0:17</v>
      </c>
    </row>
    <row r="35" spans="8:8">
      <c r="A35" s="32" t="s">
        <v>74</v>
      </c>
      <c r="B35" s="32"/>
      <c r="C35" s="33">
        <f>-((C34)+(34.5/60)+(C33))-0.0024</f>
        <v>-1.38213207902052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17.98538540055462</v>
      </c>
      <c r="D36" t="str">
        <f>TRUNC(C36)&amp;":"&amp;ROUNDUP((C36-TRUNC(C36))*60, )</f>
        <v>17:60</v>
      </c>
    </row>
    <row r="37" spans="8:8">
      <c r="A37" s="32" t="s">
        <v>81</v>
      </c>
      <c r="B37" s="32"/>
      <c r="C37" s="33">
        <f>(C28)+DEGREES(ACOS((C30)+SIN(RADIANS(-18))/(C31)))/15</f>
        <v>19.10498367759855</v>
      </c>
      <c r="D37" t="str">
        <f>TRUNC(C37)&amp;":"&amp;ROUNDUP((C37-TRUNC(C37))*60, )</f>
        <v>19:7</v>
      </c>
    </row>
    <row r="38" spans="8:8">
      <c r="A38" s="32" t="s">
        <v>82</v>
      </c>
      <c r="B38" s="32"/>
      <c r="C38" s="33">
        <f>(C28)-DEGREES(ACOS((C30)+SIN(RADIANS(-20))/(C31)))/15</f>
        <v>4.637047077290539</v>
      </c>
      <c r="D38" t="str">
        <f>TRUNC(C38)&amp;":"&amp;ROUNDUP((C38-TRUNC(C38))*60, )</f>
        <v>4:39</v>
      </c>
    </row>
    <row r="39" spans="8:8">
      <c r="A39" t="s">
        <v>103</v>
      </c>
      <c r="C39">
        <f>C38-10/60</f>
        <v>4.470380410623873</v>
      </c>
      <c r="D39" t="str">
        <f>TRUNC(C39)&amp;":"&amp;ROUNDUP((C39-TRUNC(C39))*60, )</f>
        <v>4:29</v>
      </c>
    </row>
    <row r="40" spans="8:8">
      <c r="A40" t="s">
        <v>98</v>
      </c>
      <c r="C40">
        <f>(C28)-DEGREES(ACOS((C30)+SIN(RADIANS(C35))/(C31)))/15-6/60</f>
        <v>5.7912189641830105</v>
      </c>
      <c r="D40" t="str">
        <f>TRUNC(C40)&amp;":"&amp;ROUNDUP((C40-TRUNC(C40))*60, )</f>
        <v>5:48</v>
      </c>
    </row>
    <row r="41" spans="8:8">
      <c r="A41" t="s">
        <v>101</v>
      </c>
      <c r="C41">
        <f>(C28)-DEGREES(ACOS((C30)+SIN(RADIANS(4.5))/(C31)))/15</f>
        <v>6.288330293220989</v>
      </c>
      <c r="D41" t="str">
        <f>TRUNC(C41)&amp;":"&amp;ROUNDUP((C41-TRUNC(C41))*60, )</f>
        <v>6:18</v>
      </c>
    </row>
    <row r="42" spans="8:8">
      <c r="A42" t="s">
        <v>97</v>
      </c>
      <c r="C42">
        <f>(C28)-DEGREES(ACOS((C30)+SIN(RADIANS(9.5))/(C31)))/15</f>
        <v>6.626347134196549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18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5.0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2460405.5</v>
      </c>
    </row>
    <row r="12" spans="8:8">
      <c r="A12" s="28" t="s">
        <v>10</v>
      </c>
      <c r="B12" s="29"/>
      <c r="C12" s="31">
        <f>(C11-2451545)/36525</f>
        <v>0.24258726899383984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13.794884735523283</v>
      </c>
    </row>
    <row r="14" spans="8:8">
      <c r="A14" s="28" t="s">
        <v>12</v>
      </c>
      <c r="B14" s="29"/>
      <c r="C14" s="31">
        <f>(((357.5291+(35999.0503*(C12)))/360)-TRUNC(((357.5291+(35999.0503*(C12)))/360)))*360</f>
        <v>90.4403986488704</v>
      </c>
    </row>
    <row r="15" spans="8:8">
      <c r="A15" s="28" t="s">
        <v>14</v>
      </c>
      <c r="B15" s="29"/>
      <c r="C15" s="31">
        <f>(((125.04-(1934.136*(C12)))/360)-TRUNC(((125.04-(1934.136*(C12)))/360)))*360</f>
        <v>-344.1567701026694</v>
      </c>
    </row>
    <row r="16" spans="8:8">
      <c r="A16" s="28" t="s">
        <v>29</v>
      </c>
      <c r="B16" s="29"/>
      <c r="C16" s="31">
        <f>((17.264/3600)*SIN(RADIANS(C15)))+((0.206/3600)*SIN(RADIANS(2*(C15))))</f>
        <v>0.0013392733894602763</v>
      </c>
    </row>
    <row r="17" spans="8:8">
      <c r="A17" s="28" t="s">
        <v>30</v>
      </c>
      <c r="B17" s="29"/>
      <c r="C17" s="31">
        <f>(-1.264/3600)*SIN(RADIANS(2*(C13)))</f>
        <v>-1.6261282418545837E-4</v>
      </c>
    </row>
    <row r="18" spans="8:8">
      <c r="A18" s="28" t="s">
        <v>32</v>
      </c>
      <c r="B18" s="29"/>
      <c r="C18" s="31">
        <f>(9.23/3600)*COS(RADIANS(C15))-(0.09/3600)*COS(RADIANS(2*(C15)))</f>
        <v>0.0024452192220158924</v>
      </c>
    </row>
    <row r="19" spans="8:8">
      <c r="A19" s="28" t="s">
        <v>33</v>
      </c>
      <c r="B19" s="29"/>
      <c r="C19" s="31">
        <f>(0.548/3600)*COS(RADIANS(2*(C13)))</f>
        <v>1.3491246852533512E-4</v>
      </c>
    </row>
    <row r="20" spans="8:8">
      <c r="A20" s="28" t="s">
        <v>58</v>
      </c>
      <c r="B20" s="29"/>
      <c r="C20" s="31">
        <f>23.43929111+(C18)+(C19)-((46.815/3600)*(C12))</f>
        <v>23.438716596413293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1.9154950630333647</v>
      </c>
    </row>
    <row r="22" spans="8:8">
      <c r="A22" s="28" t="s">
        <v>57</v>
      </c>
      <c r="B22" s="29"/>
      <c r="C22" s="31">
        <f>C13+C21+C16+C17-0.0056861</f>
        <v>15.7058703591219</v>
      </c>
    </row>
    <row r="23" spans="8:8">
      <c r="A23" s="28" t="s">
        <v>59</v>
      </c>
      <c r="B23" s="29"/>
      <c r="C23" s="31">
        <f>DEGREES(ASIN(SIN(RADIANS(C22))*SIN(RADIANS(C20))))</f>
        <v>6.181330951920187</v>
      </c>
    </row>
    <row r="24" spans="8:8">
      <c r="A24" s="28" t="s">
        <v>60</v>
      </c>
      <c r="B24" s="29"/>
      <c r="C24" s="31">
        <f>DEGREES(ATAN((TAN(RADIANS(C22)))*(COS(RADIANS(C20)))))</f>
        <v>14.466566787564437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194.46656678756443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-0.04510292923799957</v>
      </c>
    </row>
    <row r="27" spans="8:8">
      <c r="A27" s="28" t="s">
        <v>62</v>
      </c>
      <c r="B27" s="29">
        <f>12+C27</f>
        <v>12.099830404095334</v>
      </c>
      <c r="C27" s="31">
        <f>C26-((C6*15)-C4)/15</f>
        <v>0.09983040409533439</v>
      </c>
    </row>
    <row r="28" spans="8:8">
      <c r="A28" s="28" t="s">
        <v>69</v>
      </c>
      <c r="B28" s="29"/>
      <c r="C28" s="31">
        <f>12-C27+2/60</f>
        <v>11.933502929238033</v>
      </c>
      <c r="D28" t="str">
        <f>TRUNC(C28)&amp;":"&amp;ROUNDUP((C28-TRUNC(C28))*60, )</f>
        <v>11:57</v>
      </c>
    </row>
    <row r="29" spans="8:8">
      <c r="A29" s="28" t="s">
        <v>77</v>
      </c>
      <c r="B29" s="29"/>
      <c r="C29" s="31">
        <f>DEGREES(ATAN(1/(TAN(RADIANS(ABS((C5)-(C23))))+1)))</f>
        <v>39.10528838841942</v>
      </c>
      <c r="D29" t="str">
        <f>TRUNC(C29)&amp;":"&amp;ROUNDUP((C29-TRUNC(C29))*60, )</f>
        <v>39:7</v>
      </c>
    </row>
    <row r="30" spans="8:8">
      <c r="A30" s="28" t="s">
        <v>78</v>
      </c>
      <c r="B30" s="29"/>
      <c r="C30" s="31">
        <f>-TAN(RADIANS(C5))*TAN(RADIANS(C23))</f>
        <v>0.01288776117387721</v>
      </c>
      <c r="D30" t="str">
        <f>TRUNC(C30)&amp;":"&amp;ROUNDUP((C30-TRUNC(C30))*60, )</f>
        <v>0:1</v>
      </c>
    </row>
    <row r="31" spans="8:8">
      <c r="A31" s="28" t="s">
        <v>79</v>
      </c>
      <c r="B31" s="29"/>
      <c r="C31" s="31">
        <f>COS(RADIANS(C5))*COS(RADIANS(C23))</f>
        <v>0.9872212411156561</v>
      </c>
      <c r="D31" t="str">
        <f>TRUNC(C31)&amp;":"&amp;ROUNDUP((C31-TRUNC(C31))*60, )</f>
        <v>0:60</v>
      </c>
    </row>
    <row r="32" spans="8:8">
      <c r="A32" s="28" t="s">
        <v>75</v>
      </c>
      <c r="B32" s="29"/>
      <c r="C32" s="31">
        <f>(C28)+DEGREES(ACOS((C30)+SIN(RADIANS(C29))/(C31)))/15</f>
        <v>15.221674322721999</v>
      </c>
      <c r="D32" t="str">
        <f>TRUNC(C32)&amp;":"&amp;ROUNDUP((C32-TRUNC(C32))*60, )</f>
        <v>15:14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0.26696511630286024</v>
      </c>
      <c r="D34" t="str">
        <f>TRUNC(C34)&amp;":"&amp;ROUNDUP((C34-TRUNC(C34))*60, )</f>
        <v>0:17</v>
      </c>
    </row>
    <row r="35" spans="8:8">
      <c r="A35" s="32" t="s">
        <v>74</v>
      </c>
      <c r="B35" s="32"/>
      <c r="C35" s="33">
        <f>-((C34)+(34.5/60)+(C33))-0.0024</f>
        <v>-1.38205399784435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17.977596806045</v>
      </c>
      <c r="D36" t="str">
        <f>TRUNC(C36)&amp;":"&amp;ROUNDUP((C36-TRUNC(C36))*60, )</f>
        <v>17:59</v>
      </c>
    </row>
    <row r="37" spans="8:8">
      <c r="A37" s="32" t="s">
        <v>81</v>
      </c>
      <c r="B37" s="32"/>
      <c r="C37" s="33">
        <f>(C28)+DEGREES(ACOS((C30)+SIN(RADIANS(-18))/(C31)))/15</f>
        <v>19.09786049107077</v>
      </c>
      <c r="D37" t="str">
        <f>TRUNC(C37)&amp;":"&amp;ROUNDUP((C37-TRUNC(C37))*60, )</f>
        <v>19:6</v>
      </c>
    </row>
    <row r="38" spans="8:8">
      <c r="A38" s="32" t="s">
        <v>82</v>
      </c>
      <c r="B38" s="32"/>
      <c r="C38" s="33">
        <f>(C28)-DEGREES(ACOS((C30)+SIN(RADIANS(-20))/(C31)))/15</f>
        <v>4.634505020111989</v>
      </c>
      <c r="D38" t="str">
        <f>TRUNC(C38)&amp;":"&amp;ROUNDUP((C38-TRUNC(C38))*60, )</f>
        <v>4:39</v>
      </c>
    </row>
    <row r="39" spans="8:8">
      <c r="A39" t="s">
        <v>103</v>
      </c>
      <c r="C39">
        <f>C38-10/60</f>
        <v>4.467838353445323</v>
      </c>
      <c r="D39" t="str">
        <f>TRUNC(C39)&amp;":"&amp;ROUNDUP((C39-TRUNC(C39))*60, )</f>
        <v>4:29</v>
      </c>
    </row>
    <row r="40" spans="8:8">
      <c r="A40" t="s">
        <v>98</v>
      </c>
      <c r="C40">
        <f>(C28)-DEGREES(ACOS((C30)+SIN(RADIANS(C35))/(C31)))/15-6/60</f>
        <v>5.78940905243103</v>
      </c>
      <c r="D40" t="str">
        <f>TRUNC(C40)&amp;":"&amp;ROUNDUP((C40-TRUNC(C40))*60, )</f>
        <v>5:48</v>
      </c>
    </row>
    <row r="41" spans="8:8">
      <c r="A41" t="s">
        <v>101</v>
      </c>
      <c r="C41">
        <f>(C28)-DEGREES(ACOS((C30)+SIN(RADIANS(4.5))/(C31)))/15</f>
        <v>6.286805026114119</v>
      </c>
      <c r="D41" t="str">
        <f>TRUNC(C41)&amp;":"&amp;ROUNDUP((C41-TRUNC(C41))*60, )</f>
        <v>6:18</v>
      </c>
    </row>
    <row r="42" spans="8:8">
      <c r="A42" t="s">
        <v>97</v>
      </c>
      <c r="C42">
        <f>(C28)-DEGREES(ACOS((C30)+SIN(RADIANS(9.5))/(C31)))/15</f>
        <v>6.62509894928773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19" zoomScale="89">
      <selection activeCell="C28" sqref="C28"/>
    </sheetView>
  </sheetViews>
  <sheetFormatPr defaultRowHeight="16.25" defaultColWidth="10"/>
  <cols>
    <col min="3" max="3" customWidth="1" bestFit="1" width="10.84375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6.0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2460406.5</v>
      </c>
    </row>
    <row r="12" spans="8:8">
      <c r="A12" s="28" t="s">
        <v>10</v>
      </c>
      <c r="B12" s="29"/>
      <c r="C12" s="31">
        <f>(C11-2451545)/36525</f>
        <v>0.24261464750171116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14.780532095687136</v>
      </c>
    </row>
    <row r="14" spans="8:8">
      <c r="A14" s="28" t="s">
        <v>12</v>
      </c>
      <c r="B14" s="29"/>
      <c r="C14" s="31">
        <f>(((357.5291+(35999.0503*(C12)))/360)-TRUNC(((357.5291+(35999.0503*(C12)))/360)))*360</f>
        <v>91.4259989308708</v>
      </c>
    </row>
    <row r="15" spans="8:8">
      <c r="A15" s="28" t="s">
        <v>14</v>
      </c>
      <c r="B15" s="29"/>
      <c r="C15" s="31">
        <f>(((125.04-(1934.136*(C12)))/360)-TRUNC(((125.04-(1934.136*(C12)))/360)))*360</f>
        <v>-344.2097238603696</v>
      </c>
    </row>
    <row r="16" spans="8:8">
      <c r="A16" s="28" t="s">
        <v>29</v>
      </c>
      <c r="B16" s="29"/>
      <c r="C16" s="31">
        <f>((17.264/3600)*SIN(RADIANS(C15)))+((0.206/3600)*SIN(RADIANS(2*(C15))))</f>
        <v>0.0013349190056061663</v>
      </c>
    </row>
    <row r="17" spans="8:8">
      <c r="A17" s="28" t="s">
        <v>30</v>
      </c>
      <c r="B17" s="29"/>
      <c r="C17" s="31">
        <f>(-1.264/3600)*SIN(RADIANS(2*(C13)))</f>
        <v>-1.7322097574749262E-4</v>
      </c>
    </row>
    <row r="18" spans="8:8">
      <c r="A18" s="28" t="s">
        <v>32</v>
      </c>
      <c r="B18" s="29"/>
      <c r="C18" s="31">
        <f>(9.23/3600)*COS(RADIANS(C15))-(0.09/3600)*COS(RADIANS(2*(C15)))</f>
        <v>0.0024458408445542238</v>
      </c>
    </row>
    <row r="19" spans="8:8">
      <c r="A19" s="28" t="s">
        <v>33</v>
      </c>
      <c r="B19" s="29"/>
      <c r="C19" s="31">
        <f>(0.548/3600)*COS(RADIANS(2*(C13)))</f>
        <v>1.3240751505750635E-4</v>
      </c>
    </row>
    <row r="20" spans="8:8">
      <c r="A20" s="28" t="s">
        <v>58</v>
      </c>
      <c r="B20" s="29"/>
      <c r="C20" s="31">
        <f>23.43929111+(C18)+(C19)-((46.815/3600)*(C12))</f>
        <v>23.438714357047715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1.9142703309386722</v>
      </c>
    </row>
    <row r="22" spans="8:8">
      <c r="A22" s="28" t="s">
        <v>57</v>
      </c>
      <c r="B22" s="29"/>
      <c r="C22" s="31">
        <f>C13+C21+C16+C17-0.0056861</f>
        <v>16.6902780246557</v>
      </c>
    </row>
    <row r="23" spans="8:8">
      <c r="A23" s="28" t="s">
        <v>59</v>
      </c>
      <c r="B23" s="29"/>
      <c r="C23" s="31">
        <f>DEGREES(ASIN(SIN(RADIANS(C22))*SIN(RADIANS(C20))))</f>
        <v>6.559684552355462</v>
      </c>
    </row>
    <row r="24" spans="8:8">
      <c r="A24" s="28" t="s">
        <v>60</v>
      </c>
      <c r="B24" s="29"/>
      <c r="C24" s="31">
        <f>DEGREES(ATAN((TAN(RADIANS(C22)))*(COS(RADIANS(C20)))))</f>
        <v>15.381009410809865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195.38100941080987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-0.04035500128487087</v>
      </c>
    </row>
    <row r="27" spans="8:8">
      <c r="A27" s="28" t="s">
        <v>62</v>
      </c>
      <c r="B27" s="29">
        <f>12+C27</f>
        <v>12.104578332048463</v>
      </c>
      <c r="C27" s="31">
        <f>C26-((C6*15)-C4)/15</f>
        <v>0.10457833204846309</v>
      </c>
    </row>
    <row r="28" spans="8:8">
      <c r="A28" s="28" t="s">
        <v>69</v>
      </c>
      <c r="B28" s="29"/>
      <c r="C28" s="31">
        <f>12-C27+2/60</f>
        <v>11.928755001284832</v>
      </c>
      <c r="D28" t="str">
        <f>TRUNC(C28)&amp;":"&amp;ROUNDUP((C28-TRUNC(C28))*60, )</f>
        <v>11:56</v>
      </c>
    </row>
    <row r="29" spans="8:8">
      <c r="A29" s="28" t="s">
        <v>77</v>
      </c>
      <c r="B29" s="29"/>
      <c r="C29" s="31">
        <f>DEGREES(ATAN(1/(TAN(RADIANS(ABS((C5)-(C23))))+1)))</f>
        <v>38.94707798810718</v>
      </c>
      <c r="D29" t="str">
        <f>TRUNC(C29)&amp;":"&amp;ROUNDUP((C29-TRUNC(C29))*60, )</f>
        <v>38:57</v>
      </c>
    </row>
    <row r="30" spans="8:8">
      <c r="A30" s="28" t="s">
        <v>78</v>
      </c>
      <c r="B30" s="29"/>
      <c r="C30" s="31">
        <f>-TAN(RADIANS(C5))*TAN(RADIANS(C23))</f>
        <v>0.013683344168971474</v>
      </c>
      <c r="D30" t="str">
        <f>TRUNC(C30)&amp;":"&amp;ROUNDUP((C30-TRUNC(C30))*60, )</f>
        <v>0:1</v>
      </c>
    </row>
    <row r="31" spans="8:8">
      <c r="A31" s="28" t="s">
        <v>79</v>
      </c>
      <c r="B31" s="29"/>
      <c r="C31" s="31">
        <f>COS(RADIANS(C5))*COS(RADIANS(C23))</f>
        <v>0.9864936665982149</v>
      </c>
      <c r="D31" t="str">
        <f>TRUNC(C31)&amp;":"&amp;ROUNDUP((C31-TRUNC(C31))*60, )</f>
        <v>0:60</v>
      </c>
    </row>
    <row r="32" spans="8:8">
      <c r="A32" s="28" t="s">
        <v>75</v>
      </c>
      <c r="B32" s="29"/>
      <c r="C32" s="31">
        <f>(C28)+DEGREES(ACOS((C30)+SIN(RADIANS(C29))/(C31)))/15</f>
        <v>15.221495766792671</v>
      </c>
      <c r="D32" t="str">
        <f>TRUNC(C32)&amp;":"&amp;ROUNDUP((C32-TRUNC(C32))*60, )</f>
        <v>15:14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0.26688709108861214</v>
      </c>
      <c r="D34" t="str">
        <f>TRUNC(C34)&amp;":"&amp;ROUNDUP((C34-TRUNC(C34))*60, )</f>
        <v>0:17</v>
      </c>
    </row>
    <row r="35" spans="8:8">
      <c r="A35" s="32" t="s">
        <v>74</v>
      </c>
      <c r="B35" s="32"/>
      <c r="C35" s="33">
        <f>-((C34)+(34.5/60)+(C33))-0.0024</f>
        <v>-1.3819759726301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17.96987334559363</v>
      </c>
      <c r="D36" t="str">
        <f>TRUNC(C36)&amp;":"&amp;ROUNDUP((C36-TRUNC(C36))*60, )</f>
        <v>17:59</v>
      </c>
    </row>
    <row r="37" spans="8:8">
      <c r="A37" s="32" t="s">
        <v>81</v>
      </c>
      <c r="B37" s="32"/>
      <c r="C37" s="33">
        <f>(C28)+DEGREES(ACOS((C30)+SIN(RADIANS(-18))/(C31)))/15</f>
        <v>19.09085144488968</v>
      </c>
      <c r="D37" t="str">
        <f>TRUNC(C37)&amp;":"&amp;ROUNDUP((C37-TRUNC(C37))*60, )</f>
        <v>19:6</v>
      </c>
    </row>
    <row r="38" spans="8:8">
      <c r="A38" s="32" t="s">
        <v>82</v>
      </c>
      <c r="B38" s="32"/>
      <c r="C38" s="33">
        <f>(C28)-DEGREES(ACOS((C30)+SIN(RADIANS(-20))/(C31)))/15</f>
        <v>4.631945090908641</v>
      </c>
      <c r="D38" t="str">
        <f>TRUNC(C38)&amp;":"&amp;ROUNDUP((C38-TRUNC(C38))*60, )</f>
        <v>4:38</v>
      </c>
    </row>
    <row r="39" spans="8:8">
      <c r="A39" t="s">
        <v>103</v>
      </c>
      <c r="C39">
        <f>C38-10/60</f>
        <v>4.465278424241973</v>
      </c>
      <c r="D39" t="str">
        <f>TRUNC(C39)&amp;":"&amp;ROUNDUP((C39-TRUNC(C39))*60, )</f>
        <v>4:28</v>
      </c>
    </row>
    <row r="40" spans="8:8">
      <c r="A40" t="s">
        <v>98</v>
      </c>
      <c r="C40">
        <f>(C28)-DEGREES(ACOS((C30)+SIN(RADIANS(C35))/(C31)))/15-6/60</f>
        <v>5.787636656976001</v>
      </c>
      <c r="D40" t="str">
        <f>TRUNC(C40)&amp;":"&amp;ROUNDUP((C40-TRUNC(C40))*60, )</f>
        <v>5:48</v>
      </c>
    </row>
    <row r="41" spans="8:8">
      <c r="A41" t="s">
        <v>101</v>
      </c>
      <c r="C41">
        <f>(C28)-DEGREES(ACOS((C30)+SIN(RADIANS(4.5))/(C31)))/15</f>
        <v>6.2853340334592005</v>
      </c>
      <c r="D41" t="str">
        <f>TRUNC(C41)&amp;":"&amp;ROUNDUP((C41-TRUNC(C41))*60, )</f>
        <v>6:18</v>
      </c>
    </row>
    <row r="42" spans="8:8">
      <c r="A42" t="s">
        <v>97</v>
      </c>
      <c r="C42">
        <f>(C28)-DEGREES(ACOS((C30)+SIN(RADIANS(9.5))/(C31)))/15</f>
        <v>6.62391954557727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14" zoomScale="85">
      <selection activeCell="C28" sqref="C28"/>
    </sheetView>
  </sheetViews>
  <sheetFormatPr defaultRowHeight="16.25" defaultColWidth="10"/>
  <cols>
    <col min="3" max="3" customWidth="1" bestFit="1" width="11.246094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7.0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2460407.5</v>
      </c>
    </row>
    <row r="12" spans="8:8">
      <c r="A12" s="28" t="s">
        <v>10</v>
      </c>
      <c r="B12" s="29"/>
      <c r="C12" s="31">
        <f>(C11-2451545)/36525</f>
        <v>0.24264202600958248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15.766179455852267</v>
      </c>
    </row>
    <row r="14" spans="8:8">
      <c r="A14" s="28" t="s">
        <v>12</v>
      </c>
      <c r="B14" s="29"/>
      <c r="C14" s="31">
        <f>(((357.5291+(35999.0503*(C12)))/360)-TRUNC(((357.5291+(35999.0503*(C12)))/360)))*360</f>
        <v>92.41159921286865</v>
      </c>
    </row>
    <row r="15" spans="8:8">
      <c r="A15" s="28" t="s">
        <v>14</v>
      </c>
      <c r="B15" s="29"/>
      <c r="C15" s="31">
        <f>(((125.04-(1934.136*(C12)))/360)-TRUNC(((125.04-(1934.136*(C12)))/360)))*360</f>
        <v>-344.2626776180698</v>
      </c>
    </row>
    <row r="16" spans="8:8">
      <c r="A16" s="28" t="s">
        <v>29</v>
      </c>
      <c r="B16" s="29"/>
      <c r="C16" s="31">
        <f>((17.264/3600)*SIN(RADIANS(C15)))+((0.206/3600)*SIN(RADIANS(2*(C15))))</f>
        <v>0.0013305634047022462</v>
      </c>
    </row>
    <row r="17" spans="8:8">
      <c r="A17" s="28" t="s">
        <v>30</v>
      </c>
      <c r="B17" s="29"/>
      <c r="C17" s="31">
        <f>(-1.264/3600)*SIN(RADIANS(2*(C13)))</f>
        <v>-1.8362409821593453E-4</v>
      </c>
    </row>
    <row r="18" spans="8:8">
      <c r="A18" s="28" t="s">
        <v>32</v>
      </c>
      <c r="B18" s="29"/>
      <c r="C18" s="31">
        <f>(9.23/3600)*COS(RADIANS(C15))-(0.09/3600)*COS(RADIANS(2*(C15)))</f>
        <v>0.00244646043248548</v>
      </c>
    </row>
    <row r="19" spans="8:8">
      <c r="A19" s="28" t="s">
        <v>33</v>
      </c>
      <c r="B19" s="29"/>
      <c r="C19" s="31">
        <f>(0.548/3600)*COS(RADIANS(2*(C13)))</f>
        <v>1.2974584042653735E-4</v>
      </c>
    </row>
    <row r="20" spans="8:8">
      <c r="A20" s="28" t="s">
        <v>58</v>
      </c>
      <c r="B20" s="29"/>
      <c r="C20" s="31">
        <f>23.43929111+(C18)+(C19)-((46.815/3600)*(C12))</f>
        <v>23.438711958926334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1.9124806830821932</v>
      </c>
    </row>
    <row r="22" spans="8:8">
      <c r="A22" s="28" t="s">
        <v>57</v>
      </c>
      <c r="B22" s="29"/>
      <c r="C22" s="31">
        <f>C13+C21+C16+C17-0.0056861</f>
        <v>17.6741209782409</v>
      </c>
    </row>
    <row r="23" spans="8:8">
      <c r="A23" s="28" t="s">
        <v>59</v>
      </c>
      <c r="B23" s="29"/>
      <c r="C23" s="31">
        <f>DEGREES(ASIN(SIN(RADIANS(C22))*SIN(RADIANS(C20))))</f>
        <v>6.936163623603168</v>
      </c>
    </row>
    <row r="24" spans="8:8">
      <c r="A24" s="28" t="s">
        <v>60</v>
      </c>
      <c r="B24" s="29"/>
      <c r="C24" s="31">
        <f>DEGREES(ATAN((TAN(RADIANS(C22)))*(COS(RADIANS(C20)))))</f>
        <v>16.296313018954212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196.2963130189542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-0.035663448793513956</v>
      </c>
    </row>
    <row r="27" spans="8:8">
      <c r="A27" s="28" t="s">
        <v>62</v>
      </c>
      <c r="B27" s="29">
        <f>12+C27</f>
        <v>12.10926988453982</v>
      </c>
      <c r="C27" s="31">
        <f>C26-((C6*15)-C4)/15</f>
        <v>0.10926988453982</v>
      </c>
    </row>
    <row r="28" spans="8:8">
      <c r="A28" s="28" t="s">
        <v>69</v>
      </c>
      <c r="B28" s="29"/>
      <c r="C28" s="31">
        <f>12-C27+2/60</f>
        <v>11.924063448793532</v>
      </c>
      <c r="D28" t="str">
        <f>TRUNC(C28)&amp;":"&amp;ROUNDUP((C28-TRUNC(C28))*60, )</f>
        <v>11:56</v>
      </c>
    </row>
    <row r="29" spans="8:8">
      <c r="A29" s="28" t="s">
        <v>77</v>
      </c>
      <c r="B29" s="29"/>
      <c r="C29" s="31">
        <f>DEGREES(ATAN(1/(TAN(RADIANS(ABS((C5)-(C23))))+1)))</f>
        <v>38.79022937496051</v>
      </c>
      <c r="D29" t="str">
        <f>TRUNC(C29)&amp;":"&amp;ROUNDUP((C29-TRUNC(C29))*60, )</f>
        <v>38:48</v>
      </c>
    </row>
    <row r="30" spans="8:8">
      <c r="A30" s="28" t="s">
        <v>78</v>
      </c>
      <c r="B30" s="29"/>
      <c r="C30" s="31">
        <f>-TAN(RADIANS(C5))*TAN(RADIANS(C23))</f>
        <v>0.014476185587148983</v>
      </c>
      <c r="D30" t="str">
        <f>TRUNC(C30)&amp;":"&amp;ROUNDUP((C30-TRUNC(C30))*60, )</f>
        <v>0:1</v>
      </c>
    </row>
    <row r="31" spans="8:8">
      <c r="A31" s="28" t="s">
        <v>79</v>
      </c>
      <c r="B31" s="29"/>
      <c r="C31" s="31">
        <f>COS(RADIANS(C5))*COS(RADIANS(C23))</f>
        <v>0.9857269986054498</v>
      </c>
      <c r="D31" t="str">
        <f>TRUNC(C31)&amp;":"&amp;ROUNDUP((C31-TRUNC(C31))*60, )</f>
        <v>0:60</v>
      </c>
    </row>
    <row r="32" spans="8:8">
      <c r="A32" s="28" t="s">
        <v>75</v>
      </c>
      <c r="B32" s="29"/>
      <c r="C32" s="31">
        <f>(C28)+DEGREES(ACOS((C30)+SIN(RADIANS(C29))/(C31)))/15</f>
        <v>15.221198612877131</v>
      </c>
      <c r="D32" t="str">
        <f>TRUNC(C32)&amp;":"&amp;ROUNDUP((C32-TRUNC(C32))*60, )</f>
        <v>15:14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0.26680914484566337</v>
      </c>
      <c r="D34" t="str">
        <f>TRUNC(C34)&amp;":"&amp;ROUNDUP((C34-TRUNC(C34))*60, )</f>
        <v>0:17</v>
      </c>
    </row>
    <row r="35" spans="8:8">
      <c r="A35" s="32" t="s">
        <v>74</v>
      </c>
      <c r="B35" s="32"/>
      <c r="C35" s="33">
        <f>-((C34)+(34.5/60)+(C33))-0.0024</f>
        <v>-1.3818980263871499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17.96222056357263</v>
      </c>
      <c r="D36" t="str">
        <f>TRUNC(C36)&amp;":"&amp;ROUNDUP((C36-TRUNC(C36))*60, )</f>
        <v>17:58</v>
      </c>
    </row>
    <row r="37" spans="8:8">
      <c r="A37" s="32" t="s">
        <v>81</v>
      </c>
      <c r="B37" s="32"/>
      <c r="C37" s="33">
        <f>(C28)+DEGREES(ACOS((C30)+SIN(RADIANS(-18))/(C31)))/15</f>
        <v>19.08396129770038</v>
      </c>
      <c r="D37" t="str">
        <f>TRUNC(C37)&amp;":"&amp;ROUNDUP((C37-TRUNC(C37))*60, )</f>
        <v>19:6</v>
      </c>
    </row>
    <row r="38" spans="8:8">
      <c r="A38" s="32" t="s">
        <v>82</v>
      </c>
      <c r="B38" s="32"/>
      <c r="C38" s="33">
        <f>(C28)-DEGREES(ACOS((C30)+SIN(RADIANS(-20))/(C31)))/15</f>
        <v>4.6293727323443505</v>
      </c>
      <c r="D38" t="str">
        <f>TRUNC(C38)&amp;":"&amp;ROUNDUP((C38-TRUNC(C38))*60, )</f>
        <v>4:38</v>
      </c>
    </row>
    <row r="39" spans="8:8">
      <c r="A39" t="s">
        <v>103</v>
      </c>
      <c r="C39">
        <f>C38-10/60</f>
        <v>4.462706065677683</v>
      </c>
      <c r="D39" t="str">
        <f>TRUNC(C39)&amp;":"&amp;ROUNDUP((C39-TRUNC(C39))*60, )</f>
        <v>4:28</v>
      </c>
    </row>
    <row r="40" spans="8:8">
      <c r="A40" t="s">
        <v>98</v>
      </c>
      <c r="C40">
        <f>(C28)-DEGREES(ACOS((C30)+SIN(RADIANS(C35))/(C31)))/15-6/60</f>
        <v>5.785906334014401</v>
      </c>
      <c r="D40" t="str">
        <f>TRUNC(C40)&amp;":"&amp;ROUNDUP((C40-TRUNC(C40))*60, )</f>
        <v>5:48</v>
      </c>
    </row>
    <row r="41" spans="8:8">
      <c r="A41" t="s">
        <v>101</v>
      </c>
      <c r="C41">
        <f>(C28)-DEGREES(ACOS((C30)+SIN(RADIANS(4.5))/(C31)))/15</f>
        <v>6.2839216037308905</v>
      </c>
      <c r="D41" t="str">
        <f>TRUNC(C41)&amp;":"&amp;ROUNDUP((C41-TRUNC(C41))*60, )</f>
        <v>6:18</v>
      </c>
    </row>
    <row r="42" spans="8:8">
      <c r="A42" t="s">
        <v>97</v>
      </c>
      <c r="C42">
        <f>(C28)-DEGREES(ACOS((C30)+SIN(RADIANS(9.5))/(C31)))/15</f>
        <v>6.62281298244892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Ghofur</dc:creator>
  <dcterms:created xsi:type="dcterms:W3CDTF">2024-02-10T13:56:38Z</dcterms:created>
  <dcterms:modified xsi:type="dcterms:W3CDTF">2025-07-29T16:50:34Z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e444b54a0e7a4ec6a4c624b774cc9ae3</vt:lpwstr>
  </property>
</Properties>
</file>