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fr4\OneDrive\Desktop\Financial Modeling\FOr GitHub\Financial Statements\"/>
    </mc:Choice>
  </mc:AlternateContent>
  <xr:revisionPtr revIDLastSave="0" documentId="8_{BD0B6698-1929-403B-BD93-39E792C2F450}" xr6:coauthVersionLast="47" xr6:coauthVersionMax="47" xr10:uidLastSave="{00000000-0000-0000-0000-000000000000}"/>
  <bookViews>
    <workbookView xWindow="-110" yWindow="-110" windowWidth="25820" windowHeight="13900" xr2:uid="{784B664D-1934-4620-A54C-D9FEE5DA579E}"/>
  </bookViews>
  <sheets>
    <sheet name="HistoricalFS" sheetId="1" r:id="rId1"/>
    <sheet name="Ratio Analysis" sheetId="2" r:id="rId2"/>
    <sheet name="Data&gt;" sheetId="3" r:id="rId3"/>
    <sheet name="Data Sheet" sheetId="4" r:id="rId4"/>
    <sheet name="Cash Flow Data" sheetId="5" r:id="rId5"/>
  </sheets>
  <externalReferences>
    <externalReference r:id="rId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UPDATE" localSheetId="3">'Data Sheet'!$E$1</definedName>
    <definedName name="UPD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 i="4" l="1"/>
  <c r="J73" i="4"/>
  <c r="I73" i="4"/>
  <c r="H73" i="4"/>
  <c r="K51" i="4"/>
  <c r="J51" i="4"/>
  <c r="I51" i="4"/>
  <c r="H51" i="4"/>
  <c r="G51" i="4"/>
  <c r="F51" i="4"/>
  <c r="E51" i="4"/>
  <c r="D51" i="4"/>
  <c r="C51" i="4"/>
  <c r="B51" i="4"/>
  <c r="K34" i="4"/>
  <c r="J34" i="4"/>
  <c r="I34" i="4"/>
  <c r="H34" i="4"/>
  <c r="G34" i="4"/>
  <c r="F34" i="4"/>
  <c r="E34" i="4"/>
  <c r="D34" i="4"/>
  <c r="C34" i="4"/>
  <c r="B34" i="4"/>
  <c r="B15" i="4" s="1"/>
  <c r="K32" i="4"/>
  <c r="J32" i="4"/>
  <c r="I32" i="4"/>
  <c r="H32" i="4"/>
  <c r="G32" i="4"/>
  <c r="F32" i="4"/>
  <c r="E32" i="4"/>
  <c r="D32" i="4"/>
  <c r="C32" i="4"/>
  <c r="B32" i="4"/>
  <c r="K15" i="4"/>
  <c r="B6" i="4"/>
  <c r="E1" i="4"/>
  <c r="K41" i="2"/>
  <c r="J41" i="2"/>
  <c r="C39" i="2"/>
  <c r="J35" i="2"/>
  <c r="L31" i="2"/>
  <c r="J31" i="2"/>
  <c r="F31" i="2"/>
  <c r="F30" i="2"/>
  <c r="J29" i="2"/>
  <c r="J36" i="2" s="1"/>
  <c r="I29" i="2"/>
  <c r="I36" i="2" s="1"/>
  <c r="E29" i="2"/>
  <c r="E36" i="2" s="1"/>
  <c r="J28" i="2"/>
  <c r="J27" i="2"/>
  <c r="J34" i="2" s="1"/>
  <c r="F27" i="2"/>
  <c r="F34" i="2" s="1"/>
  <c r="L17" i="2"/>
  <c r="I5" i="2"/>
  <c r="L3" i="2"/>
  <c r="K3" i="2"/>
  <c r="J3" i="2"/>
  <c r="I3" i="2"/>
  <c r="H3" i="2"/>
  <c r="G3" i="2"/>
  <c r="F3" i="2"/>
  <c r="E3" i="2"/>
  <c r="D3" i="2"/>
  <c r="C3" i="2"/>
  <c r="B2" i="2"/>
  <c r="J76" i="1"/>
  <c r="I76" i="1"/>
  <c r="L74" i="1"/>
  <c r="K74" i="1"/>
  <c r="J74" i="1"/>
  <c r="I74" i="1"/>
  <c r="H74" i="1"/>
  <c r="G74" i="1"/>
  <c r="F74" i="1"/>
  <c r="E74" i="1"/>
  <c r="D74" i="1"/>
  <c r="D76" i="1" s="1"/>
  <c r="C74" i="1"/>
  <c r="L72" i="1"/>
  <c r="K72" i="1"/>
  <c r="J72" i="1"/>
  <c r="I72" i="1"/>
  <c r="H72" i="1"/>
  <c r="G72" i="1"/>
  <c r="F72" i="1"/>
  <c r="E72" i="1"/>
  <c r="D72" i="1"/>
  <c r="C72" i="1"/>
  <c r="L70" i="1"/>
  <c r="L41" i="2" s="1"/>
  <c r="K70" i="1"/>
  <c r="J70" i="1"/>
  <c r="I70" i="1"/>
  <c r="I39" i="2" s="1"/>
  <c r="H70" i="1"/>
  <c r="H39" i="2" s="1"/>
  <c r="G70" i="1"/>
  <c r="G76" i="1" s="1"/>
  <c r="F70" i="1"/>
  <c r="F39" i="2" s="1"/>
  <c r="E70" i="1"/>
  <c r="E41" i="2" s="1"/>
  <c r="D70" i="1"/>
  <c r="C70" i="1"/>
  <c r="C76" i="1" s="1"/>
  <c r="K62" i="1"/>
  <c r="K64" i="1" s="1"/>
  <c r="K66" i="1" s="1"/>
  <c r="D62" i="1"/>
  <c r="D40" i="2" s="1"/>
  <c r="L61" i="1"/>
  <c r="K61" i="1"/>
  <c r="J61" i="1"/>
  <c r="J62" i="1" s="1"/>
  <c r="I61" i="1"/>
  <c r="H61" i="1"/>
  <c r="G61" i="1"/>
  <c r="F61" i="1"/>
  <c r="E61" i="1"/>
  <c r="E62" i="1" s="1"/>
  <c r="D61" i="1"/>
  <c r="C61" i="1"/>
  <c r="L60" i="1"/>
  <c r="K60" i="1"/>
  <c r="J60" i="1"/>
  <c r="I60" i="1"/>
  <c r="H60" i="1"/>
  <c r="G60" i="1"/>
  <c r="G29" i="2" s="1"/>
  <c r="G36" i="2" s="1"/>
  <c r="F60" i="1"/>
  <c r="F29" i="2" s="1"/>
  <c r="F36" i="2" s="1"/>
  <c r="E60" i="1"/>
  <c r="D60" i="1"/>
  <c r="C60" i="1"/>
  <c r="C62" i="1" s="1"/>
  <c r="C64" i="1" s="1"/>
  <c r="C66" i="1" s="1"/>
  <c r="L59" i="1"/>
  <c r="L62" i="1" s="1"/>
  <c r="K59" i="1"/>
  <c r="J59" i="1"/>
  <c r="I59" i="1"/>
  <c r="I62" i="1" s="1"/>
  <c r="H59" i="1"/>
  <c r="G59" i="1"/>
  <c r="F59" i="1"/>
  <c r="E59" i="1"/>
  <c r="D59" i="1"/>
  <c r="C59" i="1"/>
  <c r="J57" i="1"/>
  <c r="F57" i="1"/>
  <c r="C57" i="1"/>
  <c r="L56" i="1"/>
  <c r="K56" i="1"/>
  <c r="J56" i="1"/>
  <c r="I56" i="1"/>
  <c r="H56" i="1"/>
  <c r="G56" i="1"/>
  <c r="F56" i="1"/>
  <c r="E56" i="1"/>
  <c r="D56" i="1"/>
  <c r="C56" i="1"/>
  <c r="L55" i="1"/>
  <c r="L57" i="1" s="1"/>
  <c r="K55" i="1"/>
  <c r="J55" i="1"/>
  <c r="I55" i="1"/>
  <c r="H55" i="1"/>
  <c r="G55" i="1"/>
  <c r="G57" i="1" s="1"/>
  <c r="F55" i="1"/>
  <c r="E55" i="1"/>
  <c r="D55" i="1"/>
  <c r="C55" i="1"/>
  <c r="L54" i="1"/>
  <c r="K54" i="1"/>
  <c r="J54" i="1"/>
  <c r="I54" i="1"/>
  <c r="H54" i="1"/>
  <c r="H57" i="1" s="1"/>
  <c r="G54" i="1"/>
  <c r="F54" i="1"/>
  <c r="E54" i="1"/>
  <c r="D54" i="1"/>
  <c r="C54" i="1"/>
  <c r="L53" i="1"/>
  <c r="K53" i="1"/>
  <c r="K57" i="1" s="1"/>
  <c r="J53" i="1"/>
  <c r="I53" i="1"/>
  <c r="I57" i="1" s="1"/>
  <c r="H53" i="1"/>
  <c r="G53" i="1"/>
  <c r="G30" i="2" s="1"/>
  <c r="F53" i="1"/>
  <c r="E53" i="1"/>
  <c r="D53" i="1"/>
  <c r="C53" i="1"/>
  <c r="L51" i="1"/>
  <c r="K51" i="1"/>
  <c r="J51" i="1"/>
  <c r="I51" i="1"/>
  <c r="H51" i="1"/>
  <c r="G51" i="1"/>
  <c r="F51" i="1"/>
  <c r="E51" i="1"/>
  <c r="D51" i="1"/>
  <c r="C51" i="1"/>
  <c r="L50" i="1"/>
  <c r="K50" i="1"/>
  <c r="J50" i="1"/>
  <c r="I50" i="1"/>
  <c r="H50" i="1"/>
  <c r="G50" i="1"/>
  <c r="G28" i="2" s="1"/>
  <c r="G35" i="2" s="1"/>
  <c r="F50" i="1"/>
  <c r="F28" i="2" s="1"/>
  <c r="F35" i="2" s="1"/>
  <c r="F37" i="2" s="1"/>
  <c r="E50" i="1"/>
  <c r="D50" i="1"/>
  <c r="C50" i="1"/>
  <c r="L49" i="1"/>
  <c r="K49" i="1"/>
  <c r="J49" i="1"/>
  <c r="I49" i="1"/>
  <c r="I41" i="2" s="1"/>
  <c r="H49" i="1"/>
  <c r="G49" i="1"/>
  <c r="F49" i="1"/>
  <c r="E49" i="1"/>
  <c r="D49" i="1"/>
  <c r="C49" i="1"/>
  <c r="L48" i="1"/>
  <c r="K48" i="1"/>
  <c r="J48" i="1"/>
  <c r="I48" i="1"/>
  <c r="H48" i="1"/>
  <c r="G48" i="1"/>
  <c r="F48" i="1"/>
  <c r="E48" i="1"/>
  <c r="D48" i="1"/>
  <c r="C48" i="1"/>
  <c r="L47" i="1"/>
  <c r="K47" i="1"/>
  <c r="J47" i="1"/>
  <c r="I47" i="1"/>
  <c r="H47" i="1"/>
  <c r="G47" i="1"/>
  <c r="G31" i="2" s="1"/>
  <c r="F47" i="1"/>
  <c r="E47" i="1"/>
  <c r="D47" i="1"/>
  <c r="C47" i="1"/>
  <c r="M41" i="1"/>
  <c r="L41" i="1"/>
  <c r="L9" i="2" s="1"/>
  <c r="K41" i="1"/>
  <c r="J41" i="1"/>
  <c r="K9" i="2" s="1"/>
  <c r="I41" i="1"/>
  <c r="I9" i="2" s="1"/>
  <c r="H41" i="1"/>
  <c r="H9" i="2" s="1"/>
  <c r="G41" i="1"/>
  <c r="G9" i="2" s="1"/>
  <c r="F41" i="1"/>
  <c r="E41" i="1"/>
  <c r="E9" i="2" s="1"/>
  <c r="D41" i="1"/>
  <c r="D9" i="2" s="1"/>
  <c r="C41" i="1"/>
  <c r="L36" i="1"/>
  <c r="M36" i="1" s="1"/>
  <c r="K36" i="1"/>
  <c r="J36" i="1"/>
  <c r="I36" i="1"/>
  <c r="H36" i="1"/>
  <c r="G36" i="1"/>
  <c r="F36" i="1"/>
  <c r="E36" i="1"/>
  <c r="D36" i="1"/>
  <c r="C36" i="1"/>
  <c r="M30" i="1"/>
  <c r="M31" i="1" s="1"/>
  <c r="L30" i="1"/>
  <c r="K30" i="1"/>
  <c r="J30" i="1"/>
  <c r="I30" i="1"/>
  <c r="H30" i="1"/>
  <c r="G30" i="1"/>
  <c r="F30" i="1"/>
  <c r="E30" i="1"/>
  <c r="D30" i="1"/>
  <c r="C30" i="1"/>
  <c r="K25" i="1"/>
  <c r="K18" i="2" s="1"/>
  <c r="I25" i="1"/>
  <c r="I18" i="2" s="1"/>
  <c r="G25" i="1"/>
  <c r="G18" i="2" s="1"/>
  <c r="F25" i="1"/>
  <c r="F18" i="2" s="1"/>
  <c r="E25" i="1"/>
  <c r="E18" i="2" s="1"/>
  <c r="C25" i="1"/>
  <c r="C18" i="2" s="1"/>
  <c r="M24" i="1"/>
  <c r="L24" i="1"/>
  <c r="L25" i="1" s="1"/>
  <c r="L18" i="2" s="1"/>
  <c r="K24" i="1"/>
  <c r="J24" i="1"/>
  <c r="J25" i="1" s="1"/>
  <c r="J18" i="2" s="1"/>
  <c r="I24" i="1"/>
  <c r="H24" i="1"/>
  <c r="G24" i="1"/>
  <c r="F24" i="1"/>
  <c r="E24" i="1"/>
  <c r="D24" i="1"/>
  <c r="C24" i="1"/>
  <c r="M22" i="1"/>
  <c r="L22" i="1"/>
  <c r="K22" i="1"/>
  <c r="I22" i="1"/>
  <c r="M21" i="1"/>
  <c r="L21" i="1"/>
  <c r="K21" i="1"/>
  <c r="J21" i="1"/>
  <c r="J22" i="1" s="1"/>
  <c r="I21" i="1"/>
  <c r="H21" i="1"/>
  <c r="H22" i="1" s="1"/>
  <c r="G21" i="1"/>
  <c r="G22" i="1" s="1"/>
  <c r="F21" i="1"/>
  <c r="F22" i="1" s="1"/>
  <c r="E21" i="1"/>
  <c r="E22" i="1" s="1"/>
  <c r="D21" i="1"/>
  <c r="D22" i="1" s="1"/>
  <c r="C21" i="1"/>
  <c r="C22" i="1" s="1"/>
  <c r="M18" i="1"/>
  <c r="M27" i="1" s="1"/>
  <c r="M33" i="1" s="1"/>
  <c r="F18" i="1"/>
  <c r="G16" i="1"/>
  <c r="G17" i="2" s="1"/>
  <c r="F16" i="1"/>
  <c r="F17" i="2" s="1"/>
  <c r="C16" i="1"/>
  <c r="C17" i="2" s="1"/>
  <c r="L15" i="1"/>
  <c r="L16" i="1" s="1"/>
  <c r="K15" i="1"/>
  <c r="K16" i="1" s="1"/>
  <c r="K17" i="2" s="1"/>
  <c r="J15" i="1"/>
  <c r="J16" i="1" s="1"/>
  <c r="J17" i="2" s="1"/>
  <c r="I15" i="1"/>
  <c r="I18" i="1" s="1"/>
  <c r="H15" i="1"/>
  <c r="H16" i="1" s="1"/>
  <c r="H17" i="2" s="1"/>
  <c r="G15" i="1"/>
  <c r="F15" i="1"/>
  <c r="E15" i="1"/>
  <c r="D15" i="1"/>
  <c r="C15" i="1"/>
  <c r="K12" i="1"/>
  <c r="K18" i="1" s="1"/>
  <c r="J12" i="1"/>
  <c r="J18" i="1" s="1"/>
  <c r="I12" i="1"/>
  <c r="I13" i="1" s="1"/>
  <c r="I11" i="2" s="1"/>
  <c r="F12" i="1"/>
  <c r="F13" i="1" s="1"/>
  <c r="F11" i="2" s="1"/>
  <c r="J10" i="1"/>
  <c r="F10" i="1"/>
  <c r="E10" i="1"/>
  <c r="D10" i="1"/>
  <c r="M9" i="1"/>
  <c r="M10" i="1" s="1"/>
  <c r="L9" i="1"/>
  <c r="L10" i="1" s="1"/>
  <c r="K9" i="1"/>
  <c r="K10" i="1" s="1"/>
  <c r="J9" i="1"/>
  <c r="I9" i="1"/>
  <c r="I10" i="1" s="1"/>
  <c r="H9" i="1"/>
  <c r="H10" i="1" s="1"/>
  <c r="G9" i="1"/>
  <c r="G10" i="1" s="1"/>
  <c r="F9" i="1"/>
  <c r="E9" i="1"/>
  <c r="D9" i="1"/>
  <c r="C9" i="1"/>
  <c r="K7" i="1"/>
  <c r="K5" i="2" s="1"/>
  <c r="I7" i="1"/>
  <c r="G7" i="1"/>
  <c r="G5" i="2" s="1"/>
  <c r="F7" i="1"/>
  <c r="F5" i="2" s="1"/>
  <c r="E7" i="1"/>
  <c r="E5" i="2" s="1"/>
  <c r="M6" i="1"/>
  <c r="L6" i="1"/>
  <c r="K6" i="1"/>
  <c r="J6" i="1"/>
  <c r="J39" i="2" s="1"/>
  <c r="I6" i="1"/>
  <c r="I30" i="2" s="1"/>
  <c r="H6" i="1"/>
  <c r="G6" i="1"/>
  <c r="F6" i="1"/>
  <c r="E6" i="1"/>
  <c r="E12" i="1" s="1"/>
  <c r="D6" i="1"/>
  <c r="D28" i="2" s="1"/>
  <c r="D35" i="2" s="1"/>
  <c r="C6" i="1"/>
  <c r="C28" i="2" s="1"/>
  <c r="L3" i="1"/>
  <c r="K3" i="1"/>
  <c r="J3" i="1"/>
  <c r="I3" i="1"/>
  <c r="H3" i="1"/>
  <c r="G3" i="1"/>
  <c r="F3" i="1"/>
  <c r="E3" i="1"/>
  <c r="D3" i="1"/>
  <c r="C3" i="1"/>
  <c r="B2" i="1"/>
  <c r="C35" i="2" l="1"/>
  <c r="M38" i="1"/>
  <c r="M34" i="1"/>
  <c r="M42" i="1"/>
  <c r="E13" i="1"/>
  <c r="E11" i="2" s="1"/>
  <c r="E18" i="1"/>
  <c r="K13" i="2"/>
  <c r="K19" i="2" s="1"/>
  <c r="K21" i="2"/>
  <c r="K25" i="2"/>
  <c r="K27" i="1"/>
  <c r="K19" i="1"/>
  <c r="K12" i="2" s="1"/>
  <c r="K6" i="2"/>
  <c r="J13" i="2"/>
  <c r="J19" i="2" s="1"/>
  <c r="J21" i="2"/>
  <c r="J25" i="2"/>
  <c r="J27" i="1"/>
  <c r="J19" i="1"/>
  <c r="J12" i="2" s="1"/>
  <c r="J6" i="2"/>
  <c r="G37" i="2"/>
  <c r="J37" i="2"/>
  <c r="I40" i="2"/>
  <c r="I64" i="1"/>
  <c r="I66" i="1" s="1"/>
  <c r="J64" i="1"/>
  <c r="J66" i="1" s="1"/>
  <c r="J40" i="2"/>
  <c r="N9" i="2"/>
  <c r="L64" i="1"/>
  <c r="L66" i="1" s="1"/>
  <c r="I13" i="2"/>
  <c r="I19" i="2" s="1"/>
  <c r="I21" i="2"/>
  <c r="I25" i="2"/>
  <c r="I27" i="1"/>
  <c r="I31" i="1" s="1"/>
  <c r="I19" i="1"/>
  <c r="I12" i="2" s="1"/>
  <c r="J31" i="1"/>
  <c r="O18" i="2"/>
  <c r="J13" i="1"/>
  <c r="J11" i="2" s="1"/>
  <c r="M28" i="1"/>
  <c r="F40" i="2"/>
  <c r="H28" i="2"/>
  <c r="H35" i="2" s="1"/>
  <c r="H37" i="2" s="1"/>
  <c r="H25" i="1"/>
  <c r="H18" i="2" s="1"/>
  <c r="H12" i="1"/>
  <c r="H7" i="1"/>
  <c r="H5" i="2" s="1"/>
  <c r="H31" i="2"/>
  <c r="H27" i="2"/>
  <c r="H34" i="2" s="1"/>
  <c r="C12" i="1"/>
  <c r="K13" i="1"/>
  <c r="K11" i="2" s="1"/>
  <c r="F19" i="1"/>
  <c r="F12" i="2" s="1"/>
  <c r="F27" i="1"/>
  <c r="D57" i="1"/>
  <c r="F62" i="1"/>
  <c r="F64" i="1" s="1"/>
  <c r="F66" i="1" s="1"/>
  <c r="H30" i="2"/>
  <c r="D12" i="1"/>
  <c r="I16" i="1"/>
  <c r="I17" i="2" s="1"/>
  <c r="N17" i="2" s="1"/>
  <c r="E57" i="1"/>
  <c r="E64" i="1" s="1"/>
  <c r="E66" i="1" s="1"/>
  <c r="D16" i="1"/>
  <c r="D17" i="2" s="1"/>
  <c r="E16" i="1"/>
  <c r="E17" i="2" s="1"/>
  <c r="I28" i="2"/>
  <c r="I35" i="2" s="1"/>
  <c r="I37" i="2" s="1"/>
  <c r="I31" i="2"/>
  <c r="I27" i="2"/>
  <c r="I34" i="2" s="1"/>
  <c r="J30" i="2"/>
  <c r="D31" i="2"/>
  <c r="D27" i="2"/>
  <c r="D34" i="2" s="1"/>
  <c r="D30" i="2"/>
  <c r="E31" i="2"/>
  <c r="E27" i="2"/>
  <c r="E34" i="2" s="1"/>
  <c r="E30" i="2"/>
  <c r="K29" i="2"/>
  <c r="K36" i="2" s="1"/>
  <c r="K31" i="2"/>
  <c r="K27" i="2"/>
  <c r="K34" i="2" s="1"/>
  <c r="K28" i="2"/>
  <c r="K35" i="2" s="1"/>
  <c r="G62" i="1"/>
  <c r="G64" i="1" s="1"/>
  <c r="G66" i="1" s="1"/>
  <c r="G27" i="2"/>
  <c r="G34" i="2" s="1"/>
  <c r="C40" i="2"/>
  <c r="C41" i="2"/>
  <c r="E76" i="1"/>
  <c r="F9" i="2"/>
  <c r="O9" i="2" s="1"/>
  <c r="E28" i="2"/>
  <c r="E35" i="2" s="1"/>
  <c r="K30" i="2"/>
  <c r="F41" i="2"/>
  <c r="L29" i="2"/>
  <c r="L36" i="2" s="1"/>
  <c r="L28" i="2"/>
  <c r="L35" i="2" s="1"/>
  <c r="L37" i="2" s="1"/>
  <c r="L12" i="1"/>
  <c r="L7" i="1"/>
  <c r="L5" i="2" s="1"/>
  <c r="G12" i="1"/>
  <c r="M25" i="1"/>
  <c r="H62" i="1"/>
  <c r="H64" i="1" s="1"/>
  <c r="H66" i="1" s="1"/>
  <c r="D64" i="1"/>
  <c r="D66" i="1" s="1"/>
  <c r="D41" i="2"/>
  <c r="F76" i="1"/>
  <c r="F25" i="2"/>
  <c r="L30" i="2"/>
  <c r="H41" i="2"/>
  <c r="M12" i="1"/>
  <c r="M13" i="1" s="1"/>
  <c r="D7" i="1"/>
  <c r="D5" i="2" s="1"/>
  <c r="D25" i="1"/>
  <c r="D18" i="2" s="1"/>
  <c r="N18" i="2" s="1"/>
  <c r="H76" i="1"/>
  <c r="F21" i="2"/>
  <c r="G39" i="2"/>
  <c r="G41" i="2"/>
  <c r="J9" i="2"/>
  <c r="D29" i="2"/>
  <c r="D36" i="2" s="1"/>
  <c r="D37" i="2" s="1"/>
  <c r="N39" i="2"/>
  <c r="D39" i="2"/>
  <c r="E39" i="2"/>
  <c r="C10" i="1"/>
  <c r="C27" i="2"/>
  <c r="C31" i="2"/>
  <c r="C29" i="2"/>
  <c r="C30" i="2"/>
  <c r="J7" i="1"/>
  <c r="J5" i="2" s="1"/>
  <c r="K76" i="1"/>
  <c r="K40" i="2"/>
  <c r="K39" i="2"/>
  <c r="F13" i="2"/>
  <c r="F19" i="2" s="1"/>
  <c r="H29" i="2"/>
  <c r="H36" i="2" s="1"/>
  <c r="O39" i="2"/>
  <c r="L40" i="2"/>
  <c r="L76" i="1"/>
  <c r="L39" i="2"/>
  <c r="L27" i="2"/>
  <c r="L34" i="2" s="1"/>
  <c r="E40" i="2"/>
  <c r="N35" i="2" l="1"/>
  <c r="O35" i="2"/>
  <c r="E37" i="2"/>
  <c r="G40" i="2"/>
  <c r="O17" i="2"/>
  <c r="O31" i="2"/>
  <c r="N31" i="2"/>
  <c r="N29" i="2"/>
  <c r="C36" i="2"/>
  <c r="O29" i="2"/>
  <c r="C34" i="2"/>
  <c r="O27" i="2"/>
  <c r="N27" i="2"/>
  <c r="K28" i="1"/>
  <c r="K14" i="2" s="1"/>
  <c r="K33" i="1"/>
  <c r="K7" i="2"/>
  <c r="K31" i="1"/>
  <c r="N5" i="2"/>
  <c r="O5" i="2"/>
  <c r="O30" i="2"/>
  <c r="N30" i="2"/>
  <c r="D13" i="1"/>
  <c r="D11" i="2" s="1"/>
  <c r="D18" i="1"/>
  <c r="N41" i="2"/>
  <c r="O41" i="2"/>
  <c r="O40" i="2"/>
  <c r="N40" i="2"/>
  <c r="F33" i="1"/>
  <c r="F7" i="2"/>
  <c r="F28" i="1"/>
  <c r="F14" i="2" s="1"/>
  <c r="F31" i="1"/>
  <c r="E25" i="2"/>
  <c r="E21" i="2"/>
  <c r="E13" i="2"/>
  <c r="E19" i="2" s="1"/>
  <c r="E27" i="1"/>
  <c r="E19" i="1"/>
  <c r="E12" i="2" s="1"/>
  <c r="C18" i="1"/>
  <c r="C13" i="1"/>
  <c r="C11" i="2" s="1"/>
  <c r="I28" i="1"/>
  <c r="I14" i="2" s="1"/>
  <c r="I33" i="1"/>
  <c r="G13" i="1"/>
  <c r="G11" i="2" s="1"/>
  <c r="G18" i="1"/>
  <c r="K37" i="2"/>
  <c r="M44" i="1"/>
  <c r="L18" i="1"/>
  <c r="L13" i="1"/>
  <c r="L11" i="2" s="1"/>
  <c r="H40" i="2"/>
  <c r="J33" i="1"/>
  <c r="J7" i="2"/>
  <c r="J28" i="1"/>
  <c r="J14" i="2" s="1"/>
  <c r="F6" i="2"/>
  <c r="H18" i="1"/>
  <c r="H13" i="1"/>
  <c r="H11" i="2" s="1"/>
  <c r="O28" i="2"/>
  <c r="N28" i="2"/>
  <c r="F34" i="1" l="1"/>
  <c r="F15" i="2" s="1"/>
  <c r="F23" i="2"/>
  <c r="F38" i="1"/>
  <c r="N34" i="2"/>
  <c r="O34" i="2"/>
  <c r="I23" i="2"/>
  <c r="I38" i="1"/>
  <c r="I34" i="1"/>
  <c r="I15" i="2" s="1"/>
  <c r="O36" i="2"/>
  <c r="N36" i="2"/>
  <c r="K34" i="1"/>
  <c r="K15" i="2" s="1"/>
  <c r="K8" i="2"/>
  <c r="K23" i="2"/>
  <c r="K38" i="1"/>
  <c r="G13" i="2"/>
  <c r="G19" i="2" s="1"/>
  <c r="G25" i="2"/>
  <c r="G21" i="2"/>
  <c r="G19" i="1"/>
  <c r="G12" i="2" s="1"/>
  <c r="G6" i="2"/>
  <c r="G27" i="1"/>
  <c r="O11" i="2"/>
  <c r="N11" i="2"/>
  <c r="C19" i="1"/>
  <c r="C12" i="2" s="1"/>
  <c r="C27" i="1"/>
  <c r="C13" i="2"/>
  <c r="C21" i="2"/>
  <c r="C25" i="2"/>
  <c r="H13" i="2"/>
  <c r="H19" i="2" s="1"/>
  <c r="H19" i="1"/>
  <c r="H12" i="2" s="1"/>
  <c r="H21" i="2"/>
  <c r="H25" i="2"/>
  <c r="H27" i="1"/>
  <c r="H6" i="2"/>
  <c r="I6" i="2"/>
  <c r="D25" i="2"/>
  <c r="D21" i="2"/>
  <c r="D6" i="2"/>
  <c r="D13" i="2"/>
  <c r="D19" i="2" s="1"/>
  <c r="D27" i="1"/>
  <c r="D19" i="1"/>
  <c r="D12" i="2" s="1"/>
  <c r="E33" i="1"/>
  <c r="E31" i="1"/>
  <c r="E28" i="1"/>
  <c r="E14" i="2" s="1"/>
  <c r="E7" i="2"/>
  <c r="J34" i="1"/>
  <c r="J15" i="2" s="1"/>
  <c r="J23" i="2"/>
  <c r="J38" i="1"/>
  <c r="J8" i="2"/>
  <c r="E6" i="2"/>
  <c r="C37" i="2"/>
  <c r="L6" i="2"/>
  <c r="L13" i="2"/>
  <c r="L19" i="2" s="1"/>
  <c r="L21" i="2"/>
  <c r="L25" i="2"/>
  <c r="L27" i="1"/>
  <c r="L19" i="1"/>
  <c r="L12" i="2" s="1"/>
  <c r="O21" i="2" l="1"/>
  <c r="N21" i="2"/>
  <c r="C31" i="1"/>
  <c r="C28" i="1"/>
  <c r="C14" i="2" s="1"/>
  <c r="C33" i="1"/>
  <c r="K39" i="1"/>
  <c r="K44" i="1"/>
  <c r="K22" i="2" s="1"/>
  <c r="K24" i="2" s="1"/>
  <c r="K42" i="1"/>
  <c r="O25" i="2"/>
  <c r="N25" i="2"/>
  <c r="C19" i="2"/>
  <c r="N13" i="2"/>
  <c r="O13" i="2"/>
  <c r="O12" i="2"/>
  <c r="N12" i="2"/>
  <c r="I44" i="1"/>
  <c r="I22" i="2" s="1"/>
  <c r="I24" i="2" s="1"/>
  <c r="I42" i="1"/>
  <c r="D28" i="1"/>
  <c r="D14" i="2" s="1"/>
  <c r="D33" i="1"/>
  <c r="D7" i="2"/>
  <c r="D31" i="1"/>
  <c r="L31" i="1"/>
  <c r="L7" i="2"/>
  <c r="L33" i="1"/>
  <c r="L28" i="1"/>
  <c r="L14" i="2" s="1"/>
  <c r="O6" i="2"/>
  <c r="N6" i="2"/>
  <c r="F42" i="1"/>
  <c r="F44" i="1"/>
  <c r="F22" i="2" s="1"/>
  <c r="F24" i="2" s="1"/>
  <c r="E38" i="1"/>
  <c r="E23" i="2"/>
  <c r="E34" i="1"/>
  <c r="E15" i="2" s="1"/>
  <c r="G7" i="2"/>
  <c r="G28" i="1"/>
  <c r="G14" i="2" s="1"/>
  <c r="G33" i="1"/>
  <c r="G31" i="1"/>
  <c r="O37" i="2"/>
  <c r="N37" i="2"/>
  <c r="H33" i="1"/>
  <c r="H28" i="1"/>
  <c r="H14" i="2" s="1"/>
  <c r="H7" i="2"/>
  <c r="H31" i="1"/>
  <c r="I7" i="2"/>
  <c r="F8" i="2"/>
  <c r="J44" i="1"/>
  <c r="J22" i="2" s="1"/>
  <c r="J24" i="2" s="1"/>
  <c r="J39" i="1"/>
  <c r="J42" i="1"/>
  <c r="E44" i="1" l="1"/>
  <c r="E22" i="2" s="1"/>
  <c r="E24" i="2" s="1"/>
  <c r="E42" i="1"/>
  <c r="O7" i="2"/>
  <c r="N7" i="2"/>
  <c r="C23" i="2"/>
  <c r="C38" i="1"/>
  <c r="C34" i="1"/>
  <c r="C15" i="2" s="1"/>
  <c r="F39" i="1"/>
  <c r="N19" i="2"/>
  <c r="O19" i="2"/>
  <c r="H8" i="2"/>
  <c r="H23" i="2"/>
  <c r="H38" i="1"/>
  <c r="H34" i="1"/>
  <c r="H15" i="2" s="1"/>
  <c r="I8" i="2"/>
  <c r="L8" i="2"/>
  <c r="L23" i="2"/>
  <c r="L34" i="1"/>
  <c r="L15" i="2" s="1"/>
  <c r="L38" i="1"/>
  <c r="D38" i="1"/>
  <c r="D8" i="2"/>
  <c r="D23" i="2"/>
  <c r="D34" i="1"/>
  <c r="D15" i="2" s="1"/>
  <c r="N14" i="2"/>
  <c r="O14" i="2"/>
  <c r="G8" i="2"/>
  <c r="G23" i="2"/>
  <c r="G38" i="1"/>
  <c r="G34" i="1"/>
  <c r="G15" i="2" s="1"/>
  <c r="E8" i="2"/>
  <c r="H39" i="1" l="1"/>
  <c r="H42" i="1"/>
  <c r="H44" i="1" s="1"/>
  <c r="H22" i="2" s="1"/>
  <c r="H24" i="2" s="1"/>
  <c r="I39" i="1"/>
  <c r="G39" i="1"/>
  <c r="G42" i="1"/>
  <c r="G44" i="1" s="1"/>
  <c r="G22" i="2" s="1"/>
  <c r="G24" i="2" s="1"/>
  <c r="O8" i="2"/>
  <c r="N8" i="2"/>
  <c r="L44" i="1"/>
  <c r="L22" i="2" s="1"/>
  <c r="L24" i="2" s="1"/>
  <c r="L39" i="1"/>
  <c r="L42" i="1"/>
  <c r="M39" i="1"/>
  <c r="N15" i="2"/>
  <c r="O15" i="2"/>
  <c r="C42" i="1"/>
  <c r="C44" i="1" s="1"/>
  <c r="C22" i="2" s="1"/>
  <c r="N23" i="2"/>
  <c r="O23" i="2"/>
  <c r="D39" i="1"/>
  <c r="D42" i="1"/>
  <c r="D44" i="1" s="1"/>
  <c r="D22" i="2" s="1"/>
  <c r="D24" i="2" s="1"/>
  <c r="E39" i="1"/>
  <c r="C24" i="2" l="1"/>
  <c r="O22" i="2"/>
  <c r="N22" i="2"/>
  <c r="N24" i="2" l="1"/>
  <c r="O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Abdullah Afridi</author>
  </authors>
  <commentList>
    <comment ref="B19" authorId="0" shapeId="0" xr:uid="{8F14466B-8A4D-4E1F-A69B-31CF83088DEE}">
      <text>
        <r>
          <rPr>
            <b/>
            <sz val="9"/>
            <color indexed="81"/>
            <rFont val="Tahoma"/>
            <family val="2"/>
          </rPr>
          <t>Abdullah Afridi:</t>
        </r>
        <r>
          <rPr>
            <sz val="9"/>
            <color indexed="81"/>
            <rFont val="Tahoma"/>
            <family val="2"/>
          </rPr>
          <t xml:space="preserve">
It is the same as EBIT Margin</t>
        </r>
      </text>
    </comment>
    <comment ref="B21" authorId="0" shapeId="0" xr:uid="{4D0FA446-D2E2-43A7-B05B-DFF2CC08C979}">
      <text>
        <r>
          <rPr>
            <b/>
            <sz val="9"/>
            <color indexed="81"/>
            <rFont val="Tahoma"/>
            <family val="2"/>
          </rPr>
          <t>Abdullah Afridi:</t>
        </r>
        <r>
          <rPr>
            <sz val="9"/>
            <color indexed="81"/>
            <rFont val="Tahoma"/>
            <family val="2"/>
          </rPr>
          <t xml:space="preserve">
Abdullah Afridi:
=(EBIT/EQ+Debt)
=(EBITDA-Depreciation)/(EQ+Debt)
here Equity contains share capital plus reserves because the reserves are also made from the capital of the share holders</t>
        </r>
      </text>
    </comment>
    <comment ref="B22" authorId="0" shapeId="0" xr:uid="{8BD570C3-5129-424E-81C9-C7DDDA393045}">
      <text>
        <r>
          <rPr>
            <b/>
            <sz val="9"/>
            <color indexed="81"/>
            <rFont val="Tahoma"/>
            <charset val="1"/>
          </rPr>
          <t>Abdullah Afridi:</t>
        </r>
        <r>
          <rPr>
            <sz val="9"/>
            <color indexed="81"/>
            <rFont val="Tahoma"/>
            <charset val="1"/>
          </rPr>
          <t xml:space="preserve">
Also called Rate of retention</t>
        </r>
      </text>
    </comment>
    <comment ref="B23" authorId="0" shapeId="0" xr:uid="{5A261573-8718-4C50-AFC6-30787EFB5342}">
      <text>
        <r>
          <rPr>
            <b/>
            <sz val="9"/>
            <color indexed="81"/>
            <rFont val="Tahoma"/>
            <family val="2"/>
          </rPr>
          <t>Abdullah Afridi:</t>
        </r>
        <r>
          <rPr>
            <sz val="9"/>
            <color indexed="81"/>
            <rFont val="Tahoma"/>
            <family val="2"/>
          </rPr>
          <t xml:space="preserve">
what part of the earnings is at the disposal of thr equity shareholders? EAES=Earning Available for Equity Shareholders which is calculating by subtracting preference shares dividends froom the profits after taxes.
So the whole formula is =EAES/ShareHoldersFunds. here SHF is the sum of Equity Shares and Reserves
This measure is a post tax activity. meaning it is paid after taxes because the company cannot get tax benefits on paying their stareholders. </t>
        </r>
      </text>
    </comment>
    <comment ref="B24" authorId="0" shapeId="0" xr:uid="{5814A07A-AF54-4075-BA05-55FFD25B4D24}">
      <text>
        <r>
          <rPr>
            <b/>
            <sz val="9"/>
            <color indexed="81"/>
            <rFont val="Tahoma"/>
            <family val="2"/>
          </rPr>
          <t>Abdullah Afridi:</t>
        </r>
        <r>
          <rPr>
            <sz val="9"/>
            <color indexed="81"/>
            <rFont val="Tahoma"/>
            <family val="2"/>
          </rPr>
          <t xml:space="preserve">
Explained in notes. 
Basically a product of retention rate and ROE</t>
        </r>
      </text>
    </comment>
    <comment ref="B25" authorId="0" shapeId="0" xr:uid="{1850770B-F307-4695-9372-CC11FD0516FE}">
      <text>
        <r>
          <rPr>
            <b/>
            <sz val="9"/>
            <color indexed="81"/>
            <rFont val="Tahoma"/>
            <family val="2"/>
          </rPr>
          <t>Abdullah Afridi:</t>
        </r>
        <r>
          <rPr>
            <sz val="9"/>
            <color indexed="81"/>
            <rFont val="Tahoma"/>
            <family val="2"/>
          </rPr>
          <t xml:space="preserve">
means that the company can pay its interst expenses for 4.77 years.</t>
        </r>
      </text>
    </comment>
    <comment ref="B27" authorId="0" shapeId="0" xr:uid="{42493B4A-57C4-48E1-AB7A-A3543BB4A091}">
      <text>
        <r>
          <rPr>
            <b/>
            <sz val="9"/>
            <color indexed="81"/>
            <rFont val="Tahoma"/>
            <family val="2"/>
          </rPr>
          <t>Abdullah Afridi:</t>
        </r>
        <r>
          <rPr>
            <sz val="9"/>
            <color indexed="81"/>
            <rFont val="Tahoma"/>
            <family val="2"/>
          </rPr>
          <t xml:space="preserve">
one debtor is generating how much sales for me?
Its also called Accounts Receivable Turnover Ratio</t>
        </r>
      </text>
    </comment>
    <comment ref="B28" authorId="0" shapeId="0" xr:uid="{3B3EF67D-B100-40BD-9302-FE862D84B818}">
      <text>
        <r>
          <rPr>
            <b/>
            <sz val="9"/>
            <color indexed="81"/>
            <rFont val="Tahoma"/>
            <family val="2"/>
          </rPr>
          <t>Abdullah Afridi:</t>
        </r>
        <r>
          <rPr>
            <sz val="9"/>
            <color indexed="81"/>
            <rFont val="Tahoma"/>
            <family val="2"/>
          </rPr>
          <t xml:space="preserve">
this is rough calculation as we have taken total sales and total other liabilities. Both these may have component of sales of credit (part of sales) and payables (part of other liabilities).</t>
        </r>
      </text>
    </comment>
    <comment ref="B34" authorId="0" shapeId="0" xr:uid="{48820C2D-A5C8-4374-822F-0E5CFE17B119}">
      <text>
        <r>
          <rPr>
            <b/>
            <sz val="9"/>
            <color indexed="81"/>
            <rFont val="Tahoma"/>
            <family val="2"/>
          </rPr>
          <t>Abdullah Afridi:</t>
        </r>
        <r>
          <rPr>
            <sz val="9"/>
            <color indexed="81"/>
            <rFont val="Tahoma"/>
            <family val="2"/>
          </rPr>
          <t xml:space="preserve">
On average, in how many days does the debtor pays me.</t>
        </r>
      </text>
    </comment>
    <comment ref="B36" authorId="0" shapeId="0" xr:uid="{41F79C3A-FDF0-4008-B84D-D3697C649DC5}">
      <text>
        <r>
          <rPr>
            <b/>
            <sz val="9"/>
            <color indexed="81"/>
            <rFont val="Tahoma"/>
            <family val="2"/>
          </rPr>
          <t>Abdullah Afridi:</t>
        </r>
        <r>
          <rPr>
            <sz val="9"/>
            <color indexed="81"/>
            <rFont val="Tahoma"/>
            <family val="2"/>
          </rPr>
          <t xml:space="preserve">
if the company stops production, it can sustain 40 days sales</t>
        </r>
      </text>
    </comment>
    <comment ref="B37" authorId="0" shapeId="0" xr:uid="{FD8C4297-D390-4F9F-A844-F6DEB1A7D3A0}">
      <text>
        <r>
          <rPr>
            <b/>
            <sz val="9"/>
            <color indexed="81"/>
            <rFont val="Tahoma"/>
            <family val="2"/>
          </rPr>
          <t>Abdullah Afridi:</t>
        </r>
        <r>
          <rPr>
            <sz val="9"/>
            <color indexed="81"/>
            <rFont val="Tahoma"/>
            <family val="2"/>
          </rPr>
          <t xml:space="preserve">
how many time the company is rotating it cash. It is calculated as sum of debtor day and inventory days from which we then subtract payable days. </t>
        </r>
      </text>
    </comment>
    <comment ref="B39" authorId="0" shapeId="0" xr:uid="{0678952B-7C9E-495F-B0EE-CC8B943C7ED9}">
      <text>
        <r>
          <rPr>
            <b/>
            <sz val="9"/>
            <color indexed="81"/>
            <rFont val="Tahoma"/>
            <family val="2"/>
          </rPr>
          <t>Abdullah Afridi:</t>
        </r>
        <r>
          <rPr>
            <sz val="9"/>
            <color indexed="81"/>
            <rFont val="Tahoma"/>
            <family val="2"/>
          </rPr>
          <t xml:space="preserve">
Cash flow from operations divided by sales</t>
        </r>
      </text>
    </comment>
  </commentList>
</comments>
</file>

<file path=xl/sharedStrings.xml><?xml version="1.0" encoding="utf-8"?>
<sst xmlns="http://schemas.openxmlformats.org/spreadsheetml/2006/main" count="189" uniqueCount="153">
  <si>
    <t>Years</t>
  </si>
  <si>
    <t>LTM</t>
  </si>
  <si>
    <t>#</t>
  </si>
  <si>
    <t>Income Statement</t>
  </si>
  <si>
    <t>Sales</t>
  </si>
  <si>
    <t>Sales Growth</t>
  </si>
  <si>
    <t>COGS</t>
  </si>
  <si>
    <t>COGS % Sales</t>
  </si>
  <si>
    <t>Gross Profit</t>
  </si>
  <si>
    <t>Gross Margins</t>
  </si>
  <si>
    <t>S&amp;G Exp</t>
  </si>
  <si>
    <t>S&amp;G Exp %</t>
  </si>
  <si>
    <t xml:space="preserve"> </t>
  </si>
  <si>
    <t>EBITDA</t>
  </si>
  <si>
    <t>EBITDA % Sales</t>
  </si>
  <si>
    <t>Interest</t>
  </si>
  <si>
    <t>Interest % Sales</t>
  </si>
  <si>
    <t>Depreciation</t>
  </si>
  <si>
    <t>Depreciation % Sales</t>
  </si>
  <si>
    <t>Earnings Before Tax</t>
  </si>
  <si>
    <t>EBT % Sales</t>
  </si>
  <si>
    <t>Tax</t>
  </si>
  <si>
    <t>Effective Tax Rate</t>
  </si>
  <si>
    <t>Net Profit</t>
  </si>
  <si>
    <t>Net Margins</t>
  </si>
  <si>
    <t>No of Equity Shares</t>
  </si>
  <si>
    <t>Earnings per Share</t>
  </si>
  <si>
    <t>EPS Growth %</t>
  </si>
  <si>
    <t>Dividend per Share</t>
  </si>
  <si>
    <t>Dividend payout ratio</t>
  </si>
  <si>
    <t>Retained Earnings</t>
  </si>
  <si>
    <t>Balance Sheet</t>
  </si>
  <si>
    <t>Equity Share Capital</t>
  </si>
  <si>
    <t>Reserves</t>
  </si>
  <si>
    <t>Borrowings</t>
  </si>
  <si>
    <t>Other Liabilities</t>
  </si>
  <si>
    <t>Total Liabilities</t>
  </si>
  <si>
    <t>Fixed Assets Net Block</t>
  </si>
  <si>
    <t>Capital Work in Progress</t>
  </si>
  <si>
    <t>Investments</t>
  </si>
  <si>
    <t>Other Assets</t>
  </si>
  <si>
    <t>Total  Non CurrentAssets</t>
  </si>
  <si>
    <t>Receivables</t>
  </si>
  <si>
    <t>Inventory</t>
  </si>
  <si>
    <t>Cash &amp; Bank</t>
  </si>
  <si>
    <t>Total Current Assets</t>
  </si>
  <si>
    <t>Total Assets</t>
  </si>
  <si>
    <t>Check</t>
  </si>
  <si>
    <t>Cash Flow Statements</t>
  </si>
  <si>
    <t>Cash from Operating Activities</t>
  </si>
  <si>
    <t>Cash from Investing Activities</t>
  </si>
  <si>
    <t>Cash from Financing Activities</t>
  </si>
  <si>
    <t>Net Cash Flow</t>
  </si>
  <si>
    <t>Trend</t>
  </si>
  <si>
    <t>Mean</t>
  </si>
  <si>
    <t>Mediam</t>
  </si>
  <si>
    <t>EBITDA Growth</t>
  </si>
  <si>
    <t>EBIT Growth</t>
  </si>
  <si>
    <t>Net Profit Growth</t>
  </si>
  <si>
    <t>Dividend Growth</t>
  </si>
  <si>
    <t>Gross Margin</t>
  </si>
  <si>
    <t>EBITDA Margin</t>
  </si>
  <si>
    <t>EBIT Margin</t>
  </si>
  <si>
    <t>EBT Margin</t>
  </si>
  <si>
    <t>Net Profit Margin</t>
  </si>
  <si>
    <t>SalesExpense%Sales</t>
  </si>
  <si>
    <t>Depreciation%Sales</t>
  </si>
  <si>
    <t>OperatingIncome%Sales</t>
  </si>
  <si>
    <t>Return on Capital Employed</t>
  </si>
  <si>
    <t>Retained Earnings%</t>
  </si>
  <si>
    <t>Return on Equity %</t>
  </si>
  <si>
    <t>Self Sustained Growth  Rate</t>
  </si>
  <si>
    <t>Interest Coverage Ratio</t>
  </si>
  <si>
    <t>Debtor Turnover Ratio</t>
  </si>
  <si>
    <t>Creditor Turnover Ratio</t>
  </si>
  <si>
    <t>Inventory Turnover</t>
  </si>
  <si>
    <t>Fixed Asset Turnover</t>
  </si>
  <si>
    <t>Capital Turnover Ratio</t>
  </si>
  <si>
    <t>(in days)</t>
  </si>
  <si>
    <t>Debtor Days</t>
  </si>
  <si>
    <t>Payable Days</t>
  </si>
  <si>
    <t>Inventory Days</t>
  </si>
  <si>
    <t>Cash Conversion Cycle (in days)</t>
  </si>
  <si>
    <t>CFO/Sales</t>
  </si>
  <si>
    <t>CFO/Total Assets</t>
  </si>
  <si>
    <t>CFO/Total Debt</t>
  </si>
  <si>
    <t>COMPANY NAME</t>
  </si>
  <si>
    <t>TATA MOTORS LTD</t>
  </si>
  <si>
    <t>LATEST VERSION</t>
  </si>
  <si>
    <t>PLEASE DO NOT MAKE ANY CHANGES TO THIS SHEET</t>
  </si>
  <si>
    <t>CURRENT VERSION</t>
  </si>
  <si>
    <t>META</t>
  </si>
  <si>
    <t>Number of shares</t>
  </si>
  <si>
    <t>Face Value</t>
  </si>
  <si>
    <t>Current Price</t>
  </si>
  <si>
    <t>Market Capitalization</t>
  </si>
  <si>
    <t>PROFIT &amp; LOSS</t>
  </si>
  <si>
    <t>Report Date</t>
  </si>
  <si>
    <t>Raw Material Cost</t>
  </si>
  <si>
    <t>Change in Inventory</t>
  </si>
  <si>
    <t>Power and Fuel</t>
  </si>
  <si>
    <t>Other Mfr. Exp</t>
  </si>
  <si>
    <t>Employee Cost</t>
  </si>
  <si>
    <t>Selling and admin</t>
  </si>
  <si>
    <t>Other Expenses</t>
  </si>
  <si>
    <t>Other Income</t>
  </si>
  <si>
    <t>Profit before tax</t>
  </si>
  <si>
    <t>Net profit</t>
  </si>
  <si>
    <t>Dividend Amount</t>
  </si>
  <si>
    <t>Quarters</t>
  </si>
  <si>
    <t>Expenses</t>
  </si>
  <si>
    <t>Operating Profit</t>
  </si>
  <si>
    <t>BALANCE SHEET</t>
  </si>
  <si>
    <t>Total</t>
  </si>
  <si>
    <t>Net Block</t>
  </si>
  <si>
    <t>No. of Equity Shares</t>
  </si>
  <si>
    <t>New Bonus Shares</t>
  </si>
  <si>
    <t>Face value</t>
  </si>
  <si>
    <t>CASH FLOW:</t>
  </si>
  <si>
    <t>Cash from Operating Activity</t>
  </si>
  <si>
    <t>Cash from Investing Activity</t>
  </si>
  <si>
    <t>Cash from Financing Activity</t>
  </si>
  <si>
    <t>PRICE:</t>
  </si>
  <si>
    <t>DERIVED:</t>
  </si>
  <si>
    <t>Adjusted Equity Shares in Cr</t>
  </si>
  <si>
    <t>Cash from Operating Activity -</t>
  </si>
  <si>
    <t>Profit from operations</t>
  </si>
  <si>
    <t>Payables</t>
  </si>
  <si>
    <t>Loans Advances</t>
  </si>
  <si>
    <t>Other WC items</t>
  </si>
  <si>
    <t>Working capital changes</t>
  </si>
  <si>
    <t>Direct taxes</t>
  </si>
  <si>
    <t>Cash from Investing Activity -</t>
  </si>
  <si>
    <t>Fixed assets purchased</t>
  </si>
  <si>
    <t>Fixed assets sold</t>
  </si>
  <si>
    <t>Investments purchased</t>
  </si>
  <si>
    <t>Investments sold</t>
  </si>
  <si>
    <t>Interest received</t>
  </si>
  <si>
    <t>Dividends received</t>
  </si>
  <si>
    <t>Investment in group cos</t>
  </si>
  <si>
    <t>Redemp n Canc of Shares</t>
  </si>
  <si>
    <t>Acquisition of companies</t>
  </si>
  <si>
    <t>Inter corporate deposits</t>
  </si>
  <si>
    <t>Other investing items</t>
  </si>
  <si>
    <t>Cash from Financing Activity -</t>
  </si>
  <si>
    <t>Proceeds from shares</t>
  </si>
  <si>
    <t>Redemption of debentures</t>
  </si>
  <si>
    <t>Proceeds from borrowings</t>
  </si>
  <si>
    <t>Repayment of borrowings</t>
  </si>
  <si>
    <t>Interest paid fin</t>
  </si>
  <si>
    <t>Dividends paid</t>
  </si>
  <si>
    <t>Financial liabilities</t>
  </si>
  <si>
    <t>Other financing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</si>
</sst>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0;\(\₹\ ###0.0\);\-"/>
    <numFmt numFmtId="165" formatCode="0.00&quot;x&quot;"/>
    <numFmt numFmtId="166" formatCode="_ * #,##0.00_ ;_ * \-#,##0.00_ ;_ * &quot;-&quot;??_ ;_ @_ "/>
    <numFmt numFmtId="167" formatCode="[$-409]mmm\-yy;@"/>
    <numFmt numFmtId="168" formatCode="_(* #,##0.00_);_(* \(#,##0.00\);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11"/>
      <color theme="0" tint="-0.34998626667073579"/>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b/>
      <sz val="10"/>
      <color theme="1"/>
      <name val="Arial"/>
      <family val="2"/>
    </font>
    <font>
      <u/>
      <sz val="11"/>
      <color theme="10"/>
      <name val="Calibri"/>
      <family val="2"/>
    </font>
    <font>
      <u/>
      <sz val="10"/>
      <color theme="10"/>
      <name val="Arial"/>
      <family val="2"/>
    </font>
    <font>
      <sz val="10"/>
      <color theme="1"/>
      <name val="Arial"/>
      <family val="2"/>
    </font>
    <font>
      <sz val="11"/>
      <color theme="0"/>
      <name val="Calibri"/>
      <family val="2"/>
      <scheme val="minor"/>
    </font>
    <font>
      <b/>
      <sz val="10"/>
      <color theme="0"/>
      <name val="Arial"/>
      <family val="2"/>
    </font>
    <font>
      <sz val="10"/>
      <name val="Arial"/>
      <family val="2"/>
    </font>
    <font>
      <sz val="11"/>
      <color theme="1"/>
      <name val="Arial Narrow"/>
      <family val="2"/>
    </font>
  </fonts>
  <fills count="7">
    <fill>
      <patternFill patternType="none"/>
    </fill>
    <fill>
      <patternFill patternType="gray125"/>
    </fill>
    <fill>
      <patternFill patternType="solid">
        <fgColor theme="9"/>
      </patternFill>
    </fill>
    <fill>
      <patternFill patternType="solid">
        <fgColor theme="4" tint="-0.499984740745262"/>
        <bgColor indexed="64"/>
      </patternFill>
    </fill>
    <fill>
      <patternFill patternType="solid">
        <fgColor theme="0"/>
        <bgColor indexed="64"/>
      </patternFill>
    </fill>
    <fill>
      <patternFill patternType="solid">
        <fgColor theme="4" tint="0.59999389629810485"/>
        <bgColor indexed="64"/>
      </patternFill>
    </fill>
    <fill>
      <patternFill patternType="solid">
        <fgColor rgb="FF0275D8"/>
        <bgColor indexed="64"/>
      </patternFill>
    </fill>
  </fills>
  <borders count="6">
    <border>
      <left/>
      <right/>
      <top/>
      <bottom/>
      <diagonal/>
    </border>
    <border>
      <left/>
      <right/>
      <top style="hair">
        <color rgb="FF002060"/>
      </top>
      <bottom style="hair">
        <color rgb="FF002060"/>
      </bottom>
      <diagonal/>
    </border>
    <border>
      <left/>
      <right/>
      <top style="hair">
        <color auto="1"/>
      </top>
      <bottom/>
      <diagonal/>
    </border>
    <border>
      <left/>
      <right/>
      <top style="hair">
        <color rgb="FF002060"/>
      </top>
      <bottom/>
      <diagonal/>
    </border>
    <border>
      <left/>
      <right/>
      <top/>
      <bottom style="hair">
        <color auto="1"/>
      </bottom>
      <diagonal/>
    </border>
    <border>
      <left/>
      <right/>
      <top/>
      <bottom style="hair">
        <color rgb="FF002060"/>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10" fillId="0" borderId="0" applyNumberFormat="0" applyFill="0" applyBorder="0" applyAlignment="0" applyProtection="0">
      <alignment vertical="top"/>
      <protection locked="0"/>
    </xf>
    <xf numFmtId="0" fontId="13" fillId="2" borderId="0" applyNumberFormat="0" applyBorder="0" applyAlignment="0" applyProtection="0"/>
    <xf numFmtId="0" fontId="1" fillId="0" borderId="0"/>
    <xf numFmtId="9" fontId="1" fillId="0" borderId="0" applyFont="0" applyFill="0" applyBorder="0" applyAlignment="0" applyProtection="0"/>
    <xf numFmtId="0" fontId="16" fillId="0" borderId="0"/>
  </cellStyleXfs>
  <cellXfs count="54">
    <xf numFmtId="0" fontId="0" fillId="0" borderId="0" xfId="0"/>
    <xf numFmtId="0" fontId="2" fillId="3" borderId="0" xfId="0" applyFont="1" applyFill="1" applyAlignment="1">
      <alignment horizontal="center"/>
    </xf>
    <xf numFmtId="0" fontId="2" fillId="3" borderId="0" xfId="0" applyFont="1" applyFill="1"/>
    <xf numFmtId="17" fontId="2" fillId="3" borderId="0" xfId="0" applyNumberFormat="1" applyFont="1" applyFill="1"/>
    <xf numFmtId="17" fontId="2" fillId="3" borderId="0" xfId="0" applyNumberFormat="1" applyFont="1" applyFill="1" applyAlignment="1">
      <alignment horizontal="right"/>
    </xf>
    <xf numFmtId="17" fontId="0" fillId="0" borderId="0" xfId="0" applyNumberFormat="1"/>
    <xf numFmtId="0" fontId="0" fillId="4" borderId="0" xfId="0" applyFill="1"/>
    <xf numFmtId="0" fontId="2" fillId="4" borderId="0" xfId="0" applyFont="1" applyFill="1"/>
    <xf numFmtId="17" fontId="2" fillId="4" borderId="0" xfId="0" applyNumberFormat="1" applyFont="1" applyFill="1"/>
    <xf numFmtId="17" fontId="2" fillId="4" borderId="0" xfId="0" applyNumberFormat="1" applyFont="1" applyFill="1" applyAlignment="1">
      <alignment horizontal="right"/>
    </xf>
    <xf numFmtId="17" fontId="0" fillId="4" borderId="0" xfId="0" applyNumberFormat="1" applyFill="1"/>
    <xf numFmtId="0" fontId="3" fillId="5" borderId="0" xfId="0" applyFont="1" applyFill="1"/>
    <xf numFmtId="0" fontId="0" fillId="5" borderId="0" xfId="0" applyFill="1"/>
    <xf numFmtId="164" fontId="0" fillId="0" borderId="0" xfId="0" applyNumberFormat="1"/>
    <xf numFmtId="0" fontId="4" fillId="0" borderId="0" xfId="0" applyFont="1"/>
    <xf numFmtId="10" fontId="4" fillId="0" borderId="0" xfId="1" applyNumberFormat="1" applyFont="1"/>
    <xf numFmtId="0" fontId="3" fillId="0" borderId="1" xfId="0" applyFont="1" applyBorder="1"/>
    <xf numFmtId="164" fontId="3" fillId="0" borderId="1" xfId="0" applyNumberFormat="1" applyFont="1" applyBorder="1"/>
    <xf numFmtId="0" fontId="3" fillId="0" borderId="0" xfId="0" applyFont="1"/>
    <xf numFmtId="0" fontId="0" fillId="0" borderId="1" xfId="0" applyBorder="1"/>
    <xf numFmtId="164" fontId="3" fillId="0" borderId="0" xfId="0" applyNumberFormat="1" applyFont="1"/>
    <xf numFmtId="17" fontId="2" fillId="3" borderId="0" xfId="0" applyNumberFormat="1" applyFont="1" applyFill="1" applyAlignment="1">
      <alignment horizontal="center"/>
    </xf>
    <xf numFmtId="0" fontId="0" fillId="0" borderId="2" xfId="0" applyBorder="1"/>
    <xf numFmtId="10" fontId="0" fillId="0" borderId="2" xfId="1" applyNumberFormat="1" applyFont="1" applyBorder="1"/>
    <xf numFmtId="10" fontId="0" fillId="0" borderId="3" xfId="1" applyNumberFormat="1" applyFont="1" applyBorder="1"/>
    <xf numFmtId="0" fontId="0" fillId="0" borderId="3" xfId="0" applyBorder="1"/>
    <xf numFmtId="10" fontId="0" fillId="0" borderId="0" xfId="1" applyNumberFormat="1" applyFont="1" applyBorder="1"/>
    <xf numFmtId="0" fontId="0" fillId="0" borderId="4" xfId="0" applyBorder="1"/>
    <xf numFmtId="10" fontId="0" fillId="0" borderId="4" xfId="1" applyNumberFormat="1" applyFont="1" applyBorder="1"/>
    <xf numFmtId="10" fontId="0" fillId="0" borderId="5" xfId="1" applyNumberFormat="1" applyFont="1" applyBorder="1"/>
    <xf numFmtId="0" fontId="0" fillId="0" borderId="5" xfId="0" applyBorder="1"/>
    <xf numFmtId="165" fontId="0" fillId="0" borderId="4" xfId="0" applyNumberFormat="1" applyBorder="1"/>
    <xf numFmtId="165" fontId="0" fillId="0" borderId="5" xfId="0" applyNumberFormat="1" applyBorder="1"/>
    <xf numFmtId="165" fontId="0" fillId="0" borderId="2" xfId="0" applyNumberFormat="1" applyBorder="1"/>
    <xf numFmtId="165" fontId="0" fillId="0" borderId="3" xfId="0" applyNumberFormat="1" applyBorder="1"/>
    <xf numFmtId="165" fontId="0" fillId="0" borderId="0" xfId="0" applyNumberFormat="1"/>
    <xf numFmtId="1" fontId="0" fillId="0" borderId="2" xfId="0" applyNumberFormat="1" applyBorder="1"/>
    <xf numFmtId="1" fontId="0" fillId="0" borderId="3" xfId="0" applyNumberFormat="1" applyBorder="1"/>
    <xf numFmtId="1" fontId="0" fillId="0" borderId="0" xfId="0" applyNumberFormat="1"/>
    <xf numFmtId="1" fontId="0" fillId="0" borderId="4" xfId="0" applyNumberFormat="1" applyBorder="1"/>
    <xf numFmtId="1" fontId="0" fillId="0" borderId="5" xfId="0" applyNumberFormat="1" applyBorder="1"/>
    <xf numFmtId="166" fontId="9" fillId="0" borderId="0" xfId="2" applyFont="1" applyBorder="1"/>
    <xf numFmtId="166" fontId="11" fillId="0" borderId="0" xfId="3" applyNumberFormat="1" applyFont="1" applyBorder="1" applyAlignment="1" applyProtection="1">
      <alignment horizontal="center"/>
    </xf>
    <xf numFmtId="166" fontId="12" fillId="0" borderId="0" xfId="2" applyFont="1" applyBorder="1"/>
    <xf numFmtId="166" fontId="14" fillId="2" borderId="0" xfId="4" applyNumberFormat="1" applyFont="1" applyBorder="1" applyAlignment="1">
      <alignment horizontal="center"/>
    </xf>
    <xf numFmtId="0" fontId="12" fillId="0" borderId="0" xfId="5" applyFont="1"/>
    <xf numFmtId="167" fontId="14" fillId="6" borderId="0" xfId="2" applyNumberFormat="1" applyFont="1" applyFill="1" applyBorder="1"/>
    <xf numFmtId="167" fontId="14" fillId="6" borderId="0" xfId="5" applyNumberFormat="1" applyFont="1" applyFill="1" applyAlignment="1">
      <alignment horizontal="center"/>
    </xf>
    <xf numFmtId="167" fontId="15" fillId="0" borderId="0" xfId="2" applyNumberFormat="1" applyFont="1" applyFill="1" applyBorder="1"/>
    <xf numFmtId="0" fontId="1" fillId="0" borderId="0" xfId="5"/>
    <xf numFmtId="9" fontId="12" fillId="0" borderId="0" xfId="6" applyFont="1" applyBorder="1"/>
    <xf numFmtId="0" fontId="16" fillId="0" borderId="0" xfId="7"/>
    <xf numFmtId="168" fontId="12" fillId="0" borderId="0" xfId="2" applyNumberFormat="1" applyFont="1" applyBorder="1"/>
    <xf numFmtId="3" fontId="0" fillId="0" borderId="0" xfId="0" applyNumberFormat="1"/>
  </cellXfs>
  <cellStyles count="8">
    <cellStyle name="Accent6 2" xfId="4" xr:uid="{11E8B6DE-D4EA-4A94-A1A7-7C4AC3457CD8}"/>
    <cellStyle name="Comma 2" xfId="2" xr:uid="{09D7221F-852A-4AE1-B67C-007375A593B5}"/>
    <cellStyle name="Hyperlink 2" xfId="3" xr:uid="{B794A93B-A48D-4930-AF47-09D64E711944}"/>
    <cellStyle name="Normal" xfId="0" builtinId="0"/>
    <cellStyle name="Normal 2" xfId="7" xr:uid="{AB37FF8E-A8F7-4BF2-8B74-4DC6AEC6DE9D}"/>
    <cellStyle name="Normal 3" xfId="5" xr:uid="{DBF8FE5E-C2F4-4C2D-888E-6C0AAB2746B0}"/>
    <cellStyle name="Percent" xfId="1" builtinId="5"/>
    <cellStyle name="Percent 3" xfId="6" xr:uid="{5F7975AC-50FD-4406-8B2D-77FBC49D1F12}"/>
  </cellStyles>
  <dxfs count="1">
    <dxf>
      <font>
        <b/>
        <i val="0"/>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TA%20Motors%20Historical%20I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gt;"/>
      <sheetName val="HistoricalFS"/>
      <sheetName val="Ratio Analysis"/>
      <sheetName val="Data&gt;"/>
      <sheetName val="Data Sheet"/>
      <sheetName val="Cash Flow 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reener.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1907-EE33-4AB0-A5C0-23FDF5886C9C}">
  <dimension ref="A2:N105"/>
  <sheetViews>
    <sheetView showGridLines="0" tabSelected="1" zoomScale="55" zoomScaleNormal="55" workbookViewId="0">
      <pane ySplit="3" topLeftCell="A4" activePane="bottomLeft" state="frozen"/>
      <selection activeCell="D70" sqref="D70"/>
      <selection pane="bottomLeft" activeCell="D70" sqref="D70"/>
    </sheetView>
  </sheetViews>
  <sheetFormatPr defaultRowHeight="14.5" x14ac:dyDescent="0.35"/>
  <cols>
    <col min="1" max="1" width="1.81640625" customWidth="1"/>
    <col min="2" max="2" width="26.54296875" customWidth="1"/>
    <col min="3" max="5" width="17.54296875" bestFit="1" customWidth="1"/>
    <col min="6" max="6" width="16.453125" bestFit="1" customWidth="1"/>
    <col min="7" max="8" width="17.54296875" bestFit="1" customWidth="1"/>
    <col min="9" max="9" width="16.453125" bestFit="1" customWidth="1"/>
    <col min="10" max="12" width="17.54296875" bestFit="1" customWidth="1"/>
    <col min="13" max="13" width="12.453125" bestFit="1" customWidth="1"/>
  </cols>
  <sheetData>
    <row r="2" spans="1:14" x14ac:dyDescent="0.35">
      <c r="B2" s="1" t="str">
        <f>"Historical Financial Statement - "&amp;'Data Sheet'!B1</f>
        <v>Historical Financial Statement - TATA MOTORS LTD</v>
      </c>
      <c r="C2" s="1"/>
      <c r="D2" s="1"/>
      <c r="E2" s="1"/>
      <c r="F2" s="1"/>
      <c r="G2" s="1"/>
      <c r="H2" s="1"/>
      <c r="I2" s="1"/>
      <c r="J2" s="1"/>
      <c r="K2" s="1"/>
      <c r="L2" s="1"/>
      <c r="M2" s="1"/>
    </row>
    <row r="3" spans="1:14" x14ac:dyDescent="0.35">
      <c r="B3" s="2" t="s">
        <v>0</v>
      </c>
      <c r="C3" s="3">
        <f>'Data Sheet'!B16</f>
        <v>41364</v>
      </c>
      <c r="D3" s="3">
        <f>'Data Sheet'!C16</f>
        <v>41729</v>
      </c>
      <c r="E3" s="3">
        <f>'Data Sheet'!D16</f>
        <v>42094</v>
      </c>
      <c r="F3" s="3">
        <f>'Data Sheet'!E16</f>
        <v>42460</v>
      </c>
      <c r="G3" s="3">
        <f>'Data Sheet'!F16</f>
        <v>42825</v>
      </c>
      <c r="H3" s="3">
        <f>'Data Sheet'!G16</f>
        <v>43190</v>
      </c>
      <c r="I3" s="3">
        <f>'Data Sheet'!H16</f>
        <v>43555</v>
      </c>
      <c r="J3" s="3">
        <f>'Data Sheet'!I16</f>
        <v>43921</v>
      </c>
      <c r="K3" s="3">
        <f>'Data Sheet'!J16</f>
        <v>44286</v>
      </c>
      <c r="L3" s="3">
        <f>'Data Sheet'!K16</f>
        <v>44651</v>
      </c>
      <c r="M3" s="4" t="s">
        <v>1</v>
      </c>
      <c r="N3" s="5"/>
    </row>
    <row r="4" spans="1:14" s="6" customFormat="1" x14ac:dyDescent="0.35">
      <c r="B4" s="7"/>
      <c r="C4" s="8"/>
      <c r="D4" s="8"/>
      <c r="E4" s="8"/>
      <c r="F4" s="8"/>
      <c r="G4" s="8"/>
      <c r="H4" s="8"/>
      <c r="I4" s="8"/>
      <c r="J4" s="8"/>
      <c r="K4" s="8"/>
      <c r="L4" s="8"/>
      <c r="M4" s="9"/>
      <c r="N4" s="10"/>
    </row>
    <row r="5" spans="1:14" x14ac:dyDescent="0.35">
      <c r="A5" t="s">
        <v>2</v>
      </c>
      <c r="B5" s="11" t="s">
        <v>3</v>
      </c>
      <c r="C5" s="12"/>
      <c r="D5" s="12"/>
      <c r="E5" s="12"/>
      <c r="F5" s="12"/>
      <c r="G5" s="12"/>
      <c r="H5" s="12"/>
      <c r="I5" s="12"/>
      <c r="J5" s="12"/>
      <c r="K5" s="12"/>
      <c r="L5" s="12"/>
      <c r="M5" s="12"/>
    </row>
    <row r="6" spans="1:14" x14ac:dyDescent="0.35">
      <c r="B6" t="s">
        <v>4</v>
      </c>
      <c r="C6" s="13">
        <f>IFERROR('Data Sheet'!B17,0)</f>
        <v>188792.69</v>
      </c>
      <c r="D6" s="13">
        <f>IFERROR('Data Sheet'!C17,0)</f>
        <v>232833.66</v>
      </c>
      <c r="E6" s="13">
        <f>IFERROR('Data Sheet'!D17,0)</f>
        <v>263158.98</v>
      </c>
      <c r="F6" s="13">
        <f>IFERROR('Data Sheet'!E17,0)</f>
        <v>273045.59999999998</v>
      </c>
      <c r="G6" s="13">
        <f>IFERROR('Data Sheet'!F17,0)</f>
        <v>269692.51</v>
      </c>
      <c r="H6" s="13">
        <f>IFERROR('Data Sheet'!G17,0)</f>
        <v>291550.48</v>
      </c>
      <c r="I6" s="13">
        <f>IFERROR('Data Sheet'!H17,0)</f>
        <v>301938.40000000002</v>
      </c>
      <c r="J6" s="13">
        <f>IFERROR('Data Sheet'!I17,0)</f>
        <v>261067.97</v>
      </c>
      <c r="K6" s="13">
        <f>IFERROR('Data Sheet'!J17,0)</f>
        <v>249794.75</v>
      </c>
      <c r="L6" s="13">
        <f>IFERROR('Data Sheet'!K17,0)</f>
        <v>278453.62</v>
      </c>
      <c r="M6" s="13">
        <f>IFERROR(SUM('Data Sheet'!H42:K42),0)</f>
        <v>302214.38</v>
      </c>
    </row>
    <row r="7" spans="1:14" x14ac:dyDescent="0.35">
      <c r="B7" s="14" t="s">
        <v>5</v>
      </c>
      <c r="C7" s="14">
        <v>0</v>
      </c>
      <c r="D7" s="15">
        <f>D6/C6-1</f>
        <v>0.23327688164197458</v>
      </c>
      <c r="E7" s="15">
        <f t="shared" ref="E7:L7" si="0">E6/D6-1</f>
        <v>0.13024457030826198</v>
      </c>
      <c r="F7" s="15">
        <f t="shared" si="0"/>
        <v>3.75690010654397E-2</v>
      </c>
      <c r="G7" s="15">
        <f t="shared" si="0"/>
        <v>-1.2280329732469508E-2</v>
      </c>
      <c r="H7" s="15">
        <f t="shared" si="0"/>
        <v>8.104774581985974E-2</v>
      </c>
      <c r="I7" s="15">
        <f t="shared" si="0"/>
        <v>3.5629919045237157E-2</v>
      </c>
      <c r="J7" s="15">
        <f t="shared" si="0"/>
        <v>-0.135360159555724</v>
      </c>
      <c r="K7" s="15">
        <f t="shared" si="0"/>
        <v>-4.3181168490336042E-2</v>
      </c>
      <c r="L7" s="15">
        <f t="shared" si="0"/>
        <v>0.11472967306158344</v>
      </c>
    </row>
    <row r="9" spans="1:14" x14ac:dyDescent="0.35">
      <c r="B9" t="s">
        <v>6</v>
      </c>
      <c r="C9" s="13">
        <f>IFERROR(SUM('Data Sheet'!B18,'Data Sheet'!B20:B22)-1*'Data Sheet'!B19,0)</f>
        <v>142238.74</v>
      </c>
      <c r="D9" s="13">
        <f>IFERROR(SUM('Data Sheet'!C18,'Data Sheet'!C20:C22)-1*'Data Sheet'!C19,0)</f>
        <v>180131.06000000003</v>
      </c>
      <c r="E9" s="13">
        <f>IFERROR(SUM('Data Sheet'!D18,'Data Sheet'!D20:D22)-1*'Data Sheet'!D19,0)</f>
        <v>202856.88</v>
      </c>
      <c r="F9" s="13">
        <f>IFERROR(SUM('Data Sheet'!E18,'Data Sheet'!E20:E22)-1*'Data Sheet'!E19,0)</f>
        <v>205509.07</v>
      </c>
      <c r="G9" s="13">
        <f>IFERROR(SUM('Data Sheet'!F18,'Data Sheet'!F20:F22)-1*'Data Sheet'!F19,0)</f>
        <v>205454.23999999996</v>
      </c>
      <c r="H9" s="13">
        <f>IFERROR(SUM('Data Sheet'!G18,'Data Sheet'!G20:G22)-1*'Data Sheet'!G19,0)</f>
        <v>228429.83</v>
      </c>
      <c r="I9" s="13">
        <f>IFERROR(SUM('Data Sheet'!H18,'Data Sheet'!H20:H22)-1*'Data Sheet'!H19,0)</f>
        <v>242845.53</v>
      </c>
      <c r="J9" s="13">
        <f>IFERROR(SUM('Data Sheet'!I18,'Data Sheet'!I20:I22)-1*'Data Sheet'!I19,0)</f>
        <v>210376.07000000004</v>
      </c>
      <c r="K9" s="13">
        <f>IFERROR(SUM('Data Sheet'!J18,'Data Sheet'!J20:J22)-1*'Data Sheet'!J19,0)</f>
        <v>195326.04</v>
      </c>
      <c r="L9" s="13">
        <f>IFERROR(SUM('Data Sheet'!K18,'Data Sheet'!K20:K22)-1*'Data Sheet'!K19,0)</f>
        <v>223300.00999999998</v>
      </c>
      <c r="M9" s="13">
        <f>IFERROR(SUM('Data Sheet'!H43:K43),0)</f>
        <v>278868.53000000003</v>
      </c>
    </row>
    <row r="10" spans="1:14" x14ac:dyDescent="0.35">
      <c r="B10" s="14" t="s">
        <v>7</v>
      </c>
      <c r="C10" s="15">
        <f>C9/C6</f>
        <v>0.75341232756416565</v>
      </c>
      <c r="D10" s="15">
        <f t="shared" ref="D10:M10" si="1">D9/D6</f>
        <v>0.77364698901353024</v>
      </c>
      <c r="E10" s="15">
        <f t="shared" si="1"/>
        <v>0.77085296500237244</v>
      </c>
      <c r="F10" s="15">
        <f t="shared" si="1"/>
        <v>0.75265475803309057</v>
      </c>
      <c r="G10" s="15">
        <f t="shared" si="1"/>
        <v>0.76180921746770036</v>
      </c>
      <c r="H10" s="15">
        <f t="shared" si="1"/>
        <v>0.78350009919380004</v>
      </c>
      <c r="I10" s="15">
        <f t="shared" si="1"/>
        <v>0.80428832503583503</v>
      </c>
      <c r="J10" s="15">
        <f t="shared" si="1"/>
        <v>0.80582872728508226</v>
      </c>
      <c r="K10" s="15">
        <f t="shared" si="1"/>
        <v>0.7819461377791167</v>
      </c>
      <c r="L10" s="15">
        <f t="shared" si="1"/>
        <v>0.80192891728252624</v>
      </c>
      <c r="M10" s="15">
        <f t="shared" si="1"/>
        <v>0.92275069770008966</v>
      </c>
    </row>
    <row r="12" spans="1:14" x14ac:dyDescent="0.35">
      <c r="B12" s="16" t="s">
        <v>8</v>
      </c>
      <c r="C12" s="17">
        <f>C6-C9</f>
        <v>46553.950000000012</v>
      </c>
      <c r="D12" s="17">
        <f t="shared" ref="D12:M12" si="2">D6-D9</f>
        <v>52702.599999999977</v>
      </c>
      <c r="E12" s="17">
        <f t="shared" si="2"/>
        <v>60302.099999999977</v>
      </c>
      <c r="F12" s="17">
        <f t="shared" si="2"/>
        <v>67536.52999999997</v>
      </c>
      <c r="G12" s="17">
        <f t="shared" si="2"/>
        <v>64238.270000000048</v>
      </c>
      <c r="H12" s="17">
        <f t="shared" si="2"/>
        <v>63120.649999999994</v>
      </c>
      <c r="I12" s="17">
        <f t="shared" si="2"/>
        <v>59092.870000000024</v>
      </c>
      <c r="J12" s="17">
        <f t="shared" si="2"/>
        <v>50691.899999999965</v>
      </c>
      <c r="K12" s="17">
        <f t="shared" si="2"/>
        <v>54468.709999999992</v>
      </c>
      <c r="L12" s="17">
        <f t="shared" si="2"/>
        <v>55153.610000000015</v>
      </c>
      <c r="M12" s="17">
        <f t="shared" si="2"/>
        <v>23345.849999999977</v>
      </c>
    </row>
    <row r="13" spans="1:14" x14ac:dyDescent="0.35">
      <c r="B13" s="14" t="s">
        <v>9</v>
      </c>
      <c r="C13" s="15">
        <f>C12/C6</f>
        <v>0.24658767243583429</v>
      </c>
      <c r="D13" s="15">
        <f t="shared" ref="D13:M13" si="3">D12/D6</f>
        <v>0.22635301098646982</v>
      </c>
      <c r="E13" s="15">
        <f t="shared" si="3"/>
        <v>0.22914703499762759</v>
      </c>
      <c r="F13" s="15">
        <f t="shared" si="3"/>
        <v>0.24734524196690946</v>
      </c>
      <c r="G13" s="15">
        <f t="shared" si="3"/>
        <v>0.23819078253229964</v>
      </c>
      <c r="H13" s="15">
        <f t="shared" si="3"/>
        <v>0.21649990080619999</v>
      </c>
      <c r="I13" s="15">
        <f t="shared" si="3"/>
        <v>0.19571167496416494</v>
      </c>
      <c r="J13" s="15">
        <f t="shared" si="3"/>
        <v>0.19417127271491774</v>
      </c>
      <c r="K13" s="15">
        <f t="shared" si="3"/>
        <v>0.2180538622208833</v>
      </c>
      <c r="L13" s="15">
        <f t="shared" si="3"/>
        <v>0.19807108271747378</v>
      </c>
      <c r="M13" s="15">
        <f t="shared" si="3"/>
        <v>7.7249302299910338E-2</v>
      </c>
    </row>
    <row r="15" spans="1:14" x14ac:dyDescent="0.35">
      <c r="B15" t="s">
        <v>10</v>
      </c>
      <c r="C15" s="13">
        <f>IFERROR(SUM('Data Sheet'!B23:B24),0)</f>
        <v>21957.97</v>
      </c>
      <c r="D15" s="13">
        <f>IFERROR(SUM('Data Sheet'!C23:C24),0)</f>
        <v>17849.240000000002</v>
      </c>
      <c r="E15" s="13">
        <f>IFERROR(SUM('Data Sheet'!D23:D24),0)</f>
        <v>21063.449999999997</v>
      </c>
      <c r="F15" s="13">
        <f>IFERROR(SUM('Data Sheet'!E23:E24),0)</f>
        <v>29141.280000000002</v>
      </c>
      <c r="G15" s="13">
        <f>IFERROR(SUM('Data Sheet'!F23:F24),0)</f>
        <v>34649.58</v>
      </c>
      <c r="H15" s="13">
        <f>IFERROR(SUM('Data Sheet'!G23:G24),0)</f>
        <v>31662.97</v>
      </c>
      <c r="I15" s="13">
        <f>IFERROR(SUM('Data Sheet'!H23:H24),0)</f>
        <v>34428.54</v>
      </c>
      <c r="J15" s="13">
        <f>IFERROR(SUM('Data Sheet'!I23:I24),0)</f>
        <v>32704.83</v>
      </c>
      <c r="K15" s="13">
        <f>IFERROR(SUM('Data Sheet'!J23:J24),0)</f>
        <v>22181.280000000002</v>
      </c>
      <c r="L15" s="13">
        <f>IFERROR(SUM('Data Sheet'!K23:K24),0)</f>
        <v>30433.52</v>
      </c>
    </row>
    <row r="16" spans="1:14" x14ac:dyDescent="0.35">
      <c r="B16" s="14" t="s">
        <v>11</v>
      </c>
      <c r="C16" s="15">
        <f>C15/C6</f>
        <v>0.11630731041546154</v>
      </c>
      <c r="D16" s="15">
        <f>D15/D6</f>
        <v>7.6660908908102038E-2</v>
      </c>
      <c r="E16" s="15">
        <f t="shared" ref="E16:G16" si="4">E15/E6</f>
        <v>8.0040779911823637E-2</v>
      </c>
      <c r="F16" s="15">
        <f>F15/F6</f>
        <v>0.10672678849247161</v>
      </c>
      <c r="G16" s="15">
        <f t="shared" si="4"/>
        <v>0.12847809529452636</v>
      </c>
      <c r="H16" s="15">
        <f>H15/H6</f>
        <v>0.10860201636437025</v>
      </c>
      <c r="I16" s="15">
        <f>I15/I6</f>
        <v>0.11402504616835751</v>
      </c>
      <c r="J16" s="15">
        <f>J15/J6</f>
        <v>0.12527323822987554</v>
      </c>
      <c r="K16" s="15">
        <f>K15/K6</f>
        <v>8.8798023177028354E-2</v>
      </c>
      <c r="L16" s="15">
        <f>L15/L6</f>
        <v>0.10929475436519734</v>
      </c>
    </row>
    <row r="17" spans="2:13" x14ac:dyDescent="0.35">
      <c r="D17" t="s">
        <v>12</v>
      </c>
    </row>
    <row r="18" spans="2:13" x14ac:dyDescent="0.35">
      <c r="B18" s="16" t="s">
        <v>13</v>
      </c>
      <c r="C18" s="17">
        <f>C12-C15</f>
        <v>24595.98000000001</v>
      </c>
      <c r="D18" s="17">
        <f t="shared" ref="D18:L18" si="5">D12-D15</f>
        <v>34853.359999999971</v>
      </c>
      <c r="E18" s="17">
        <f t="shared" si="5"/>
        <v>39238.64999999998</v>
      </c>
      <c r="F18" s="17">
        <f t="shared" si="5"/>
        <v>38395.249999999971</v>
      </c>
      <c r="G18" s="17">
        <f t="shared" si="5"/>
        <v>29588.690000000046</v>
      </c>
      <c r="H18" s="17">
        <f t="shared" si="5"/>
        <v>31457.679999999993</v>
      </c>
      <c r="I18" s="17">
        <f t="shared" si="5"/>
        <v>24664.330000000024</v>
      </c>
      <c r="J18" s="17">
        <f t="shared" si="5"/>
        <v>17987.069999999963</v>
      </c>
      <c r="K18" s="17">
        <f t="shared" si="5"/>
        <v>32287.429999999989</v>
      </c>
      <c r="L18" s="17">
        <f t="shared" si="5"/>
        <v>24720.090000000015</v>
      </c>
      <c r="M18" s="17">
        <f>IFERROR(SUM('Data Sheet'!H51:K51),0)</f>
        <v>27983.82</v>
      </c>
    </row>
    <row r="19" spans="2:13" x14ac:dyDescent="0.35">
      <c r="B19" s="14" t="s">
        <v>14</v>
      </c>
      <c r="C19" s="15">
        <f>C18/C6</f>
        <v>0.13028036202037277</v>
      </c>
      <c r="D19" s="15">
        <f t="shared" ref="D19:L19" si="6">D18/D6</f>
        <v>0.14969210207836775</v>
      </c>
      <c r="E19" s="15">
        <f t="shared" si="6"/>
        <v>0.14910625508580397</v>
      </c>
      <c r="F19" s="15">
        <f t="shared" si="6"/>
        <v>0.14061845347443788</v>
      </c>
      <c r="G19" s="15">
        <f t="shared" si="6"/>
        <v>0.10971268723777329</v>
      </c>
      <c r="H19" s="15">
        <f t="shared" si="6"/>
        <v>0.10789788444182975</v>
      </c>
      <c r="I19" s="15">
        <f t="shared" si="6"/>
        <v>8.1686628795807431E-2</v>
      </c>
      <c r="J19" s="15">
        <f t="shared" si="6"/>
        <v>6.8898034485042198E-2</v>
      </c>
      <c r="K19" s="15">
        <f t="shared" si="6"/>
        <v>0.12925583904385496</v>
      </c>
      <c r="L19" s="15">
        <f t="shared" si="6"/>
        <v>8.877632835227646E-2</v>
      </c>
    </row>
    <row r="21" spans="2:13" x14ac:dyDescent="0.35">
      <c r="B21" t="s">
        <v>15</v>
      </c>
      <c r="C21" s="13">
        <f>IFERROR('Data Sheet'!B27,0)</f>
        <v>3560.25</v>
      </c>
      <c r="D21" s="13">
        <f>IFERROR('Data Sheet'!C27,0)</f>
        <v>4749.4399999999996</v>
      </c>
      <c r="E21" s="13">
        <f>IFERROR('Data Sheet'!D27,0)</f>
        <v>4861.49</v>
      </c>
      <c r="F21" s="13">
        <f>IFERROR('Data Sheet'!E27,0)</f>
        <v>4889.08</v>
      </c>
      <c r="G21" s="13">
        <f>IFERROR('Data Sheet'!F27,0)</f>
        <v>4238.01</v>
      </c>
      <c r="H21" s="13">
        <f>IFERROR('Data Sheet'!G27,0)</f>
        <v>4681.79</v>
      </c>
      <c r="I21" s="13">
        <f>IFERROR('Data Sheet'!H27,0)</f>
        <v>5758.6</v>
      </c>
      <c r="J21" s="13">
        <f>IFERROR('Data Sheet'!I27,0)</f>
        <v>7243.33</v>
      </c>
      <c r="K21" s="13">
        <f>IFERROR('Data Sheet'!J27,0)</f>
        <v>8097.17</v>
      </c>
      <c r="L21" s="13">
        <f>IFERROR('Data Sheet'!K27,0)</f>
        <v>9311.86</v>
      </c>
      <c r="M21" s="13">
        <f>IFERROR(SUM('Data Sheet'!H46:K46),0)</f>
        <v>9689.24</v>
      </c>
    </row>
    <row r="22" spans="2:13" x14ac:dyDescent="0.35">
      <c r="B22" s="14" t="s">
        <v>16</v>
      </c>
      <c r="C22" s="15">
        <f>C21/C6</f>
        <v>1.8857986503608801E-2</v>
      </c>
      <c r="D22" s="15">
        <f t="shared" ref="D22:M22" si="7">D21/D6</f>
        <v>2.0398425210512945E-2</v>
      </c>
      <c r="E22" s="15">
        <f t="shared" si="7"/>
        <v>1.8473585814932098E-2</v>
      </c>
      <c r="F22" s="15">
        <f t="shared" si="7"/>
        <v>1.7905727101993223E-2</v>
      </c>
      <c r="G22" s="15">
        <f t="shared" si="7"/>
        <v>1.5714229512714312E-2</v>
      </c>
      <c r="H22" s="15">
        <f t="shared" si="7"/>
        <v>1.605824830060304E-2</v>
      </c>
      <c r="I22" s="15">
        <f t="shared" si="7"/>
        <v>1.9072102124141878E-2</v>
      </c>
      <c r="J22" s="15">
        <f t="shared" si="7"/>
        <v>2.7744996829752802E-2</v>
      </c>
      <c r="K22" s="15">
        <f t="shared" si="7"/>
        <v>3.2415292955516477E-2</v>
      </c>
      <c r="L22" s="15">
        <f t="shared" si="7"/>
        <v>3.3441332168710897E-2</v>
      </c>
      <c r="M22" s="15">
        <f t="shared" si="7"/>
        <v>3.2060817225176376E-2</v>
      </c>
    </row>
    <row r="24" spans="2:13" x14ac:dyDescent="0.35">
      <c r="B24" t="s">
        <v>17</v>
      </c>
      <c r="C24" s="13">
        <f>IFERROR('Data Sheet'!B26,0)</f>
        <v>7601.28</v>
      </c>
      <c r="D24" s="13">
        <f>IFERROR('Data Sheet'!C26,0)</f>
        <v>11078.16</v>
      </c>
      <c r="E24" s="13">
        <f>IFERROR('Data Sheet'!D26,0)</f>
        <v>13388.63</v>
      </c>
      <c r="F24" s="13">
        <f>IFERROR('Data Sheet'!E26,0)</f>
        <v>16710.78</v>
      </c>
      <c r="G24" s="13">
        <f>IFERROR('Data Sheet'!F26,0)</f>
        <v>17904.990000000002</v>
      </c>
      <c r="H24" s="13">
        <f>IFERROR('Data Sheet'!G26,0)</f>
        <v>21553.59</v>
      </c>
      <c r="I24" s="13">
        <f>IFERROR('Data Sheet'!H26,0)</f>
        <v>23590.63</v>
      </c>
      <c r="J24" s="13">
        <f>IFERROR('Data Sheet'!I26,0)</f>
        <v>21425.43</v>
      </c>
      <c r="K24" s="13">
        <f>IFERROR('Data Sheet'!J26,0)</f>
        <v>23546.71</v>
      </c>
      <c r="L24" s="13">
        <f>IFERROR('Data Sheet'!K26,0)</f>
        <v>24835.69</v>
      </c>
      <c r="M24" s="13">
        <f>IFERROR(SUM('Data Sheet'!H45:K45),0)</f>
        <v>24248.62</v>
      </c>
    </row>
    <row r="25" spans="2:13" x14ac:dyDescent="0.35">
      <c r="B25" s="14" t="s">
        <v>18</v>
      </c>
      <c r="C25" s="15">
        <f>C24/C6</f>
        <v>4.0262575844435503E-2</v>
      </c>
      <c r="D25" s="15">
        <f t="shared" ref="D25:M25" si="8">D24/D6</f>
        <v>4.757971849946438E-2</v>
      </c>
      <c r="E25" s="15">
        <f t="shared" si="8"/>
        <v>5.0876584184966822E-2</v>
      </c>
      <c r="F25" s="15">
        <f t="shared" si="8"/>
        <v>6.1201425695927715E-2</v>
      </c>
      <c r="G25" s="15">
        <f t="shared" si="8"/>
        <v>6.63903865924938E-2</v>
      </c>
      <c r="H25" s="15">
        <f t="shared" si="8"/>
        <v>7.3927472182518786E-2</v>
      </c>
      <c r="I25" s="15">
        <f t="shared" si="8"/>
        <v>7.8130605447998658E-2</v>
      </c>
      <c r="J25" s="15">
        <f t="shared" si="8"/>
        <v>8.206839774331566E-2</v>
      </c>
      <c r="K25" s="15">
        <f t="shared" si="8"/>
        <v>9.4264230933596482E-2</v>
      </c>
      <c r="L25" s="15">
        <f t="shared" si="8"/>
        <v>8.9191478279219347E-2</v>
      </c>
      <c r="M25" s="15">
        <f t="shared" si="8"/>
        <v>8.0236486430592738E-2</v>
      </c>
    </row>
    <row r="27" spans="2:13" x14ac:dyDescent="0.35">
      <c r="B27" s="16" t="s">
        <v>19</v>
      </c>
      <c r="C27" s="17">
        <f>IFERROR(C18-SUM(C21,C24),0)</f>
        <v>13434.450000000012</v>
      </c>
      <c r="D27" s="17">
        <f t="shared" ref="D27:K27" si="9">IFERROR(D18-SUM(D21,D24),0)</f>
        <v>19025.759999999973</v>
      </c>
      <c r="E27" s="17">
        <f t="shared" si="9"/>
        <v>20988.529999999981</v>
      </c>
      <c r="F27" s="17">
        <f t="shared" si="9"/>
        <v>16795.38999999997</v>
      </c>
      <c r="G27" s="17">
        <f t="shared" si="9"/>
        <v>7445.690000000046</v>
      </c>
      <c r="H27" s="17">
        <f t="shared" si="9"/>
        <v>5222.299999999992</v>
      </c>
      <c r="I27" s="17">
        <f t="shared" si="9"/>
        <v>-4684.8999999999796</v>
      </c>
      <c r="J27" s="17">
        <f t="shared" si="9"/>
        <v>-10681.690000000039</v>
      </c>
      <c r="K27" s="17">
        <f t="shared" si="9"/>
        <v>643.549999999992</v>
      </c>
      <c r="L27" s="17">
        <f>IFERROR(L18-SUM(L21,L24),0)</f>
        <v>-9427.4599999999882</v>
      </c>
      <c r="M27" s="17">
        <f>IFERROR(M18-SUM(M21,M24),0)</f>
        <v>-5954.0400000000009</v>
      </c>
    </row>
    <row r="28" spans="2:13" x14ac:dyDescent="0.35">
      <c r="B28" s="14" t="s">
        <v>20</v>
      </c>
      <c r="C28" s="15">
        <f>C27/C6</f>
        <v>7.115979967232848E-2</v>
      </c>
      <c r="D28" s="15">
        <f t="shared" ref="D28:M28" si="10">D27/D6</f>
        <v>8.1713958368390432E-2</v>
      </c>
      <c r="E28" s="15">
        <f t="shared" si="10"/>
        <v>7.9756085085905037E-2</v>
      </c>
      <c r="F28" s="15">
        <f t="shared" si="10"/>
        <v>6.1511300676516931E-2</v>
      </c>
      <c r="G28" s="15">
        <f t="shared" si="10"/>
        <v>2.7608071132565179E-2</v>
      </c>
      <c r="H28" s="15">
        <f t="shared" si="10"/>
        <v>1.7912163958707913E-2</v>
      </c>
      <c r="I28" s="15">
        <f t="shared" si="10"/>
        <v>-1.5516078776333117E-2</v>
      </c>
      <c r="J28" s="15">
        <f t="shared" si="10"/>
        <v>-4.0915360088026265E-2</v>
      </c>
      <c r="K28" s="15">
        <f t="shared" si="10"/>
        <v>2.5763151547420113E-3</v>
      </c>
      <c r="L28" s="15">
        <f t="shared" si="10"/>
        <v>-3.3856482095653805E-2</v>
      </c>
      <c r="M28" s="15">
        <f t="shared" si="10"/>
        <v>-1.9701378868867858E-2</v>
      </c>
    </row>
    <row r="30" spans="2:13" x14ac:dyDescent="0.35">
      <c r="B30" t="s">
        <v>21</v>
      </c>
      <c r="C30" s="13">
        <f>IFERROR('Data Sheet'!B29,0)</f>
        <v>3776.66</v>
      </c>
      <c r="D30" s="13">
        <f>IFERROR('Data Sheet'!C29,0)</f>
        <v>4764.79</v>
      </c>
      <c r="E30" s="13">
        <f>IFERROR('Data Sheet'!D29,0)</f>
        <v>7642.91</v>
      </c>
      <c r="F30" s="13">
        <f>IFERROR('Data Sheet'!E29,0)</f>
        <v>3025.05</v>
      </c>
      <c r="G30" s="13">
        <f>IFERROR('Data Sheet'!F29,0)</f>
        <v>3251.23</v>
      </c>
      <c r="H30" s="13">
        <f>IFERROR('Data Sheet'!G29,0)</f>
        <v>4341.93</v>
      </c>
      <c r="I30" s="13">
        <f>IFERROR('Data Sheet'!H29,0)</f>
        <v>-2437.4499999999998</v>
      </c>
      <c r="J30" s="13">
        <f>IFERROR('Data Sheet'!I29,0)</f>
        <v>395.25</v>
      </c>
      <c r="K30" s="13">
        <f>IFERROR('Data Sheet'!J29,0)</f>
        <v>2541.86</v>
      </c>
      <c r="L30" s="13">
        <f>IFERROR('Data Sheet'!K29,0)</f>
        <v>4231.29</v>
      </c>
      <c r="M30" s="13">
        <f>IFERROR(SUM('Data Sheet'!H48:K48),0)</f>
        <v>2546.15</v>
      </c>
    </row>
    <row r="31" spans="2:13" x14ac:dyDescent="0.35">
      <c r="B31" s="14" t="s">
        <v>22</v>
      </c>
      <c r="C31" s="15">
        <f>C30/C27</f>
        <v>0.28111757459367498</v>
      </c>
      <c r="D31" s="15">
        <f t="shared" ref="D31:M31" si="11">D30/D27</f>
        <v>0.25043887865714731</v>
      </c>
      <c r="E31" s="15">
        <f t="shared" si="11"/>
        <v>0.3641469888553418</v>
      </c>
      <c r="F31" s="15">
        <f t="shared" si="11"/>
        <v>0.18011192356950362</v>
      </c>
      <c r="G31" s="15">
        <f t="shared" si="11"/>
        <v>0.43665932908836924</v>
      </c>
      <c r="H31" s="15">
        <f t="shared" si="11"/>
        <v>0.8314210213890445</v>
      </c>
      <c r="I31" s="15">
        <f t="shared" si="11"/>
        <v>0.52027791414971725</v>
      </c>
      <c r="J31" s="15">
        <f t="shared" si="11"/>
        <v>-3.7002571690434617E-2</v>
      </c>
      <c r="K31" s="15">
        <f t="shared" si="11"/>
        <v>3.9497474943672315</v>
      </c>
      <c r="L31" s="15">
        <f t="shared" si="11"/>
        <v>-0.4488260888935095</v>
      </c>
      <c r="M31" s="15">
        <f t="shared" si="11"/>
        <v>-0.42763400984877492</v>
      </c>
    </row>
    <row r="33" spans="1:13" x14ac:dyDescent="0.35">
      <c r="B33" s="16" t="s">
        <v>23</v>
      </c>
      <c r="C33" s="17">
        <f>IFERROR(C27-C30,0)</f>
        <v>9657.7900000000118</v>
      </c>
      <c r="D33" s="17">
        <f t="shared" ref="D33:M33" si="12">IFERROR(D27-D30,0)</f>
        <v>14260.969999999972</v>
      </c>
      <c r="E33" s="17">
        <f t="shared" si="12"/>
        <v>13345.619999999981</v>
      </c>
      <c r="F33" s="17">
        <f t="shared" si="12"/>
        <v>13770.339999999971</v>
      </c>
      <c r="G33" s="17">
        <f t="shared" si="12"/>
        <v>4194.4600000000464</v>
      </c>
      <c r="H33" s="17">
        <f t="shared" si="12"/>
        <v>880.36999999999171</v>
      </c>
      <c r="I33" s="17">
        <f t="shared" si="12"/>
        <v>-2247.4499999999798</v>
      </c>
      <c r="J33" s="17">
        <f t="shared" si="12"/>
        <v>-11076.940000000039</v>
      </c>
      <c r="K33" s="17">
        <f t="shared" si="12"/>
        <v>-1898.3100000000081</v>
      </c>
      <c r="L33" s="17">
        <f t="shared" si="12"/>
        <v>-13658.749999999989</v>
      </c>
      <c r="M33" s="17">
        <f t="shared" si="12"/>
        <v>-8500.19</v>
      </c>
    </row>
    <row r="34" spans="1:13" x14ac:dyDescent="0.35">
      <c r="B34" s="14" t="s">
        <v>24</v>
      </c>
      <c r="C34" s="15">
        <f>C33/C6</f>
        <v>5.1155529379871709E-2</v>
      </c>
      <c r="D34" s="15">
        <f t="shared" ref="D34:M34" si="13">D33/D6</f>
        <v>6.124960626397391E-2</v>
      </c>
      <c r="E34" s="15">
        <f t="shared" si="13"/>
        <v>5.0713146858982282E-2</v>
      </c>
      <c r="F34" s="15">
        <f t="shared" si="13"/>
        <v>5.0432381990407359E-2</v>
      </c>
      <c r="G34" s="15">
        <f t="shared" si="13"/>
        <v>1.5552749314395296E-2</v>
      </c>
      <c r="H34" s="15">
        <f t="shared" si="13"/>
        <v>3.01961430487095E-3</v>
      </c>
      <c r="I34" s="15">
        <f t="shared" si="13"/>
        <v>-7.4434056747998256E-3</v>
      </c>
      <c r="J34" s="15">
        <f t="shared" si="13"/>
        <v>-4.2429333632923408E-2</v>
      </c>
      <c r="K34" s="15">
        <f t="shared" si="13"/>
        <v>-7.5994791724005731E-3</v>
      </c>
      <c r="L34" s="15">
        <f t="shared" si="13"/>
        <v>-4.9052154538339235E-2</v>
      </c>
      <c r="M34" s="15">
        <f t="shared" si="13"/>
        <v>-2.812635851411174E-2</v>
      </c>
    </row>
    <row r="36" spans="1:13" x14ac:dyDescent="0.35">
      <c r="B36" t="s">
        <v>25</v>
      </c>
      <c r="C36" s="13">
        <f>IFERROR('Data Sheet'!B93,0)</f>
        <v>285.72000000000003</v>
      </c>
      <c r="D36" s="13">
        <f>IFERROR('Data Sheet'!C93,0)</f>
        <v>288.74</v>
      </c>
      <c r="E36" s="13">
        <f>IFERROR('Data Sheet'!D93,0)</f>
        <v>288.74</v>
      </c>
      <c r="F36" s="13">
        <f>IFERROR('Data Sheet'!E93,0)</f>
        <v>288.72000000000003</v>
      </c>
      <c r="G36" s="13">
        <f>IFERROR('Data Sheet'!F93,0)</f>
        <v>288.73</v>
      </c>
      <c r="H36" s="13">
        <f>IFERROR('Data Sheet'!G93,0)</f>
        <v>288.73</v>
      </c>
      <c r="I36" s="13">
        <f>IFERROR('Data Sheet'!H93,0)</f>
        <v>288.73</v>
      </c>
      <c r="J36" s="13">
        <f>IFERROR('Data Sheet'!I93,0)</f>
        <v>308.89999999999998</v>
      </c>
      <c r="K36" s="13">
        <f>IFERROR('Data Sheet'!J93,0)</f>
        <v>332.03</v>
      </c>
      <c r="L36" s="13">
        <f>IFERROR('Data Sheet'!K93,0)</f>
        <v>332.07</v>
      </c>
      <c r="M36" s="13">
        <f>L36</f>
        <v>332.07</v>
      </c>
    </row>
    <row r="37" spans="1:13" x14ac:dyDescent="0.35">
      <c r="C37" s="13"/>
      <c r="D37" s="13"/>
      <c r="E37" s="13"/>
      <c r="F37" s="13"/>
      <c r="G37" s="13"/>
      <c r="H37" s="13"/>
      <c r="I37" s="13"/>
      <c r="J37" s="13"/>
      <c r="K37" s="13"/>
      <c r="L37" s="13"/>
      <c r="M37" s="13"/>
    </row>
    <row r="38" spans="1:13" x14ac:dyDescent="0.35">
      <c r="B38" t="s">
        <v>26</v>
      </c>
      <c r="C38" s="13">
        <f>IFERROR(C33/C36,0)</f>
        <v>33.80158896822067</v>
      </c>
      <c r="D38" s="13">
        <f t="shared" ref="D38:M38" si="14">IFERROR(D33/D36,0)</f>
        <v>49.390351180993186</v>
      </c>
      <c r="E38" s="13">
        <f t="shared" si="14"/>
        <v>46.220198102098706</v>
      </c>
      <c r="F38" s="13">
        <f t="shared" si="14"/>
        <v>47.694444444444336</v>
      </c>
      <c r="G38" s="13">
        <f t="shared" si="14"/>
        <v>14.527274616423808</v>
      </c>
      <c r="H38" s="13">
        <f t="shared" si="14"/>
        <v>3.049111626779315</v>
      </c>
      <c r="I38" s="13">
        <f t="shared" si="14"/>
        <v>-7.7839157690575265</v>
      </c>
      <c r="J38" s="13">
        <f t="shared" si="14"/>
        <v>-35.859307219164904</v>
      </c>
      <c r="K38" s="13">
        <f t="shared" si="14"/>
        <v>-5.7172845827184542</v>
      </c>
      <c r="L38" s="13">
        <f t="shared" si="14"/>
        <v>-41.132140813683833</v>
      </c>
      <c r="M38" s="13">
        <f t="shared" si="14"/>
        <v>-25.597584846568498</v>
      </c>
    </row>
    <row r="39" spans="1:13" x14ac:dyDescent="0.35">
      <c r="B39" s="14" t="s">
        <v>27</v>
      </c>
      <c r="C39" s="15"/>
      <c r="D39" s="15">
        <f>IFERROR(D38/C38-1,0)</f>
        <v>0.46118430194002547</v>
      </c>
      <c r="E39" s="15">
        <f t="shared" ref="E39:M39" si="15">IFERROR(E38/D38-1,0)</f>
        <v>-6.4185676009415493E-2</v>
      </c>
      <c r="F39" s="15">
        <f t="shared" si="15"/>
        <v>3.189614936502605E-2</v>
      </c>
      <c r="G39" s="15">
        <f t="shared" si="15"/>
        <v>-0.69540950134463697</v>
      </c>
      <c r="H39" s="15">
        <f t="shared" si="15"/>
        <v>-0.79011124197155724</v>
      </c>
      <c r="I39" s="15">
        <f t="shared" si="15"/>
        <v>-3.5528470983790919</v>
      </c>
      <c r="J39" s="15">
        <f t="shared" si="15"/>
        <v>3.6068467700681115</v>
      </c>
      <c r="K39" s="15">
        <f t="shared" si="15"/>
        <v>-0.84056344011958861</v>
      </c>
      <c r="L39" s="15">
        <f t="shared" si="15"/>
        <v>6.194349033807641</v>
      </c>
      <c r="M39" s="15">
        <f t="shared" si="15"/>
        <v>-0.37767438455202651</v>
      </c>
    </row>
    <row r="41" spans="1:13" x14ac:dyDescent="0.35">
      <c r="B41" t="s">
        <v>28</v>
      </c>
      <c r="C41" s="13">
        <f>IFERROR('Data Sheet'!B31/'Data Sheet'!B93,0)</f>
        <v>2.2332003359932799</v>
      </c>
      <c r="D41" s="13">
        <f>IFERROR('Data Sheet'!C31/'Data Sheet'!C93,0)</f>
        <v>2.2296183417607534</v>
      </c>
      <c r="E41" s="13">
        <f>IFERROR('Data Sheet'!D31/'Data Sheet'!D93,0)</f>
        <v>0</v>
      </c>
      <c r="F41" s="13">
        <f>IFERROR('Data Sheet'!E31/'Data Sheet'!E93,0)</f>
        <v>0.23524522028262676</v>
      </c>
      <c r="G41" s="13">
        <f>IFERROR('Data Sheet'!F31/'Data Sheet'!F93,0)</f>
        <v>0</v>
      </c>
      <c r="H41" s="13">
        <f>IFERROR('Data Sheet'!G31/'Data Sheet'!G93,0)</f>
        <v>0</v>
      </c>
      <c r="I41" s="13">
        <f>IFERROR('Data Sheet'!H31/'Data Sheet'!H93,0)</f>
        <v>0</v>
      </c>
      <c r="J41" s="13">
        <f>IFERROR('Data Sheet'!I31/'Data Sheet'!I93,0)</f>
        <v>0</v>
      </c>
      <c r="K41" s="13">
        <f>IFERROR('Data Sheet'!J31/'Data Sheet'!J93,0)</f>
        <v>0</v>
      </c>
      <c r="L41" s="13">
        <f>IFERROR('Data Sheet'!K31/'Data Sheet'!K93,0)</f>
        <v>0</v>
      </c>
      <c r="M41" s="13">
        <f>IFERROR('Data Sheet'!L31/'Data Sheet'!L93,0)</f>
        <v>0</v>
      </c>
    </row>
    <row r="42" spans="1:13" x14ac:dyDescent="0.35">
      <c r="B42" s="14" t="s">
        <v>29</v>
      </c>
      <c r="C42" s="15">
        <f>IFERROR(C41/C38,0)</f>
        <v>6.6067909946271278E-2</v>
      </c>
      <c r="D42" s="15">
        <f t="shared" ref="D42:M42" si="16">IFERROR(D41/D38,0)</f>
        <v>4.5142791829728357E-2</v>
      </c>
      <c r="E42" s="15">
        <f t="shared" si="16"/>
        <v>0</v>
      </c>
      <c r="F42" s="15">
        <f t="shared" si="16"/>
        <v>4.9323400874633563E-3</v>
      </c>
      <c r="G42" s="15">
        <f t="shared" si="16"/>
        <v>0</v>
      </c>
      <c r="H42" s="15">
        <f t="shared" si="16"/>
        <v>0</v>
      </c>
      <c r="I42" s="15">
        <f t="shared" si="16"/>
        <v>0</v>
      </c>
      <c r="J42" s="15">
        <f t="shared" si="16"/>
        <v>0</v>
      </c>
      <c r="K42" s="15">
        <f t="shared" si="16"/>
        <v>0</v>
      </c>
      <c r="L42" s="15">
        <f t="shared" si="16"/>
        <v>0</v>
      </c>
      <c r="M42" s="15">
        <f t="shared" si="16"/>
        <v>0</v>
      </c>
    </row>
    <row r="44" spans="1:13" x14ac:dyDescent="0.35">
      <c r="B44" t="s">
        <v>30</v>
      </c>
      <c r="C44" s="15">
        <f>IFERROR(IF(C38&gt;C41,1-C42,0),0)</f>
        <v>0.93393209005372868</v>
      </c>
      <c r="D44" s="15">
        <f t="shared" ref="D44:M44" si="17">IFERROR(IF(D38&gt;D41,1-D42,0),0)</f>
        <v>0.95485720817027164</v>
      </c>
      <c r="E44" s="15">
        <f t="shared" si="17"/>
        <v>1</v>
      </c>
      <c r="F44" s="15">
        <f t="shared" si="17"/>
        <v>0.99506765991253665</v>
      </c>
      <c r="G44" s="15">
        <f t="shared" si="17"/>
        <v>1</v>
      </c>
      <c r="H44" s="15">
        <f t="shared" si="17"/>
        <v>1</v>
      </c>
      <c r="I44" s="15">
        <f t="shared" si="17"/>
        <v>0</v>
      </c>
      <c r="J44" s="15">
        <f t="shared" si="17"/>
        <v>0</v>
      </c>
      <c r="K44" s="15">
        <f t="shared" si="17"/>
        <v>0</v>
      </c>
      <c r="L44" s="15">
        <f t="shared" si="17"/>
        <v>0</v>
      </c>
      <c r="M44" s="15">
        <f t="shared" si="17"/>
        <v>0</v>
      </c>
    </row>
    <row r="46" spans="1:13" x14ac:dyDescent="0.35">
      <c r="A46" t="s">
        <v>2</v>
      </c>
      <c r="B46" s="11" t="s">
        <v>31</v>
      </c>
      <c r="C46" s="12"/>
      <c r="D46" s="12"/>
      <c r="E46" s="12"/>
      <c r="F46" s="12"/>
      <c r="G46" s="12"/>
      <c r="H46" s="12"/>
      <c r="I46" s="12"/>
      <c r="J46" s="12"/>
      <c r="K46" s="12"/>
      <c r="L46" s="12"/>
      <c r="M46" s="12"/>
    </row>
    <row r="47" spans="1:13" x14ac:dyDescent="0.35">
      <c r="B47" t="s">
        <v>32</v>
      </c>
      <c r="C47" s="13">
        <f>IFERROR('Data Sheet'!B57,0)</f>
        <v>638.07000000000005</v>
      </c>
      <c r="D47" s="13">
        <f>IFERROR('Data Sheet'!C57,0)</f>
        <v>643.78</v>
      </c>
      <c r="E47" s="13">
        <f>IFERROR('Data Sheet'!D57,0)</f>
        <v>643.78</v>
      </c>
      <c r="F47" s="13">
        <f>IFERROR('Data Sheet'!E57,0)</f>
        <v>679.18</v>
      </c>
      <c r="G47" s="13">
        <f>IFERROR('Data Sheet'!F57,0)</f>
        <v>679.22</v>
      </c>
      <c r="H47" s="13">
        <f>IFERROR('Data Sheet'!G57,0)</f>
        <v>679.22</v>
      </c>
      <c r="I47" s="13">
        <f>IFERROR('Data Sheet'!H57,0)</f>
        <v>679.22</v>
      </c>
      <c r="J47" s="13">
        <f>IFERROR('Data Sheet'!I57,0)</f>
        <v>719.54</v>
      </c>
      <c r="K47" s="13">
        <f>IFERROR('Data Sheet'!J57,0)</f>
        <v>765.81</v>
      </c>
      <c r="L47" s="13">
        <f>IFERROR('Data Sheet'!K57,0)</f>
        <v>765.88</v>
      </c>
    </row>
    <row r="48" spans="1:13" x14ac:dyDescent="0.35">
      <c r="B48" t="s">
        <v>33</v>
      </c>
      <c r="C48" s="13">
        <f>IFERROR('Data Sheet'!B58,0)</f>
        <v>36999.230000000003</v>
      </c>
      <c r="D48" s="13">
        <f>IFERROR('Data Sheet'!C58,0)</f>
        <v>64959.67</v>
      </c>
      <c r="E48" s="13">
        <f>IFERROR('Data Sheet'!D58,0)</f>
        <v>55618.14</v>
      </c>
      <c r="F48" s="13">
        <f>IFERROR('Data Sheet'!E58,0)</f>
        <v>78273.23</v>
      </c>
      <c r="G48" s="13">
        <f>IFERROR('Data Sheet'!F58,0)</f>
        <v>57382.67</v>
      </c>
      <c r="H48" s="13">
        <f>IFERROR('Data Sheet'!G58,0)</f>
        <v>94748.69</v>
      </c>
      <c r="I48" s="13">
        <f>IFERROR('Data Sheet'!H58,0)</f>
        <v>59500.34</v>
      </c>
      <c r="J48" s="13">
        <f>IFERROR('Data Sheet'!I58,0)</f>
        <v>61491.49</v>
      </c>
      <c r="K48" s="13">
        <f>IFERROR('Data Sheet'!J58,0)</f>
        <v>54480.91</v>
      </c>
      <c r="L48" s="13">
        <f>IFERROR('Data Sheet'!K58,0)</f>
        <v>43795.360000000001</v>
      </c>
    </row>
    <row r="49" spans="2:12" x14ac:dyDescent="0.35">
      <c r="B49" t="s">
        <v>34</v>
      </c>
      <c r="C49" s="13">
        <f>IFERROR('Data Sheet'!B59,0)</f>
        <v>53715.71</v>
      </c>
      <c r="D49" s="13">
        <f>IFERROR('Data Sheet'!C59,0)</f>
        <v>60642.28</v>
      </c>
      <c r="E49" s="13">
        <f>IFERROR('Data Sheet'!D59,0)</f>
        <v>73610.39</v>
      </c>
      <c r="F49" s="13">
        <f>IFERROR('Data Sheet'!E59,0)</f>
        <v>69359.960000000006</v>
      </c>
      <c r="G49" s="13">
        <f>IFERROR('Data Sheet'!F59,0)</f>
        <v>78603.98</v>
      </c>
      <c r="H49" s="13">
        <f>IFERROR('Data Sheet'!G59,0)</f>
        <v>88950.47</v>
      </c>
      <c r="I49" s="13">
        <f>IFERROR('Data Sheet'!H59,0)</f>
        <v>106175.34</v>
      </c>
      <c r="J49" s="13">
        <f>IFERROR('Data Sheet'!I59,0)</f>
        <v>124787.64</v>
      </c>
      <c r="K49" s="13">
        <f>IFERROR('Data Sheet'!J59,0)</f>
        <v>142130.57</v>
      </c>
      <c r="L49" s="13">
        <f>IFERROR('Data Sheet'!K59,0)</f>
        <v>146449.03</v>
      </c>
    </row>
    <row r="50" spans="2:12" x14ac:dyDescent="0.35">
      <c r="B50" t="s">
        <v>35</v>
      </c>
      <c r="C50" s="13">
        <f>IFERROR('Data Sheet'!B60,0)</f>
        <v>76977.02</v>
      </c>
      <c r="D50" s="13">
        <f>IFERROR('Data Sheet'!C60,0)</f>
        <v>92180.26</v>
      </c>
      <c r="E50" s="13">
        <f>IFERROR('Data Sheet'!D60,0)</f>
        <v>107442.48</v>
      </c>
      <c r="F50" s="13">
        <f>IFERROR('Data Sheet'!E60,0)</f>
        <v>114871.75</v>
      </c>
      <c r="G50" s="13">
        <f>IFERROR('Data Sheet'!F60,0)</f>
        <v>135914.49</v>
      </c>
      <c r="H50" s="13">
        <f>IFERROR('Data Sheet'!G60,0)</f>
        <v>142813.43</v>
      </c>
      <c r="I50" s="13">
        <f>IFERROR('Data Sheet'!H60,0)</f>
        <v>139348.59</v>
      </c>
      <c r="J50" s="13">
        <f>IFERROR('Data Sheet'!I60,0)</f>
        <v>133180.72</v>
      </c>
      <c r="K50" s="13">
        <f>IFERROR('Data Sheet'!J60,0)</f>
        <v>144192.62</v>
      </c>
      <c r="L50" s="13">
        <f>IFERROR('Data Sheet'!K60,0)</f>
        <v>138051.22</v>
      </c>
    </row>
    <row r="51" spans="2:12" x14ac:dyDescent="0.35">
      <c r="B51" s="16" t="s">
        <v>36</v>
      </c>
      <c r="C51" s="17">
        <f>IFERROR('Data Sheet'!B61,0)</f>
        <v>168330.03</v>
      </c>
      <c r="D51" s="17">
        <f>IFERROR('Data Sheet'!C61,0)</f>
        <v>218425.99</v>
      </c>
      <c r="E51" s="17">
        <f>IFERROR('Data Sheet'!D61,0)</f>
        <v>237314.79</v>
      </c>
      <c r="F51" s="17">
        <f>IFERROR('Data Sheet'!E61,0)</f>
        <v>263184.12</v>
      </c>
      <c r="G51" s="17">
        <f>IFERROR('Data Sheet'!F61,0)</f>
        <v>272580.36</v>
      </c>
      <c r="H51" s="17">
        <f>IFERROR('Data Sheet'!G61,0)</f>
        <v>327191.81</v>
      </c>
      <c r="I51" s="17">
        <f>IFERROR('Data Sheet'!H61,0)</f>
        <v>305703.49</v>
      </c>
      <c r="J51" s="17">
        <f>IFERROR('Data Sheet'!I61,0)</f>
        <v>320179.39</v>
      </c>
      <c r="K51" s="17">
        <f>IFERROR('Data Sheet'!J61,0)</f>
        <v>341569.91</v>
      </c>
      <c r="L51" s="17">
        <f>IFERROR('Data Sheet'!K61,0)</f>
        <v>329061.49</v>
      </c>
    </row>
    <row r="52" spans="2:12" x14ac:dyDescent="0.35">
      <c r="B52" s="18"/>
    </row>
    <row r="53" spans="2:12" x14ac:dyDescent="0.35">
      <c r="B53" t="s">
        <v>37</v>
      </c>
      <c r="C53" s="13">
        <f>IFERROR('Data Sheet'!B62,0)</f>
        <v>55511.73</v>
      </c>
      <c r="D53" s="13">
        <f>IFERROR('Data Sheet'!C62,0)</f>
        <v>69091.67</v>
      </c>
      <c r="E53" s="13">
        <f>IFERROR('Data Sheet'!D62,0)</f>
        <v>88479.49</v>
      </c>
      <c r="F53" s="13">
        <f>IFERROR('Data Sheet'!E62,0)</f>
        <v>107231.76</v>
      </c>
      <c r="G53" s="13">
        <f>IFERROR('Data Sheet'!F62,0)</f>
        <v>95944.08</v>
      </c>
      <c r="H53" s="13">
        <f>IFERROR('Data Sheet'!G62,0)</f>
        <v>121413.86</v>
      </c>
      <c r="I53" s="13">
        <f>IFERROR('Data Sheet'!H62,0)</f>
        <v>111234.47</v>
      </c>
      <c r="J53" s="13">
        <f>IFERROR('Data Sheet'!I62,0)</f>
        <v>127107.14</v>
      </c>
      <c r="K53" s="13">
        <f>IFERROR('Data Sheet'!J62,0)</f>
        <v>138707.60999999999</v>
      </c>
      <c r="L53" s="13">
        <f>IFERROR('Data Sheet'!K62,0)</f>
        <v>138855.45000000001</v>
      </c>
    </row>
    <row r="54" spans="2:12" x14ac:dyDescent="0.35">
      <c r="B54" t="s">
        <v>38</v>
      </c>
      <c r="C54" s="13">
        <f>IFERROR('Data Sheet'!B63,0)</f>
        <v>18453.55</v>
      </c>
      <c r="D54" s="13">
        <f>IFERROR('Data Sheet'!C63,0)</f>
        <v>33262.559999999998</v>
      </c>
      <c r="E54" s="13">
        <f>IFERROR('Data Sheet'!D63,0)</f>
        <v>28640.09</v>
      </c>
      <c r="F54" s="13">
        <f>IFERROR('Data Sheet'!E63,0)</f>
        <v>25918.94</v>
      </c>
      <c r="G54" s="13">
        <f>IFERROR('Data Sheet'!F63,0)</f>
        <v>33698.839999999997</v>
      </c>
      <c r="H54" s="13">
        <f>IFERROR('Data Sheet'!G63,0)</f>
        <v>40033.5</v>
      </c>
      <c r="I54" s="13">
        <f>IFERROR('Data Sheet'!H63,0)</f>
        <v>31883.84</v>
      </c>
      <c r="J54" s="13">
        <f>IFERROR('Data Sheet'!I63,0)</f>
        <v>35622.29</v>
      </c>
      <c r="K54" s="13">
        <f>IFERROR('Data Sheet'!J63,0)</f>
        <v>20963.93</v>
      </c>
      <c r="L54" s="13">
        <f>IFERROR('Data Sheet'!K63,0)</f>
        <v>10251.09</v>
      </c>
    </row>
    <row r="55" spans="2:12" x14ac:dyDescent="0.35">
      <c r="B55" t="s">
        <v>39</v>
      </c>
      <c r="C55" s="13">
        <f>IFERROR('Data Sheet'!B64,0)</f>
        <v>8764.73</v>
      </c>
      <c r="D55" s="13">
        <f>IFERROR('Data Sheet'!C64,0)</f>
        <v>10686.67</v>
      </c>
      <c r="E55" s="13">
        <f>IFERROR('Data Sheet'!D64,0)</f>
        <v>15336.74</v>
      </c>
      <c r="F55" s="13">
        <f>IFERROR('Data Sheet'!E64,0)</f>
        <v>23767.02</v>
      </c>
      <c r="G55" s="13">
        <f>IFERROR('Data Sheet'!F64,0)</f>
        <v>20337.919999999998</v>
      </c>
      <c r="H55" s="13">
        <f>IFERROR('Data Sheet'!G64,0)</f>
        <v>20812.75</v>
      </c>
      <c r="I55" s="13">
        <f>IFERROR('Data Sheet'!H64,0)</f>
        <v>15770.72</v>
      </c>
      <c r="J55" s="13">
        <f>IFERROR('Data Sheet'!I64,0)</f>
        <v>16308.48</v>
      </c>
      <c r="K55" s="13">
        <f>IFERROR('Data Sheet'!J64,0)</f>
        <v>24620.28</v>
      </c>
      <c r="L55" s="13">
        <f>IFERROR('Data Sheet'!K64,0)</f>
        <v>29379.53</v>
      </c>
    </row>
    <row r="56" spans="2:12" x14ac:dyDescent="0.35">
      <c r="B56" t="s">
        <v>40</v>
      </c>
      <c r="C56" s="13">
        <f>IFERROR('Data Sheet'!B65-SUM('Data Sheet'!B67:B69),0)</f>
        <v>32488.780000000006</v>
      </c>
      <c r="D56" s="13">
        <f>IFERROR('Data Sheet'!C65-SUM('Data Sheet'!C67:C69),0)</f>
        <v>37828.179999999993</v>
      </c>
      <c r="E56" s="13">
        <f>IFERROR('Data Sheet'!D65-SUM('Data Sheet'!D67:D69),0)</f>
        <v>30891.17</v>
      </c>
      <c r="F56" s="13">
        <f>IFERROR('Data Sheet'!E65-SUM('Data Sheet'!E67:E69),0)</f>
        <v>29579.359999999986</v>
      </c>
      <c r="G56" s="13">
        <f>IFERROR('Data Sheet'!F65-SUM('Data Sheet'!F67:F69),0)</f>
        <v>37360.780000000013</v>
      </c>
      <c r="H56" s="13">
        <f>IFERROR('Data Sheet'!G65-SUM('Data Sheet'!G67:G69),0)</f>
        <v>48286.860000000015</v>
      </c>
      <c r="I56" s="13">
        <f>IFERROR('Data Sheet'!H65-SUM('Data Sheet'!H67:H69),0)</f>
        <v>56155.739999999991</v>
      </c>
      <c r="J56" s="13">
        <f>IFERROR('Data Sheet'!I65-SUM('Data Sheet'!I67:I69),0)</f>
        <v>58784.94</v>
      </c>
      <c r="K56" s="13">
        <f>IFERROR('Data Sheet'!J65-SUM('Data Sheet'!J67:J69),0)</f>
        <v>61717.959999999992</v>
      </c>
      <c r="L56" s="13">
        <f>IFERROR('Data Sheet'!K65-SUM('Data Sheet'!K67:K69),0)</f>
        <v>62223.770000000019</v>
      </c>
    </row>
    <row r="57" spans="2:12" x14ac:dyDescent="0.35">
      <c r="B57" s="16" t="s">
        <v>41</v>
      </c>
      <c r="C57" s="17">
        <f>SUM(C53:C56)</f>
        <v>115218.79000000001</v>
      </c>
      <c r="D57" s="17">
        <f t="shared" ref="D57:L57" si="18">SUM(D53:D56)</f>
        <v>150869.07999999999</v>
      </c>
      <c r="E57" s="17">
        <f t="shared" si="18"/>
        <v>163347.49</v>
      </c>
      <c r="F57" s="17">
        <f t="shared" si="18"/>
        <v>186497.07999999996</v>
      </c>
      <c r="G57" s="17">
        <f t="shared" si="18"/>
        <v>187341.62</v>
      </c>
      <c r="H57" s="17">
        <f t="shared" si="18"/>
        <v>230546.97</v>
      </c>
      <c r="I57" s="17">
        <f t="shared" si="18"/>
        <v>215044.77</v>
      </c>
      <c r="J57" s="17">
        <f t="shared" si="18"/>
        <v>237822.85</v>
      </c>
      <c r="K57" s="17">
        <f t="shared" si="18"/>
        <v>246009.77999999997</v>
      </c>
      <c r="L57" s="17">
        <f t="shared" si="18"/>
        <v>240709.84000000003</v>
      </c>
    </row>
    <row r="59" spans="2:12" x14ac:dyDescent="0.35">
      <c r="B59" t="s">
        <v>42</v>
      </c>
      <c r="C59" s="13">
        <f>IFERROR('Data Sheet'!B67,0)</f>
        <v>10959.6</v>
      </c>
      <c r="D59" s="13">
        <f>IFERROR('Data Sheet'!C67,0)</f>
        <v>10574.23</v>
      </c>
      <c r="E59" s="13">
        <f>IFERROR('Data Sheet'!D67,0)</f>
        <v>12579.2</v>
      </c>
      <c r="F59" s="13">
        <f>IFERROR('Data Sheet'!E67,0)</f>
        <v>13570.91</v>
      </c>
      <c r="G59" s="13">
        <f>IFERROR('Data Sheet'!F67,0)</f>
        <v>14075.55</v>
      </c>
      <c r="H59" s="13">
        <f>IFERROR('Data Sheet'!G67,0)</f>
        <v>19893.3</v>
      </c>
      <c r="I59" s="13">
        <f>IFERROR('Data Sheet'!H67,0)</f>
        <v>18996.169999999998</v>
      </c>
      <c r="J59" s="13">
        <f>IFERROR('Data Sheet'!I67,0)</f>
        <v>11172.69</v>
      </c>
      <c r="K59" s="13">
        <f>IFERROR('Data Sheet'!J67,0)</f>
        <v>12679.08</v>
      </c>
      <c r="L59" s="13">
        <f>IFERROR('Data Sheet'!K67,0)</f>
        <v>12442.12</v>
      </c>
    </row>
    <row r="60" spans="2:12" x14ac:dyDescent="0.35">
      <c r="B60" t="s">
        <v>43</v>
      </c>
      <c r="C60" s="13">
        <f>IFERROR('Data Sheet'!B68,0)</f>
        <v>21036.82</v>
      </c>
      <c r="D60" s="13">
        <f>IFERROR('Data Sheet'!C68,0)</f>
        <v>27270.89</v>
      </c>
      <c r="E60" s="13">
        <f>IFERROR('Data Sheet'!D68,0)</f>
        <v>29272.34</v>
      </c>
      <c r="F60" s="13">
        <f>IFERROR('Data Sheet'!E68,0)</f>
        <v>32655.73</v>
      </c>
      <c r="G60" s="13">
        <f>IFERROR('Data Sheet'!F68,0)</f>
        <v>35085.31</v>
      </c>
      <c r="H60" s="13">
        <f>IFERROR('Data Sheet'!G68,0)</f>
        <v>42137.63</v>
      </c>
      <c r="I60" s="13">
        <f>IFERROR('Data Sheet'!H68,0)</f>
        <v>39013.730000000003</v>
      </c>
      <c r="J60" s="13">
        <f>IFERROR('Data Sheet'!I68,0)</f>
        <v>37456.879999999997</v>
      </c>
      <c r="K60" s="13">
        <f>IFERROR('Data Sheet'!J68,0)</f>
        <v>36088.589999999997</v>
      </c>
      <c r="L60" s="13">
        <f>IFERROR('Data Sheet'!K68,0)</f>
        <v>35240.339999999997</v>
      </c>
    </row>
    <row r="61" spans="2:12" x14ac:dyDescent="0.35">
      <c r="B61" t="s">
        <v>44</v>
      </c>
      <c r="C61" s="13">
        <f>IFERROR('Data Sheet'!B69,0)</f>
        <v>21114.82</v>
      </c>
      <c r="D61" s="13">
        <f>IFERROR('Data Sheet'!C69,0)</f>
        <v>29711.79</v>
      </c>
      <c r="E61" s="13">
        <f>IFERROR('Data Sheet'!D69,0)</f>
        <v>32115.759999999998</v>
      </c>
      <c r="F61" s="13">
        <f>IFERROR('Data Sheet'!E69,0)</f>
        <v>30460.400000000001</v>
      </c>
      <c r="G61" s="13">
        <f>IFERROR('Data Sheet'!F69,0)</f>
        <v>36077.879999999997</v>
      </c>
      <c r="H61" s="13">
        <f>IFERROR('Data Sheet'!G69,0)</f>
        <v>34613.910000000003</v>
      </c>
      <c r="I61" s="13">
        <f>IFERROR('Data Sheet'!H69,0)</f>
        <v>32648.82</v>
      </c>
      <c r="J61" s="13">
        <f>IFERROR('Data Sheet'!I69,0)</f>
        <v>33726.97</v>
      </c>
      <c r="K61" s="13">
        <f>IFERROR('Data Sheet'!J69,0)</f>
        <v>46792.46</v>
      </c>
      <c r="L61" s="13">
        <f>IFERROR('Data Sheet'!K69,0)</f>
        <v>40669.19</v>
      </c>
    </row>
    <row r="62" spans="2:12" x14ac:dyDescent="0.35">
      <c r="B62" s="16" t="s">
        <v>45</v>
      </c>
      <c r="C62" s="17">
        <f>SUM(C59:C61)</f>
        <v>53111.24</v>
      </c>
      <c r="D62" s="17">
        <f t="shared" ref="D62:L62" si="19">SUM(D59:D61)</f>
        <v>67556.91</v>
      </c>
      <c r="E62" s="17">
        <f t="shared" si="19"/>
        <v>73967.3</v>
      </c>
      <c r="F62" s="17">
        <f t="shared" si="19"/>
        <v>76687.040000000008</v>
      </c>
      <c r="G62" s="17">
        <f t="shared" si="19"/>
        <v>85238.739999999991</v>
      </c>
      <c r="H62" s="17">
        <f t="shared" si="19"/>
        <v>96644.84</v>
      </c>
      <c r="I62" s="17">
        <f t="shared" si="19"/>
        <v>90658.72</v>
      </c>
      <c r="J62" s="17">
        <f t="shared" si="19"/>
        <v>82356.540000000008</v>
      </c>
      <c r="K62" s="17">
        <f t="shared" si="19"/>
        <v>95560.13</v>
      </c>
      <c r="L62" s="17">
        <f t="shared" si="19"/>
        <v>88351.65</v>
      </c>
    </row>
    <row r="64" spans="2:12" x14ac:dyDescent="0.35">
      <c r="B64" s="19" t="s">
        <v>46</v>
      </c>
      <c r="C64" s="17">
        <f>IFERROR(C62+C57,0)</f>
        <v>168330.03</v>
      </c>
      <c r="D64" s="17">
        <f t="shared" ref="D64:L64" si="20">IFERROR(D62+D57,0)</f>
        <v>218425.99</v>
      </c>
      <c r="E64" s="17">
        <f t="shared" si="20"/>
        <v>237314.78999999998</v>
      </c>
      <c r="F64" s="17">
        <f t="shared" si="20"/>
        <v>263184.12</v>
      </c>
      <c r="G64" s="17">
        <f t="shared" si="20"/>
        <v>272580.36</v>
      </c>
      <c r="H64" s="17">
        <f t="shared" si="20"/>
        <v>327191.81</v>
      </c>
      <c r="I64" s="17">
        <f t="shared" si="20"/>
        <v>305703.49</v>
      </c>
      <c r="J64" s="17">
        <f t="shared" si="20"/>
        <v>320179.39</v>
      </c>
      <c r="K64" s="17">
        <f t="shared" si="20"/>
        <v>341569.91</v>
      </c>
      <c r="L64" s="17">
        <f t="shared" si="20"/>
        <v>329061.49</v>
      </c>
    </row>
    <row r="66" spans="1:12" x14ac:dyDescent="0.35">
      <c r="B66" t="s">
        <v>47</v>
      </c>
      <c r="C66" t="b">
        <f>C64=C51</f>
        <v>1</v>
      </c>
      <c r="D66" t="b">
        <f t="shared" ref="D66:L66" si="21">D64=D51</f>
        <v>1</v>
      </c>
      <c r="E66" t="b">
        <f t="shared" si="21"/>
        <v>1</v>
      </c>
      <c r="F66" t="b">
        <f t="shared" si="21"/>
        <v>1</v>
      </c>
      <c r="G66" t="b">
        <f t="shared" si="21"/>
        <v>1</v>
      </c>
      <c r="H66" t="b">
        <f t="shared" si="21"/>
        <v>1</v>
      </c>
      <c r="I66" t="b">
        <f t="shared" si="21"/>
        <v>1</v>
      </c>
      <c r="J66" t="b">
        <f t="shared" si="21"/>
        <v>1</v>
      </c>
      <c r="K66" t="b">
        <f t="shared" si="21"/>
        <v>1</v>
      </c>
      <c r="L66" t="b">
        <f t="shared" si="21"/>
        <v>1</v>
      </c>
    </row>
    <row r="68" spans="1:12" x14ac:dyDescent="0.35">
      <c r="A68" t="s">
        <v>2</v>
      </c>
      <c r="B68" s="11" t="s">
        <v>48</v>
      </c>
      <c r="C68" s="12"/>
      <c r="D68" s="12"/>
      <c r="E68" s="12"/>
      <c r="F68" s="12"/>
      <c r="G68" s="12"/>
      <c r="H68" s="12"/>
      <c r="I68" s="12"/>
      <c r="J68" s="12"/>
      <c r="K68" s="12"/>
      <c r="L68" s="12"/>
    </row>
    <row r="69" spans="1:12" x14ac:dyDescent="0.35">
      <c r="B69" s="18"/>
    </row>
    <row r="70" spans="1:12" x14ac:dyDescent="0.35">
      <c r="B70" t="s">
        <v>49</v>
      </c>
      <c r="C70" s="13">
        <f>IFERROR('Data Sheet'!B82,0)</f>
        <v>22162.61</v>
      </c>
      <c r="D70" s="13">
        <f>IFERROR('Data Sheet'!C82,0)</f>
        <v>36151.160000000003</v>
      </c>
      <c r="E70" s="13">
        <f>IFERROR('Data Sheet'!D82,0)</f>
        <v>35531.26</v>
      </c>
      <c r="F70" s="13">
        <f>IFERROR('Data Sheet'!E82,0)</f>
        <v>37899.54</v>
      </c>
      <c r="G70" s="13">
        <f>IFERROR('Data Sheet'!F82,0)</f>
        <v>30199.25</v>
      </c>
      <c r="H70" s="13">
        <f>IFERROR('Data Sheet'!G82,0)</f>
        <v>23857.42</v>
      </c>
      <c r="I70" s="13">
        <f>IFERROR('Data Sheet'!H82,0)</f>
        <v>18890.75</v>
      </c>
      <c r="J70" s="13">
        <f>IFERROR('Data Sheet'!I82,0)</f>
        <v>26632.94</v>
      </c>
      <c r="K70" s="13">
        <f>IFERROR('Data Sheet'!J82,0)</f>
        <v>29000.51</v>
      </c>
      <c r="L70" s="13">
        <f>IFERROR('Data Sheet'!K82,0)</f>
        <v>14282.83</v>
      </c>
    </row>
    <row r="71" spans="1:12" x14ac:dyDescent="0.35">
      <c r="C71" s="13"/>
      <c r="D71" s="13"/>
      <c r="E71" s="13"/>
      <c r="F71" s="13"/>
      <c r="G71" s="13"/>
      <c r="H71" s="13"/>
      <c r="I71" s="13"/>
      <c r="J71" s="13"/>
      <c r="K71" s="13"/>
      <c r="L71" s="13"/>
    </row>
    <row r="72" spans="1:12" x14ac:dyDescent="0.35">
      <c r="B72" t="s">
        <v>50</v>
      </c>
      <c r="C72" s="13">
        <f>IFERROR('Data Sheet'!B83,0)</f>
        <v>-22969.45</v>
      </c>
      <c r="D72" s="13">
        <f>IFERROR('Data Sheet'!C83,0)</f>
        <v>-27990.91</v>
      </c>
      <c r="E72" s="13">
        <f>IFERROR('Data Sheet'!D83,0)</f>
        <v>-36232.35</v>
      </c>
      <c r="F72" s="13">
        <f>IFERROR('Data Sheet'!E83,0)</f>
        <v>-36693.9</v>
      </c>
      <c r="G72" s="13">
        <f>IFERROR('Data Sheet'!F83,0)</f>
        <v>-39571.4</v>
      </c>
      <c r="H72" s="13">
        <f>IFERROR('Data Sheet'!G83,0)</f>
        <v>-25139.14</v>
      </c>
      <c r="I72" s="13">
        <f>IFERROR('Data Sheet'!H83,0)</f>
        <v>-20878.07</v>
      </c>
      <c r="J72" s="13">
        <f>IFERROR('Data Sheet'!I83,0)</f>
        <v>-33114.550000000003</v>
      </c>
      <c r="K72" s="13">
        <f>IFERROR('Data Sheet'!J83,0)</f>
        <v>-25672.5</v>
      </c>
      <c r="L72" s="13">
        <f>IFERROR('Data Sheet'!K83,0)</f>
        <v>-4443.66</v>
      </c>
    </row>
    <row r="73" spans="1:12" x14ac:dyDescent="0.35">
      <c r="C73" s="13"/>
      <c r="D73" s="13"/>
      <c r="E73" s="13"/>
      <c r="F73" s="13"/>
      <c r="G73" s="13"/>
      <c r="H73" s="13"/>
      <c r="I73" s="13"/>
      <c r="J73" s="13"/>
      <c r="K73" s="13"/>
      <c r="L73" s="13"/>
    </row>
    <row r="74" spans="1:12" x14ac:dyDescent="0.35">
      <c r="B74" t="s">
        <v>51</v>
      </c>
      <c r="C74" s="13">
        <f>IFERROR('Data Sheet'!B84,0)</f>
        <v>-1692.08</v>
      </c>
      <c r="D74" s="13">
        <f>IFERROR('Data Sheet'!C84,0)</f>
        <v>-3883.24</v>
      </c>
      <c r="E74" s="13">
        <f>IFERROR('Data Sheet'!D84,0)</f>
        <v>5201.4399999999996</v>
      </c>
      <c r="F74" s="13">
        <f>IFERROR('Data Sheet'!E84,0)</f>
        <v>-3795.12</v>
      </c>
      <c r="G74" s="13">
        <f>IFERROR('Data Sheet'!F84,0)</f>
        <v>6205.3</v>
      </c>
      <c r="H74" s="13">
        <f>IFERROR('Data Sheet'!G84,0)</f>
        <v>2011.71</v>
      </c>
      <c r="I74" s="13">
        <f>IFERROR('Data Sheet'!H84,0)</f>
        <v>8830.3700000000008</v>
      </c>
      <c r="J74" s="13">
        <f>IFERROR('Data Sheet'!I84,0)</f>
        <v>3389.61</v>
      </c>
      <c r="K74" s="13">
        <f>IFERROR('Data Sheet'!J84,0)</f>
        <v>9904.2000000000007</v>
      </c>
      <c r="L74" s="13">
        <f>IFERROR('Data Sheet'!K84,0)</f>
        <v>-3380.17</v>
      </c>
    </row>
    <row r="75" spans="1:12" x14ac:dyDescent="0.35">
      <c r="C75" s="13"/>
      <c r="D75" s="13"/>
      <c r="E75" s="13"/>
      <c r="F75" s="13"/>
      <c r="G75" s="13"/>
      <c r="H75" s="13"/>
      <c r="I75" s="13"/>
      <c r="J75" s="13"/>
      <c r="K75" s="13"/>
      <c r="L75" s="13"/>
    </row>
    <row r="76" spans="1:12" x14ac:dyDescent="0.35">
      <c r="B76" s="18" t="s">
        <v>52</v>
      </c>
      <c r="C76" s="20">
        <f>IFERROR(C70+C72+C74,0)</f>
        <v>-2498.92</v>
      </c>
      <c r="D76" s="20">
        <f t="shared" ref="D76:L76" si="22">IFERROR(D70+D72+D74,0)</f>
        <v>4277.0100000000039</v>
      </c>
      <c r="E76" s="20">
        <f t="shared" si="22"/>
        <v>4500.3500000000031</v>
      </c>
      <c r="F76" s="20">
        <f t="shared" si="22"/>
        <v>-2589.4800000000005</v>
      </c>
      <c r="G76" s="20">
        <f t="shared" si="22"/>
        <v>-3166.8500000000013</v>
      </c>
      <c r="H76" s="20">
        <f t="shared" si="22"/>
        <v>729.98999999999887</v>
      </c>
      <c r="I76" s="20">
        <f t="shared" si="22"/>
        <v>6843.0500000000011</v>
      </c>
      <c r="J76" s="20">
        <f t="shared" si="22"/>
        <v>-3092.0000000000041</v>
      </c>
      <c r="K76" s="20">
        <f t="shared" si="22"/>
        <v>13232.21</v>
      </c>
      <c r="L76" s="20">
        <f t="shared" si="22"/>
        <v>6459</v>
      </c>
    </row>
    <row r="77" spans="1:12" x14ac:dyDescent="0.35">
      <c r="C77" s="13"/>
      <c r="D77" s="13"/>
      <c r="E77" s="13"/>
      <c r="F77" s="13"/>
      <c r="G77" s="13"/>
      <c r="H77" s="13"/>
      <c r="I77" s="13"/>
      <c r="J77" s="13"/>
      <c r="K77" s="13"/>
      <c r="L77" s="13"/>
    </row>
    <row r="78" spans="1:12" x14ac:dyDescent="0.35">
      <c r="B78" s="18"/>
      <c r="C78" s="20"/>
      <c r="D78" s="20"/>
      <c r="E78" s="20"/>
      <c r="F78" s="20"/>
      <c r="G78" s="20"/>
      <c r="H78" s="20"/>
      <c r="I78" s="20"/>
      <c r="J78" s="20"/>
      <c r="K78" s="20"/>
      <c r="L78" s="20"/>
    </row>
    <row r="80" spans="1:12" x14ac:dyDescent="0.35">
      <c r="B80" s="18"/>
    </row>
    <row r="81" spans="2:12" x14ac:dyDescent="0.35">
      <c r="C81" s="13"/>
      <c r="D81" s="13"/>
      <c r="E81" s="13"/>
      <c r="F81" s="13"/>
      <c r="G81" s="13"/>
      <c r="H81" s="13"/>
      <c r="I81" s="13"/>
      <c r="J81" s="13"/>
      <c r="K81" s="13"/>
      <c r="L81" s="13"/>
    </row>
    <row r="82" spans="2:12" x14ac:dyDescent="0.35">
      <c r="C82" s="13"/>
      <c r="D82" s="13"/>
      <c r="E82" s="13"/>
      <c r="F82" s="13"/>
      <c r="G82" s="13"/>
      <c r="H82" s="13"/>
      <c r="I82" s="13"/>
      <c r="J82" s="13"/>
      <c r="K82" s="13"/>
      <c r="L82" s="13"/>
    </row>
    <row r="83" spans="2:12" x14ac:dyDescent="0.35">
      <c r="C83" s="13"/>
      <c r="D83" s="13"/>
      <c r="E83" s="13"/>
      <c r="F83" s="13"/>
      <c r="G83" s="13"/>
      <c r="H83" s="13"/>
      <c r="I83" s="13"/>
      <c r="J83" s="13"/>
      <c r="K83" s="13"/>
      <c r="L83" s="13"/>
    </row>
    <row r="84" spans="2:12" x14ac:dyDescent="0.35">
      <c r="C84" s="13"/>
      <c r="D84" s="13"/>
      <c r="E84" s="13"/>
      <c r="F84" s="13"/>
      <c r="G84" s="13"/>
      <c r="H84" s="13"/>
      <c r="I84" s="13"/>
      <c r="J84" s="13"/>
      <c r="K84" s="13"/>
      <c r="L84" s="13"/>
    </row>
    <row r="85" spans="2:12" x14ac:dyDescent="0.35">
      <c r="C85" s="13"/>
      <c r="D85" s="13"/>
      <c r="E85" s="13"/>
      <c r="F85" s="13"/>
      <c r="G85" s="13"/>
      <c r="H85" s="13"/>
      <c r="I85" s="13"/>
      <c r="J85" s="13"/>
      <c r="K85" s="13"/>
      <c r="L85" s="13"/>
    </row>
    <row r="86" spans="2:12" x14ac:dyDescent="0.35">
      <c r="C86" s="13"/>
      <c r="D86" s="13"/>
      <c r="E86" s="13"/>
      <c r="F86" s="13"/>
      <c r="G86" s="13"/>
      <c r="H86" s="13"/>
      <c r="I86" s="13"/>
      <c r="J86" s="13"/>
      <c r="K86" s="13"/>
      <c r="L86" s="13"/>
    </row>
    <row r="87" spans="2:12" x14ac:dyDescent="0.35">
      <c r="C87" s="13"/>
      <c r="D87" s="13"/>
      <c r="E87" s="13"/>
      <c r="F87" s="13"/>
      <c r="G87" s="13"/>
      <c r="H87" s="13"/>
      <c r="I87" s="13"/>
      <c r="J87" s="13"/>
      <c r="K87" s="13"/>
      <c r="L87" s="13"/>
    </row>
    <row r="88" spans="2:12" x14ac:dyDescent="0.35">
      <c r="C88" s="13"/>
      <c r="D88" s="13"/>
      <c r="E88" s="13"/>
      <c r="F88" s="13"/>
      <c r="G88" s="13"/>
      <c r="H88" s="13"/>
      <c r="I88" s="13"/>
      <c r="J88" s="13"/>
      <c r="K88" s="13"/>
      <c r="L88" s="13"/>
    </row>
    <row r="89" spans="2:12" x14ac:dyDescent="0.35">
      <c r="C89" s="13"/>
      <c r="D89" s="13"/>
      <c r="E89" s="13"/>
      <c r="F89" s="13"/>
      <c r="G89" s="13"/>
      <c r="H89" s="13"/>
      <c r="I89" s="13"/>
      <c r="J89" s="13"/>
      <c r="K89" s="13"/>
      <c r="L89" s="13"/>
    </row>
    <row r="90" spans="2:12" x14ac:dyDescent="0.35">
      <c r="C90" s="13"/>
      <c r="D90" s="13"/>
      <c r="E90" s="13"/>
      <c r="F90" s="13"/>
      <c r="G90" s="13"/>
      <c r="H90" s="13"/>
      <c r="I90" s="13"/>
      <c r="J90" s="13"/>
      <c r="K90" s="13"/>
      <c r="L90" s="13"/>
    </row>
    <row r="91" spans="2:12" x14ac:dyDescent="0.35">
      <c r="C91" s="13"/>
      <c r="D91" s="13"/>
      <c r="E91" s="13"/>
      <c r="F91" s="13"/>
      <c r="G91" s="13"/>
      <c r="H91" s="13"/>
      <c r="I91" s="13"/>
      <c r="J91" s="13"/>
      <c r="K91" s="13"/>
      <c r="L91" s="13"/>
    </row>
    <row r="92" spans="2:12" x14ac:dyDescent="0.35">
      <c r="B92" s="18"/>
      <c r="C92" s="13"/>
      <c r="D92" s="13"/>
      <c r="E92" s="13"/>
      <c r="F92" s="13"/>
      <c r="G92" s="13"/>
      <c r="H92" s="13"/>
      <c r="I92" s="13"/>
      <c r="J92" s="13"/>
      <c r="K92" s="13"/>
      <c r="L92" s="13"/>
    </row>
    <row r="94" spans="2:12" x14ac:dyDescent="0.35">
      <c r="B94" s="18"/>
    </row>
    <row r="95" spans="2:12" x14ac:dyDescent="0.35">
      <c r="C95" s="13"/>
      <c r="D95" s="13"/>
      <c r="E95" s="13"/>
      <c r="F95" s="13"/>
      <c r="G95" s="13"/>
      <c r="H95" s="13"/>
      <c r="I95" s="13"/>
      <c r="J95" s="13"/>
      <c r="K95" s="13"/>
      <c r="L95" s="13"/>
    </row>
    <row r="96" spans="2:12" x14ac:dyDescent="0.35">
      <c r="C96" s="13"/>
      <c r="D96" s="13"/>
      <c r="E96" s="13"/>
      <c r="F96" s="13"/>
      <c r="G96" s="13"/>
      <c r="H96" s="13"/>
      <c r="I96" s="13"/>
      <c r="J96" s="13"/>
      <c r="K96" s="13"/>
      <c r="L96" s="13"/>
    </row>
    <row r="97" spans="2:12" x14ac:dyDescent="0.35">
      <c r="C97" s="13"/>
      <c r="D97" s="13"/>
      <c r="E97" s="13"/>
      <c r="F97" s="13"/>
      <c r="G97" s="13"/>
      <c r="H97" s="13"/>
      <c r="I97" s="13"/>
      <c r="J97" s="13"/>
      <c r="K97" s="13"/>
      <c r="L97" s="13"/>
    </row>
    <row r="98" spans="2:12" x14ac:dyDescent="0.35">
      <c r="C98" s="13"/>
      <c r="D98" s="13"/>
      <c r="E98" s="13"/>
      <c r="F98" s="13"/>
      <c r="G98" s="13"/>
      <c r="H98" s="13"/>
      <c r="I98" s="13"/>
      <c r="J98" s="13"/>
      <c r="K98" s="13"/>
      <c r="L98" s="13"/>
    </row>
    <row r="99" spans="2:12" x14ac:dyDescent="0.35">
      <c r="C99" s="13"/>
      <c r="D99" s="13"/>
      <c r="E99" s="13"/>
      <c r="F99" s="13"/>
      <c r="G99" s="13"/>
      <c r="H99" s="13"/>
      <c r="I99" s="13"/>
      <c r="J99" s="13"/>
      <c r="K99" s="13"/>
      <c r="L99" s="13"/>
    </row>
    <row r="100" spans="2:12" x14ac:dyDescent="0.35">
      <c r="C100" s="13"/>
      <c r="D100" s="13"/>
      <c r="E100" s="13"/>
      <c r="F100" s="13"/>
      <c r="G100" s="13"/>
      <c r="H100" s="13"/>
      <c r="I100" s="13"/>
      <c r="J100" s="13"/>
      <c r="K100" s="13"/>
      <c r="L100" s="13"/>
    </row>
    <row r="101" spans="2:12" x14ac:dyDescent="0.35">
      <c r="C101" s="13"/>
      <c r="D101" s="13"/>
      <c r="E101" s="13"/>
      <c r="F101" s="13"/>
      <c r="G101" s="13"/>
      <c r="H101" s="13"/>
      <c r="I101" s="13"/>
      <c r="J101" s="13"/>
      <c r="K101" s="13"/>
      <c r="L101" s="13"/>
    </row>
    <row r="102" spans="2:12" x14ac:dyDescent="0.35">
      <c r="C102" s="13"/>
      <c r="D102" s="13"/>
      <c r="E102" s="13"/>
      <c r="F102" s="13"/>
      <c r="G102" s="13"/>
      <c r="H102" s="13"/>
      <c r="I102" s="13"/>
      <c r="J102" s="13"/>
      <c r="K102" s="13"/>
      <c r="L102" s="13"/>
    </row>
    <row r="103" spans="2:12" x14ac:dyDescent="0.35">
      <c r="B103" s="18"/>
      <c r="C103" s="13"/>
      <c r="D103" s="13"/>
      <c r="E103" s="13"/>
      <c r="F103" s="13"/>
      <c r="G103" s="13"/>
      <c r="H103" s="13"/>
      <c r="I103" s="13"/>
      <c r="J103" s="13"/>
      <c r="K103" s="13"/>
      <c r="L103" s="13"/>
    </row>
    <row r="105" spans="2:12" x14ac:dyDescent="0.35">
      <c r="B105" s="18"/>
      <c r="C105" s="20"/>
      <c r="D105" s="20"/>
      <c r="E105" s="20"/>
      <c r="F105" s="20"/>
      <c r="G105" s="20"/>
      <c r="H105" s="20"/>
      <c r="I105" s="20"/>
      <c r="J105" s="20"/>
      <c r="K105" s="20"/>
      <c r="L105" s="20"/>
    </row>
  </sheetData>
  <mergeCells count="1">
    <mergeCell ref="B2:M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BEE4-5186-4863-B9E0-7A486D46972A}">
  <dimension ref="B2:O41"/>
  <sheetViews>
    <sheetView showGridLines="0" zoomScale="85" zoomScaleNormal="85" workbookViewId="0">
      <pane ySplit="3" topLeftCell="A16" activePane="bottomLeft" state="frozen"/>
      <selection activeCell="D70" sqref="D70"/>
      <selection pane="bottomLeft" activeCell="D70" sqref="D70"/>
    </sheetView>
  </sheetViews>
  <sheetFormatPr defaultRowHeight="14.5" x14ac:dyDescent="0.35"/>
  <cols>
    <col min="1" max="1" width="1.81640625" customWidth="1"/>
    <col min="2" max="2" width="31.54296875" customWidth="1"/>
    <col min="3" max="3" width="9.54296875" bestFit="1" customWidth="1"/>
    <col min="4" max="4" width="11.54296875" bestFit="1" customWidth="1"/>
    <col min="11" max="11" width="9.81640625" bestFit="1" customWidth="1"/>
    <col min="12" max="12" width="9.81640625" customWidth="1"/>
    <col min="13" max="13" width="17.7265625" customWidth="1"/>
    <col min="14" max="14" width="14.453125" customWidth="1"/>
    <col min="15" max="15" width="13" customWidth="1"/>
  </cols>
  <sheetData>
    <row r="2" spans="2:15" x14ac:dyDescent="0.35">
      <c r="B2" s="1" t="str">
        <f>"Ratio Analysis - "&amp;'Data Sheet'!B1</f>
        <v>Ratio Analysis - TATA MOTORS LTD</v>
      </c>
      <c r="C2" s="1"/>
      <c r="D2" s="1"/>
      <c r="E2" s="1"/>
      <c r="F2" s="1"/>
      <c r="G2" s="1"/>
      <c r="H2" s="1"/>
      <c r="I2" s="1"/>
      <c r="J2" s="1"/>
      <c r="K2" s="1"/>
      <c r="L2" s="1"/>
    </row>
    <row r="3" spans="2:15" x14ac:dyDescent="0.35">
      <c r="B3" s="2" t="s">
        <v>0</v>
      </c>
      <c r="C3" s="3">
        <f>'Data Sheet'!B16</f>
        <v>41364</v>
      </c>
      <c r="D3" s="3">
        <f>'Data Sheet'!C16</f>
        <v>41729</v>
      </c>
      <c r="E3" s="3">
        <f>'Data Sheet'!D16</f>
        <v>42094</v>
      </c>
      <c r="F3" s="3">
        <f>'Data Sheet'!E16</f>
        <v>42460</v>
      </c>
      <c r="G3" s="3">
        <f>'Data Sheet'!F16</f>
        <v>42825</v>
      </c>
      <c r="H3" s="3">
        <f>'Data Sheet'!G16</f>
        <v>43190</v>
      </c>
      <c r="I3" s="3">
        <f>'Data Sheet'!H16</f>
        <v>43555</v>
      </c>
      <c r="J3" s="3">
        <f>'Data Sheet'!I16</f>
        <v>43921</v>
      </c>
      <c r="K3" s="3">
        <f>'Data Sheet'!J16</f>
        <v>44286</v>
      </c>
      <c r="L3" s="3">
        <f>'Data Sheet'!K16</f>
        <v>44651</v>
      </c>
      <c r="M3" s="21" t="s">
        <v>53</v>
      </c>
      <c r="N3" s="21" t="s">
        <v>54</v>
      </c>
      <c r="O3" s="21" t="s">
        <v>55</v>
      </c>
    </row>
    <row r="5" spans="2:15" x14ac:dyDescent="0.35">
      <c r="B5" s="22" t="s">
        <v>5</v>
      </c>
      <c r="C5" s="22"/>
      <c r="D5" s="23">
        <f>IFERROR(HistoricalFS!D7,0)</f>
        <v>0.23327688164197458</v>
      </c>
      <c r="E5" s="23">
        <f>IFERROR(HistoricalFS!E7,0)</f>
        <v>0.13024457030826198</v>
      </c>
      <c r="F5" s="23">
        <f>IFERROR(HistoricalFS!F7,0)</f>
        <v>3.75690010654397E-2</v>
      </c>
      <c r="G5" s="23">
        <f>IFERROR(HistoricalFS!G7,0)</f>
        <v>-1.2280329732469508E-2</v>
      </c>
      <c r="H5" s="23">
        <f>IFERROR(HistoricalFS!H7,0)</f>
        <v>8.104774581985974E-2</v>
      </c>
      <c r="I5" s="23">
        <f>IFERROR(HistoricalFS!I7,0)</f>
        <v>3.5629919045237157E-2</v>
      </c>
      <c r="J5" s="23">
        <f>IFERROR(HistoricalFS!J7,0)</f>
        <v>-0.135360159555724</v>
      </c>
      <c r="K5" s="23">
        <f>IFERROR(HistoricalFS!K7,0)</f>
        <v>-4.3181168490336042E-2</v>
      </c>
      <c r="L5" s="24">
        <f>IFERROR(HistoricalFS!L7,0)</f>
        <v>0.11472967306158344</v>
      </c>
      <c r="M5" s="25"/>
      <c r="N5" s="24">
        <f>IFERROR(AVERAGE(D5:L5),0)</f>
        <v>4.9075125907091892E-2</v>
      </c>
      <c r="O5" s="24">
        <f>IFERROR(MEDIAN(C5:L5),0)</f>
        <v>3.75690010654397E-2</v>
      </c>
    </row>
    <row r="6" spans="2:15" x14ac:dyDescent="0.35">
      <c r="B6" t="s">
        <v>56</v>
      </c>
      <c r="D6" s="26">
        <f>IFERROR(HistoricalFS!D18/HistoricalFS!C18-1,0)</f>
        <v>0.41703481625859018</v>
      </c>
      <c r="E6" s="26">
        <f>IFERROR(HistoricalFS!E18/HistoricalFS!D18-1,0)</f>
        <v>0.12582115468924693</v>
      </c>
      <c r="F6" s="26">
        <f>IFERROR(HistoricalFS!F18/HistoricalFS!E18-1,0)</f>
        <v>-2.1494113584437979E-2</v>
      </c>
      <c r="G6" s="26">
        <f>IFERROR(HistoricalFS!G18/HistoricalFS!F18-1,0)</f>
        <v>-0.22936587208052905</v>
      </c>
      <c r="H6" s="26">
        <f>IFERROR(HistoricalFS!H18/HistoricalFS!G18-1,0)</f>
        <v>6.3165689322506102E-2</v>
      </c>
      <c r="I6" s="26">
        <f>IFERROR(HistoricalFS!I18/HistoricalFS!H18-1,0)</f>
        <v>-0.21595203460649259</v>
      </c>
      <c r="J6" s="26">
        <f>IFERROR(HistoricalFS!J18/HistoricalFS!I18-1,0)</f>
        <v>-0.27072537547138131</v>
      </c>
      <c r="K6" s="26">
        <f>IFERROR(HistoricalFS!K18/HistoricalFS!J18-1,0)</f>
        <v>0.79503554497758966</v>
      </c>
      <c r="L6" s="26">
        <f>IFERROR(HistoricalFS!L18/HistoricalFS!K18-1,0)</f>
        <v>-0.234374182150762</v>
      </c>
      <c r="N6" s="26">
        <f t="shared" ref="N6:N9" si="0">IFERROR(AVERAGE(D6:L6),0)</f>
        <v>4.7682847483814433E-2</v>
      </c>
      <c r="O6" s="26">
        <f t="shared" ref="O6:O9" si="1">IFERROR(MEDIAN(C6:L6),0)</f>
        <v>-2.1494113584437979E-2</v>
      </c>
    </row>
    <row r="7" spans="2:15" x14ac:dyDescent="0.35">
      <c r="B7" t="s">
        <v>57</v>
      </c>
      <c r="D7" s="26">
        <f>IFERROR(HistoricalFS!D27/HistoricalFS!C27-1,0)</f>
        <v>0.41619195426682576</v>
      </c>
      <c r="E7" s="26">
        <f>IFERROR(HistoricalFS!E27/HistoricalFS!D27-1,0)</f>
        <v>0.103163815795007</v>
      </c>
      <c r="F7" s="26">
        <f>IFERROR(HistoricalFS!F27/HistoricalFS!E27-1,0)</f>
        <v>-0.19978245260625749</v>
      </c>
      <c r="G7" s="26">
        <f>IFERROR(HistoricalFS!G27/HistoricalFS!F27-1,0)</f>
        <v>-0.55668251823863213</v>
      </c>
      <c r="H7" s="26">
        <f>IFERROR(HistoricalFS!H27/HistoricalFS!G27-1,0)</f>
        <v>-0.29861436616351744</v>
      </c>
      <c r="I7" s="26">
        <f>IFERROR(HistoricalFS!I27/HistoricalFS!H27-1,0)</f>
        <v>-1.897095149646705</v>
      </c>
      <c r="J7" s="26">
        <f>IFERROR(HistoricalFS!J27/HistoricalFS!I27-1,0)</f>
        <v>1.2800251873039095</v>
      </c>
      <c r="K7" s="26">
        <f>IFERROR(HistoricalFS!K27/HistoricalFS!J27-1,0)</f>
        <v>-1.0602479570180365</v>
      </c>
      <c r="L7" s="26">
        <f>IFERROR(HistoricalFS!L27/HistoricalFS!K27-1,0)</f>
        <v>-15.64914925025267</v>
      </c>
      <c r="N7" s="26">
        <f t="shared" si="0"/>
        <v>-1.9846878596177864</v>
      </c>
      <c r="O7" s="26">
        <f t="shared" si="1"/>
        <v>-0.29861436616351744</v>
      </c>
    </row>
    <row r="8" spans="2:15" x14ac:dyDescent="0.35">
      <c r="B8" t="s">
        <v>58</v>
      </c>
      <c r="D8" s="26">
        <f>IFERROR(HistoricalFS!D33/HistoricalFS!C33-1,0)</f>
        <v>0.47662871112334759</v>
      </c>
      <c r="E8" s="26">
        <f>IFERROR(HistoricalFS!E33/HistoricalFS!D33-1,0)</f>
        <v>-6.4185676009415382E-2</v>
      </c>
      <c r="F8" s="26">
        <f>IFERROR(HistoricalFS!F33/HistoricalFS!E33-1,0)</f>
        <v>3.1824673563310757E-2</v>
      </c>
      <c r="G8" s="26">
        <f>IFERROR(HistoricalFS!G33/HistoricalFS!F33-1,0)</f>
        <v>-0.69539895165986787</v>
      </c>
      <c r="H8" s="26">
        <f>IFERROR(HistoricalFS!H33/HistoricalFS!G33-1,0)</f>
        <v>-0.79011124197155724</v>
      </c>
      <c r="I8" s="26">
        <f>IFERROR(HistoricalFS!I33/HistoricalFS!H33-1,0)</f>
        <v>-3.5528470983790919</v>
      </c>
      <c r="J8" s="26">
        <f>IFERROR(HistoricalFS!J33/HistoricalFS!I33-1,0)</f>
        <v>3.9286702707513577</v>
      </c>
      <c r="K8" s="26">
        <f>IFERROR(HistoricalFS!K33/HistoricalFS!J33-1,0)</f>
        <v>-0.82862505348950144</v>
      </c>
      <c r="L8" s="26">
        <f>IFERROR(HistoricalFS!L33/HistoricalFS!K33-1,0)</f>
        <v>6.1952157445306248</v>
      </c>
      <c r="N8" s="26">
        <f t="shared" si="0"/>
        <v>0.52235237538435642</v>
      </c>
      <c r="O8" s="26">
        <f t="shared" si="1"/>
        <v>-6.4185676009415382E-2</v>
      </c>
    </row>
    <row r="9" spans="2:15" x14ac:dyDescent="0.35">
      <c r="B9" s="27" t="s">
        <v>59</v>
      </c>
      <c r="C9" s="27"/>
      <c r="D9" s="28">
        <f>IFERROR(HistoricalFS!D41/HistoricalFS!C41-1,0)</f>
        <v>-1.6039735328686744E-3</v>
      </c>
      <c r="E9" s="28">
        <f>IFERROR(HistoricalFS!E41/HistoricalFS!D41-1,0)</f>
        <v>-1</v>
      </c>
      <c r="F9" s="28">
        <f>IFERROR(HistoricalFS!F41/HistoricalFS!E41-1,0)</f>
        <v>0</v>
      </c>
      <c r="G9" s="28">
        <f>IFERROR(HistoricalFS!G41/HistoricalFS!F41-1,0)</f>
        <v>-1</v>
      </c>
      <c r="H9" s="28">
        <f>IFERROR(HistoricalFS!H41/HistoricalFS!G41-1,0)</f>
        <v>0</v>
      </c>
      <c r="I9" s="28">
        <f>IFERROR(HistoricalFS!I41/HistoricalFS!H41-1,0)</f>
        <v>0</v>
      </c>
      <c r="J9" s="28">
        <f>IFERROR(HistoricalFS!J41/HistoricalFS!I41-1,0)</f>
        <v>0</v>
      </c>
      <c r="K9" s="28">
        <f>IFERROR(HistoricalFS!K41/HistoricalFS!J41-1,0)</f>
        <v>0</v>
      </c>
      <c r="L9" s="29">
        <f>IFERROR(HistoricalFS!L41/HistoricalFS!K41-1,0)</f>
        <v>0</v>
      </c>
      <c r="M9" s="30"/>
      <c r="N9" s="29">
        <f t="shared" si="0"/>
        <v>-0.2224004415036521</v>
      </c>
      <c r="O9" s="29">
        <f t="shared" si="1"/>
        <v>0</v>
      </c>
    </row>
    <row r="11" spans="2:15" x14ac:dyDescent="0.35">
      <c r="B11" s="22" t="s">
        <v>60</v>
      </c>
      <c r="C11" s="23">
        <f>IFERROR(HistoricalFS!C13,0)</f>
        <v>0.24658767243583429</v>
      </c>
      <c r="D11" s="23">
        <f>IFERROR(HistoricalFS!D13,0)</f>
        <v>0.22635301098646982</v>
      </c>
      <c r="E11" s="23">
        <f>IFERROR(HistoricalFS!E13,0)</f>
        <v>0.22914703499762759</v>
      </c>
      <c r="F11" s="23">
        <f>IFERROR(HistoricalFS!F13,0)</f>
        <v>0.24734524196690946</v>
      </c>
      <c r="G11" s="23">
        <f>IFERROR(HistoricalFS!G13,0)</f>
        <v>0.23819078253229964</v>
      </c>
      <c r="H11" s="23">
        <f>IFERROR(HistoricalFS!H13,0)</f>
        <v>0.21649990080619999</v>
      </c>
      <c r="I11" s="23">
        <f>IFERROR(HistoricalFS!I13,0)</f>
        <v>0.19571167496416494</v>
      </c>
      <c r="J11" s="23">
        <f>IFERROR(HistoricalFS!J13,0)</f>
        <v>0.19417127271491774</v>
      </c>
      <c r="K11" s="23">
        <f>IFERROR(HistoricalFS!K13,0)</f>
        <v>0.2180538622208833</v>
      </c>
      <c r="L11" s="24">
        <f>IFERROR(HistoricalFS!L13,0)</f>
        <v>0.19807108271747378</v>
      </c>
      <c r="M11" s="25"/>
      <c r="N11" s="24">
        <f>IFERROR(AVERAGE(C11:L11),0)</f>
        <v>0.22101315363427809</v>
      </c>
      <c r="O11" s="24">
        <f t="shared" ref="O11:O15" si="2">IFERROR(MEDIAN(C11:L11),0)</f>
        <v>0.22220343660367656</v>
      </c>
    </row>
    <row r="12" spans="2:15" x14ac:dyDescent="0.35">
      <c r="B12" t="s">
        <v>61</v>
      </c>
      <c r="C12" s="26">
        <f>IFERROR(HistoricalFS!C19,0)</f>
        <v>0.13028036202037277</v>
      </c>
      <c r="D12" s="26">
        <f>IFERROR(HistoricalFS!D19,0)</f>
        <v>0.14969210207836775</v>
      </c>
      <c r="E12" s="26">
        <f>IFERROR(HistoricalFS!E19,0)</f>
        <v>0.14910625508580397</v>
      </c>
      <c r="F12" s="26">
        <f>IFERROR(HistoricalFS!F19,0)</f>
        <v>0.14061845347443788</v>
      </c>
      <c r="G12" s="26">
        <f>IFERROR(HistoricalFS!G19,0)</f>
        <v>0.10971268723777329</v>
      </c>
      <c r="H12" s="26">
        <f>IFERROR(HistoricalFS!H19,0)</f>
        <v>0.10789788444182975</v>
      </c>
      <c r="I12" s="26">
        <f>IFERROR(HistoricalFS!I19,0)</f>
        <v>8.1686628795807431E-2</v>
      </c>
      <c r="J12" s="26">
        <f>IFERROR(HistoricalFS!J19,0)</f>
        <v>6.8898034485042198E-2</v>
      </c>
      <c r="K12" s="26">
        <f>IFERROR(HistoricalFS!K19,0)</f>
        <v>0.12925583904385496</v>
      </c>
      <c r="L12" s="26">
        <f>IFERROR(HistoricalFS!L19,0)</f>
        <v>8.877632835227646E-2</v>
      </c>
      <c r="N12" s="26">
        <f t="shared" ref="N12:N31" si="3">IFERROR(AVERAGE(C12:L12),0)</f>
        <v>0.11559245750155667</v>
      </c>
      <c r="O12" s="26">
        <f t="shared" si="2"/>
        <v>0.11948426314081412</v>
      </c>
    </row>
    <row r="13" spans="2:15" x14ac:dyDescent="0.35">
      <c r="B13" t="s">
        <v>62</v>
      </c>
      <c r="C13" s="26">
        <f>IFERROR((HistoricalFS!C18-HistoricalFS!C24)/HistoricalFS!C6,0)</f>
        <v>9.0017786175937281E-2</v>
      </c>
      <c r="D13" s="26">
        <f>IFERROR((HistoricalFS!D18-HistoricalFS!D24)/HistoricalFS!D6,0)</f>
        <v>0.10211238357890337</v>
      </c>
      <c r="E13" s="26">
        <f>IFERROR((HistoricalFS!E18-HistoricalFS!E24)/HistoricalFS!E6,0)</f>
        <v>9.8229670900837146E-2</v>
      </c>
      <c r="F13" s="26">
        <f>IFERROR((HistoricalFS!F18-HistoricalFS!F24)/HistoricalFS!F6,0)</f>
        <v>7.941702777851016E-2</v>
      </c>
      <c r="G13" s="26">
        <f>IFERROR((HistoricalFS!G18-HistoricalFS!G24)/HistoricalFS!G6,0)</f>
        <v>4.3322300645279484E-2</v>
      </c>
      <c r="H13" s="26">
        <f>IFERROR((HistoricalFS!H18-HistoricalFS!H24)/HistoricalFS!H6,0)</f>
        <v>3.3970412259310953E-2</v>
      </c>
      <c r="I13" s="26">
        <f>IFERROR((HistoricalFS!I18-HistoricalFS!I24)/HistoricalFS!I6,0)</f>
        <v>3.5560233478087663E-3</v>
      </c>
      <c r="J13" s="26">
        <f>IFERROR((HistoricalFS!J18-HistoricalFS!J24)/HistoricalFS!J6,0)</f>
        <v>-1.3170363258273456E-2</v>
      </c>
      <c r="K13" s="26">
        <f>IFERROR((HistoricalFS!K18-HistoricalFS!K24)/HistoricalFS!K6,0)</f>
        <v>3.4991608110258483E-2</v>
      </c>
      <c r="L13" s="26">
        <f>IFERROR((HistoricalFS!L18-HistoricalFS!L24)/HistoricalFS!L6,0)</f>
        <v>-4.1514992694289269E-4</v>
      </c>
      <c r="N13" s="26">
        <f t="shared" si="3"/>
        <v>4.7203169961162923E-2</v>
      </c>
      <c r="O13" s="26">
        <f t="shared" si="2"/>
        <v>3.9156954377768984E-2</v>
      </c>
    </row>
    <row r="14" spans="2:15" x14ac:dyDescent="0.35">
      <c r="B14" t="s">
        <v>63</v>
      </c>
      <c r="C14" s="26">
        <f>IFERROR(HistoricalFS!C28,0)</f>
        <v>7.115979967232848E-2</v>
      </c>
      <c r="D14" s="26">
        <f>IFERROR(HistoricalFS!D28,0)</f>
        <v>8.1713958368390432E-2</v>
      </c>
      <c r="E14" s="26">
        <f>IFERROR(HistoricalFS!E28,0)</f>
        <v>7.9756085085905037E-2</v>
      </c>
      <c r="F14" s="26">
        <f>IFERROR(HistoricalFS!F28,0)</f>
        <v>6.1511300676516931E-2</v>
      </c>
      <c r="G14" s="26">
        <f>IFERROR(HistoricalFS!G28,0)</f>
        <v>2.7608071132565179E-2</v>
      </c>
      <c r="H14" s="26">
        <f>IFERROR(HistoricalFS!H28,0)</f>
        <v>1.7912163958707913E-2</v>
      </c>
      <c r="I14" s="26">
        <f>IFERROR(HistoricalFS!I28,0)</f>
        <v>-1.5516078776333117E-2</v>
      </c>
      <c r="J14" s="26">
        <f>IFERROR(HistoricalFS!J28,0)</f>
        <v>-4.0915360088026265E-2</v>
      </c>
      <c r="K14" s="26">
        <f>IFERROR(HistoricalFS!K28,0)</f>
        <v>2.5763151547420113E-3</v>
      </c>
      <c r="L14" s="26">
        <f>IFERROR(HistoricalFS!L28,0)</f>
        <v>-3.3856482095653805E-2</v>
      </c>
      <c r="N14" s="26">
        <f t="shared" si="3"/>
        <v>2.5194977308914283E-2</v>
      </c>
      <c r="O14" s="26">
        <f t="shared" si="2"/>
        <v>2.2760117545636546E-2</v>
      </c>
    </row>
    <row r="15" spans="2:15" x14ac:dyDescent="0.35">
      <c r="B15" s="27" t="s">
        <v>64</v>
      </c>
      <c r="C15" s="28">
        <f>IFERROR(HistoricalFS!C34,0)</f>
        <v>5.1155529379871709E-2</v>
      </c>
      <c r="D15" s="28">
        <f>IFERROR(HistoricalFS!D34,0)</f>
        <v>6.124960626397391E-2</v>
      </c>
      <c r="E15" s="28">
        <f>IFERROR(HistoricalFS!E34,0)</f>
        <v>5.0713146858982282E-2</v>
      </c>
      <c r="F15" s="28">
        <f>IFERROR(HistoricalFS!F34,0)</f>
        <v>5.0432381990407359E-2</v>
      </c>
      <c r="G15" s="28">
        <f>IFERROR(HistoricalFS!G34,0)</f>
        <v>1.5552749314395296E-2</v>
      </c>
      <c r="H15" s="28">
        <f>IFERROR(HistoricalFS!H34,0)</f>
        <v>3.01961430487095E-3</v>
      </c>
      <c r="I15" s="28">
        <f>IFERROR(HistoricalFS!I34,0)</f>
        <v>-7.4434056747998256E-3</v>
      </c>
      <c r="J15" s="28">
        <f>IFERROR(HistoricalFS!J34,0)</f>
        <v>-4.2429333632923408E-2</v>
      </c>
      <c r="K15" s="28">
        <f>IFERROR(HistoricalFS!K34,0)</f>
        <v>-7.5994791724005731E-3</v>
      </c>
      <c r="L15" s="29">
        <f>IFERROR(HistoricalFS!L34,0)</f>
        <v>-4.9052154538339235E-2</v>
      </c>
      <c r="M15" s="30"/>
      <c r="N15" s="29">
        <f t="shared" si="3"/>
        <v>1.2559865509403845E-2</v>
      </c>
      <c r="O15" s="29">
        <f t="shared" si="2"/>
        <v>9.286181809633122E-3</v>
      </c>
    </row>
    <row r="17" spans="2:15" x14ac:dyDescent="0.35">
      <c r="B17" s="22" t="s">
        <v>65</v>
      </c>
      <c r="C17" s="23">
        <f>IFERROR(HistoricalFS!C16,0)</f>
        <v>0.11630731041546154</v>
      </c>
      <c r="D17" s="23">
        <f>IFERROR(HistoricalFS!D16,0)</f>
        <v>7.6660908908102038E-2</v>
      </c>
      <c r="E17" s="23">
        <f>IFERROR(HistoricalFS!E16,0)</f>
        <v>8.0040779911823637E-2</v>
      </c>
      <c r="F17" s="23">
        <f>IFERROR(HistoricalFS!F16,0)</f>
        <v>0.10672678849247161</v>
      </c>
      <c r="G17" s="23">
        <f>IFERROR(HistoricalFS!G16,0)</f>
        <v>0.12847809529452636</v>
      </c>
      <c r="H17" s="23">
        <f>IFERROR(HistoricalFS!H16,0)</f>
        <v>0.10860201636437025</v>
      </c>
      <c r="I17" s="23">
        <f>IFERROR(HistoricalFS!I16,0)</f>
        <v>0.11402504616835751</v>
      </c>
      <c r="J17" s="23">
        <f>IFERROR(HistoricalFS!J16,0)</f>
        <v>0.12527323822987554</v>
      </c>
      <c r="K17" s="23">
        <f>IFERROR(HistoricalFS!K16,0)</f>
        <v>8.8798023177028354E-2</v>
      </c>
      <c r="L17" s="24">
        <f>IFERROR(HistoricalFS!L16,0)</f>
        <v>0.10929475436519734</v>
      </c>
      <c r="M17" s="25"/>
      <c r="N17" s="24">
        <f t="shared" si="3"/>
        <v>0.10542069613272143</v>
      </c>
      <c r="O17" s="24">
        <f t="shared" ref="O17:O19" si="4">IFERROR(MEDIAN(C17:L17),0)</f>
        <v>0.1089483853647838</v>
      </c>
    </row>
    <row r="18" spans="2:15" x14ac:dyDescent="0.35">
      <c r="B18" t="s">
        <v>66</v>
      </c>
      <c r="C18" s="26">
        <f>IFERROR(HistoricalFS!C25,0)</f>
        <v>4.0262575844435503E-2</v>
      </c>
      <c r="D18" s="26">
        <f>IFERROR(HistoricalFS!D25,0)</f>
        <v>4.757971849946438E-2</v>
      </c>
      <c r="E18" s="26">
        <f>IFERROR(HistoricalFS!E25,0)</f>
        <v>5.0876584184966822E-2</v>
      </c>
      <c r="F18" s="26">
        <f>IFERROR(HistoricalFS!F25,0)</f>
        <v>6.1201425695927715E-2</v>
      </c>
      <c r="G18" s="26">
        <f>IFERROR(HistoricalFS!G25,0)</f>
        <v>6.63903865924938E-2</v>
      </c>
      <c r="H18" s="26">
        <f>IFERROR(HistoricalFS!H25,0)</f>
        <v>7.3927472182518786E-2</v>
      </c>
      <c r="I18" s="26">
        <f>IFERROR(HistoricalFS!I25,0)</f>
        <v>7.8130605447998658E-2</v>
      </c>
      <c r="J18" s="26">
        <f>IFERROR(HistoricalFS!J25,0)</f>
        <v>8.206839774331566E-2</v>
      </c>
      <c r="K18" s="26">
        <f>IFERROR(HistoricalFS!K25,0)</f>
        <v>9.4264230933596482E-2</v>
      </c>
      <c r="L18" s="26">
        <f>IFERROR(HistoricalFS!L25,0)</f>
        <v>8.9191478279219347E-2</v>
      </c>
      <c r="N18" s="26">
        <f t="shared" si="3"/>
        <v>6.8389287540393723E-2</v>
      </c>
      <c r="O18" s="26">
        <f t="shared" si="4"/>
        <v>7.0158929387506286E-2</v>
      </c>
    </row>
    <row r="19" spans="2:15" x14ac:dyDescent="0.35">
      <c r="B19" s="27" t="s">
        <v>67</v>
      </c>
      <c r="C19" s="28">
        <f>C13</f>
        <v>9.0017786175937281E-2</v>
      </c>
      <c r="D19" s="28">
        <f t="shared" ref="D19:L19" si="5">D13</f>
        <v>0.10211238357890337</v>
      </c>
      <c r="E19" s="28">
        <f t="shared" si="5"/>
        <v>9.8229670900837146E-2</v>
      </c>
      <c r="F19" s="28">
        <f t="shared" si="5"/>
        <v>7.941702777851016E-2</v>
      </c>
      <c r="G19" s="28">
        <f t="shared" si="5"/>
        <v>4.3322300645279484E-2</v>
      </c>
      <c r="H19" s="28">
        <f t="shared" si="5"/>
        <v>3.3970412259310953E-2</v>
      </c>
      <c r="I19" s="28">
        <f t="shared" si="5"/>
        <v>3.5560233478087663E-3</v>
      </c>
      <c r="J19" s="28">
        <f t="shared" si="5"/>
        <v>-1.3170363258273456E-2</v>
      </c>
      <c r="K19" s="28">
        <f t="shared" si="5"/>
        <v>3.4991608110258483E-2</v>
      </c>
      <c r="L19" s="29">
        <f t="shared" si="5"/>
        <v>-4.1514992694289269E-4</v>
      </c>
      <c r="M19" s="30"/>
      <c r="N19" s="29">
        <f t="shared" si="3"/>
        <v>4.7203169961162923E-2</v>
      </c>
      <c r="O19" s="29">
        <f t="shared" si="4"/>
        <v>3.9156954377768984E-2</v>
      </c>
    </row>
    <row r="21" spans="2:15" x14ac:dyDescent="0.35">
      <c r="B21" s="22" t="s">
        <v>68</v>
      </c>
      <c r="C21" s="23">
        <f>IFERROR((HistoricalFS!C18-HistoricalFS!C24)/SUM(HistoricalFS!C47:C49),0)</f>
        <v>0.18603327903481243</v>
      </c>
      <c r="D21" s="23">
        <f>IFERROR((HistoricalFS!D18-HistoricalFS!D24)/SUM(HistoricalFS!D47:D49),0)</f>
        <v>0.18832478532145183</v>
      </c>
      <c r="E21" s="23">
        <f>IFERROR((HistoricalFS!E18-HistoricalFS!E24)/SUM(HistoricalFS!E47:E49),0)</f>
        <v>0.19904181268509033</v>
      </c>
      <c r="F21" s="23">
        <f>IFERROR((HistoricalFS!F18-HistoricalFS!F24)/SUM(HistoricalFS!F47:F49),0)</f>
        <v>0.1462081011853561</v>
      </c>
      <c r="G21" s="23">
        <f>IFERROR((HistoricalFS!G18-HistoricalFS!G24)/SUM(HistoricalFS!G47:G49),0)</f>
        <v>8.5490986154773282E-2</v>
      </c>
      <c r="H21" s="23">
        <f>IFERROR((HistoricalFS!H18-HistoricalFS!H24)/SUM(HistoricalFS!H47:H49),0)</f>
        <v>5.3716113570365424E-2</v>
      </c>
      <c r="I21" s="23">
        <f>IFERROR((HistoricalFS!I18-HistoricalFS!I24)/SUM(HistoricalFS!I47:I49),0)</f>
        <v>6.4542733637543747E-3</v>
      </c>
      <c r="J21" s="23">
        <f>IFERROR((HistoricalFS!J18-HistoricalFS!J24)/SUM(HistoricalFS!J47:J49),0)</f>
        <v>-1.8387082646096023E-2</v>
      </c>
      <c r="K21" s="23">
        <f>IFERROR((HistoricalFS!K18-HistoricalFS!K24)/SUM(HistoricalFS!K47:K49),0)</f>
        <v>4.4284324706251613E-2</v>
      </c>
      <c r="L21" s="24">
        <f>IFERROR((HistoricalFS!L18-HistoricalFS!L24)/SUM(HistoricalFS!L47:L49),0)</f>
        <v>-6.0520306054739361E-4</v>
      </c>
      <c r="M21" s="25"/>
      <c r="N21" s="24">
        <f t="shared" si="3"/>
        <v>8.9056139031521209E-2</v>
      </c>
      <c r="O21" s="24">
        <f t="shared" ref="O21:O25" si="6">IFERROR(MEDIAN(C21:L21),0)</f>
        <v>6.960354986256935E-2</v>
      </c>
    </row>
    <row r="22" spans="2:15" x14ac:dyDescent="0.35">
      <c r="B22" t="s">
        <v>69</v>
      </c>
      <c r="C22" s="26">
        <f>IFERROR(HistoricalFS!C44,0)</f>
        <v>0.93393209005372868</v>
      </c>
      <c r="D22" s="26">
        <f>IFERROR(HistoricalFS!D44,0)</f>
        <v>0.95485720817027164</v>
      </c>
      <c r="E22" s="26">
        <f>IFERROR(HistoricalFS!E44,0)</f>
        <v>1</v>
      </c>
      <c r="F22" s="26">
        <f>IFERROR(HistoricalFS!F44,0)</f>
        <v>0.99506765991253665</v>
      </c>
      <c r="G22" s="26">
        <f>IFERROR(HistoricalFS!G44,0)</f>
        <v>1</v>
      </c>
      <c r="H22" s="26">
        <f>IFERROR(HistoricalFS!H44,0)</f>
        <v>1</v>
      </c>
      <c r="I22" s="26">
        <f>IFERROR(HistoricalFS!I44,0)</f>
        <v>0</v>
      </c>
      <c r="J22" s="26">
        <f>IFERROR(HistoricalFS!J44,0)</f>
        <v>0</v>
      </c>
      <c r="K22" s="26">
        <f>IFERROR(HistoricalFS!K44,0)</f>
        <v>0</v>
      </c>
      <c r="L22" s="26">
        <f>IFERROR(HistoricalFS!L44,0)</f>
        <v>0</v>
      </c>
      <c r="N22" s="26">
        <f t="shared" si="3"/>
        <v>0.58838569581365374</v>
      </c>
      <c r="O22" s="26">
        <f t="shared" si="6"/>
        <v>0.94439464911200011</v>
      </c>
    </row>
    <row r="23" spans="2:15" x14ac:dyDescent="0.35">
      <c r="B23" t="s">
        <v>70</v>
      </c>
      <c r="C23" s="26">
        <f>IFERROR(HistoricalFS!C33/SUM(HistoricalFS!C47:C48),0)</f>
        <v>0.25660156281136032</v>
      </c>
      <c r="D23" s="26">
        <f>IFERROR(HistoricalFS!D33/SUM(HistoricalFS!D47:D48),0)</f>
        <v>0.21738140295975247</v>
      </c>
      <c r="E23" s="26">
        <f>IFERROR(HistoricalFS!E33/SUM(HistoricalFS!E47:E48),0)</f>
        <v>0.2372052002491202</v>
      </c>
      <c r="F23" s="26">
        <f>IFERROR(HistoricalFS!F33/SUM(HistoricalFS!F47:F48),0)</f>
        <v>0.17441316864171685</v>
      </c>
      <c r="G23" s="26">
        <f>IFERROR(HistoricalFS!G33/SUM(HistoricalFS!G47:G48),0)</f>
        <v>7.2241189530689517E-2</v>
      </c>
      <c r="H23" s="26">
        <f>IFERROR(HistoricalFS!H33/SUM(HistoricalFS!H47:H48),0)</f>
        <v>9.2254980749341738E-3</v>
      </c>
      <c r="I23" s="26">
        <f>IFERROR(HistoricalFS!I33/SUM(HistoricalFS!I47:I48),0)</f>
        <v>-3.7345736658758885E-2</v>
      </c>
      <c r="J23" s="26">
        <f>IFERROR(HistoricalFS!J33/SUM(HistoricalFS!J47:J48),0)</f>
        <v>-0.1780542775131683</v>
      </c>
      <c r="K23" s="26">
        <f>IFERROR(HistoricalFS!K33/SUM(HistoricalFS!K47:K48),0)</f>
        <v>-3.4360591904822733E-2</v>
      </c>
      <c r="L23" s="26">
        <f>IFERROR(HistoricalFS!L33/SUM(HistoricalFS!L47:L48),0)</f>
        <v>-0.30651638060341208</v>
      </c>
      <c r="N23" s="26">
        <f t="shared" si="3"/>
        <v>4.1079103558741156E-2</v>
      </c>
      <c r="O23" s="26">
        <f t="shared" si="6"/>
        <v>4.073334380281185E-2</v>
      </c>
    </row>
    <row r="24" spans="2:15" x14ac:dyDescent="0.35">
      <c r="B24" t="s">
        <v>71</v>
      </c>
      <c r="C24" s="26">
        <f>IFERROR(C22*C23,0)</f>
        <v>0.23964843386746687</v>
      </c>
      <c r="D24" s="26">
        <f t="shared" ref="D24:L24" si="7">IFERROR(D22*D23,0)</f>
        <v>0.20756819953828606</v>
      </c>
      <c r="E24" s="26">
        <f t="shared" si="7"/>
        <v>0.2372052002491202</v>
      </c>
      <c r="F24" s="26">
        <f t="shared" si="7"/>
        <v>0.17355290357824379</v>
      </c>
      <c r="G24" s="26">
        <f t="shared" si="7"/>
        <v>7.2241189530689517E-2</v>
      </c>
      <c r="H24" s="26">
        <f t="shared" si="7"/>
        <v>9.2254980749341738E-3</v>
      </c>
      <c r="I24" s="26">
        <f t="shared" si="7"/>
        <v>0</v>
      </c>
      <c r="J24" s="26">
        <f t="shared" si="7"/>
        <v>0</v>
      </c>
      <c r="K24" s="26">
        <f t="shared" si="7"/>
        <v>0</v>
      </c>
      <c r="L24" s="26">
        <f t="shared" si="7"/>
        <v>0</v>
      </c>
      <c r="N24" s="26">
        <f t="shared" si="3"/>
        <v>9.394414248387406E-2</v>
      </c>
      <c r="O24" s="26">
        <f t="shared" si="6"/>
        <v>4.073334380281185E-2</v>
      </c>
    </row>
    <row r="25" spans="2:15" x14ac:dyDescent="0.35">
      <c r="B25" s="27" t="s">
        <v>72</v>
      </c>
      <c r="C25" s="31">
        <f>IFERROR((HistoricalFS!C18-HistoricalFS!C24)/HistoricalFS!C21,0)</f>
        <v>4.773456920160104</v>
      </c>
      <c r="D25" s="31">
        <f>(HistoricalFS!D18-HistoricalFS!D24)/HistoricalFS!D21</f>
        <v>5.0058954318824904</v>
      </c>
      <c r="E25" s="31">
        <f>(HistoricalFS!E18-HistoricalFS!E24)/HistoricalFS!E21</f>
        <v>5.3173039541375138</v>
      </c>
      <c r="F25" s="31">
        <f>(HistoricalFS!F18-HistoricalFS!F24)/HistoricalFS!F21</f>
        <v>4.4352863933500721</v>
      </c>
      <c r="G25" s="31">
        <f>(HistoricalFS!G18-HistoricalFS!G24)/HistoricalFS!G21</f>
        <v>2.7568835373205922</v>
      </c>
      <c r="H25" s="31">
        <f>(HistoricalFS!H18-HistoricalFS!H24)/HistoricalFS!H21</f>
        <v>2.1154494328024094</v>
      </c>
      <c r="I25" s="31">
        <f>(HistoricalFS!I18-HistoricalFS!I24)/HistoricalFS!I21</f>
        <v>0.18645156808947008</v>
      </c>
      <c r="J25" s="31">
        <f>(HistoricalFS!J18-HistoricalFS!J24)/HistoricalFS!J21</f>
        <v>-0.47469326953211261</v>
      </c>
      <c r="K25" s="31">
        <f>(HistoricalFS!K18-HistoricalFS!K24)/HistoricalFS!K21</f>
        <v>1.079478385658198</v>
      </c>
      <c r="L25" s="32">
        <f>(HistoricalFS!L18-HistoricalFS!L24)/HistoricalFS!L21</f>
        <v>-1.2414275987824557E-2</v>
      </c>
      <c r="M25" s="30"/>
      <c r="N25" s="32">
        <f t="shared" si="3"/>
        <v>2.5183098077880914</v>
      </c>
      <c r="O25" s="32">
        <f t="shared" si="6"/>
        <v>2.4361664850615008</v>
      </c>
    </row>
    <row r="27" spans="2:15" x14ac:dyDescent="0.35">
      <c r="B27" s="22" t="s">
        <v>73</v>
      </c>
      <c r="C27" s="33">
        <f>IFERROR(HistoricalFS!C6/HistoricalFS!C59,0)</f>
        <v>17.226239096317382</v>
      </c>
      <c r="D27" s="33">
        <f>IFERROR(HistoricalFS!D6/HistoricalFS!D59,0)</f>
        <v>22.018970648453838</v>
      </c>
      <c r="E27" s="33">
        <f>IFERROR(HistoricalFS!E6/HistoricalFS!E59,0)</f>
        <v>20.92016821419486</v>
      </c>
      <c r="F27" s="33">
        <f>IFERROR(HistoricalFS!F6/HistoricalFS!F59,0)</f>
        <v>20.119918266350599</v>
      </c>
      <c r="G27" s="33">
        <f>IFERROR(HistoricalFS!G6/HistoricalFS!G59,0)</f>
        <v>19.160353236640844</v>
      </c>
      <c r="H27" s="33">
        <f>IFERROR(HistoricalFS!H6/HistoricalFS!H59,0)</f>
        <v>14.655712224718874</v>
      </c>
      <c r="I27" s="33">
        <f>IFERROR(HistoricalFS!I6/HistoricalFS!I59,0)</f>
        <v>15.894698773489607</v>
      </c>
      <c r="J27" s="33">
        <f>IFERROR(HistoricalFS!J6/HistoricalFS!J59,0)</f>
        <v>23.366617170976728</v>
      </c>
      <c r="K27" s="33">
        <f>IFERROR(HistoricalFS!K6/HistoricalFS!K59,0)</f>
        <v>19.701330853658153</v>
      </c>
      <c r="L27" s="34">
        <f>IFERROR(HistoricalFS!L6/HistoricalFS!L59,0)</f>
        <v>22.379917570317598</v>
      </c>
      <c r="M27" s="25"/>
      <c r="N27" s="34">
        <f t="shared" si="3"/>
        <v>19.544392605511845</v>
      </c>
      <c r="O27" s="34">
        <f t="shared" ref="O27:O31" si="8">IFERROR(MEDIAN(C27:L27),0)</f>
        <v>19.910624560004376</v>
      </c>
    </row>
    <row r="28" spans="2:15" x14ac:dyDescent="0.35">
      <c r="B28" t="s">
        <v>74</v>
      </c>
      <c r="C28" s="35">
        <f>IFERROR(HistoricalFS!C6/HistoricalFS!C50,0)</f>
        <v>2.4525850701936758</v>
      </c>
      <c r="D28" s="35">
        <f>IFERROR(HistoricalFS!D6/HistoricalFS!D50,0)</f>
        <v>2.5258516302731193</v>
      </c>
      <c r="E28" s="35">
        <f>IFERROR(HistoricalFS!E6/HistoricalFS!E50,0)</f>
        <v>2.4493010585757142</v>
      </c>
      <c r="F28" s="35">
        <f>IFERROR(HistoricalFS!F6/HistoricalFS!F50,0)</f>
        <v>2.3769603927858673</v>
      </c>
      <c r="G28" s="35">
        <f>IFERROR(HistoricalFS!G6/HistoricalFS!G50,0)</f>
        <v>1.9842807783040648</v>
      </c>
      <c r="H28" s="35">
        <f>IFERROR(HistoricalFS!H6/HistoricalFS!H50,0)</f>
        <v>2.0414780318629697</v>
      </c>
      <c r="I28" s="35">
        <f>IFERROR(HistoricalFS!I6/HistoricalFS!I50,0)</f>
        <v>2.1667847518227492</v>
      </c>
      <c r="J28" s="35">
        <f>IFERROR(HistoricalFS!J6/HistoricalFS!J50,0)</f>
        <v>1.9602534811345065</v>
      </c>
      <c r="K28" s="35">
        <f>IFERROR(HistoricalFS!K6/HistoricalFS!K50,0)</f>
        <v>1.7323684804395676</v>
      </c>
      <c r="L28" s="35">
        <f>IFERROR(HistoricalFS!L6/HistoricalFS!L50,0)</f>
        <v>2.0170312149360217</v>
      </c>
      <c r="N28" s="35">
        <f t="shared" si="3"/>
        <v>2.1706894890328257</v>
      </c>
      <c r="O28" s="35">
        <f t="shared" si="8"/>
        <v>2.1041313918428592</v>
      </c>
    </row>
    <row r="29" spans="2:15" x14ac:dyDescent="0.35">
      <c r="B29" t="s">
        <v>75</v>
      </c>
      <c r="C29" s="35">
        <f>IFERROR(HistoricalFS!C6/HistoricalFS!C60,0)</f>
        <v>8.9743929928572861</v>
      </c>
      <c r="D29" s="35">
        <f>IFERROR(HistoricalFS!D6/HistoricalFS!D60,0)</f>
        <v>8.5378093637574715</v>
      </c>
      <c r="E29" s="35">
        <f>IFERROR(HistoricalFS!E6/HistoricalFS!E60,0)</f>
        <v>8.9900219797938927</v>
      </c>
      <c r="F29" s="35">
        <f>IFERROR(HistoricalFS!F6/HistoricalFS!F60,0)</f>
        <v>8.3613381173839922</v>
      </c>
      <c r="G29" s="35">
        <f>IFERROR(HistoricalFS!G6/HistoricalFS!G60,0)</f>
        <v>7.6867643466738649</v>
      </c>
      <c r="H29" s="35">
        <f>IFERROR(HistoricalFS!H6/HistoricalFS!H60,0)</f>
        <v>6.9190051742350009</v>
      </c>
      <c r="I29" s="35">
        <f>IFERROR(HistoricalFS!I6/HistoricalFS!I60,0)</f>
        <v>7.7392856309817084</v>
      </c>
      <c r="J29" s="35">
        <f>IFERROR(HistoricalFS!J6/HistoricalFS!J60,0)</f>
        <v>6.9698269049637886</v>
      </c>
      <c r="K29" s="35">
        <f>IFERROR(HistoricalFS!K6/HistoricalFS!K60,0)</f>
        <v>6.9217098811563442</v>
      </c>
      <c r="L29" s="35">
        <f>IFERROR(HistoricalFS!L6/HistoricalFS!L60,0)</f>
        <v>7.9015588385356104</v>
      </c>
      <c r="N29" s="35">
        <f t="shared" si="3"/>
        <v>7.9001713230338968</v>
      </c>
      <c r="O29" s="35">
        <f t="shared" si="8"/>
        <v>7.8204222347586594</v>
      </c>
    </row>
    <row r="30" spans="2:15" x14ac:dyDescent="0.35">
      <c r="B30" t="s">
        <v>76</v>
      </c>
      <c r="C30" s="35">
        <f>IFERROR(HistoricalFS!C6/HistoricalFS!C53,0)</f>
        <v>3.4009512944381304</v>
      </c>
      <c r="D30" s="35">
        <f>IFERROR(HistoricalFS!D6/HistoricalFS!D53,0)</f>
        <v>3.3699237549186467</v>
      </c>
      <c r="E30" s="35">
        <f>IFERROR(HistoricalFS!E6/HistoricalFS!E53,0)</f>
        <v>2.9742370802544178</v>
      </c>
      <c r="F30" s="35">
        <f>IFERROR(HistoricalFS!F6/HistoricalFS!F53,0)</f>
        <v>2.546312771514708</v>
      </c>
      <c r="G30" s="35">
        <f>IFERROR(HistoricalFS!G6/HistoricalFS!G53,0)</f>
        <v>2.8109343484246239</v>
      </c>
      <c r="H30" s="35">
        <f>IFERROR(HistoricalFS!H6/HistoricalFS!H53,0)</f>
        <v>2.4012948768781421</v>
      </c>
      <c r="I30" s="35">
        <f>IFERROR(HistoricalFS!I6/HistoricalFS!I53,0)</f>
        <v>2.7144319562092578</v>
      </c>
      <c r="J30" s="35">
        <f>IFERROR(HistoricalFS!J6/HistoricalFS!J53,0)</f>
        <v>2.0539205744067566</v>
      </c>
      <c r="K30" s="35">
        <f>IFERROR(HistoricalFS!K6/HistoricalFS!K53,0)</f>
        <v>1.8008727134726064</v>
      </c>
      <c r="L30" s="35">
        <f>IFERROR(HistoricalFS!L6/HistoricalFS!L53,0)</f>
        <v>2.0053488717943728</v>
      </c>
      <c r="N30" s="35">
        <f t="shared" si="3"/>
        <v>2.6078228242311661</v>
      </c>
      <c r="O30" s="35">
        <f t="shared" si="8"/>
        <v>2.6303723638619827</v>
      </c>
    </row>
    <row r="31" spans="2:15" x14ac:dyDescent="0.35">
      <c r="B31" s="27" t="s">
        <v>77</v>
      </c>
      <c r="C31" s="31">
        <f>IFERROR(HistoricalFS!C6/SUM(HistoricalFS!C47:C48),0)</f>
        <v>5.0161060968772997</v>
      </c>
      <c r="D31" s="31">
        <f>IFERROR(HistoricalFS!D6/SUM(HistoricalFS!D47:D48),0)</f>
        <v>3.549106944832932</v>
      </c>
      <c r="E31" s="31">
        <f>IFERROR(HistoricalFS!E6/SUM(HistoricalFS!E47:E48),0)</f>
        <v>4.6773906756114965</v>
      </c>
      <c r="F31" s="31">
        <f>IFERROR(HistoricalFS!F6/SUM(HistoricalFS!F47:F48),0)</f>
        <v>3.4583567493379874</v>
      </c>
      <c r="G31" s="31">
        <f>IFERROR(HistoricalFS!G6/SUM(HistoricalFS!G47:G48),0)</f>
        <v>4.6449144180459854</v>
      </c>
      <c r="H31" s="31">
        <f>IFERROR(HistoricalFS!H6/SUM(HistoricalFS!H47:H48),0)</f>
        <v>3.0551908765475422</v>
      </c>
      <c r="I31" s="31">
        <f>IFERROR(HistoricalFS!I6/SUM(HistoricalFS!I47:I48),0)</f>
        <v>5.0172915853821474</v>
      </c>
      <c r="J31" s="31">
        <f>IFERROR(HistoricalFS!J6/SUM(HistoricalFS!J47:J48),0)</f>
        <v>4.196490075795241</v>
      </c>
      <c r="K31" s="31">
        <f>IFERROR(HistoricalFS!K6/SUM(HistoricalFS!K47:K48),0)</f>
        <v>4.5214403678625628</v>
      </c>
      <c r="L31" s="32">
        <f>IFERROR(HistoricalFS!L6/SUM(HistoricalFS!L47:L48),0)</f>
        <v>6.2487852671963351</v>
      </c>
      <c r="M31" s="30"/>
      <c r="N31" s="32">
        <f t="shared" si="3"/>
        <v>4.4385073057489519</v>
      </c>
      <c r="O31" s="32">
        <f t="shared" si="8"/>
        <v>4.5831773929542745</v>
      </c>
    </row>
    <row r="33" spans="2:15" x14ac:dyDescent="0.35">
      <c r="B33" t="s">
        <v>78</v>
      </c>
    </row>
    <row r="34" spans="2:15" x14ac:dyDescent="0.35">
      <c r="B34" s="22" t="s">
        <v>79</v>
      </c>
      <c r="C34" s="36">
        <f>IFERROR(365/C27,0)</f>
        <v>21.188606402080506</v>
      </c>
      <c r="D34" s="36">
        <f t="shared" ref="D34:L36" si="9">IFERROR(365/D27,0)</f>
        <v>16.576615039251624</v>
      </c>
      <c r="E34" s="36">
        <f t="shared" si="9"/>
        <v>17.447278447423685</v>
      </c>
      <c r="F34" s="36">
        <f t="shared" si="9"/>
        <v>18.141226776772818</v>
      </c>
      <c r="G34" s="36">
        <f t="shared" si="9"/>
        <v>19.049753180019717</v>
      </c>
      <c r="H34" s="36">
        <f t="shared" si="9"/>
        <v>24.904964999543136</v>
      </c>
      <c r="I34" s="36">
        <f t="shared" si="9"/>
        <v>22.963631157878556</v>
      </c>
      <c r="J34" s="36">
        <f t="shared" si="9"/>
        <v>15.620575170519771</v>
      </c>
      <c r="K34" s="36">
        <f t="shared" si="9"/>
        <v>18.52666719376608</v>
      </c>
      <c r="L34" s="37">
        <f t="shared" si="9"/>
        <v>16.309264717046954</v>
      </c>
      <c r="M34" s="25"/>
      <c r="N34" s="37">
        <f t="shared" ref="N34:N36" si="10">IFERROR(AVERAGE(C34:L34),0)</f>
        <v>19.072858308430284</v>
      </c>
      <c r="O34" s="37">
        <f t="shared" ref="O34:O37" si="11">IFERROR(MEDIAN(C34:L34),0)</f>
        <v>18.333946985269449</v>
      </c>
    </row>
    <row r="35" spans="2:15" x14ac:dyDescent="0.35">
      <c r="B35" t="s">
        <v>80</v>
      </c>
      <c r="C35" s="38">
        <f>IFERROR(365/C28,0)</f>
        <v>148.82256458128757</v>
      </c>
      <c r="D35" s="38">
        <f t="shared" si="9"/>
        <v>144.50571665626009</v>
      </c>
      <c r="E35" s="38">
        <f t="shared" si="9"/>
        <v>149.02210519283818</v>
      </c>
      <c r="F35" s="38">
        <f t="shared" si="9"/>
        <v>153.55745981623585</v>
      </c>
      <c r="G35" s="38">
        <f t="shared" si="9"/>
        <v>183.94574194885871</v>
      </c>
      <c r="H35" s="38">
        <f t="shared" si="9"/>
        <v>178.79202925682029</v>
      </c>
      <c r="I35" s="38">
        <f t="shared" si="9"/>
        <v>168.45235766633192</v>
      </c>
      <c r="J35" s="38">
        <f t="shared" si="9"/>
        <v>186.20040903524091</v>
      </c>
      <c r="K35" s="38">
        <f t="shared" si="9"/>
        <v>210.69420514242194</v>
      </c>
      <c r="L35" s="38">
        <f t="shared" si="9"/>
        <v>180.95902398395825</v>
      </c>
      <c r="N35" s="38">
        <f t="shared" si="10"/>
        <v>170.49516132802538</v>
      </c>
      <c r="O35" s="38">
        <f t="shared" si="11"/>
        <v>173.6221934615761</v>
      </c>
    </row>
    <row r="36" spans="2:15" x14ac:dyDescent="0.35">
      <c r="B36" t="s">
        <v>81</v>
      </c>
      <c r="C36" s="38">
        <f>IFERROR(365/C29,0)</f>
        <v>40.671274401567132</v>
      </c>
      <c r="D36" s="38">
        <f t="shared" si="9"/>
        <v>42.751013105235728</v>
      </c>
      <c r="E36" s="38">
        <f t="shared" si="9"/>
        <v>40.600568143256986</v>
      </c>
      <c r="F36" s="38">
        <f t="shared" si="9"/>
        <v>43.653299851746382</v>
      </c>
      <c r="G36" s="38">
        <f t="shared" si="9"/>
        <v>47.484218786795374</v>
      </c>
      <c r="H36" s="38">
        <f t="shared" si="9"/>
        <v>52.753248596949661</v>
      </c>
      <c r="I36" s="38">
        <f t="shared" si="9"/>
        <v>47.161975588398164</v>
      </c>
      <c r="J36" s="38">
        <f t="shared" si="9"/>
        <v>52.368588915752468</v>
      </c>
      <c r="K36" s="38">
        <f t="shared" si="9"/>
        <v>52.732634893247351</v>
      </c>
      <c r="L36" s="38">
        <f t="shared" si="9"/>
        <v>46.193416698982041</v>
      </c>
      <c r="N36" s="38">
        <f t="shared" si="10"/>
        <v>46.637023898193128</v>
      </c>
      <c r="O36" s="38">
        <f>IFERROR(MEDIAN(C36:L36),0)</f>
        <v>46.677696143690099</v>
      </c>
    </row>
    <row r="37" spans="2:15" x14ac:dyDescent="0.35">
      <c r="B37" s="27" t="s">
        <v>82</v>
      </c>
      <c r="C37" s="39">
        <f>IFERROR(SUM(C34,C36)-C35,0)</f>
        <v>-86.962683777639924</v>
      </c>
      <c r="D37" s="39">
        <f t="shared" ref="D37:L37" si="12">IFERROR(SUM(D34,D36)-D35,0)</f>
        <v>-85.178088511772742</v>
      </c>
      <c r="E37" s="39">
        <f t="shared" si="12"/>
        <v>-90.974258602157505</v>
      </c>
      <c r="F37" s="39">
        <f t="shared" si="12"/>
        <v>-91.762933187716641</v>
      </c>
      <c r="G37" s="39">
        <f t="shared" si="12"/>
        <v>-117.41176998204362</v>
      </c>
      <c r="H37" s="39">
        <f t="shared" si="12"/>
        <v>-101.13381566032749</v>
      </c>
      <c r="I37" s="39">
        <f t="shared" si="12"/>
        <v>-98.326750920055204</v>
      </c>
      <c r="J37" s="39">
        <f t="shared" si="12"/>
        <v>-118.21124494896867</v>
      </c>
      <c r="K37" s="39">
        <f t="shared" si="12"/>
        <v>-139.43490305540851</v>
      </c>
      <c r="L37" s="40">
        <f t="shared" si="12"/>
        <v>-118.45634256792925</v>
      </c>
      <c r="M37" s="30"/>
      <c r="N37" s="40">
        <f>IFERROR(AVERAGE(C37:L37),0)</f>
        <v>-104.78527912140196</v>
      </c>
      <c r="O37" s="40">
        <f t="shared" si="11"/>
        <v>-99.730283290191352</v>
      </c>
    </row>
    <row r="39" spans="2:15" x14ac:dyDescent="0.35">
      <c r="B39" s="22" t="s">
        <v>83</v>
      </c>
      <c r="C39" s="23">
        <f>IFERROR(HistoricalFS!C70/HistoricalFS!C6,0)</f>
        <v>0.11739125068878462</v>
      </c>
      <c r="D39" s="23">
        <f>IFERROR(HistoricalFS!D70/HistoricalFS!D6,0)</f>
        <v>0.15526603842416944</v>
      </c>
      <c r="E39" s="23">
        <f>IFERROR(HistoricalFS!E70/HistoricalFS!E6,0)</f>
        <v>0.13501823118481462</v>
      </c>
      <c r="F39" s="23">
        <f>IFERROR(HistoricalFS!F70/HistoricalFS!F6,0)</f>
        <v>0.13880296917437968</v>
      </c>
      <c r="G39" s="23">
        <f>IFERROR(HistoricalFS!G70/HistoricalFS!G6,0)</f>
        <v>0.11197659883101685</v>
      </c>
      <c r="H39" s="23">
        <f>IFERROR(HistoricalFS!H70/HistoricalFS!H6,0)</f>
        <v>8.1829465689783804E-2</v>
      </c>
      <c r="I39" s="23">
        <f>IFERROR(HistoricalFS!I70/HistoricalFS!I6,0)</f>
        <v>6.2564913902968283E-2</v>
      </c>
      <c r="J39" s="23">
        <f>IFERROR(HistoricalFS!J70/HistoricalFS!J6,0)</f>
        <v>0.10201534872316967</v>
      </c>
      <c r="K39" s="23">
        <f>IFERROR(HistoricalFS!K70/HistoricalFS!K6,0)</f>
        <v>0.11609735592921788</v>
      </c>
      <c r="L39" s="24">
        <f>IFERROR(HistoricalFS!L70/HistoricalFS!L6,0)</f>
        <v>5.1293389541856201E-2</v>
      </c>
      <c r="M39" s="25"/>
      <c r="N39" s="24">
        <f t="shared" ref="N39:N41" si="13">IFERROR(AVERAGE(C39:L39),0)</f>
        <v>0.10722555620901611</v>
      </c>
      <c r="O39" s="24">
        <f t="shared" ref="O39:O41" si="14">IFERROR(MEDIAN(C39:L39),0)</f>
        <v>0.11403697738011737</v>
      </c>
    </row>
    <row r="40" spans="2:15" x14ac:dyDescent="0.35">
      <c r="B40" t="s">
        <v>84</v>
      </c>
      <c r="C40" s="26">
        <f>IFERROR(HistoricalFS!C70/HistoricalFS!C62,0)</f>
        <v>0.41728662332116517</v>
      </c>
      <c r="D40" s="26">
        <f>IFERROR(HistoricalFS!D70/HistoricalFS!D62,0)</f>
        <v>0.53512157379607805</v>
      </c>
      <c r="E40" s="26">
        <f>IFERROR(HistoricalFS!E70/HistoricalFS!E62,0)</f>
        <v>0.48036443130951112</v>
      </c>
      <c r="F40" s="26">
        <f>IFERROR(HistoricalFS!F70/HistoricalFS!F62,0)</f>
        <v>0.49421049501975817</v>
      </c>
      <c r="G40" s="26">
        <f>IFERROR(HistoricalFS!G70/HistoricalFS!G62,0)</f>
        <v>0.35429019715683274</v>
      </c>
      <c r="H40" s="26">
        <f>IFERROR(HistoricalFS!H70/HistoricalFS!H62,0)</f>
        <v>0.24685663507746508</v>
      </c>
      <c r="I40" s="26">
        <f>IFERROR(HistoricalFS!I70/HistoricalFS!I62,0)</f>
        <v>0.20837212349788306</v>
      </c>
      <c r="J40" s="26">
        <f>IFERROR(HistoricalFS!J70/HistoricalFS!J62,0)</f>
        <v>0.32338585375247669</v>
      </c>
      <c r="K40" s="26">
        <f>IFERROR(HistoricalFS!K70/HistoricalFS!K62,0)</f>
        <v>0.3034791811187364</v>
      </c>
      <c r="L40" s="26">
        <f>IFERROR(HistoricalFS!L70/HistoricalFS!L62,0)</f>
        <v>0.16165889375014503</v>
      </c>
      <c r="N40" s="26">
        <f t="shared" si="13"/>
        <v>0.35250260078000517</v>
      </c>
      <c r="O40" s="26">
        <f t="shared" si="14"/>
        <v>0.33883802545465469</v>
      </c>
    </row>
    <row r="41" spans="2:15" x14ac:dyDescent="0.35">
      <c r="B41" s="27" t="s">
        <v>85</v>
      </c>
      <c r="C41" s="28">
        <f>IFERROR(HistoricalFS!C70/HistoricalFS!C49,)</f>
        <v>0.41259084167369287</v>
      </c>
      <c r="D41" s="28">
        <f>IFERROR(HistoricalFS!D70/HistoricalFS!D49,)</f>
        <v>0.59613787608249569</v>
      </c>
      <c r="E41" s="28">
        <f>IFERROR(HistoricalFS!E70/HistoricalFS!E49,)</f>
        <v>0.48269354366958256</v>
      </c>
      <c r="F41" s="28">
        <f>IFERROR(HistoricalFS!F70/HistoricalFS!F49,)</f>
        <v>0.54641813518923599</v>
      </c>
      <c r="G41" s="28">
        <f>IFERROR(HistoricalFS!G70/HistoricalFS!G49,)</f>
        <v>0.38419492244540293</v>
      </c>
      <c r="H41" s="28">
        <f>IFERROR(HistoricalFS!H70/HistoricalFS!H49,)</f>
        <v>0.26821016235214945</v>
      </c>
      <c r="I41" s="28">
        <f>IFERROR(HistoricalFS!I70/HistoricalFS!I49,)</f>
        <v>0.17792031558363741</v>
      </c>
      <c r="J41" s="28">
        <f>IFERROR(HistoricalFS!J70/HistoricalFS!J49,)</f>
        <v>0.21342610534184314</v>
      </c>
      <c r="K41" s="28">
        <f>IFERROR(HistoricalFS!K70/HistoricalFS!K49,)</f>
        <v>0.20404132622559662</v>
      </c>
      <c r="L41" s="29">
        <f>IFERROR(HistoricalFS!L70/HistoricalFS!L49,)</f>
        <v>9.7527651770721868E-2</v>
      </c>
      <c r="M41" s="30"/>
      <c r="N41" s="29">
        <f t="shared" si="13"/>
        <v>0.33831608803343582</v>
      </c>
      <c r="O41" s="29">
        <f t="shared" si="14"/>
        <v>0.32620254239877622</v>
      </c>
    </row>
  </sheetData>
  <mergeCells count="1">
    <mergeCell ref="B2:L2"/>
  </mergeCells>
  <pageMargins left="0.7" right="0.7" top="0.75" bottom="0.75" header="0.3" footer="0.3"/>
  <pageSetup paperSize="9" orientation="portrait" horizontalDpi="0" verticalDpi="0" r:id="rId1"/>
  <legacyDrawing r:id="rId2"/>
  <extLst>
    <ext xmlns:x14="http://schemas.microsoft.com/office/spreadsheetml/2009/9/main" uri="{05C60535-1F16-4fd2-B633-F4F36F0B64E0}">
      <x14:sparklineGroups xmlns:xm="http://schemas.microsoft.com/office/excel/2006/main">
        <x14:sparklineGroup displayEmptyCellsAs="gap" markers="1" xr2:uid="{35E35971-0F89-4202-A498-EEFB12A92F55}">
          <x14:colorSeries theme="4" tint="0.39997558519241921"/>
          <x14:colorNegative rgb="FFD00000"/>
          <x14:colorAxis rgb="FF000000"/>
          <x14:colorMarkers rgb="FF002060"/>
          <x14:colorFirst rgb="FFD00000"/>
          <x14:colorLast rgb="FFD00000"/>
          <x14:colorHigh rgb="FFD00000"/>
          <x14:colorLow rgb="FFD00000"/>
          <x14:sparklines>
            <x14:sparkline>
              <xm:f>'Ratio Analysis'!D5:L5</xm:f>
              <xm:sqref>M5</xm:sqref>
            </x14:sparkline>
            <x14:sparkline>
              <xm:f>'Ratio Analysis'!D6:L6</xm:f>
              <xm:sqref>M6</xm:sqref>
            </x14:sparkline>
            <x14:sparkline>
              <xm:f>'Ratio Analysis'!D7:L7</xm:f>
              <xm:sqref>M7</xm:sqref>
            </x14:sparkline>
            <x14:sparkline>
              <xm:f>'Ratio Analysis'!D8:L8</xm:f>
              <xm:sqref>M8</xm:sqref>
            </x14:sparkline>
            <x14:sparkline>
              <xm:f>'Ratio Analysis'!D9:L9</xm:f>
              <xm:sqref>M9</xm:sqref>
            </x14:sparkline>
          </x14:sparklines>
        </x14:sparklineGroup>
        <x14:sparklineGroup displayEmptyCellsAs="gap" markers="1" xr2:uid="{F625275A-EEA8-4BAE-81B4-B8A257F4AAFB}">
          <x14:colorSeries theme="4" tint="0.39997558519241921"/>
          <x14:colorNegative rgb="FFD00000"/>
          <x14:colorAxis rgb="FF000000"/>
          <x14:colorMarkers rgb="FF002060"/>
          <x14:colorFirst rgb="FFD00000"/>
          <x14:colorLast rgb="FFD00000"/>
          <x14:colorHigh rgb="FFD00000"/>
          <x14:colorLow rgb="FFD00000"/>
          <x14:sparklines>
            <x14:sparkline>
              <xm:f>'Ratio Analysis'!C11:L11</xm:f>
              <xm:sqref>M11</xm:sqref>
            </x14:sparkline>
            <x14:sparkline>
              <xm:f>'Ratio Analysis'!C12:L12</xm:f>
              <xm:sqref>M12</xm:sqref>
            </x14:sparkline>
            <x14:sparkline>
              <xm:f>'Ratio Analysis'!C13:L13</xm:f>
              <xm:sqref>M13</xm:sqref>
            </x14:sparkline>
            <x14:sparkline>
              <xm:f>'Ratio Analysis'!C14:L14</xm:f>
              <xm:sqref>M14</xm:sqref>
            </x14:sparkline>
            <x14:sparkline>
              <xm:f>'Ratio Analysis'!C15:L15</xm:f>
              <xm:sqref>M15</xm:sqref>
            </x14:sparkline>
            <x14:sparkline>
              <xm:f>'Ratio Analysis'!C16:L16</xm:f>
              <xm:sqref>M16</xm:sqref>
            </x14:sparkline>
            <x14:sparkline>
              <xm:f>'Ratio Analysis'!C17:L17</xm:f>
              <xm:sqref>M17</xm:sqref>
            </x14:sparkline>
            <x14:sparkline>
              <xm:f>'Ratio Analysis'!C18:L18</xm:f>
              <xm:sqref>M18</xm:sqref>
            </x14:sparkline>
            <x14:sparkline>
              <xm:f>'Ratio Analysis'!C19:L19</xm:f>
              <xm:sqref>M19</xm:sqref>
            </x14:sparkline>
            <x14:sparkline>
              <xm:f>'Ratio Analysis'!C20:L20</xm:f>
              <xm:sqref>M20</xm:sqref>
            </x14:sparkline>
            <x14:sparkline>
              <xm:f>'Ratio Analysis'!C21:L21</xm:f>
              <xm:sqref>M21</xm:sqref>
            </x14:sparkline>
            <x14:sparkline>
              <xm:f>'Ratio Analysis'!C22:L22</xm:f>
              <xm:sqref>M22</xm:sqref>
            </x14:sparkline>
            <x14:sparkline>
              <xm:f>'Ratio Analysis'!C23:L23</xm:f>
              <xm:sqref>M23</xm:sqref>
            </x14:sparkline>
            <x14:sparkline>
              <xm:f>'Ratio Analysis'!C24:L24</xm:f>
              <xm:sqref>M24</xm:sqref>
            </x14:sparkline>
            <x14:sparkline>
              <xm:f>'Ratio Analysis'!C25:L25</xm:f>
              <xm:sqref>M25</xm:sqref>
            </x14:sparkline>
            <x14:sparkline>
              <xm:f>'Ratio Analysis'!C26:L26</xm:f>
              <xm:sqref>M26</xm:sqref>
            </x14:sparkline>
            <x14:sparkline>
              <xm:f>'Ratio Analysis'!C27:L27</xm:f>
              <xm:sqref>M27</xm:sqref>
            </x14:sparkline>
            <x14:sparkline>
              <xm:f>'Ratio Analysis'!C28:L28</xm:f>
              <xm:sqref>M28</xm:sqref>
            </x14:sparkline>
            <x14:sparkline>
              <xm:f>'Ratio Analysis'!C29:L29</xm:f>
              <xm:sqref>M29</xm:sqref>
            </x14:sparkline>
            <x14:sparkline>
              <xm:f>'Ratio Analysis'!C30:L30</xm:f>
              <xm:sqref>M30</xm:sqref>
            </x14:sparkline>
            <x14:sparkline>
              <xm:f>'Ratio Analysis'!C31:L31</xm:f>
              <xm:sqref>M31</xm:sqref>
            </x14:sparkline>
            <x14:sparkline>
              <xm:f>'Ratio Analysis'!C32:L32</xm:f>
              <xm:sqref>M32</xm:sqref>
            </x14:sparkline>
            <x14:sparkline>
              <xm:f>'Ratio Analysis'!C33:L33</xm:f>
              <xm:sqref>M33</xm:sqref>
            </x14:sparkline>
            <x14:sparkline>
              <xm:f>'Ratio Analysis'!C34:L34</xm:f>
              <xm:sqref>M34</xm:sqref>
            </x14:sparkline>
            <x14:sparkline>
              <xm:f>'Ratio Analysis'!C35:L35</xm:f>
              <xm:sqref>M35</xm:sqref>
            </x14:sparkline>
            <x14:sparkline>
              <xm:f>'Ratio Analysis'!C36:L36</xm:f>
              <xm:sqref>M36</xm:sqref>
            </x14:sparkline>
            <x14:sparkline>
              <xm:f>'Ratio Analysis'!C37:L37</xm:f>
              <xm:sqref>M37</xm:sqref>
            </x14:sparkline>
            <x14:sparkline>
              <xm:f>'Ratio Analysis'!C38:L38</xm:f>
              <xm:sqref>M38</xm:sqref>
            </x14:sparkline>
            <x14:sparkline>
              <xm:f>'Ratio Analysis'!C39:L39</xm:f>
              <xm:sqref>M39</xm:sqref>
            </x14:sparkline>
            <x14:sparkline>
              <xm:f>'Ratio Analysis'!C40:L40</xm:f>
              <xm:sqref>M40</xm:sqref>
            </x14:sparkline>
            <x14:sparkline>
              <xm:f>'Ratio Analysis'!C41:L41</xm:f>
              <xm:sqref>M41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1A833-FF97-45B7-866D-01E83EC6506A}">
  <sheetPr>
    <tabColor rgb="FF002060"/>
  </sheetPr>
  <dimension ref="A1"/>
  <sheetViews>
    <sheetView workbookViewId="0">
      <selection activeCell="D70" sqref="D70"/>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70860-5768-437C-97E2-3B23FD5ADDF8}">
  <dimension ref="A1:L93"/>
  <sheetViews>
    <sheetView workbookViewId="0">
      <pane xSplit="1" ySplit="1" topLeftCell="B2" activePane="bottomRight" state="frozen"/>
      <selection activeCell="D70" sqref="D70"/>
      <selection pane="topRight" activeCell="D70" sqref="D70"/>
      <selection pane="bottomLeft" activeCell="D70" sqref="D70"/>
      <selection pane="bottomRight" activeCell="D70" sqref="D70"/>
    </sheetView>
  </sheetViews>
  <sheetFormatPr defaultColWidth="10.453125" defaultRowHeight="12.5" x14ac:dyDescent="0.25"/>
  <cols>
    <col min="1" max="1" width="26.7265625" style="43" bestFit="1" customWidth="1"/>
    <col min="2" max="11" width="11.453125" style="43" bestFit="1" customWidth="1"/>
    <col min="12" max="16384" width="10.453125" style="43"/>
  </cols>
  <sheetData>
    <row r="1" spans="1:11" s="41" customFormat="1" ht="13" x14ac:dyDescent="0.3">
      <c r="A1" s="41" t="s">
        <v>86</v>
      </c>
      <c r="B1" s="41" t="s">
        <v>87</v>
      </c>
      <c r="E1" s="42" t="str">
        <f>IF(B2&lt;&gt;B3, "A NEW VERSION OF THE WORKSHEET IS AVAILABLE", "")</f>
        <v/>
      </c>
      <c r="F1" s="42"/>
      <c r="G1" s="42"/>
      <c r="H1" s="42"/>
      <c r="I1" s="42"/>
      <c r="J1" s="42"/>
      <c r="K1" s="42"/>
    </row>
    <row r="2" spans="1:11" ht="13" x14ac:dyDescent="0.3">
      <c r="A2" s="41" t="s">
        <v>88</v>
      </c>
      <c r="B2" s="43">
        <v>2.1</v>
      </c>
      <c r="E2" s="44" t="s">
        <v>89</v>
      </c>
      <c r="F2" s="44"/>
      <c r="G2" s="44"/>
      <c r="H2" s="44"/>
      <c r="I2" s="44"/>
      <c r="J2" s="44"/>
      <c r="K2" s="44"/>
    </row>
    <row r="3" spans="1:11" ht="13" x14ac:dyDescent="0.3">
      <c r="A3" s="41" t="s">
        <v>90</v>
      </c>
      <c r="B3" s="43">
        <v>2.1</v>
      </c>
    </row>
    <row r="4" spans="1:11" ht="13" x14ac:dyDescent="0.3">
      <c r="A4" s="41"/>
    </row>
    <row r="5" spans="1:11" ht="13" x14ac:dyDescent="0.3">
      <c r="A5" s="41" t="s">
        <v>91</v>
      </c>
    </row>
    <row r="6" spans="1:11" x14ac:dyDescent="0.25">
      <c r="A6" s="43" t="s">
        <v>92</v>
      </c>
      <c r="B6" s="43">
        <f>IF(B9&gt;0, B9/B8, 0)</f>
        <v>358.58908869987852</v>
      </c>
    </row>
    <row r="7" spans="1:11" x14ac:dyDescent="0.25">
      <c r="A7" s="43" t="s">
        <v>93</v>
      </c>
      <c r="B7" s="45">
        <v>2</v>
      </c>
    </row>
    <row r="8" spans="1:11" x14ac:dyDescent="0.25">
      <c r="A8" s="43" t="s">
        <v>94</v>
      </c>
      <c r="B8" s="45">
        <v>411.5</v>
      </c>
    </row>
    <row r="9" spans="1:11" x14ac:dyDescent="0.25">
      <c r="A9" s="43" t="s">
        <v>95</v>
      </c>
      <c r="B9" s="45">
        <v>147559.41</v>
      </c>
    </row>
    <row r="15" spans="1:11" ht="13" x14ac:dyDescent="0.3">
      <c r="A15" s="41" t="s">
        <v>96</v>
      </c>
      <c r="B15" s="43">
        <f>B26+B34</f>
        <v>32432.079999999998</v>
      </c>
      <c r="K15" s="43">
        <f>K17-K18-K20-K21-K22-K23-K19</f>
        <v>29129.190000000006</v>
      </c>
    </row>
    <row r="16" spans="1:11" s="48" customFormat="1" ht="13" x14ac:dyDescent="0.3">
      <c r="A16" s="46" t="s">
        <v>97</v>
      </c>
      <c r="B16" s="47">
        <v>41364</v>
      </c>
      <c r="C16" s="47">
        <v>41729</v>
      </c>
      <c r="D16" s="47">
        <v>42094</v>
      </c>
      <c r="E16" s="47">
        <v>42460</v>
      </c>
      <c r="F16" s="47">
        <v>42825</v>
      </c>
      <c r="G16" s="47">
        <v>43190</v>
      </c>
      <c r="H16" s="47">
        <v>43555</v>
      </c>
      <c r="I16" s="47">
        <v>43921</v>
      </c>
      <c r="J16" s="47">
        <v>44286</v>
      </c>
      <c r="K16" s="47">
        <v>44651</v>
      </c>
    </row>
    <row r="17" spans="1:11" x14ac:dyDescent="0.25">
      <c r="A17" s="43" t="s">
        <v>4</v>
      </c>
      <c r="B17" s="45">
        <v>188792.69</v>
      </c>
      <c r="C17" s="45">
        <v>232833.66</v>
      </c>
      <c r="D17" s="45">
        <v>263158.98</v>
      </c>
      <c r="E17" s="45">
        <v>273045.59999999998</v>
      </c>
      <c r="F17" s="45">
        <v>269692.51</v>
      </c>
      <c r="G17" s="45">
        <v>291550.48</v>
      </c>
      <c r="H17" s="45">
        <v>301938.40000000002</v>
      </c>
      <c r="I17" s="45">
        <v>261067.97</v>
      </c>
      <c r="J17" s="45">
        <v>249794.75</v>
      </c>
      <c r="K17" s="45">
        <v>278453.62</v>
      </c>
    </row>
    <row r="18" spans="1:11" ht="14.5" x14ac:dyDescent="0.35">
      <c r="A18" s="43" t="s">
        <v>98</v>
      </c>
      <c r="B18" s="49">
        <v>123117.34</v>
      </c>
      <c r="C18" s="49">
        <v>146426.99</v>
      </c>
      <c r="D18" s="49">
        <v>163250.35999999999</v>
      </c>
      <c r="E18" s="49">
        <v>166134.01</v>
      </c>
      <c r="F18" s="49">
        <v>173294.07999999999</v>
      </c>
      <c r="G18" s="49">
        <v>187896.58</v>
      </c>
      <c r="H18" s="49">
        <v>194267.91</v>
      </c>
      <c r="I18" s="49">
        <v>164899.82</v>
      </c>
      <c r="J18" s="49">
        <v>153607.35999999999</v>
      </c>
      <c r="K18" s="49">
        <v>179295.33</v>
      </c>
    </row>
    <row r="19" spans="1:11" ht="14.5" x14ac:dyDescent="0.35">
      <c r="A19" s="43" t="s">
        <v>99</v>
      </c>
      <c r="B19" s="49">
        <v>3029.29</v>
      </c>
      <c r="C19" s="49">
        <v>2840.58</v>
      </c>
      <c r="D19" s="49">
        <v>3330.35</v>
      </c>
      <c r="E19" s="49">
        <v>2750.99</v>
      </c>
      <c r="F19" s="49">
        <v>7399.92</v>
      </c>
      <c r="G19" s="49">
        <v>2046.58</v>
      </c>
      <c r="H19" s="49">
        <v>-2053.2800000000002</v>
      </c>
      <c r="I19" s="49">
        <v>-2231.19</v>
      </c>
      <c r="J19" s="49">
        <v>-4684.16</v>
      </c>
      <c r="K19" s="49">
        <v>-1590.49</v>
      </c>
    </row>
    <row r="20" spans="1:11" x14ac:dyDescent="0.25">
      <c r="A20" s="43" t="s">
        <v>100</v>
      </c>
      <c r="B20" s="45">
        <v>1077.77</v>
      </c>
      <c r="C20" s="45">
        <v>1128.69</v>
      </c>
      <c r="D20" s="45">
        <v>1121.75</v>
      </c>
      <c r="E20" s="45">
        <v>1143.6300000000001</v>
      </c>
      <c r="F20" s="45">
        <v>1159.82</v>
      </c>
      <c r="G20" s="45">
        <v>1308.08</v>
      </c>
      <c r="H20" s="45">
        <v>1585.93</v>
      </c>
      <c r="I20" s="45">
        <v>1264.95</v>
      </c>
      <c r="J20" s="45">
        <v>1112.8699999999999</v>
      </c>
      <c r="K20" s="45">
        <v>2178.29</v>
      </c>
    </row>
    <row r="21" spans="1:11" x14ac:dyDescent="0.25">
      <c r="A21" s="43" t="s">
        <v>101</v>
      </c>
      <c r="B21" s="45">
        <v>4440.7299999999996</v>
      </c>
      <c r="C21" s="45">
        <v>13806.04</v>
      </c>
      <c r="D21" s="45">
        <v>16173.17</v>
      </c>
      <c r="E21" s="45">
        <v>12101.53</v>
      </c>
      <c r="F21" s="45">
        <v>10067.370000000001</v>
      </c>
      <c r="G21" s="45">
        <v>10971.66</v>
      </c>
      <c r="H21" s="45">
        <v>11694.54</v>
      </c>
      <c r="I21" s="45">
        <v>11541.51</v>
      </c>
      <c r="J21" s="45">
        <v>8273.17</v>
      </c>
      <c r="K21" s="45">
        <v>9427.3799999999992</v>
      </c>
    </row>
    <row r="22" spans="1:11" x14ac:dyDescent="0.25">
      <c r="A22" s="43" t="s">
        <v>102</v>
      </c>
      <c r="B22" s="45">
        <v>16632.189999999999</v>
      </c>
      <c r="C22" s="45">
        <v>21609.919999999998</v>
      </c>
      <c r="D22" s="45">
        <v>25641.95</v>
      </c>
      <c r="E22" s="45">
        <v>28880.89</v>
      </c>
      <c r="F22" s="45">
        <v>28332.89</v>
      </c>
      <c r="G22" s="45">
        <v>30300.09</v>
      </c>
      <c r="H22" s="45">
        <v>33243.870000000003</v>
      </c>
      <c r="I22" s="45">
        <v>30438.6</v>
      </c>
      <c r="J22" s="45">
        <v>27648.48</v>
      </c>
      <c r="K22" s="45">
        <v>30808.52</v>
      </c>
    </row>
    <row r="23" spans="1:11" x14ac:dyDescent="0.25">
      <c r="A23" s="43" t="s">
        <v>103</v>
      </c>
      <c r="B23" s="45">
        <v>16632.91</v>
      </c>
      <c r="C23" s="45">
        <v>22357.79</v>
      </c>
      <c r="D23" s="45">
        <v>23603.01</v>
      </c>
      <c r="E23" s="45">
        <v>21991.9</v>
      </c>
      <c r="F23" s="45">
        <v>30039.38</v>
      </c>
      <c r="G23" s="45">
        <v>31004.58</v>
      </c>
      <c r="H23" s="45">
        <v>32719.8</v>
      </c>
      <c r="I23" s="45">
        <v>29248.32</v>
      </c>
      <c r="J23" s="45">
        <v>23015.79</v>
      </c>
      <c r="K23" s="45">
        <v>29205.4</v>
      </c>
    </row>
    <row r="24" spans="1:11" x14ac:dyDescent="0.25">
      <c r="A24" s="43" t="s">
        <v>104</v>
      </c>
      <c r="B24" s="45">
        <v>5325.06</v>
      </c>
      <c r="C24" s="45">
        <v>-4508.55</v>
      </c>
      <c r="D24" s="45">
        <v>-2539.56</v>
      </c>
      <c r="E24" s="45">
        <v>7149.38</v>
      </c>
      <c r="F24" s="45">
        <v>4610.2</v>
      </c>
      <c r="G24" s="45">
        <v>658.39</v>
      </c>
      <c r="H24" s="45">
        <v>1708.74</v>
      </c>
      <c r="I24" s="45">
        <v>3456.51</v>
      </c>
      <c r="J24" s="45">
        <v>-834.51</v>
      </c>
      <c r="K24" s="45">
        <v>1228.1199999999999</v>
      </c>
    </row>
    <row r="25" spans="1:11" x14ac:dyDescent="0.25">
      <c r="A25" s="43" t="s">
        <v>105</v>
      </c>
      <c r="B25" s="45">
        <v>212.88</v>
      </c>
      <c r="C25" s="45">
        <v>-156.79</v>
      </c>
      <c r="D25" s="45">
        <v>714.03</v>
      </c>
      <c r="E25" s="45">
        <v>-2669.62</v>
      </c>
      <c r="F25" s="45">
        <v>1869.1</v>
      </c>
      <c r="G25" s="45">
        <v>5932.73</v>
      </c>
      <c r="H25" s="45">
        <v>-26686.25</v>
      </c>
      <c r="I25" s="45">
        <v>101.71</v>
      </c>
      <c r="J25" s="45">
        <v>-11117.83</v>
      </c>
      <c r="K25" s="45">
        <v>2424.0500000000002</v>
      </c>
    </row>
    <row r="26" spans="1:11" x14ac:dyDescent="0.25">
      <c r="A26" s="43" t="s">
        <v>17</v>
      </c>
      <c r="B26" s="45">
        <v>7601.28</v>
      </c>
      <c r="C26" s="45">
        <v>11078.16</v>
      </c>
      <c r="D26" s="45">
        <v>13388.63</v>
      </c>
      <c r="E26" s="45">
        <v>16710.78</v>
      </c>
      <c r="F26" s="45">
        <v>17904.990000000002</v>
      </c>
      <c r="G26" s="45">
        <v>21553.59</v>
      </c>
      <c r="H26" s="45">
        <v>23590.63</v>
      </c>
      <c r="I26" s="45">
        <v>21425.43</v>
      </c>
      <c r="J26" s="45">
        <v>23546.71</v>
      </c>
      <c r="K26" s="45">
        <v>24835.69</v>
      </c>
    </row>
    <row r="27" spans="1:11" ht="14.5" x14ac:dyDescent="0.35">
      <c r="A27" s="43" t="s">
        <v>15</v>
      </c>
      <c r="B27" s="45">
        <v>3560.25</v>
      </c>
      <c r="C27" s="45">
        <v>4749.4399999999996</v>
      </c>
      <c r="D27" s="45">
        <v>4861.49</v>
      </c>
      <c r="E27" s="45">
        <v>4889.08</v>
      </c>
      <c r="F27" s="45">
        <v>4238.01</v>
      </c>
      <c r="G27" s="45">
        <v>4681.79</v>
      </c>
      <c r="H27" s="45">
        <v>5758.6</v>
      </c>
      <c r="I27" s="45">
        <v>7243.33</v>
      </c>
      <c r="J27" s="49">
        <v>8097.17</v>
      </c>
      <c r="K27" s="49">
        <v>9311.86</v>
      </c>
    </row>
    <row r="28" spans="1:11" x14ac:dyDescent="0.25">
      <c r="A28" s="43" t="s">
        <v>106</v>
      </c>
      <c r="B28" s="45">
        <v>13647.33</v>
      </c>
      <c r="C28" s="45">
        <v>18868.97</v>
      </c>
      <c r="D28" s="45">
        <v>21702.560000000001</v>
      </c>
      <c r="E28" s="45">
        <v>14125.77</v>
      </c>
      <c r="F28" s="45">
        <v>9314.7900000000009</v>
      </c>
      <c r="G28" s="45">
        <v>11155.03</v>
      </c>
      <c r="H28" s="45">
        <v>-31371.15</v>
      </c>
      <c r="I28" s="45">
        <v>-10579.98</v>
      </c>
      <c r="J28" s="45">
        <v>-10474.280000000001</v>
      </c>
      <c r="K28" s="45">
        <v>-7003.41</v>
      </c>
    </row>
    <row r="29" spans="1:11" x14ac:dyDescent="0.25">
      <c r="A29" s="43" t="s">
        <v>21</v>
      </c>
      <c r="B29" s="45">
        <v>3776.66</v>
      </c>
      <c r="C29" s="45">
        <v>4764.79</v>
      </c>
      <c r="D29" s="45">
        <v>7642.91</v>
      </c>
      <c r="E29" s="45">
        <v>3025.05</v>
      </c>
      <c r="F29" s="45">
        <v>3251.23</v>
      </c>
      <c r="G29" s="45">
        <v>4341.93</v>
      </c>
      <c r="H29" s="45">
        <v>-2437.4499999999998</v>
      </c>
      <c r="I29" s="45">
        <v>395.25</v>
      </c>
      <c r="J29" s="45">
        <v>2541.86</v>
      </c>
      <c r="K29" s="45">
        <v>4231.29</v>
      </c>
    </row>
    <row r="30" spans="1:11" x14ac:dyDescent="0.25">
      <c r="A30" s="43" t="s">
        <v>107</v>
      </c>
      <c r="B30" s="45">
        <v>9892.61</v>
      </c>
      <c r="C30" s="45">
        <v>13991.02</v>
      </c>
      <c r="D30" s="45">
        <v>13986.29</v>
      </c>
      <c r="E30" s="45">
        <v>11579.31</v>
      </c>
      <c r="F30" s="45">
        <v>7454.36</v>
      </c>
      <c r="G30" s="45">
        <v>8988.91</v>
      </c>
      <c r="H30" s="45">
        <v>-28826.23</v>
      </c>
      <c r="I30" s="45">
        <v>-12070.85</v>
      </c>
      <c r="J30" s="45">
        <v>-13451.39</v>
      </c>
      <c r="K30" s="45">
        <v>-11441.47</v>
      </c>
    </row>
    <row r="31" spans="1:11" x14ac:dyDescent="0.25">
      <c r="A31" s="43" t="s">
        <v>108</v>
      </c>
      <c r="B31" s="45">
        <v>638.07000000000005</v>
      </c>
      <c r="C31" s="45">
        <v>643.78</v>
      </c>
      <c r="D31" s="45"/>
      <c r="E31" s="45">
        <v>67.92</v>
      </c>
      <c r="F31" s="45"/>
      <c r="G31" s="45"/>
      <c r="H31" s="45"/>
      <c r="I31" s="45"/>
      <c r="J31" s="45"/>
      <c r="K31" s="45"/>
    </row>
    <row r="32" spans="1:11" x14ac:dyDescent="0.25">
      <c r="A32" s="43" t="s">
        <v>22</v>
      </c>
      <c r="B32" s="50">
        <f>B29/B28</f>
        <v>0.27673251837538915</v>
      </c>
      <c r="C32" s="50">
        <f t="shared" ref="C32:K32" si="0">C29/C28</f>
        <v>0.252519877873567</v>
      </c>
      <c r="D32" s="50">
        <f t="shared" si="0"/>
        <v>0.3521662882166896</v>
      </c>
      <c r="E32" s="50">
        <f t="shared" si="0"/>
        <v>0.21415115777759372</v>
      </c>
      <c r="F32" s="50">
        <f t="shared" si="0"/>
        <v>0.34903953819678163</v>
      </c>
      <c r="G32" s="50">
        <f t="shared" si="0"/>
        <v>0.38923517014297587</v>
      </c>
      <c r="H32" s="50">
        <f t="shared" si="0"/>
        <v>7.7697183558779317E-2</v>
      </c>
      <c r="I32" s="50">
        <f t="shared" si="0"/>
        <v>-3.735829368297483E-2</v>
      </c>
      <c r="J32" s="50">
        <f t="shared" si="0"/>
        <v>-0.24267634625005249</v>
      </c>
      <c r="K32" s="50">
        <f t="shared" si="0"/>
        <v>-0.60417568013296385</v>
      </c>
    </row>
    <row r="34" spans="1:11" x14ac:dyDescent="0.25">
      <c r="A34" s="43" t="s">
        <v>13</v>
      </c>
      <c r="B34" s="43">
        <f>+B30+B29+B27+B26</f>
        <v>24830.799999999999</v>
      </c>
      <c r="C34" s="43">
        <f t="shared" ref="C34:K34" si="1">+C30+C29+C27+C26</f>
        <v>34583.410000000003</v>
      </c>
      <c r="D34" s="43">
        <f t="shared" si="1"/>
        <v>39879.32</v>
      </c>
      <c r="E34" s="43">
        <f t="shared" si="1"/>
        <v>36204.22</v>
      </c>
      <c r="F34" s="43">
        <f t="shared" si="1"/>
        <v>32848.590000000004</v>
      </c>
      <c r="G34" s="43">
        <f t="shared" si="1"/>
        <v>39566.22</v>
      </c>
      <c r="H34" s="43">
        <f t="shared" si="1"/>
        <v>-1914.4500000000007</v>
      </c>
      <c r="I34" s="43">
        <f t="shared" si="1"/>
        <v>16993.16</v>
      </c>
      <c r="J34" s="43">
        <f t="shared" si="1"/>
        <v>20734.349999999999</v>
      </c>
      <c r="K34" s="43">
        <f t="shared" si="1"/>
        <v>26937.37</v>
      </c>
    </row>
    <row r="40" spans="1:11" ht="13" x14ac:dyDescent="0.3">
      <c r="A40" s="41" t="s">
        <v>109</v>
      </c>
    </row>
    <row r="41" spans="1:11" s="48" customFormat="1" ht="13" x14ac:dyDescent="0.3">
      <c r="A41" s="46" t="s">
        <v>97</v>
      </c>
      <c r="B41" s="47">
        <v>44012</v>
      </c>
      <c r="C41" s="47">
        <v>44104</v>
      </c>
      <c r="D41" s="47">
        <v>44196</v>
      </c>
      <c r="E41" s="47">
        <v>44286</v>
      </c>
      <c r="F41" s="47">
        <v>44377</v>
      </c>
      <c r="G41" s="47">
        <v>44469</v>
      </c>
      <c r="H41" s="47">
        <v>44561</v>
      </c>
      <c r="I41" s="47">
        <v>44651</v>
      </c>
      <c r="J41" s="47">
        <v>44742</v>
      </c>
      <c r="K41" s="47">
        <v>44834</v>
      </c>
    </row>
    <row r="42" spans="1:11" x14ac:dyDescent="0.25">
      <c r="A42" s="43" t="s">
        <v>4</v>
      </c>
      <c r="B42" s="45">
        <v>31983.06</v>
      </c>
      <c r="C42" s="45">
        <v>53530</v>
      </c>
      <c r="D42" s="45">
        <v>75653.789999999994</v>
      </c>
      <c r="E42" s="45">
        <v>88627.9</v>
      </c>
      <c r="F42" s="45">
        <v>66406.45</v>
      </c>
      <c r="G42" s="45">
        <v>61378.82</v>
      </c>
      <c r="H42" s="45">
        <v>72229.289999999994</v>
      </c>
      <c r="I42" s="45">
        <v>78439.06</v>
      </c>
      <c r="J42" s="45">
        <v>71934.66</v>
      </c>
      <c r="K42" s="45">
        <v>79611.37</v>
      </c>
    </row>
    <row r="43" spans="1:11" x14ac:dyDescent="0.25">
      <c r="A43" s="43" t="s">
        <v>110</v>
      </c>
      <c r="B43" s="45">
        <v>31300.36</v>
      </c>
      <c r="C43" s="45">
        <v>47431.7</v>
      </c>
      <c r="D43" s="45">
        <v>63521.09</v>
      </c>
      <c r="E43" s="45">
        <v>75254.17</v>
      </c>
      <c r="F43" s="45">
        <v>61163.78</v>
      </c>
      <c r="G43" s="45">
        <v>57262.21</v>
      </c>
      <c r="H43" s="45">
        <v>65151.27</v>
      </c>
      <c r="I43" s="45">
        <v>70156.27</v>
      </c>
      <c r="J43" s="45">
        <v>69521.929999999993</v>
      </c>
      <c r="K43" s="45">
        <v>74039.06</v>
      </c>
    </row>
    <row r="44" spans="1:11" x14ac:dyDescent="0.25">
      <c r="A44" s="43" t="s">
        <v>105</v>
      </c>
      <c r="B44" s="45">
        <v>609.75</v>
      </c>
      <c r="C44" s="45">
        <v>638.1</v>
      </c>
      <c r="D44" s="45">
        <v>289.37</v>
      </c>
      <c r="E44" s="45">
        <v>-12655.05</v>
      </c>
      <c r="F44" s="45">
        <v>584.12</v>
      </c>
      <c r="G44" s="45">
        <v>862.46</v>
      </c>
      <c r="H44" s="45">
        <v>788.73</v>
      </c>
      <c r="I44" s="45">
        <v>188.74</v>
      </c>
      <c r="J44" s="45">
        <v>2380.98</v>
      </c>
      <c r="K44" s="45">
        <v>1351.14</v>
      </c>
    </row>
    <row r="45" spans="1:11" x14ac:dyDescent="0.25">
      <c r="A45" s="43" t="s">
        <v>17</v>
      </c>
      <c r="B45" s="45">
        <v>5599.37</v>
      </c>
      <c r="C45" s="45">
        <v>5601.47</v>
      </c>
      <c r="D45" s="45">
        <v>6128.75</v>
      </c>
      <c r="E45" s="45">
        <v>6217.12</v>
      </c>
      <c r="F45" s="45">
        <v>6202.13</v>
      </c>
      <c r="G45" s="45">
        <v>6123.32</v>
      </c>
      <c r="H45" s="45">
        <v>6078.13</v>
      </c>
      <c r="I45" s="45">
        <v>6432.11</v>
      </c>
      <c r="J45" s="45">
        <v>5841.04</v>
      </c>
      <c r="K45" s="45">
        <v>5897.34</v>
      </c>
    </row>
    <row r="46" spans="1:11" ht="14.5" x14ac:dyDescent="0.35">
      <c r="A46" s="43" t="s">
        <v>15</v>
      </c>
      <c r="B46" s="49">
        <v>1876.81</v>
      </c>
      <c r="C46" s="49">
        <v>1949.6</v>
      </c>
      <c r="D46" s="49">
        <v>2125.9299999999998</v>
      </c>
      <c r="E46" s="49">
        <v>2144.83</v>
      </c>
      <c r="F46" s="49">
        <v>2203.3000000000002</v>
      </c>
      <c r="G46" s="49">
        <v>2327.3000000000002</v>
      </c>
      <c r="H46" s="49">
        <v>2400.7399999999998</v>
      </c>
      <c r="I46" s="49">
        <v>2380.52</v>
      </c>
      <c r="J46" s="49">
        <v>2420.7199999999998</v>
      </c>
      <c r="K46" s="49">
        <v>2487.2600000000002</v>
      </c>
    </row>
    <row r="47" spans="1:11" x14ac:dyDescent="0.25">
      <c r="A47" s="43" t="s">
        <v>106</v>
      </c>
      <c r="B47" s="45">
        <v>-6183.73</v>
      </c>
      <c r="C47" s="45">
        <v>-814.67</v>
      </c>
      <c r="D47" s="45">
        <v>4167.3900000000003</v>
      </c>
      <c r="E47" s="45">
        <v>-7643.27</v>
      </c>
      <c r="F47" s="45">
        <v>-2578.64</v>
      </c>
      <c r="G47" s="45">
        <v>-3471.55</v>
      </c>
      <c r="H47" s="45">
        <v>-612.12</v>
      </c>
      <c r="I47" s="45">
        <v>-341.1</v>
      </c>
      <c r="J47" s="45">
        <v>-3468.05</v>
      </c>
      <c r="K47" s="45">
        <v>-1461.15</v>
      </c>
    </row>
    <row r="48" spans="1:11" x14ac:dyDescent="0.25">
      <c r="A48" s="43" t="s">
        <v>21</v>
      </c>
      <c r="B48" s="45">
        <v>2200.4899999999998</v>
      </c>
      <c r="C48" s="45">
        <v>-471.39</v>
      </c>
      <c r="D48" s="45">
        <v>945.18</v>
      </c>
      <c r="E48" s="45">
        <v>-132.41999999999999</v>
      </c>
      <c r="F48" s="45">
        <v>1741.96</v>
      </c>
      <c r="G48" s="45">
        <v>1005.06</v>
      </c>
      <c r="H48" s="45">
        <v>726.05</v>
      </c>
      <c r="I48" s="45">
        <v>758.22</v>
      </c>
      <c r="J48" s="45">
        <v>1518.96</v>
      </c>
      <c r="K48" s="45">
        <v>-457.08</v>
      </c>
    </row>
    <row r="49" spans="1:11" x14ac:dyDescent="0.25">
      <c r="A49" s="43" t="s">
        <v>107</v>
      </c>
      <c r="B49" s="45">
        <v>-8437.99</v>
      </c>
      <c r="C49" s="45">
        <v>-314.45</v>
      </c>
      <c r="D49" s="45">
        <v>2906.45</v>
      </c>
      <c r="E49" s="45">
        <v>-7605.4</v>
      </c>
      <c r="F49" s="45">
        <v>-4450.92</v>
      </c>
      <c r="G49" s="45">
        <v>-4441.57</v>
      </c>
      <c r="H49" s="45">
        <v>-1516.14</v>
      </c>
      <c r="I49" s="45">
        <v>-1032.8399999999999</v>
      </c>
      <c r="J49" s="45">
        <v>-5006.6000000000004</v>
      </c>
      <c r="K49" s="45">
        <v>-944.61</v>
      </c>
    </row>
    <row r="50" spans="1:11" x14ac:dyDescent="0.25">
      <c r="A50" s="43" t="s">
        <v>111</v>
      </c>
      <c r="B50" s="45">
        <v>682.7</v>
      </c>
      <c r="C50" s="45">
        <v>6098.3</v>
      </c>
      <c r="D50" s="45">
        <v>12132.7</v>
      </c>
      <c r="E50" s="45">
        <v>13373.73</v>
      </c>
      <c r="F50" s="45">
        <v>5242.67</v>
      </c>
      <c r="G50" s="45">
        <v>4116.6099999999997</v>
      </c>
      <c r="H50" s="45">
        <v>7078.02</v>
      </c>
      <c r="I50" s="45">
        <v>8282.7900000000009</v>
      </c>
      <c r="J50" s="45">
        <v>2412.73</v>
      </c>
      <c r="K50" s="45">
        <v>5572.31</v>
      </c>
    </row>
    <row r="51" spans="1:11" x14ac:dyDescent="0.25">
      <c r="A51" s="43" t="s">
        <v>13</v>
      </c>
      <c r="B51" s="43">
        <f>B49+B48+B46+B45</f>
        <v>1238.6799999999994</v>
      </c>
      <c r="C51" s="43">
        <f t="shared" ref="C51:K51" si="2">C49+C48+C46+C45</f>
        <v>6765.2300000000005</v>
      </c>
      <c r="D51" s="43">
        <f t="shared" si="2"/>
        <v>12106.31</v>
      </c>
      <c r="E51" s="43">
        <f t="shared" si="2"/>
        <v>624.13000000000011</v>
      </c>
      <c r="F51" s="43">
        <f t="shared" si="2"/>
        <v>5696.47</v>
      </c>
      <c r="G51" s="43">
        <f t="shared" si="2"/>
        <v>5014.1100000000006</v>
      </c>
      <c r="H51" s="43">
        <f t="shared" si="2"/>
        <v>7688.78</v>
      </c>
      <c r="I51" s="43">
        <f t="shared" si="2"/>
        <v>8538.01</v>
      </c>
      <c r="J51" s="43">
        <f t="shared" si="2"/>
        <v>4774.119999999999</v>
      </c>
      <c r="K51" s="43">
        <f t="shared" si="2"/>
        <v>6982.91</v>
      </c>
    </row>
    <row r="55" spans="1:11" ht="13" x14ac:dyDescent="0.3">
      <c r="A55" s="41" t="s">
        <v>112</v>
      </c>
    </row>
    <row r="56" spans="1:11" s="48" customFormat="1" ht="13" x14ac:dyDescent="0.3">
      <c r="A56" s="46" t="s">
        <v>97</v>
      </c>
      <c r="B56" s="47">
        <v>41364</v>
      </c>
      <c r="C56" s="47">
        <v>41729</v>
      </c>
      <c r="D56" s="47">
        <v>42094</v>
      </c>
      <c r="E56" s="47">
        <v>42460</v>
      </c>
      <c r="F56" s="47">
        <v>42825</v>
      </c>
      <c r="G56" s="47">
        <v>43190</v>
      </c>
      <c r="H56" s="47">
        <v>43555</v>
      </c>
      <c r="I56" s="47">
        <v>43921</v>
      </c>
      <c r="J56" s="47">
        <v>44286</v>
      </c>
      <c r="K56" s="47">
        <v>44651</v>
      </c>
    </row>
    <row r="57" spans="1:11" x14ac:dyDescent="0.25">
      <c r="A57" s="43" t="s">
        <v>32</v>
      </c>
      <c r="B57" s="45">
        <v>638.07000000000005</v>
      </c>
      <c r="C57" s="45">
        <v>643.78</v>
      </c>
      <c r="D57" s="45">
        <v>643.78</v>
      </c>
      <c r="E57" s="45">
        <v>679.18</v>
      </c>
      <c r="F57" s="45">
        <v>679.22</v>
      </c>
      <c r="G57" s="45">
        <v>679.22</v>
      </c>
      <c r="H57" s="45">
        <v>679.22</v>
      </c>
      <c r="I57" s="45">
        <v>719.54</v>
      </c>
      <c r="J57" s="45">
        <v>765.81</v>
      </c>
      <c r="K57" s="45">
        <v>765.88</v>
      </c>
    </row>
    <row r="58" spans="1:11" x14ac:dyDescent="0.25">
      <c r="A58" s="43" t="s">
        <v>33</v>
      </c>
      <c r="B58" s="45">
        <v>36999.230000000003</v>
      </c>
      <c r="C58" s="45">
        <v>64959.67</v>
      </c>
      <c r="D58" s="45">
        <v>55618.14</v>
      </c>
      <c r="E58" s="45">
        <v>78273.23</v>
      </c>
      <c r="F58" s="45">
        <v>57382.67</v>
      </c>
      <c r="G58" s="45">
        <v>94748.69</v>
      </c>
      <c r="H58" s="45">
        <v>59500.34</v>
      </c>
      <c r="I58" s="45">
        <v>61491.49</v>
      </c>
      <c r="J58" s="45">
        <v>54480.91</v>
      </c>
      <c r="K58" s="45">
        <v>43795.360000000001</v>
      </c>
    </row>
    <row r="59" spans="1:11" ht="14.5" x14ac:dyDescent="0.35">
      <c r="A59" s="43" t="s">
        <v>34</v>
      </c>
      <c r="B59" s="49">
        <v>53715.71</v>
      </c>
      <c r="C59" s="49">
        <v>60642.28</v>
      </c>
      <c r="D59" s="49">
        <v>73610.39</v>
      </c>
      <c r="E59" s="49">
        <v>69359.960000000006</v>
      </c>
      <c r="F59" s="49">
        <v>78603.98</v>
      </c>
      <c r="G59" s="49">
        <v>88950.47</v>
      </c>
      <c r="H59" s="49">
        <v>106175.34</v>
      </c>
      <c r="I59" s="49">
        <v>124787.64</v>
      </c>
      <c r="J59" s="49">
        <v>142130.57</v>
      </c>
      <c r="K59" s="49">
        <v>146449.03</v>
      </c>
    </row>
    <row r="60" spans="1:11" x14ac:dyDescent="0.25">
      <c r="A60" s="43" t="s">
        <v>35</v>
      </c>
      <c r="B60" s="45">
        <v>76977.02</v>
      </c>
      <c r="C60" s="45">
        <v>92180.26</v>
      </c>
      <c r="D60" s="45">
        <v>107442.48</v>
      </c>
      <c r="E60" s="45">
        <v>114871.75</v>
      </c>
      <c r="F60" s="45">
        <v>135914.49</v>
      </c>
      <c r="G60" s="45">
        <v>142813.43</v>
      </c>
      <c r="H60" s="45">
        <v>139348.59</v>
      </c>
      <c r="I60" s="45">
        <v>133180.72</v>
      </c>
      <c r="J60" s="45">
        <v>144192.62</v>
      </c>
      <c r="K60" s="45">
        <v>138051.22</v>
      </c>
    </row>
    <row r="61" spans="1:11" s="41" customFormat="1" ht="13" x14ac:dyDescent="0.3">
      <c r="A61" s="41" t="s">
        <v>113</v>
      </c>
      <c r="B61" s="45">
        <v>168330.03</v>
      </c>
      <c r="C61" s="45">
        <v>218425.99</v>
      </c>
      <c r="D61" s="45">
        <v>237314.79</v>
      </c>
      <c r="E61" s="45">
        <v>263184.12</v>
      </c>
      <c r="F61" s="45">
        <v>272580.36</v>
      </c>
      <c r="G61" s="45">
        <v>327191.81</v>
      </c>
      <c r="H61" s="45">
        <v>305703.49</v>
      </c>
      <c r="I61" s="45">
        <v>320179.39</v>
      </c>
      <c r="J61" s="45">
        <v>341569.91</v>
      </c>
      <c r="K61" s="45">
        <v>329061.49</v>
      </c>
    </row>
    <row r="62" spans="1:11" x14ac:dyDescent="0.25">
      <c r="A62" s="43" t="s">
        <v>114</v>
      </c>
      <c r="B62" s="45">
        <v>55511.73</v>
      </c>
      <c r="C62" s="45">
        <v>69091.67</v>
      </c>
      <c r="D62" s="45">
        <v>88479.49</v>
      </c>
      <c r="E62" s="45">
        <v>107231.76</v>
      </c>
      <c r="F62" s="45">
        <v>95944.08</v>
      </c>
      <c r="G62" s="45">
        <v>121413.86</v>
      </c>
      <c r="H62" s="45">
        <v>111234.47</v>
      </c>
      <c r="I62" s="45">
        <v>127107.14</v>
      </c>
      <c r="J62" s="45">
        <v>138707.60999999999</v>
      </c>
      <c r="K62" s="45">
        <v>138855.45000000001</v>
      </c>
    </row>
    <row r="63" spans="1:11" x14ac:dyDescent="0.25">
      <c r="A63" s="43" t="s">
        <v>38</v>
      </c>
      <c r="B63" s="45">
        <v>18453.55</v>
      </c>
      <c r="C63" s="45">
        <v>33262.559999999998</v>
      </c>
      <c r="D63" s="45">
        <v>28640.09</v>
      </c>
      <c r="E63" s="45">
        <v>25918.94</v>
      </c>
      <c r="F63" s="45">
        <v>33698.839999999997</v>
      </c>
      <c r="G63" s="45">
        <v>40033.5</v>
      </c>
      <c r="H63" s="45">
        <v>31883.84</v>
      </c>
      <c r="I63" s="45">
        <v>35622.29</v>
      </c>
      <c r="J63" s="45">
        <v>20963.93</v>
      </c>
      <c r="K63" s="45">
        <v>10251.09</v>
      </c>
    </row>
    <row r="64" spans="1:11" ht="14.5" x14ac:dyDescent="0.35">
      <c r="A64" s="43" t="s">
        <v>39</v>
      </c>
      <c r="B64" s="45">
        <v>8764.73</v>
      </c>
      <c r="C64" s="49">
        <v>10686.67</v>
      </c>
      <c r="D64" s="45">
        <v>15336.74</v>
      </c>
      <c r="E64" s="45">
        <v>23767.02</v>
      </c>
      <c r="F64" s="45">
        <v>20337.919999999998</v>
      </c>
      <c r="G64" s="45">
        <v>20812.75</v>
      </c>
      <c r="H64" s="45">
        <v>15770.72</v>
      </c>
      <c r="I64" s="45">
        <v>16308.48</v>
      </c>
      <c r="J64" s="45">
        <v>24620.28</v>
      </c>
      <c r="K64" s="45">
        <v>29379.53</v>
      </c>
    </row>
    <row r="65" spans="1:11" x14ac:dyDescent="0.25">
      <c r="A65" s="43" t="s">
        <v>40</v>
      </c>
      <c r="B65" s="45">
        <v>85600.02</v>
      </c>
      <c r="C65" s="45">
        <v>105385.09</v>
      </c>
      <c r="D65" s="45">
        <v>104858.47</v>
      </c>
      <c r="E65" s="45">
        <v>106266.4</v>
      </c>
      <c r="F65" s="45">
        <v>122599.52</v>
      </c>
      <c r="G65" s="45">
        <v>144931.70000000001</v>
      </c>
      <c r="H65" s="45">
        <v>146814.46</v>
      </c>
      <c r="I65" s="45">
        <v>141141.48000000001</v>
      </c>
      <c r="J65" s="45">
        <v>157278.09</v>
      </c>
      <c r="K65" s="45">
        <v>150575.42000000001</v>
      </c>
    </row>
    <row r="66" spans="1:11" s="41" customFormat="1" ht="13" x14ac:dyDescent="0.3">
      <c r="A66" s="41" t="s">
        <v>113</v>
      </c>
      <c r="B66" s="45">
        <v>168330.03</v>
      </c>
      <c r="C66" s="45">
        <v>218425.99</v>
      </c>
      <c r="D66" s="45">
        <v>237314.79</v>
      </c>
      <c r="E66" s="45">
        <v>263184.12</v>
      </c>
      <c r="F66" s="45">
        <v>272580.36</v>
      </c>
      <c r="G66" s="45">
        <v>327191.81</v>
      </c>
      <c r="H66" s="45">
        <v>305703.49</v>
      </c>
      <c r="I66" s="45">
        <v>320179.39</v>
      </c>
      <c r="J66" s="45">
        <v>341569.91</v>
      </c>
      <c r="K66" s="45">
        <v>329061.49</v>
      </c>
    </row>
    <row r="67" spans="1:11" x14ac:dyDescent="0.25">
      <c r="A67" s="43" t="s">
        <v>42</v>
      </c>
      <c r="B67" s="45">
        <v>10959.6</v>
      </c>
      <c r="C67" s="45">
        <v>10574.23</v>
      </c>
      <c r="D67" s="45">
        <v>12579.2</v>
      </c>
      <c r="E67" s="45">
        <v>13570.91</v>
      </c>
      <c r="F67" s="45">
        <v>14075.55</v>
      </c>
      <c r="G67" s="45">
        <v>19893.3</v>
      </c>
      <c r="H67" s="45">
        <v>18996.169999999998</v>
      </c>
      <c r="I67" s="45">
        <v>11172.69</v>
      </c>
      <c r="J67" s="45">
        <v>12679.08</v>
      </c>
      <c r="K67" s="45">
        <v>12442.12</v>
      </c>
    </row>
    <row r="68" spans="1:11" ht="14.5" x14ac:dyDescent="0.35">
      <c r="A68" s="43" t="s">
        <v>43</v>
      </c>
      <c r="B68" s="49">
        <v>21036.82</v>
      </c>
      <c r="C68" s="49">
        <v>27270.89</v>
      </c>
      <c r="D68" s="49">
        <v>29272.34</v>
      </c>
      <c r="E68" s="49">
        <v>32655.73</v>
      </c>
      <c r="F68" s="49">
        <v>35085.31</v>
      </c>
      <c r="G68" s="49">
        <v>42137.63</v>
      </c>
      <c r="H68" s="49">
        <v>39013.730000000003</v>
      </c>
      <c r="I68" s="49">
        <v>37456.879999999997</v>
      </c>
      <c r="J68" s="49">
        <v>36088.589999999997</v>
      </c>
      <c r="K68" s="49">
        <v>35240.339999999997</v>
      </c>
    </row>
    <row r="69" spans="1:11" x14ac:dyDescent="0.25">
      <c r="A69" s="43" t="s">
        <v>44</v>
      </c>
      <c r="B69" s="45">
        <v>21114.82</v>
      </c>
      <c r="C69" s="45">
        <v>29711.79</v>
      </c>
      <c r="D69" s="45">
        <v>32115.759999999998</v>
      </c>
      <c r="E69" s="45">
        <v>30460.400000000001</v>
      </c>
      <c r="F69" s="45">
        <v>36077.879999999997</v>
      </c>
      <c r="G69" s="45">
        <v>34613.910000000003</v>
      </c>
      <c r="H69" s="45">
        <v>32648.82</v>
      </c>
      <c r="I69" s="45">
        <v>33726.97</v>
      </c>
      <c r="J69" s="45">
        <v>46792.46</v>
      </c>
      <c r="K69" s="45">
        <v>40669.19</v>
      </c>
    </row>
    <row r="70" spans="1:11" x14ac:dyDescent="0.25">
      <c r="A70" s="43" t="s">
        <v>115</v>
      </c>
      <c r="B70" s="45">
        <v>3190115771</v>
      </c>
      <c r="C70" s="45">
        <v>3218930000</v>
      </c>
      <c r="D70" s="45">
        <v>3218930067</v>
      </c>
      <c r="E70" s="45">
        <v>3395930306</v>
      </c>
      <c r="F70" s="45">
        <v>3396100719</v>
      </c>
      <c r="G70" s="45">
        <v>3396100719</v>
      </c>
      <c r="H70" s="45">
        <v>3396100719</v>
      </c>
      <c r="I70" s="45">
        <v>3597726185</v>
      </c>
      <c r="J70" s="45">
        <v>3829060661</v>
      </c>
      <c r="K70" s="45">
        <v>3829414903</v>
      </c>
    </row>
    <row r="71" spans="1:11" ht="14" x14ac:dyDescent="0.3">
      <c r="A71" s="43" t="s">
        <v>116</v>
      </c>
      <c r="B71" s="51"/>
      <c r="C71" s="51"/>
      <c r="G71" s="51"/>
      <c r="H71" s="51"/>
    </row>
    <row r="72" spans="1:11" x14ac:dyDescent="0.25">
      <c r="A72" s="43" t="s">
        <v>117</v>
      </c>
      <c r="B72" s="45">
        <v>2</v>
      </c>
      <c r="C72" s="45">
        <v>2</v>
      </c>
      <c r="D72" s="45">
        <v>2</v>
      </c>
      <c r="E72" s="45">
        <v>2</v>
      </c>
      <c r="F72" s="45">
        <v>2</v>
      </c>
      <c r="G72" s="45">
        <v>2</v>
      </c>
      <c r="H72" s="45">
        <v>2</v>
      </c>
      <c r="I72" s="45">
        <v>2</v>
      </c>
      <c r="J72" s="45">
        <v>2</v>
      </c>
      <c r="K72" s="45">
        <v>2</v>
      </c>
    </row>
    <row r="73" spans="1:11" x14ac:dyDescent="0.25">
      <c r="H73" s="43">
        <f>H62-G62+H45</f>
        <v>-4101.2599999999993</v>
      </c>
      <c r="I73" s="43">
        <f t="shared" ref="I73:K73" si="3">I62-H62+I45</f>
        <v>22304.78</v>
      </c>
      <c r="J73" s="43">
        <f t="shared" si="3"/>
        <v>17441.509999999987</v>
      </c>
      <c r="K73" s="43">
        <f t="shared" si="3"/>
        <v>6045.1800000000258</v>
      </c>
    </row>
    <row r="80" spans="1:11" ht="13" x14ac:dyDescent="0.3">
      <c r="A80" s="41" t="s">
        <v>118</v>
      </c>
    </row>
    <row r="81" spans="1:12" s="48" customFormat="1" ht="13" x14ac:dyDescent="0.3">
      <c r="A81" s="46" t="s">
        <v>97</v>
      </c>
      <c r="B81" s="47">
        <v>41364</v>
      </c>
      <c r="C81" s="47">
        <v>41729</v>
      </c>
      <c r="D81" s="47">
        <v>42094</v>
      </c>
      <c r="E81" s="47">
        <v>42460</v>
      </c>
      <c r="F81" s="47">
        <v>42825</v>
      </c>
      <c r="G81" s="47">
        <v>43190</v>
      </c>
      <c r="H81" s="47">
        <v>43555</v>
      </c>
      <c r="I81" s="47">
        <v>43921</v>
      </c>
      <c r="J81" s="47">
        <v>44286</v>
      </c>
      <c r="K81" s="47">
        <v>44651</v>
      </c>
      <c r="L81" s="47"/>
    </row>
    <row r="82" spans="1:12" s="41" customFormat="1" ht="13" x14ac:dyDescent="0.3">
      <c r="A82" s="43" t="s">
        <v>119</v>
      </c>
      <c r="B82" s="45">
        <v>22162.61</v>
      </c>
      <c r="C82" s="45">
        <v>36151.160000000003</v>
      </c>
      <c r="D82" s="45">
        <v>35531.26</v>
      </c>
      <c r="E82" s="45">
        <v>37899.54</v>
      </c>
      <c r="F82" s="45">
        <v>30199.25</v>
      </c>
      <c r="G82" s="45">
        <v>23857.42</v>
      </c>
      <c r="H82" s="45">
        <v>18890.75</v>
      </c>
      <c r="I82" s="45">
        <v>26632.94</v>
      </c>
      <c r="J82" s="45">
        <v>29000.51</v>
      </c>
      <c r="K82" s="45">
        <v>14282.83</v>
      </c>
    </row>
    <row r="83" spans="1:12" x14ac:dyDescent="0.25">
      <c r="A83" s="43" t="s">
        <v>120</v>
      </c>
      <c r="B83" s="45">
        <v>-22969.45</v>
      </c>
      <c r="C83" s="45">
        <v>-27990.91</v>
      </c>
      <c r="D83" s="45">
        <v>-36232.35</v>
      </c>
      <c r="E83" s="45">
        <v>-36693.9</v>
      </c>
      <c r="F83" s="45">
        <v>-39571.4</v>
      </c>
      <c r="G83" s="45">
        <v>-25139.14</v>
      </c>
      <c r="H83" s="45">
        <v>-20878.07</v>
      </c>
      <c r="I83" s="45">
        <v>-33114.550000000003</v>
      </c>
      <c r="J83" s="45">
        <v>-25672.5</v>
      </c>
      <c r="K83" s="45">
        <v>-4443.66</v>
      </c>
    </row>
    <row r="84" spans="1:12" x14ac:dyDescent="0.25">
      <c r="A84" s="43" t="s">
        <v>121</v>
      </c>
      <c r="B84" s="45">
        <v>-1692.08</v>
      </c>
      <c r="C84" s="45">
        <v>-3883.24</v>
      </c>
      <c r="D84" s="45">
        <v>5201.4399999999996</v>
      </c>
      <c r="E84" s="45">
        <v>-3795.12</v>
      </c>
      <c r="F84" s="45">
        <v>6205.3</v>
      </c>
      <c r="G84" s="45">
        <v>2011.71</v>
      </c>
      <c r="H84" s="45">
        <v>8830.3700000000008</v>
      </c>
      <c r="I84" s="45">
        <v>3389.61</v>
      </c>
      <c r="J84" s="45">
        <v>9904.2000000000007</v>
      </c>
      <c r="K84" s="45">
        <v>-3380.17</v>
      </c>
    </row>
    <row r="85" spans="1:12" s="41" customFormat="1" ht="13" x14ac:dyDescent="0.3">
      <c r="A85" s="43" t="s">
        <v>52</v>
      </c>
      <c r="B85" s="45">
        <v>-2498.92</v>
      </c>
      <c r="C85" s="45">
        <v>4277.01</v>
      </c>
      <c r="D85" s="45">
        <v>4500.3500000000004</v>
      </c>
      <c r="E85" s="45">
        <v>-2589.48</v>
      </c>
      <c r="F85" s="45">
        <v>-3166.85</v>
      </c>
      <c r="G85" s="45">
        <v>729.99</v>
      </c>
      <c r="H85" s="45">
        <v>6843.05</v>
      </c>
      <c r="I85" s="45">
        <v>-3092</v>
      </c>
      <c r="J85" s="45">
        <v>13232.21</v>
      </c>
      <c r="K85" s="45">
        <v>6459</v>
      </c>
    </row>
    <row r="90" spans="1:12" s="41" customFormat="1" ht="13" x14ac:dyDescent="0.3">
      <c r="A90" s="41" t="s">
        <v>122</v>
      </c>
      <c r="B90" s="45">
        <v>266.3</v>
      </c>
      <c r="C90" s="45">
        <v>394.42</v>
      </c>
      <c r="D90" s="45">
        <v>544.37</v>
      </c>
      <c r="E90" s="45">
        <v>386.6</v>
      </c>
      <c r="F90" s="45">
        <v>465.85</v>
      </c>
      <c r="G90" s="45">
        <v>326.85000000000002</v>
      </c>
      <c r="H90" s="45">
        <v>174.25</v>
      </c>
      <c r="I90" s="45">
        <v>71.05</v>
      </c>
      <c r="J90" s="45">
        <v>301.8</v>
      </c>
      <c r="K90" s="45">
        <v>433.75</v>
      </c>
    </row>
    <row r="92" spans="1:12" s="41" customFormat="1" ht="13" x14ac:dyDescent="0.3">
      <c r="A92" s="41" t="s">
        <v>123</v>
      </c>
    </row>
    <row r="93" spans="1:12" x14ac:dyDescent="0.25">
      <c r="A93" s="43" t="s">
        <v>124</v>
      </c>
      <c r="B93" s="52">
        <v>285.72000000000003</v>
      </c>
      <c r="C93" s="52">
        <v>288.74</v>
      </c>
      <c r="D93" s="52">
        <v>288.74</v>
      </c>
      <c r="E93" s="52">
        <v>288.72000000000003</v>
      </c>
      <c r="F93" s="52">
        <v>288.73</v>
      </c>
      <c r="G93" s="52">
        <v>288.73</v>
      </c>
      <c r="H93" s="52">
        <v>288.73</v>
      </c>
      <c r="I93" s="52">
        <v>308.89999999999998</v>
      </c>
      <c r="J93" s="52">
        <v>332.03</v>
      </c>
      <c r="K93" s="52">
        <v>332.07</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D1BDAF31-8ADD-4C91-8591-7C506137639C}"/>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D3F22-3CC2-4605-9FE6-D43601C95EAE}">
  <dimension ref="B2:N33"/>
  <sheetViews>
    <sheetView zoomScale="78" zoomScaleNormal="78" workbookViewId="0">
      <selection activeCell="D70" sqref="D70"/>
    </sheetView>
  </sheetViews>
  <sheetFormatPr defaultRowHeight="14.5" x14ac:dyDescent="0.35"/>
  <cols>
    <col min="2" max="2" width="28" bestFit="1" customWidth="1"/>
  </cols>
  <sheetData>
    <row r="2" spans="2:14" x14ac:dyDescent="0.35">
      <c r="C2" s="5">
        <v>41334</v>
      </c>
      <c r="D2" s="5">
        <v>41699</v>
      </c>
      <c r="E2" s="5">
        <v>42064</v>
      </c>
      <c r="F2" s="5">
        <v>42430</v>
      </c>
      <c r="G2" s="5">
        <v>42795</v>
      </c>
      <c r="H2" s="5">
        <v>43160</v>
      </c>
      <c r="I2" s="5">
        <v>43525</v>
      </c>
      <c r="J2" s="5">
        <v>43891</v>
      </c>
      <c r="K2" s="5">
        <v>44256</v>
      </c>
      <c r="L2" s="5">
        <v>44621</v>
      </c>
      <c r="M2" s="5">
        <v>44986</v>
      </c>
      <c r="N2" s="5">
        <v>45352</v>
      </c>
    </row>
    <row r="3" spans="2:14" x14ac:dyDescent="0.35">
      <c r="B3" t="s">
        <v>125</v>
      </c>
      <c r="C3" s="53">
        <v>22163</v>
      </c>
      <c r="D3" s="53">
        <v>36151</v>
      </c>
      <c r="E3" s="53">
        <v>35531</v>
      </c>
      <c r="F3" s="53">
        <v>37900</v>
      </c>
      <c r="G3" s="53">
        <v>30199</v>
      </c>
      <c r="H3" s="53">
        <v>23857</v>
      </c>
      <c r="I3" s="53">
        <v>18891</v>
      </c>
      <c r="J3" s="53">
        <v>26633</v>
      </c>
      <c r="K3" s="53">
        <v>29001</v>
      </c>
      <c r="L3" s="53">
        <v>14283</v>
      </c>
      <c r="M3" s="53">
        <v>35388</v>
      </c>
      <c r="N3" s="53">
        <v>67915</v>
      </c>
    </row>
    <row r="4" spans="2:14" x14ac:dyDescent="0.35">
      <c r="B4" t="s">
        <v>126</v>
      </c>
      <c r="C4" s="53">
        <v>24406</v>
      </c>
      <c r="D4" s="53">
        <v>36303</v>
      </c>
      <c r="E4" s="53">
        <v>43397</v>
      </c>
      <c r="F4" s="53">
        <v>38626</v>
      </c>
      <c r="G4" s="53">
        <v>28840</v>
      </c>
      <c r="H4" s="53">
        <v>33312</v>
      </c>
      <c r="I4" s="53">
        <v>28771</v>
      </c>
      <c r="J4" s="53">
        <v>23352</v>
      </c>
      <c r="K4" s="53">
        <v>31198</v>
      </c>
      <c r="L4" s="53">
        <v>26943</v>
      </c>
      <c r="M4" s="53">
        <v>41694</v>
      </c>
      <c r="N4" s="53">
        <v>65106</v>
      </c>
    </row>
    <row r="5" spans="2:14" x14ac:dyDescent="0.35">
      <c r="B5" t="s">
        <v>42</v>
      </c>
      <c r="C5" s="53">
        <v>-5177</v>
      </c>
      <c r="D5">
        <v>445</v>
      </c>
      <c r="E5" s="53">
        <v>-3179</v>
      </c>
      <c r="F5" s="53">
        <v>-2223</v>
      </c>
      <c r="G5" s="53">
        <v>-4152</v>
      </c>
      <c r="H5" s="53">
        <v>-10688</v>
      </c>
      <c r="I5" s="53">
        <v>-9109</v>
      </c>
      <c r="J5" s="53">
        <v>9950</v>
      </c>
      <c r="K5" s="53">
        <v>-5505</v>
      </c>
      <c r="L5">
        <v>185</v>
      </c>
      <c r="M5" s="53">
        <v>-2213</v>
      </c>
      <c r="N5" s="53">
        <v>-1875</v>
      </c>
    </row>
    <row r="6" spans="2:14" x14ac:dyDescent="0.35">
      <c r="B6" t="s">
        <v>43</v>
      </c>
      <c r="C6" s="53">
        <v>-2656</v>
      </c>
      <c r="D6" s="53">
        <v>-2853</v>
      </c>
      <c r="E6" s="53">
        <v>-3692</v>
      </c>
      <c r="F6" s="53">
        <v>-5743</v>
      </c>
      <c r="G6" s="53">
        <v>-6621</v>
      </c>
      <c r="H6" s="53">
        <v>-3560</v>
      </c>
      <c r="I6" s="53">
        <v>2069</v>
      </c>
      <c r="J6" s="53">
        <v>2326</v>
      </c>
      <c r="K6" s="53">
        <v>3814</v>
      </c>
      <c r="L6">
        <v>472</v>
      </c>
      <c r="M6" s="53">
        <v>-5665</v>
      </c>
      <c r="N6" s="53">
        <v>-7265</v>
      </c>
    </row>
    <row r="7" spans="2:14" x14ac:dyDescent="0.35">
      <c r="B7" t="s">
        <v>127</v>
      </c>
      <c r="C7" s="53">
        <v>8132</v>
      </c>
      <c r="D7" s="53">
        <v>4694</v>
      </c>
      <c r="E7" s="53">
        <v>3598</v>
      </c>
      <c r="F7" s="53">
        <v>3947</v>
      </c>
      <c r="G7" s="53">
        <v>9301</v>
      </c>
      <c r="H7" s="53">
        <v>7320</v>
      </c>
      <c r="I7" s="53">
        <v>-4692</v>
      </c>
      <c r="J7" s="53">
        <v>-8085</v>
      </c>
      <c r="K7" s="53">
        <v>5748</v>
      </c>
      <c r="L7" s="53">
        <v>-7012</v>
      </c>
      <c r="M7" s="53">
        <v>6945</v>
      </c>
      <c r="N7" s="53">
        <v>13706</v>
      </c>
    </row>
    <row r="8" spans="2:14" x14ac:dyDescent="0.35">
      <c r="B8" t="s">
        <v>128</v>
      </c>
      <c r="C8">
        <v>0</v>
      </c>
      <c r="D8">
        <v>0</v>
      </c>
      <c r="E8">
        <v>0</v>
      </c>
      <c r="F8">
        <v>-520</v>
      </c>
      <c r="G8">
        <v>0</v>
      </c>
      <c r="H8">
        <v>0</v>
      </c>
      <c r="I8">
        <v>0</v>
      </c>
      <c r="J8">
        <v>0</v>
      </c>
      <c r="K8">
        <v>0</v>
      </c>
      <c r="L8">
        <v>0</v>
      </c>
      <c r="M8">
        <v>0</v>
      </c>
      <c r="N8">
        <v>0</v>
      </c>
    </row>
    <row r="9" spans="2:14" x14ac:dyDescent="0.35">
      <c r="B9" t="s">
        <v>129</v>
      </c>
      <c r="C9">
        <v>-303</v>
      </c>
      <c r="D9" s="53">
        <v>1870</v>
      </c>
      <c r="E9">
        <v>-398</v>
      </c>
      <c r="F9" s="53">
        <v>5852</v>
      </c>
      <c r="G9" s="53">
        <v>4727</v>
      </c>
      <c r="H9">
        <v>494</v>
      </c>
      <c r="I9" s="53">
        <v>4512</v>
      </c>
      <c r="J9">
        <v>875</v>
      </c>
      <c r="K9" s="53">
        <v>-4150</v>
      </c>
      <c r="L9" s="53">
        <v>-4396</v>
      </c>
      <c r="M9" s="53">
        <v>-2194</v>
      </c>
      <c r="N9" s="53">
        <v>2760</v>
      </c>
    </row>
    <row r="10" spans="2:14" x14ac:dyDescent="0.35">
      <c r="B10" t="s">
        <v>130</v>
      </c>
      <c r="C10">
        <v>-3</v>
      </c>
      <c r="D10" s="53">
        <v>4157</v>
      </c>
      <c r="E10" s="53">
        <v>-3672</v>
      </c>
      <c r="F10" s="53">
        <v>1313</v>
      </c>
      <c r="G10" s="53">
        <v>3254</v>
      </c>
      <c r="H10" s="53">
        <v>-6434</v>
      </c>
      <c r="I10" s="53">
        <v>-7221</v>
      </c>
      <c r="J10" s="53">
        <v>5065</v>
      </c>
      <c r="K10">
        <v>-93</v>
      </c>
      <c r="L10" s="53">
        <v>-10750</v>
      </c>
      <c r="M10" s="53">
        <v>-3127</v>
      </c>
      <c r="N10" s="53">
        <v>7325</v>
      </c>
    </row>
    <row r="11" spans="2:14" x14ac:dyDescent="0.35">
      <c r="B11" t="s">
        <v>131</v>
      </c>
      <c r="C11" s="53">
        <v>-2240</v>
      </c>
      <c r="D11" s="53">
        <v>-4308</v>
      </c>
      <c r="E11" s="53">
        <v>-4194</v>
      </c>
      <c r="F11" s="53">
        <v>-2040</v>
      </c>
      <c r="G11" s="53">
        <v>-1895</v>
      </c>
      <c r="H11" s="53">
        <v>-3021</v>
      </c>
      <c r="I11" s="53">
        <v>-2659</v>
      </c>
      <c r="J11" s="53">
        <v>-1785</v>
      </c>
      <c r="K11" s="53">
        <v>-2105</v>
      </c>
      <c r="L11" s="53">
        <v>-1910</v>
      </c>
      <c r="M11" s="53">
        <v>-3179</v>
      </c>
      <c r="N11" s="53">
        <v>-4516</v>
      </c>
    </row>
    <row r="12" spans="2:14" x14ac:dyDescent="0.35">
      <c r="B12" t="s">
        <v>132</v>
      </c>
      <c r="C12" s="53">
        <v>-22969</v>
      </c>
      <c r="D12" s="53">
        <v>-27991</v>
      </c>
      <c r="E12" s="53">
        <v>-36232</v>
      </c>
      <c r="F12" s="53">
        <v>-36694</v>
      </c>
      <c r="G12" s="53">
        <v>-39571</v>
      </c>
      <c r="H12" s="53">
        <v>-25139</v>
      </c>
      <c r="I12" s="53">
        <v>-20878</v>
      </c>
      <c r="J12" s="53">
        <v>-33115</v>
      </c>
      <c r="K12" s="53">
        <v>-25672</v>
      </c>
      <c r="L12" s="53">
        <v>-4444</v>
      </c>
      <c r="M12" s="53">
        <v>-15417</v>
      </c>
      <c r="N12" s="53">
        <v>-22782</v>
      </c>
    </row>
    <row r="13" spans="2:14" x14ac:dyDescent="0.35">
      <c r="B13" t="s">
        <v>133</v>
      </c>
      <c r="C13" s="53">
        <v>-18863</v>
      </c>
      <c r="D13" s="53">
        <v>-26975</v>
      </c>
      <c r="E13" s="53">
        <v>-31962</v>
      </c>
      <c r="F13" s="53">
        <v>-31503</v>
      </c>
      <c r="G13" s="53">
        <v>-16072</v>
      </c>
      <c r="H13" s="53">
        <v>-35079</v>
      </c>
      <c r="I13" s="53">
        <v>-35304</v>
      </c>
      <c r="J13" s="53">
        <v>-29702</v>
      </c>
      <c r="K13" s="53">
        <v>-20205</v>
      </c>
      <c r="L13" s="53">
        <v>-15168</v>
      </c>
      <c r="M13" s="53">
        <v>-19230</v>
      </c>
      <c r="N13" s="53">
        <v>-31414</v>
      </c>
    </row>
    <row r="14" spans="2:14" x14ac:dyDescent="0.35">
      <c r="B14" t="s">
        <v>134</v>
      </c>
      <c r="C14">
        <v>37</v>
      </c>
      <c r="D14">
        <v>50</v>
      </c>
      <c r="E14">
        <v>74</v>
      </c>
      <c r="F14">
        <v>59</v>
      </c>
      <c r="G14">
        <v>53</v>
      </c>
      <c r="H14">
        <v>30</v>
      </c>
      <c r="I14">
        <v>67</v>
      </c>
      <c r="J14">
        <v>171</v>
      </c>
      <c r="K14">
        <v>351</v>
      </c>
      <c r="L14">
        <v>230</v>
      </c>
      <c r="M14">
        <v>285</v>
      </c>
      <c r="N14">
        <v>231</v>
      </c>
    </row>
    <row r="15" spans="2:14" x14ac:dyDescent="0.35">
      <c r="B15" t="s">
        <v>135</v>
      </c>
      <c r="C15">
        <v>73</v>
      </c>
      <c r="D15">
        <v>-429</v>
      </c>
      <c r="E15" s="53">
        <v>-5461</v>
      </c>
      <c r="F15" s="53">
        <v>-4728</v>
      </c>
      <c r="G15">
        <v>-6</v>
      </c>
      <c r="H15">
        <v>-329</v>
      </c>
      <c r="I15">
        <v>-130</v>
      </c>
      <c r="J15" s="53">
        <v>-1439</v>
      </c>
      <c r="K15" s="53">
        <v>-7530</v>
      </c>
      <c r="L15" s="53">
        <v>-3008</v>
      </c>
      <c r="M15">
        <v>-50</v>
      </c>
      <c r="N15">
        <v>-74</v>
      </c>
    </row>
    <row r="16" spans="2:14" x14ac:dyDescent="0.35">
      <c r="B16" t="s">
        <v>136</v>
      </c>
      <c r="C16">
        <v>34</v>
      </c>
      <c r="D16">
        <v>4</v>
      </c>
      <c r="E16">
        <v>42</v>
      </c>
      <c r="F16">
        <v>89</v>
      </c>
      <c r="G16" s="53">
        <v>1965</v>
      </c>
      <c r="H16" s="53">
        <v>2381</v>
      </c>
      <c r="I16" s="53">
        <v>5644</v>
      </c>
      <c r="J16">
        <v>21</v>
      </c>
      <c r="K16">
        <v>226</v>
      </c>
      <c r="L16">
        <v>104</v>
      </c>
      <c r="M16" s="53">
        <v>6895</v>
      </c>
      <c r="N16" s="53">
        <v>10820</v>
      </c>
    </row>
    <row r="17" spans="2:14" x14ac:dyDescent="0.35">
      <c r="B17" t="s">
        <v>137</v>
      </c>
      <c r="C17">
        <v>713</v>
      </c>
      <c r="D17">
        <v>653</v>
      </c>
      <c r="E17">
        <v>698</v>
      </c>
      <c r="F17">
        <v>731</v>
      </c>
      <c r="G17">
        <v>638</v>
      </c>
      <c r="H17">
        <v>690</v>
      </c>
      <c r="I17">
        <v>761</v>
      </c>
      <c r="J17" s="53">
        <v>1104</v>
      </c>
      <c r="K17">
        <v>428</v>
      </c>
      <c r="L17">
        <v>653</v>
      </c>
      <c r="M17">
        <v>973</v>
      </c>
      <c r="N17" s="53">
        <v>2493</v>
      </c>
    </row>
    <row r="18" spans="2:14" x14ac:dyDescent="0.35">
      <c r="B18" t="s">
        <v>138</v>
      </c>
      <c r="C18">
        <v>95</v>
      </c>
      <c r="D18">
        <v>40</v>
      </c>
      <c r="E18">
        <v>80</v>
      </c>
      <c r="F18">
        <v>58</v>
      </c>
      <c r="G18">
        <v>620</v>
      </c>
      <c r="H18" s="53">
        <v>1797</v>
      </c>
      <c r="I18">
        <v>232</v>
      </c>
      <c r="J18">
        <v>21</v>
      </c>
      <c r="K18">
        <v>18</v>
      </c>
      <c r="L18">
        <v>32</v>
      </c>
      <c r="M18">
        <v>46</v>
      </c>
      <c r="N18">
        <v>47</v>
      </c>
    </row>
    <row r="19" spans="2:14" x14ac:dyDescent="0.35">
      <c r="B19" t="s">
        <v>139</v>
      </c>
      <c r="C19">
        <v>0</v>
      </c>
      <c r="D19">
        <v>0</v>
      </c>
      <c r="E19">
        <v>-160</v>
      </c>
      <c r="F19">
        <v>0</v>
      </c>
      <c r="G19">
        <v>-107</v>
      </c>
      <c r="H19">
        <v>-4</v>
      </c>
      <c r="I19">
        <v>-9</v>
      </c>
      <c r="J19">
        <v>-606</v>
      </c>
      <c r="K19">
        <v>-10</v>
      </c>
      <c r="L19">
        <v>0</v>
      </c>
      <c r="M19">
        <v>0</v>
      </c>
      <c r="N19">
        <v>-150</v>
      </c>
    </row>
    <row r="20" spans="2:14" x14ac:dyDescent="0.35">
      <c r="B20" t="s">
        <v>140</v>
      </c>
      <c r="C20">
        <v>0</v>
      </c>
      <c r="D20">
        <v>0</v>
      </c>
      <c r="E20">
        <v>0</v>
      </c>
      <c r="F20">
        <v>0</v>
      </c>
      <c r="G20">
        <v>0</v>
      </c>
      <c r="H20">
        <v>14</v>
      </c>
      <c r="I20">
        <v>533</v>
      </c>
      <c r="J20">
        <v>0</v>
      </c>
      <c r="K20">
        <v>0</v>
      </c>
      <c r="L20">
        <v>0</v>
      </c>
      <c r="M20">
        <v>19</v>
      </c>
      <c r="N20">
        <v>108</v>
      </c>
    </row>
    <row r="21" spans="2:14" x14ac:dyDescent="0.35">
      <c r="B21" t="s">
        <v>141</v>
      </c>
      <c r="C21">
        <v>0</v>
      </c>
      <c r="D21">
        <v>-185</v>
      </c>
      <c r="E21">
        <v>0</v>
      </c>
      <c r="F21">
        <v>-111</v>
      </c>
      <c r="G21">
        <v>0</v>
      </c>
      <c r="H21">
        <v>0</v>
      </c>
      <c r="I21">
        <v>-8</v>
      </c>
      <c r="J21">
        <v>-27</v>
      </c>
      <c r="K21">
        <v>0</v>
      </c>
      <c r="L21">
        <v>-98</v>
      </c>
      <c r="M21">
        <v>0</v>
      </c>
      <c r="N21">
        <v>0</v>
      </c>
    </row>
    <row r="22" spans="2:14" x14ac:dyDescent="0.35">
      <c r="B22" t="s">
        <v>142</v>
      </c>
      <c r="C22">
        <v>45</v>
      </c>
      <c r="D22">
        <v>0</v>
      </c>
      <c r="E22">
        <v>0</v>
      </c>
      <c r="F22">
        <v>0</v>
      </c>
      <c r="G22">
        <v>0</v>
      </c>
      <c r="H22">
        <v>0</v>
      </c>
      <c r="I22">
        <v>0</v>
      </c>
      <c r="J22">
        <v>0</v>
      </c>
      <c r="K22">
        <v>0</v>
      </c>
      <c r="L22">
        <v>0</v>
      </c>
      <c r="M22">
        <v>0</v>
      </c>
      <c r="N22">
        <v>-24</v>
      </c>
    </row>
    <row r="23" spans="2:14" x14ac:dyDescent="0.35">
      <c r="B23" t="s">
        <v>143</v>
      </c>
      <c r="C23" s="53">
        <v>-5103</v>
      </c>
      <c r="D23" s="53">
        <v>-1149</v>
      </c>
      <c r="E23">
        <v>456</v>
      </c>
      <c r="F23" s="53">
        <v>-1289</v>
      </c>
      <c r="G23" s="53">
        <v>-26663</v>
      </c>
      <c r="H23" s="53">
        <v>5360</v>
      </c>
      <c r="I23" s="53">
        <v>7335</v>
      </c>
      <c r="J23" s="53">
        <v>-2659</v>
      </c>
      <c r="K23" s="53">
        <v>1051</v>
      </c>
      <c r="L23" s="53">
        <v>12813</v>
      </c>
      <c r="M23" s="53">
        <v>-4357</v>
      </c>
      <c r="N23" s="53">
        <v>-4817</v>
      </c>
    </row>
    <row r="24" spans="2:14" x14ac:dyDescent="0.35">
      <c r="B24" t="s">
        <v>144</v>
      </c>
      <c r="C24" s="53">
        <v>-1692</v>
      </c>
      <c r="D24" s="53">
        <v>-3883</v>
      </c>
      <c r="E24" s="53">
        <v>5201</v>
      </c>
      <c r="F24" s="53">
        <v>-3795</v>
      </c>
      <c r="G24" s="53">
        <v>6205</v>
      </c>
      <c r="H24" s="53">
        <v>2012</v>
      </c>
      <c r="I24" s="53">
        <v>8830</v>
      </c>
      <c r="J24" s="53">
        <v>3390</v>
      </c>
      <c r="K24" s="53">
        <v>9904</v>
      </c>
      <c r="L24" s="53">
        <v>-3380</v>
      </c>
      <c r="M24" s="53">
        <v>-26243</v>
      </c>
      <c r="N24" s="53">
        <v>-37006</v>
      </c>
    </row>
    <row r="25" spans="2:14" x14ac:dyDescent="0.35">
      <c r="B25" t="s">
        <v>145</v>
      </c>
      <c r="C25">
        <v>1</v>
      </c>
      <c r="D25">
        <v>0</v>
      </c>
      <c r="E25">
        <v>0</v>
      </c>
      <c r="F25" s="53">
        <v>7433</v>
      </c>
      <c r="G25">
        <v>5</v>
      </c>
      <c r="H25">
        <v>0</v>
      </c>
      <c r="I25">
        <v>0</v>
      </c>
      <c r="J25" s="53">
        <v>3889</v>
      </c>
      <c r="K25" s="53">
        <v>2603</v>
      </c>
      <c r="L25">
        <v>19</v>
      </c>
      <c r="M25">
        <v>20</v>
      </c>
      <c r="N25">
        <v>82</v>
      </c>
    </row>
    <row r="26" spans="2:14" x14ac:dyDescent="0.35">
      <c r="B26" t="s">
        <v>146</v>
      </c>
      <c r="C26">
        <v>-97</v>
      </c>
      <c r="D26">
        <v>-658</v>
      </c>
      <c r="E26">
        <v>-744</v>
      </c>
      <c r="F26">
        <v>0</v>
      </c>
      <c r="G26">
        <v>0</v>
      </c>
      <c r="H26">
        <v>0</v>
      </c>
      <c r="I26">
        <v>0</v>
      </c>
      <c r="J26">
        <v>0</v>
      </c>
      <c r="K26">
        <v>0</v>
      </c>
      <c r="L26">
        <v>0</v>
      </c>
      <c r="M26">
        <v>0</v>
      </c>
      <c r="N26">
        <v>0</v>
      </c>
    </row>
    <row r="27" spans="2:14" x14ac:dyDescent="0.35">
      <c r="B27" t="s">
        <v>147</v>
      </c>
      <c r="C27" s="53">
        <v>27863</v>
      </c>
      <c r="D27" s="53">
        <v>33258</v>
      </c>
      <c r="E27" s="53">
        <v>36363</v>
      </c>
      <c r="F27" s="53">
        <v>19519</v>
      </c>
      <c r="G27" s="53">
        <v>33390</v>
      </c>
      <c r="H27" s="53">
        <v>37482</v>
      </c>
      <c r="I27" s="53">
        <v>51128</v>
      </c>
      <c r="J27" s="53">
        <v>38297</v>
      </c>
      <c r="K27" s="53">
        <v>46641</v>
      </c>
      <c r="L27" s="53">
        <v>46578</v>
      </c>
      <c r="M27" s="53">
        <v>43934</v>
      </c>
      <c r="N27" s="53">
        <v>18747</v>
      </c>
    </row>
    <row r="28" spans="2:14" x14ac:dyDescent="0.35">
      <c r="B28" t="s">
        <v>148</v>
      </c>
      <c r="C28" s="53">
        <v>-20395</v>
      </c>
      <c r="D28" s="53">
        <v>-29141</v>
      </c>
      <c r="E28" s="53">
        <v>-23332</v>
      </c>
      <c r="F28" s="53">
        <v>-24924</v>
      </c>
      <c r="G28" s="53">
        <v>-21732</v>
      </c>
      <c r="H28" s="53">
        <v>-29964</v>
      </c>
      <c r="I28" s="53">
        <v>-35198</v>
      </c>
      <c r="J28" s="53">
        <v>-29847</v>
      </c>
      <c r="K28" s="53">
        <v>-29709</v>
      </c>
      <c r="L28" s="53">
        <v>-42816</v>
      </c>
      <c r="M28" s="53">
        <v>-62557</v>
      </c>
      <c r="N28" s="53">
        <v>-47332</v>
      </c>
    </row>
    <row r="29" spans="2:14" x14ac:dyDescent="0.35">
      <c r="B29" t="s">
        <v>149</v>
      </c>
      <c r="C29" s="53">
        <v>-4666</v>
      </c>
      <c r="D29" s="53">
        <v>-6171</v>
      </c>
      <c r="E29" s="53">
        <v>-6307</v>
      </c>
      <c r="F29" s="53">
        <v>-5716</v>
      </c>
      <c r="G29" s="53">
        <v>-5336</v>
      </c>
      <c r="H29" s="53">
        <v>-5411</v>
      </c>
      <c r="I29" s="53">
        <v>-7005</v>
      </c>
      <c r="J29" s="53">
        <v>-7518</v>
      </c>
      <c r="K29" s="53">
        <v>-8123</v>
      </c>
      <c r="L29" s="53">
        <v>-9251</v>
      </c>
      <c r="M29" s="53">
        <v>-9336</v>
      </c>
      <c r="N29" s="53">
        <v>-9332</v>
      </c>
    </row>
    <row r="30" spans="2:14" x14ac:dyDescent="0.35">
      <c r="B30" t="s">
        <v>150</v>
      </c>
      <c r="C30" s="53">
        <v>-1551</v>
      </c>
      <c r="D30">
        <v>-722</v>
      </c>
      <c r="E30">
        <v>-720</v>
      </c>
      <c r="F30">
        <v>-108</v>
      </c>
      <c r="G30">
        <v>-121</v>
      </c>
      <c r="H30">
        <v>-96</v>
      </c>
      <c r="I30">
        <v>-95</v>
      </c>
      <c r="J30">
        <v>-57</v>
      </c>
      <c r="K30">
        <v>-30</v>
      </c>
      <c r="L30">
        <v>-100</v>
      </c>
      <c r="M30">
        <v>-141</v>
      </c>
      <c r="N30" s="53">
        <v>-1059</v>
      </c>
    </row>
    <row r="31" spans="2:14" x14ac:dyDescent="0.35">
      <c r="B31" t="s">
        <v>151</v>
      </c>
      <c r="C31">
        <v>0</v>
      </c>
      <c r="D31">
        <v>0</v>
      </c>
      <c r="E31">
        <v>0</v>
      </c>
      <c r="F31">
        <v>0</v>
      </c>
      <c r="G31">
        <v>0</v>
      </c>
      <c r="H31">
        <v>0</v>
      </c>
      <c r="I31">
        <v>0</v>
      </c>
      <c r="J31" s="53">
        <v>-1346</v>
      </c>
      <c r="K31" s="53">
        <v>-1477</v>
      </c>
      <c r="L31" s="53">
        <v>-1559</v>
      </c>
      <c r="M31" s="53">
        <v>-1517</v>
      </c>
      <c r="N31" s="53">
        <v>-1924</v>
      </c>
    </row>
    <row r="32" spans="2:14" x14ac:dyDescent="0.35">
      <c r="B32" t="s">
        <v>152</v>
      </c>
      <c r="C32" s="53">
        <v>-2849</v>
      </c>
      <c r="D32">
        <v>-450</v>
      </c>
      <c r="E32">
        <v>-57</v>
      </c>
      <c r="F32">
        <v>0</v>
      </c>
      <c r="G32">
        <v>0</v>
      </c>
      <c r="H32">
        <v>0</v>
      </c>
      <c r="I32">
        <v>0</v>
      </c>
      <c r="J32">
        <v>-29</v>
      </c>
      <c r="K32">
        <v>0</v>
      </c>
      <c r="L32" s="53">
        <v>3750</v>
      </c>
      <c r="M32" s="53">
        <v>3355</v>
      </c>
      <c r="N32" s="53">
        <v>3812</v>
      </c>
    </row>
    <row r="33" spans="2:14" x14ac:dyDescent="0.35">
      <c r="B33" t="s">
        <v>52</v>
      </c>
      <c r="C33" s="53">
        <v>-2499</v>
      </c>
      <c r="D33" s="53">
        <v>4277</v>
      </c>
      <c r="E33" s="53">
        <v>4500</v>
      </c>
      <c r="F33" s="53">
        <v>-2589</v>
      </c>
      <c r="G33" s="53">
        <v>-3167</v>
      </c>
      <c r="H33">
        <v>730</v>
      </c>
      <c r="I33" s="53">
        <v>6843</v>
      </c>
      <c r="J33" s="53">
        <v>-3092</v>
      </c>
      <c r="K33" s="53">
        <v>13232</v>
      </c>
      <c r="L33" s="53">
        <v>6459</v>
      </c>
      <c r="M33" s="53">
        <v>-6272</v>
      </c>
      <c r="N33" s="53">
        <v>8128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HistoricalFS</vt:lpstr>
      <vt:lpstr>Ratio Analysis</vt:lpstr>
      <vt:lpstr>Data&gt;</vt:lpstr>
      <vt:lpstr>Data Sheet</vt:lpstr>
      <vt:lpstr>Cash Flow Data</vt:lpstr>
      <vt:lpstr>'Data Sheet'!UPDATE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Afridi</dc:creator>
  <cp:lastModifiedBy>Abdullah Afridi</cp:lastModifiedBy>
  <dcterms:created xsi:type="dcterms:W3CDTF">2024-12-16T13:50:49Z</dcterms:created>
  <dcterms:modified xsi:type="dcterms:W3CDTF">2024-12-16T13:51:16Z</dcterms:modified>
</cp:coreProperties>
</file>