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166925"/>
  <mc:AlternateContent xmlns:mc="http://schemas.openxmlformats.org/markup-compatibility/2006">
    <mc:Choice Requires="x15">
      <x15ac:absPath xmlns:x15ac="http://schemas.microsoft.com/office/spreadsheetml/2010/11/ac" url="/Users/rehabnaeem/Documents/Coding-Projects/customer-analytics/data/"/>
    </mc:Choice>
  </mc:AlternateContent>
  <xr:revisionPtr revIDLastSave="0" documentId="13_ncr:1_{D3CFE1F8-F1E3-444F-9E2F-2D1397F11425}" xr6:coauthVersionLast="47" xr6:coauthVersionMax="47" xr10:uidLastSave="{00000000-0000-0000-0000-000000000000}"/>
  <bookViews>
    <workbookView xWindow="680" yWindow="740" windowWidth="28040" windowHeight="17260" xr2:uid="{6E12EA3C-EABC-E34B-8E19-D352840EA5AD}"/>
  </bookViews>
  <sheets>
    <sheet name="DISH-Filing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D4" i="1" l="1"/>
  <c r="BZ13" i="1"/>
  <c r="CA13" i="1"/>
  <c r="CB13" i="1"/>
  <c r="CC13" i="1"/>
  <c r="CD13" i="1"/>
  <c r="CE13" i="1"/>
  <c r="BZ14" i="1"/>
  <c r="CA14" i="1"/>
  <c r="CB14" i="1"/>
  <c r="CC14" i="1"/>
  <c r="CD14" i="1"/>
  <c r="CE14" i="1"/>
  <c r="B14"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BV13" i="1"/>
  <c r="BX13" i="1"/>
  <c r="BY13" i="1"/>
  <c r="BW13" i="1"/>
  <c r="BS13" i="1"/>
  <c r="BT13" i="1"/>
  <c r="BU13" i="1"/>
  <c r="AD13" i="1"/>
  <c r="BV5" i="1"/>
  <c r="BR5" i="1"/>
  <c r="BN13" i="1"/>
  <c r="BJ13" i="1"/>
  <c r="BN5" i="1"/>
  <c r="BJ5" i="1"/>
  <c r="BF13" i="1"/>
  <c r="BF5" i="1"/>
  <c r="BB13" i="1"/>
  <c r="BB5" i="1"/>
  <c r="BB4" i="1"/>
  <c r="AX13" i="1"/>
  <c r="AX11" i="1"/>
  <c r="AT13" i="1"/>
  <c r="AT11" i="1"/>
  <c r="AX5" i="1"/>
  <c r="AX4" i="1"/>
  <c r="AT5" i="1"/>
  <c r="AT4" i="1"/>
  <c r="AP13" i="1"/>
  <c r="AP11" i="1"/>
  <c r="AL13" i="1"/>
  <c r="AL11" i="1"/>
  <c r="AP5" i="1"/>
  <c r="AP4" i="1"/>
  <c r="AL5" i="1"/>
  <c r="AL4" i="1"/>
  <c r="AH13" i="1"/>
  <c r="AH11" i="1"/>
  <c r="AH5" i="1"/>
  <c r="AH4" i="1"/>
  <c r="AD11" i="1"/>
  <c r="AD5" i="1"/>
  <c r="AD4" i="1"/>
  <c r="Z13" i="1"/>
  <c r="Z11" i="1"/>
  <c r="V13" i="1"/>
  <c r="V11" i="1"/>
  <c r="Z5" i="1"/>
  <c r="Z4" i="1"/>
  <c r="V5" i="1"/>
  <c r="V4" i="1"/>
  <c r="R13" i="1"/>
  <c r="R11" i="1"/>
  <c r="R5" i="1"/>
  <c r="R4" i="1"/>
  <c r="N13" i="1"/>
  <c r="N11" i="1"/>
  <c r="J13" i="1"/>
  <c r="J11" i="1"/>
  <c r="N5" i="1"/>
  <c r="N4" i="1"/>
  <c r="J5" i="1"/>
  <c r="J4" i="1"/>
  <c r="F13" i="1"/>
  <c r="F11" i="1"/>
  <c r="B5" i="1"/>
  <c r="B4" i="1"/>
  <c r="F5" i="1"/>
  <c r="F4" i="1"/>
  <c r="B13" i="1"/>
  <c r="B11" i="1"/>
  <c r="CE4" i="1"/>
  <c r="CC4" i="1"/>
  <c r="CC12" i="1"/>
  <c r="CB12" i="1"/>
  <c r="CB4" i="1"/>
  <c r="CA12" i="1"/>
  <c r="CA4" i="1"/>
  <c r="BY12" i="1"/>
  <c r="BY4" i="1"/>
  <c r="BX12" i="1"/>
  <c r="BX4" i="1"/>
  <c r="BW12" i="1"/>
  <c r="BW4" i="1"/>
  <c r="BU12" i="1"/>
  <c r="BU4" i="1"/>
  <c r="BT12" i="1"/>
  <c r="BT4" i="1"/>
  <c r="BS12" i="1"/>
  <c r="BS4" i="1"/>
  <c r="BQ12" i="1"/>
  <c r="BQ4" i="1"/>
  <c r="BP12" i="1"/>
  <c r="BP4" i="1"/>
  <c r="BO12" i="1"/>
  <c r="BN12" i="1" s="1"/>
  <c r="BM12" i="1"/>
  <c r="BL12" i="1"/>
  <c r="BK12" i="1"/>
  <c r="BJ12" i="1" s="1"/>
  <c r="BI12" i="1"/>
  <c r="BH12" i="1"/>
  <c r="BG12" i="1"/>
  <c r="BF12" i="1" s="1"/>
  <c r="BE12" i="1"/>
  <c r="BD12" i="1"/>
  <c r="BA12" i="1"/>
  <c r="AW12" i="1"/>
  <c r="AS12" i="1"/>
  <c r="AO12" i="1"/>
  <c r="AR12" i="1"/>
  <c r="AN12" i="1"/>
  <c r="AM12" i="1"/>
  <c r="AQ12" i="1"/>
  <c r="AU12" i="1"/>
  <c r="BC12" i="1"/>
  <c r="AZ12" i="1"/>
  <c r="AY12" i="1"/>
  <c r="AV12" i="1"/>
  <c r="BO4" i="1"/>
  <c r="BM4" i="1"/>
  <c r="BL4" i="1"/>
  <c r="BK4" i="1"/>
  <c r="BI4" i="1"/>
  <c r="BH4" i="1"/>
  <c r="BF4" i="1" s="1"/>
  <c r="BG4" i="1"/>
  <c r="BV12" i="1" l="1"/>
  <c r="BB12" i="1"/>
  <c r="BN4" i="1"/>
  <c r="BR12" i="1"/>
  <c r="BB11" i="1"/>
  <c r="BJ4" i="1"/>
  <c r="BR4" i="1"/>
  <c r="BV4" i="1"/>
  <c r="BR13" i="1"/>
  <c r="BF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Rehab Naeem</author>
  </authors>
  <commentList>
    <comment ref="BV7" authorId="0" shapeId="0" xr:uid="{B4FD4077-C76C-C14B-B4BF-F4777947688C}">
      <text>
        <r>
          <rPr>
            <b/>
            <sz val="10"/>
            <color rgb="FF000000"/>
            <rFont val="Tahoma"/>
            <family val="2"/>
          </rPr>
          <t>Rehab Naeem:</t>
        </r>
        <r>
          <rPr>
            <sz val="10"/>
            <color rgb="FF000000"/>
            <rFont val="Tahoma"/>
            <family val="2"/>
          </rPr>
          <t xml:space="preserve">
</t>
        </r>
        <r>
          <rPr>
            <sz val="10"/>
            <color rgb="FF000000"/>
            <rFont val="Tahoma"/>
            <family val="2"/>
          </rPr>
          <t>314-317</t>
        </r>
      </text>
    </comment>
    <comment ref="A16" authorId="0" shapeId="0" xr:uid="{7198EF84-DC3B-9F47-B22E-DCBD7C5D30D5}">
      <text>
        <r>
          <rPr>
            <b/>
            <sz val="10"/>
            <color rgb="FF000000"/>
            <rFont val="Tahoma"/>
            <family val="2"/>
          </rPr>
          <t>Rehab Naeem:</t>
        </r>
        <r>
          <rPr>
            <sz val="10"/>
            <color rgb="FF000000"/>
            <rFont val="Tahoma"/>
            <family val="2"/>
          </rPr>
          <t xml:space="preserve">
</t>
        </r>
        <r>
          <rPr>
            <sz val="10"/>
            <color rgb="FF000000"/>
            <rFont val="Calibri"/>
            <family val="2"/>
            <scheme val="minor"/>
          </rPr>
          <t>We calculate SAC by dividing total subscriber acquisition costs for a period by the number of gross new DISH Network subscribers during the period. We include all new DISH Network subscribers in our calculation, including DISH Network subscribers added with little or no subscriber acquisition costs.</t>
        </r>
      </text>
    </comment>
  </commentList>
</comments>
</file>

<file path=xl/sharedStrings.xml><?xml version="1.0" encoding="utf-8"?>
<sst xmlns="http://schemas.openxmlformats.org/spreadsheetml/2006/main" count="14" uniqueCount="14">
  <si>
    <t>Year</t>
  </si>
  <si>
    <t>Quarter</t>
  </si>
  <si>
    <t>Pay-TV Subscribers</t>
  </si>
  <si>
    <t>Service revenue</t>
  </si>
  <si>
    <t>Total Revenue</t>
  </si>
  <si>
    <t>Pay-TV Subscriber additions, gross</t>
  </si>
  <si>
    <t>Equipment Capitalized</t>
  </si>
  <si>
    <t>Implied Subscriber additions, gross</t>
  </si>
  <si>
    <t>Subscriber Acquisition Costs (SAC)</t>
  </si>
  <si>
    <t>Pay-TV Churn Rate (average monthly)</t>
  </si>
  <si>
    <t>Pay-TV SAC per Subscriber (average)</t>
  </si>
  <si>
    <t>Pay-TV ARPU (average monthly)</t>
  </si>
  <si>
    <t>Implied Pay-TV Subscriber additions, net</t>
  </si>
  <si>
    <t>Pay-TV Subscriber additions,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</si>
</sst>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
    <numFmt numFmtId="166" formatCode="_(* #,##0.000_);_(* \(#,##0.000\);_(* &quot;-&quot;??_);_(@_)"/>
    <numFmt numFmtId="167" formatCode="_(* #,##0.0000_);_(* \(#,##0.0000\);_(* &quot;-&quot;??_);_(@_)"/>
    <numFmt numFmtId="168" formatCode="0.0000"/>
    <numFmt numFmtId="169" formatCode="0.000"/>
    <numFmt numFmtId="170" formatCode="_(* #,##0_);_(* \(#,##0\);_(* &quot;-&quot;??_);_(@_)"/>
  </numFmts>
  <fonts count="7" x14ac:knownFonts="1">
    <font>
      <sz val="12"/>
      <color theme="1"/>
      <name val="Calibri"/>
      <family val="2"/>
      <scheme val="minor"/>
    </font>
    <font>
      <sz val="12"/>
      <color theme="1"/>
      <name val="Calibri"/>
      <family val="2"/>
      <scheme val="minor"/>
    </font>
    <font>
      <sz val="10"/>
      <color rgb="FF000000"/>
      <name val="Tahoma"/>
      <family val="2"/>
    </font>
    <font>
      <b/>
      <sz val="10"/>
      <color rgb="FF000000"/>
      <name val="Tahoma"/>
      <family val="2"/>
    </font>
    <font>
      <sz val="10"/>
      <color rgb="FF000000"/>
      <name val="Calibri"/>
      <family val="2"/>
      <scheme val="minor"/>
    </font>
    <font>
      <i/>
      <sz val="12"/>
      <color theme="1"/>
      <name val="Calibri"/>
      <family val="2"/>
      <scheme val="minor"/>
    </font>
    <font>
      <i/>
      <sz val="12"/>
      <color theme="1" tint="0.49998474074526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3" fontId="0" fillId="0" borderId="0" xfId="0" applyNumberFormat="1"/>
    <xf numFmtId="10" fontId="0" fillId="0" borderId="0" xfId="0" applyNumberFormat="1"/>
    <xf numFmtId="164" fontId="0" fillId="0" borderId="0" xfId="0" applyNumberFormat="1"/>
    <xf numFmtId="165" fontId="0" fillId="0" borderId="0" xfId="0" applyNumberFormat="1"/>
    <xf numFmtId="43" fontId="0" fillId="0" borderId="0" xfId="0" applyNumberFormat="1"/>
    <xf numFmtId="166" fontId="0" fillId="0" borderId="0" xfId="0" applyNumberFormat="1"/>
    <xf numFmtId="167" fontId="0" fillId="0" borderId="0" xfId="0" applyNumberFormat="1"/>
    <xf numFmtId="166" fontId="0" fillId="0" borderId="0" xfId="1" applyNumberFormat="1" applyFont="1"/>
    <xf numFmtId="167" fontId="0" fillId="0" borderId="0" xfId="1" applyNumberFormat="1" applyFont="1"/>
    <xf numFmtId="168" fontId="0" fillId="0" borderId="0" xfId="0" applyNumberFormat="1"/>
    <xf numFmtId="169" fontId="0" fillId="0" borderId="0" xfId="0" applyNumberFormat="1"/>
    <xf numFmtId="170" fontId="0" fillId="0" borderId="0" xfId="1" applyNumberFormat="1" applyFont="1"/>
    <xf numFmtId="0" fontId="5" fillId="0" borderId="0" xfId="0" applyFont="1"/>
    <xf numFmtId="0" fontId="6" fillId="0" borderId="0" xfId="0" applyFont="1"/>
    <xf numFmtId="169" fontId="6" fillId="0" borderId="0" xfId="0" applyNumberFormat="1" applyFont="1"/>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F5B7-6235-AE41-B66E-472D6E330339}">
  <dimension ref="A1:CG24"/>
  <sheetViews>
    <sheetView tabSelected="1" workbookViewId="0">
      <pane xSplit="1" topLeftCell="BV1" activePane="topRight" state="frozen"/>
      <selection pane="topRight" activeCell="CC24" sqref="CC24"/>
    </sheetView>
  </sheetViews>
  <sheetFormatPr baseColWidth="10" defaultRowHeight="16" x14ac:dyDescent="0.2"/>
  <cols>
    <col min="1" max="1" width="38.5" bestFit="1" customWidth="1"/>
    <col min="51" max="51" width="11.5" bestFit="1" customWidth="1"/>
    <col min="54" max="54" width="9.1640625" bestFit="1" customWidth="1"/>
    <col min="59" max="59" width="10.5" bestFit="1" customWidth="1"/>
    <col min="64" max="64" width="9.6640625" customWidth="1"/>
  </cols>
  <sheetData>
    <row r="1" spans="1:85" x14ac:dyDescent="0.2">
      <c r="A1" t="s">
        <v>0</v>
      </c>
      <c r="B1">
        <v>2016</v>
      </c>
      <c r="C1">
        <v>2016</v>
      </c>
      <c r="D1">
        <v>2016</v>
      </c>
      <c r="E1">
        <v>2016</v>
      </c>
      <c r="F1">
        <v>2015</v>
      </c>
      <c r="G1">
        <v>2015</v>
      </c>
      <c r="H1">
        <v>2015</v>
      </c>
      <c r="I1">
        <v>2015</v>
      </c>
      <c r="J1">
        <v>2014</v>
      </c>
      <c r="K1">
        <v>2014</v>
      </c>
      <c r="L1">
        <v>2014</v>
      </c>
      <c r="M1">
        <v>2014</v>
      </c>
      <c r="N1">
        <v>2013</v>
      </c>
      <c r="O1">
        <v>2013</v>
      </c>
      <c r="P1">
        <v>2013</v>
      </c>
      <c r="Q1">
        <v>2013</v>
      </c>
      <c r="R1">
        <v>2012</v>
      </c>
      <c r="S1">
        <v>2012</v>
      </c>
      <c r="T1">
        <v>2012</v>
      </c>
      <c r="U1">
        <v>2012</v>
      </c>
      <c r="V1">
        <v>2011</v>
      </c>
      <c r="W1">
        <v>2011</v>
      </c>
      <c r="X1">
        <v>2011</v>
      </c>
      <c r="Y1">
        <v>2011</v>
      </c>
      <c r="Z1">
        <v>2010</v>
      </c>
      <c r="AA1">
        <v>2010</v>
      </c>
      <c r="AB1">
        <v>2010</v>
      </c>
      <c r="AC1">
        <v>2010</v>
      </c>
      <c r="AD1">
        <v>2009</v>
      </c>
      <c r="AE1">
        <v>2009</v>
      </c>
      <c r="AF1">
        <v>2009</v>
      </c>
      <c r="AG1">
        <v>2009</v>
      </c>
      <c r="AH1">
        <v>2008</v>
      </c>
      <c r="AI1">
        <v>2008</v>
      </c>
      <c r="AJ1">
        <v>2008</v>
      </c>
      <c r="AK1">
        <v>2008</v>
      </c>
      <c r="AL1">
        <v>2007</v>
      </c>
      <c r="AM1">
        <v>2007</v>
      </c>
      <c r="AN1">
        <v>2007</v>
      </c>
      <c r="AO1">
        <v>2007</v>
      </c>
      <c r="AP1">
        <v>2006</v>
      </c>
      <c r="AQ1">
        <v>2006</v>
      </c>
      <c r="AR1">
        <v>2006</v>
      </c>
      <c r="AS1">
        <v>2006</v>
      </c>
      <c r="AT1">
        <v>2005</v>
      </c>
      <c r="AU1">
        <v>2005</v>
      </c>
      <c r="AV1">
        <v>2005</v>
      </c>
      <c r="AW1">
        <v>2005</v>
      </c>
      <c r="AX1">
        <v>2004</v>
      </c>
      <c r="AY1">
        <v>2004</v>
      </c>
      <c r="AZ1">
        <v>2004</v>
      </c>
      <c r="BA1">
        <v>2004</v>
      </c>
      <c r="BB1">
        <v>2003</v>
      </c>
      <c r="BC1">
        <v>2003</v>
      </c>
      <c r="BD1">
        <v>2003</v>
      </c>
      <c r="BE1">
        <v>2003</v>
      </c>
      <c r="BF1">
        <v>2002</v>
      </c>
      <c r="BG1">
        <v>2002</v>
      </c>
      <c r="BH1">
        <v>2002</v>
      </c>
      <c r="BI1">
        <v>2002</v>
      </c>
      <c r="BJ1">
        <v>2001</v>
      </c>
      <c r="BK1">
        <v>2001</v>
      </c>
      <c r="BL1">
        <v>2001</v>
      </c>
      <c r="BM1">
        <v>2001</v>
      </c>
      <c r="BN1">
        <v>2000</v>
      </c>
      <c r="BO1">
        <v>2000</v>
      </c>
      <c r="BP1">
        <v>2000</v>
      </c>
      <c r="BQ1">
        <v>2000</v>
      </c>
      <c r="BR1">
        <v>1999</v>
      </c>
      <c r="BS1">
        <v>1999</v>
      </c>
      <c r="BT1">
        <v>1999</v>
      </c>
      <c r="BU1">
        <v>1999</v>
      </c>
      <c r="BV1">
        <v>1998</v>
      </c>
      <c r="BW1">
        <v>1998</v>
      </c>
      <c r="BX1">
        <v>1998</v>
      </c>
      <c r="BY1">
        <v>1998</v>
      </c>
      <c r="BZ1">
        <v>1997</v>
      </c>
      <c r="CA1">
        <v>1997</v>
      </c>
      <c r="CB1">
        <v>1997</v>
      </c>
      <c r="CC1">
        <v>1997</v>
      </c>
      <c r="CD1">
        <v>1996</v>
      </c>
      <c r="CE1">
        <v>1996</v>
      </c>
      <c r="CF1">
        <v>1996</v>
      </c>
      <c r="CG1">
        <v>1996</v>
      </c>
    </row>
    <row r="2" spans="1:85" x14ac:dyDescent="0.2">
      <c r="A2" t="s">
        <v>1</v>
      </c>
      <c r="B2">
        <v>4</v>
      </c>
      <c r="C2">
        <v>3</v>
      </c>
      <c r="D2">
        <v>2</v>
      </c>
      <c r="E2">
        <v>1</v>
      </c>
      <c r="F2">
        <v>4</v>
      </c>
      <c r="G2">
        <v>3</v>
      </c>
      <c r="H2">
        <v>2</v>
      </c>
      <c r="I2">
        <v>1</v>
      </c>
      <c r="J2">
        <v>4</v>
      </c>
      <c r="K2">
        <v>3</v>
      </c>
      <c r="L2">
        <v>2</v>
      </c>
      <c r="M2">
        <v>1</v>
      </c>
      <c r="N2">
        <v>4</v>
      </c>
      <c r="O2">
        <v>3</v>
      </c>
      <c r="P2">
        <v>2</v>
      </c>
      <c r="Q2">
        <v>1</v>
      </c>
      <c r="R2">
        <v>4</v>
      </c>
      <c r="S2">
        <v>3</v>
      </c>
      <c r="T2">
        <v>2</v>
      </c>
      <c r="U2">
        <v>1</v>
      </c>
      <c r="V2">
        <v>4</v>
      </c>
      <c r="W2">
        <v>3</v>
      </c>
      <c r="X2">
        <v>2</v>
      </c>
      <c r="Y2">
        <v>1</v>
      </c>
      <c r="Z2">
        <v>4</v>
      </c>
      <c r="AA2">
        <v>3</v>
      </c>
      <c r="AB2">
        <v>2</v>
      </c>
      <c r="AC2">
        <v>1</v>
      </c>
      <c r="AD2">
        <v>4</v>
      </c>
      <c r="AE2">
        <v>3</v>
      </c>
      <c r="AF2">
        <v>2</v>
      </c>
      <c r="AG2">
        <v>1</v>
      </c>
      <c r="AH2">
        <v>4</v>
      </c>
      <c r="AI2">
        <v>3</v>
      </c>
      <c r="AJ2">
        <v>2</v>
      </c>
      <c r="AK2">
        <v>1</v>
      </c>
      <c r="AL2">
        <v>4</v>
      </c>
      <c r="AM2">
        <v>3</v>
      </c>
      <c r="AN2">
        <v>2</v>
      </c>
      <c r="AO2">
        <v>1</v>
      </c>
      <c r="AP2">
        <v>4</v>
      </c>
      <c r="AQ2">
        <v>3</v>
      </c>
      <c r="AR2">
        <v>2</v>
      </c>
      <c r="AS2">
        <v>1</v>
      </c>
      <c r="AT2">
        <v>4</v>
      </c>
      <c r="AU2">
        <v>3</v>
      </c>
      <c r="AV2">
        <v>2</v>
      </c>
      <c r="AW2">
        <v>1</v>
      </c>
      <c r="AX2">
        <v>4</v>
      </c>
      <c r="AY2">
        <v>3</v>
      </c>
      <c r="AZ2">
        <v>2</v>
      </c>
      <c r="BA2">
        <v>1</v>
      </c>
      <c r="BB2">
        <v>4</v>
      </c>
      <c r="BC2">
        <v>3</v>
      </c>
      <c r="BD2">
        <v>2</v>
      </c>
      <c r="BE2">
        <v>1</v>
      </c>
      <c r="BF2">
        <v>4</v>
      </c>
      <c r="BG2">
        <v>3</v>
      </c>
      <c r="BH2">
        <v>2</v>
      </c>
      <c r="BI2">
        <v>1</v>
      </c>
      <c r="BJ2">
        <v>4</v>
      </c>
      <c r="BK2">
        <v>3</v>
      </c>
      <c r="BL2">
        <v>2</v>
      </c>
      <c r="BM2">
        <v>1</v>
      </c>
      <c r="BN2">
        <v>4</v>
      </c>
      <c r="BO2">
        <v>3</v>
      </c>
      <c r="BP2">
        <v>2</v>
      </c>
      <c r="BQ2">
        <v>1</v>
      </c>
      <c r="BR2">
        <v>4</v>
      </c>
      <c r="BS2">
        <v>3</v>
      </c>
      <c r="BT2">
        <v>2</v>
      </c>
      <c r="BU2">
        <v>1</v>
      </c>
      <c r="BV2">
        <v>4</v>
      </c>
      <c r="BW2">
        <v>3</v>
      </c>
      <c r="BX2">
        <v>2</v>
      </c>
      <c r="BY2">
        <v>1</v>
      </c>
      <c r="BZ2">
        <v>4</v>
      </c>
      <c r="CA2">
        <v>3</v>
      </c>
      <c r="CB2">
        <v>2</v>
      </c>
      <c r="CC2">
        <v>1</v>
      </c>
      <c r="CD2">
        <v>4</v>
      </c>
      <c r="CE2">
        <v>3</v>
      </c>
      <c r="CF2">
        <v>2</v>
      </c>
      <c r="CG2">
        <v>1</v>
      </c>
    </row>
    <row r="3" spans="1:85" ht="8" customHeight="1" x14ac:dyDescent="0.2"/>
    <row r="4" spans="1:85" x14ac:dyDescent="0.2">
      <c r="A4" t="s">
        <v>3</v>
      </c>
      <c r="B4" s="1">
        <f>15033939-SUM(C4:E4)</f>
        <v>3700717</v>
      </c>
      <c r="C4" s="1">
        <v>3731528</v>
      </c>
      <c r="D4" s="1">
        <v>3826216</v>
      </c>
      <c r="E4" s="1">
        <v>3775478</v>
      </c>
      <c r="F4" s="1">
        <f>14953559-SUM(G4:I4)</f>
        <v>3754354</v>
      </c>
      <c r="G4" s="1">
        <v>3704259</v>
      </c>
      <c r="H4" s="1">
        <v>3801416</v>
      </c>
      <c r="I4" s="1">
        <v>3693530</v>
      </c>
      <c r="J4" s="1">
        <f>14495091-SUM(K4:M4)</f>
        <v>3645953</v>
      </c>
      <c r="K4" s="1">
        <v>3647850</v>
      </c>
      <c r="L4" s="1">
        <v>3645101</v>
      </c>
      <c r="M4" s="1">
        <v>3556187</v>
      </c>
      <c r="N4" s="1">
        <f>13764774-SUM(O4:Q4)</f>
        <v>3500090</v>
      </c>
      <c r="O4" s="1">
        <v>3463753</v>
      </c>
      <c r="P4" s="1">
        <v>3452764</v>
      </c>
      <c r="Q4" s="1">
        <v>3348167</v>
      </c>
      <c r="R4" s="1">
        <f>13064936-SUM(S4:U4)</f>
        <v>3277260</v>
      </c>
      <c r="S4" s="1">
        <v>3267380</v>
      </c>
      <c r="T4" s="1">
        <v>3295831</v>
      </c>
      <c r="U4" s="1">
        <v>3224465</v>
      </c>
      <c r="V4" s="1">
        <f>12976009-SUM(W4:Y4)</f>
        <v>3123984</v>
      </c>
      <c r="W4" s="1">
        <v>3229345</v>
      </c>
      <c r="X4" s="1">
        <v>3311340</v>
      </c>
      <c r="Y4" s="1">
        <v>3311340</v>
      </c>
      <c r="Z4" s="1">
        <f>12543794-SUM(AA4:AC4)</f>
        <v>3180820</v>
      </c>
      <c r="AA4" s="1">
        <v>3185515</v>
      </c>
      <c r="AB4" s="1">
        <v>3141326</v>
      </c>
      <c r="AC4" s="1">
        <v>3036133</v>
      </c>
      <c r="AD4" s="1">
        <f>11538729-SUM(AE4:AG4)</f>
        <v>2933121</v>
      </c>
      <c r="AE4" s="1">
        <v>2862554</v>
      </c>
      <c r="AF4" s="1">
        <v>2878115</v>
      </c>
      <c r="AG4" s="1">
        <v>2864939</v>
      </c>
      <c r="AH4" s="1">
        <f>11455575-SUM(AI4:AK4)</f>
        <v>2883412</v>
      </c>
      <c r="AI4" s="1">
        <v>2886157</v>
      </c>
      <c r="AJ4" s="1">
        <v>2875580</v>
      </c>
      <c r="AK4" s="1">
        <v>2810426</v>
      </c>
      <c r="AL4" s="1">
        <f>10690976-SUM(AM4:AO4)</f>
        <v>2763665</v>
      </c>
      <c r="AM4" s="1">
        <v>2699018</v>
      </c>
      <c r="AN4" s="1">
        <v>2676230</v>
      </c>
      <c r="AO4" s="1">
        <v>2552063</v>
      </c>
      <c r="AP4" s="1">
        <f>9422274-SUM(AQ4:AS4)</f>
        <v>2505139</v>
      </c>
      <c r="AQ4" s="1">
        <v>2389798</v>
      </c>
      <c r="AR4" s="1">
        <v>2332227</v>
      </c>
      <c r="AS4" s="1">
        <v>2195110</v>
      </c>
      <c r="AT4" s="1">
        <f>7986394-SUM(AU4:AW4)</f>
        <v>2089896</v>
      </c>
      <c r="AU4" s="1">
        <v>2010441</v>
      </c>
      <c r="AV4" s="1">
        <v>1992174</v>
      </c>
      <c r="AW4" s="1">
        <v>1893883</v>
      </c>
      <c r="AX4" s="1">
        <f>6692949-SUM(AY4:BA4)</f>
        <v>1805443</v>
      </c>
      <c r="AY4" s="1">
        <v>1733494</v>
      </c>
      <c r="AZ4" s="1">
        <v>1660502</v>
      </c>
      <c r="BA4" s="1">
        <v>1493510</v>
      </c>
      <c r="BB4" s="1">
        <f>5409875-SUM(BC4:BE4)</f>
        <v>1407862</v>
      </c>
      <c r="BC4" s="1">
        <v>1365827</v>
      </c>
      <c r="BD4" s="1">
        <v>1343041</v>
      </c>
      <c r="BE4" s="1">
        <v>1293145</v>
      </c>
      <c r="BF4" s="1">
        <f>4429699-SUM(BG4:BI4)</f>
        <v>1207121</v>
      </c>
      <c r="BG4" s="1">
        <f>1120448+3558</f>
        <v>1124006</v>
      </c>
      <c r="BH4" s="1">
        <f>1071845+7843</f>
        <v>1079688</v>
      </c>
      <c r="BI4" s="1">
        <f>1016057+2827</f>
        <v>1018884</v>
      </c>
      <c r="BJ4" s="1">
        <f>3588441+17283-SUM(BK4:BM4)</f>
        <v>997851</v>
      </c>
      <c r="BK4" s="1">
        <f>920970+3672</f>
        <v>924642</v>
      </c>
      <c r="BL4" s="1">
        <f>883055+3245</f>
        <v>886300</v>
      </c>
      <c r="BM4" s="1">
        <f>794448+2483</f>
        <v>796931</v>
      </c>
      <c r="BN4" s="1">
        <f>2346700+5537-SUM(BO4:BQ4)</f>
        <v>699291</v>
      </c>
      <c r="BO4" s="1">
        <f>616283+998</f>
        <v>617281</v>
      </c>
      <c r="BP4" s="1">
        <f>555309+2169</f>
        <v>557478</v>
      </c>
      <c r="BQ4" s="1">
        <f>476874+1313</f>
        <v>478187</v>
      </c>
      <c r="BR4" s="1">
        <f>1344136+8467-SUM(BS4:BU4)</f>
        <v>419014</v>
      </c>
      <c r="BS4" s="1">
        <f>359502+1866</f>
        <v>361368</v>
      </c>
      <c r="BT4" s="1">
        <f>306781+2161</f>
        <v>308942</v>
      </c>
      <c r="BU4" s="1">
        <f>261016+2263</f>
        <v>263279</v>
      </c>
      <c r="BV4" s="1">
        <f>669310+13722-SUM(BW4:BY4)</f>
        <v>211488</v>
      </c>
      <c r="BW4" s="1">
        <f>179472+1861</f>
        <v>181333</v>
      </c>
      <c r="BX4" s="1">
        <f>151527+3508</f>
        <v>155035</v>
      </c>
      <c r="BY4" s="1">
        <f>128541+6635</f>
        <v>135176</v>
      </c>
      <c r="CA4" s="1">
        <f>82078+13698</f>
        <v>95776</v>
      </c>
      <c r="CB4" s="1">
        <f>62858+12698</f>
        <v>75556</v>
      </c>
      <c r="CC4" s="1">
        <f>48050+8694</f>
        <v>56744</v>
      </c>
      <c r="CD4" s="1">
        <f>49650+10482</f>
        <v>60132</v>
      </c>
      <c r="CE4" s="1">
        <f>13235+2794</f>
        <v>16029</v>
      </c>
    </row>
    <row r="5" spans="1:85" x14ac:dyDescent="0.2">
      <c r="A5" t="s">
        <v>4</v>
      </c>
      <c r="B5" s="1">
        <f>15212302-SUM(C5:E5)</f>
        <v>3752765</v>
      </c>
      <c r="C5" s="1">
        <v>3767472</v>
      </c>
      <c r="D5" s="1">
        <v>3864591</v>
      </c>
      <c r="E5" s="1">
        <v>3827474</v>
      </c>
      <c r="F5" s="1">
        <f>15068901-SUM(G5:I5)</f>
        <v>3778683</v>
      </c>
      <c r="G5" s="1">
        <v>3733565</v>
      </c>
      <c r="H5" s="1">
        <v>3832425</v>
      </c>
      <c r="I5" s="1">
        <v>3724228</v>
      </c>
      <c r="J5" s="1">
        <f>14643387-SUM(K5:M5)</f>
        <v>3681719</v>
      </c>
      <c r="K5" s="1">
        <v>3679351</v>
      </c>
      <c r="L5" s="1">
        <v>3688119</v>
      </c>
      <c r="M5" s="1">
        <v>3594198</v>
      </c>
      <c r="N5" s="1">
        <f>13904865-SUM(O5:Q5)</f>
        <v>3538540</v>
      </c>
      <c r="O5" s="1">
        <v>3505021</v>
      </c>
      <c r="P5" s="1">
        <v>3485774</v>
      </c>
      <c r="Q5" s="1">
        <v>3375530</v>
      </c>
      <c r="R5" s="1">
        <f>13181334-SUM(S5:U5)</f>
        <v>2504352</v>
      </c>
      <c r="S5" s="1">
        <v>3523347</v>
      </c>
      <c r="T5" s="1">
        <v>3571766</v>
      </c>
      <c r="U5" s="1">
        <v>3581869</v>
      </c>
      <c r="V5" s="1">
        <f>14048393-SUM(W5:Y5)</f>
        <v>3265420</v>
      </c>
      <c r="W5" s="1">
        <v>3602651</v>
      </c>
      <c r="X5" s="1">
        <v>3590161</v>
      </c>
      <c r="Y5" s="1">
        <v>3590161</v>
      </c>
      <c r="Z5" s="1">
        <f>12640744-SUM(AA5:AC5)</f>
        <v>3206579</v>
      </c>
      <c r="AA5" s="1">
        <v>3207728</v>
      </c>
      <c r="AB5" s="1">
        <v>3169042</v>
      </c>
      <c r="AC5" s="1">
        <v>3057395</v>
      </c>
      <c r="AD5" s="1">
        <f>11664151-SUM(AE5:AG5)</f>
        <v>2962982</v>
      </c>
      <c r="AE5" s="1">
        <v>2892147</v>
      </c>
      <c r="AF5" s="1">
        <v>2903701</v>
      </c>
      <c r="AG5" s="1">
        <v>2905321</v>
      </c>
      <c r="AH5" s="1">
        <f>11617187-SUM(AI5:AK5)</f>
        <v>2921022</v>
      </c>
      <c r="AI5" s="1">
        <v>2936781</v>
      </c>
      <c r="AJ5" s="1">
        <v>2914990</v>
      </c>
      <c r="AK5" s="1">
        <v>2844394</v>
      </c>
      <c r="AL5" s="1">
        <f>11090375-SUM(AM5:AO5)</f>
        <v>2891055</v>
      </c>
      <c r="AM5" s="1">
        <v>2794327</v>
      </c>
      <c r="AN5" s="1">
        <v>2760008</v>
      </c>
      <c r="AO5" s="1">
        <v>2644985</v>
      </c>
      <c r="AP5" s="1">
        <f>9818486-SUM(AQ5:AS5)</f>
        <v>2577649</v>
      </c>
      <c r="AQ5" s="1">
        <v>2475291</v>
      </c>
      <c r="AR5" s="1">
        <v>2466155</v>
      </c>
      <c r="AS5" s="1">
        <v>2299391</v>
      </c>
      <c r="AT5" s="1">
        <f>8447175-SUM(AU5:AW5)</f>
        <v>2199468</v>
      </c>
      <c r="AU5" s="1">
        <v>2128221</v>
      </c>
      <c r="AV5" s="1">
        <v>2095486</v>
      </c>
      <c r="AW5" s="1">
        <v>2024000</v>
      </c>
      <c r="AX5" s="1">
        <f>7158471-SUM(AY5:BA5)</f>
        <v>1938349</v>
      </c>
      <c r="AY5" s="1">
        <v>1862613</v>
      </c>
      <c r="AZ5" s="1">
        <v>1777713</v>
      </c>
      <c r="BA5" s="1">
        <v>1579796</v>
      </c>
      <c r="BB5" s="1">
        <f>5739296-SUM(BC5:BE5)</f>
        <v>1513386</v>
      </c>
      <c r="BC5" s="1">
        <v>1452295</v>
      </c>
      <c r="BD5" s="1">
        <v>1414567</v>
      </c>
      <c r="BE5" s="1">
        <v>1359048</v>
      </c>
      <c r="BF5" s="1">
        <f>4820825-SUM(BG5:BI5)</f>
        <v>1324824</v>
      </c>
      <c r="BG5" s="1">
        <v>1222849</v>
      </c>
      <c r="BH5" s="1">
        <v>1168684</v>
      </c>
      <c r="BI5" s="1">
        <v>1104468</v>
      </c>
      <c r="BJ5" s="1">
        <f>4001138-SUM(BK5:BM5)</f>
        <v>1150430</v>
      </c>
      <c r="BK5" s="1">
        <v>1022506</v>
      </c>
      <c r="BL5" s="1">
        <v>966272</v>
      </c>
      <c r="BM5" s="1">
        <v>861930</v>
      </c>
      <c r="BN5" s="1">
        <f>2715220-SUM(BO5:BQ5)</f>
        <v>805398</v>
      </c>
      <c r="BO5" s="1">
        <v>697972</v>
      </c>
      <c r="BP5" s="1">
        <v>646129</v>
      </c>
      <c r="BQ5" s="1">
        <v>565721</v>
      </c>
      <c r="BR5" s="1">
        <f>1602841-SUM(BS5:BU5)</f>
        <v>514868</v>
      </c>
      <c r="BS5" s="1">
        <v>428180</v>
      </c>
      <c r="BT5" s="1">
        <v>350217</v>
      </c>
      <c r="BU5" s="1">
        <v>309576</v>
      </c>
      <c r="BV5" s="1">
        <f>982666-SUM(BW5:BY5)</f>
        <v>286982</v>
      </c>
      <c r="BW5" s="1">
        <v>235407</v>
      </c>
      <c r="BX5" s="1">
        <v>245838</v>
      </c>
      <c r="BY5" s="1">
        <v>214439</v>
      </c>
      <c r="CA5" s="1">
        <v>130038</v>
      </c>
      <c r="CB5" s="1">
        <v>98691</v>
      </c>
      <c r="CC5" s="1">
        <v>69524</v>
      </c>
      <c r="CE5" s="1">
        <v>30362</v>
      </c>
    </row>
    <row r="6" spans="1:85" ht="8" customHeight="1" x14ac:dyDescent="0.2"/>
    <row r="7" spans="1:85" x14ac:dyDescent="0.2">
      <c r="A7" t="s">
        <v>8</v>
      </c>
      <c r="C7" s="1"/>
      <c r="AM7" s="1">
        <v>400624</v>
      </c>
      <c r="AN7" s="1">
        <v>376408</v>
      </c>
      <c r="AO7" s="1">
        <v>401085</v>
      </c>
      <c r="AQ7" s="1">
        <v>438827</v>
      </c>
      <c r="AR7" s="1">
        <v>373239</v>
      </c>
      <c r="AS7" s="1">
        <v>358955</v>
      </c>
      <c r="AU7" s="1">
        <v>402565</v>
      </c>
      <c r="AV7" s="1">
        <v>344964</v>
      </c>
      <c r="AW7" s="1">
        <v>333511</v>
      </c>
      <c r="AY7" s="1">
        <v>377104</v>
      </c>
      <c r="AZ7" s="1">
        <v>365344</v>
      </c>
      <c r="BA7" s="1">
        <v>416299</v>
      </c>
      <c r="BB7" s="1">
        <v>1312068</v>
      </c>
      <c r="BC7" s="1">
        <v>346512</v>
      </c>
      <c r="BD7" s="1">
        <v>285701</v>
      </c>
      <c r="BE7" s="1">
        <v>308187</v>
      </c>
      <c r="BF7" s="1">
        <v>1168649</v>
      </c>
      <c r="BG7" s="1">
        <v>297700</v>
      </c>
      <c r="BH7" s="1">
        <v>248300</v>
      </c>
      <c r="BI7" s="1">
        <v>266000</v>
      </c>
      <c r="BJ7" s="1">
        <v>1074000</v>
      </c>
      <c r="BK7" s="1">
        <v>268000</v>
      </c>
      <c r="BL7" s="1">
        <v>252000</v>
      </c>
      <c r="BM7" s="1">
        <v>297000</v>
      </c>
      <c r="BN7" s="1">
        <v>1155000</v>
      </c>
      <c r="BO7" s="1">
        <v>284000</v>
      </c>
      <c r="BP7" s="1">
        <v>252000</v>
      </c>
      <c r="BQ7" s="1">
        <v>273000</v>
      </c>
      <c r="BR7" s="1">
        <v>729000</v>
      </c>
      <c r="BS7" s="1">
        <v>201000</v>
      </c>
      <c r="BT7" s="1">
        <v>151000</v>
      </c>
      <c r="BU7" s="1">
        <v>142000</v>
      </c>
      <c r="BV7" s="1">
        <v>314000</v>
      </c>
      <c r="BW7" s="1">
        <v>64000</v>
      </c>
      <c r="BX7" s="1">
        <v>66000</v>
      </c>
      <c r="BY7" s="1">
        <v>51000</v>
      </c>
      <c r="CA7" s="1">
        <v>84000</v>
      </c>
      <c r="CB7" s="1">
        <v>43000</v>
      </c>
      <c r="CC7" s="1">
        <v>58000</v>
      </c>
    </row>
    <row r="8" spans="1:85" x14ac:dyDescent="0.2">
      <c r="A8" t="s">
        <v>6</v>
      </c>
      <c r="AM8" s="1">
        <v>184000</v>
      </c>
      <c r="AN8" s="1">
        <v>172000</v>
      </c>
      <c r="AO8" s="1">
        <v>189000</v>
      </c>
      <c r="AQ8" s="1">
        <v>220000</v>
      </c>
      <c r="AR8" s="1">
        <v>189700</v>
      </c>
      <c r="AS8" s="1">
        <v>194800</v>
      </c>
      <c r="AU8" s="1">
        <v>225000</v>
      </c>
      <c r="AV8" s="1">
        <v>208200</v>
      </c>
      <c r="AW8" s="1">
        <v>184700</v>
      </c>
    </row>
    <row r="9" spans="1:85" ht="8" customHeight="1" x14ac:dyDescent="0.2"/>
    <row r="10" spans="1:85" x14ac:dyDescent="0.2">
      <c r="A10" t="s">
        <v>2</v>
      </c>
      <c r="B10">
        <v>13.670999999999999</v>
      </c>
      <c r="C10">
        <v>13.643000000000001</v>
      </c>
      <c r="D10">
        <v>13.593</v>
      </c>
      <c r="E10">
        <v>13.874000000000001</v>
      </c>
      <c r="F10">
        <v>13.897</v>
      </c>
      <c r="G10">
        <v>13.909000000000001</v>
      </c>
      <c r="H10">
        <v>13.932</v>
      </c>
      <c r="I10">
        <v>14.013</v>
      </c>
      <c r="J10">
        <v>13.978</v>
      </c>
      <c r="K10">
        <v>14.041</v>
      </c>
      <c r="L10">
        <v>14.053000000000001</v>
      </c>
      <c r="M10">
        <v>14.097</v>
      </c>
      <c r="N10">
        <v>14.057</v>
      </c>
      <c r="O10">
        <v>14.048999999999999</v>
      </c>
      <c r="P10">
        <v>14.013999999999999</v>
      </c>
      <c r="Q10">
        <v>14.092000000000001</v>
      </c>
      <c r="R10">
        <v>14.055999999999999</v>
      </c>
      <c r="S10">
        <v>14.042</v>
      </c>
      <c r="T10">
        <v>14.061</v>
      </c>
      <c r="U10">
        <v>14.071</v>
      </c>
      <c r="V10">
        <v>13.967000000000001</v>
      </c>
      <c r="W10">
        <v>13.945</v>
      </c>
      <c r="X10">
        <v>14.055999999999999</v>
      </c>
      <c r="Y10">
        <v>14.191000000000001</v>
      </c>
      <c r="Z10">
        <v>14.132999999999999</v>
      </c>
      <c r="AA10">
        <v>14.289</v>
      </c>
      <c r="AB10">
        <v>14.318</v>
      </c>
      <c r="AC10">
        <v>14.337</v>
      </c>
      <c r="AD10">
        <v>14.1</v>
      </c>
      <c r="AE10">
        <v>13.851000000000001</v>
      </c>
      <c r="AF10">
        <v>13.61</v>
      </c>
      <c r="AG10">
        <v>13.584</v>
      </c>
      <c r="AH10">
        <v>13.678000000000001</v>
      </c>
      <c r="AI10">
        <v>13.78</v>
      </c>
      <c r="AJ10">
        <v>13.79</v>
      </c>
      <c r="AK10">
        <v>13.815</v>
      </c>
      <c r="AL10">
        <v>13.78</v>
      </c>
      <c r="AM10">
        <v>13.695</v>
      </c>
      <c r="AN10">
        <v>13.585000000000001</v>
      </c>
      <c r="AO10">
        <v>13.414999999999999</v>
      </c>
      <c r="AP10">
        <v>13.105</v>
      </c>
      <c r="AQ10">
        <v>12.755000000000001</v>
      </c>
      <c r="AR10">
        <v>12.46</v>
      </c>
      <c r="AS10">
        <v>12.265000000000001</v>
      </c>
      <c r="AT10">
        <v>12.04</v>
      </c>
      <c r="AU10">
        <v>11.71</v>
      </c>
      <c r="AV10">
        <v>11.455</v>
      </c>
      <c r="AW10">
        <v>11.23</v>
      </c>
      <c r="AX10">
        <v>10.904999999999999</v>
      </c>
      <c r="AY10">
        <v>10.475</v>
      </c>
      <c r="AZ10">
        <v>10.125</v>
      </c>
      <c r="BA10">
        <v>9.7850000000000001</v>
      </c>
      <c r="BB10">
        <v>9.4250000000000007</v>
      </c>
      <c r="BC10">
        <v>9.0850000000000009</v>
      </c>
      <c r="BD10">
        <v>8.8000000000000007</v>
      </c>
      <c r="BE10">
        <v>8.5299999999999994</v>
      </c>
      <c r="BF10">
        <v>8.18</v>
      </c>
      <c r="BG10">
        <v>7.78</v>
      </c>
      <c r="BH10">
        <v>7.46</v>
      </c>
      <c r="BI10">
        <v>7.16</v>
      </c>
      <c r="BJ10">
        <v>6.83</v>
      </c>
      <c r="BK10">
        <v>6.43</v>
      </c>
      <c r="BL10">
        <v>6.07</v>
      </c>
      <c r="BM10">
        <v>5.7</v>
      </c>
      <c r="BN10">
        <v>5.26</v>
      </c>
      <c r="BO10">
        <v>4.8</v>
      </c>
      <c r="BP10">
        <v>4.3</v>
      </c>
      <c r="BQ10">
        <v>3.9</v>
      </c>
      <c r="BR10">
        <v>3.41</v>
      </c>
      <c r="BS10">
        <v>3</v>
      </c>
      <c r="BT10">
        <v>2.6</v>
      </c>
      <c r="BU10">
        <v>2.2999999999999998</v>
      </c>
      <c r="BV10">
        <v>1.94</v>
      </c>
      <c r="BW10">
        <v>1.6</v>
      </c>
      <c r="BX10">
        <v>1.4</v>
      </c>
      <c r="BY10">
        <v>1.2</v>
      </c>
      <c r="BZ10">
        <v>1.04</v>
      </c>
      <c r="CA10">
        <v>0.82</v>
      </c>
      <c r="CB10">
        <v>0.59</v>
      </c>
      <c r="CC10">
        <v>0.47960000000000003</v>
      </c>
      <c r="CD10">
        <v>0.35</v>
      </c>
      <c r="CE10">
        <v>0.19</v>
      </c>
    </row>
    <row r="11" spans="1:85" x14ac:dyDescent="0.2">
      <c r="A11" t="s">
        <v>5</v>
      </c>
      <c r="B11">
        <f>2.614-SUM(C11:E11)</f>
        <v>0.69399999999999995</v>
      </c>
      <c r="C11">
        <v>0.73599999999999999</v>
      </c>
      <c r="D11">
        <v>0.52700000000000002</v>
      </c>
      <c r="E11">
        <v>0.65700000000000003</v>
      </c>
      <c r="F11">
        <f>2.773-SUM(G11:I11)</f>
        <v>0.66100000000000003</v>
      </c>
      <c r="G11">
        <v>0.751</v>
      </c>
      <c r="H11">
        <v>0.63800000000000001</v>
      </c>
      <c r="I11">
        <v>0.72299999999999998</v>
      </c>
      <c r="J11">
        <f>2.601-SUM(K11:M11)</f>
        <v>0.61499999999999999</v>
      </c>
      <c r="K11">
        <v>0.69099999999999995</v>
      </c>
      <c r="L11">
        <v>0.65600000000000003</v>
      </c>
      <c r="M11">
        <v>0.63900000000000001</v>
      </c>
      <c r="N11">
        <f>2.666-SUM(O11:Q11)</f>
        <v>0.65399999999999991</v>
      </c>
      <c r="O11">
        <v>0.73399999999999999</v>
      </c>
      <c r="P11">
        <v>0.624</v>
      </c>
      <c r="Q11">
        <v>0.65400000000000003</v>
      </c>
      <c r="R11">
        <f>2.739-SUM(S11:U11)</f>
        <v>0.66199999999999992</v>
      </c>
      <c r="S11">
        <v>0.73899999999999999</v>
      </c>
      <c r="T11">
        <v>0.66500000000000004</v>
      </c>
      <c r="U11">
        <v>0.67300000000000004</v>
      </c>
      <c r="V11">
        <f>2.576-SUM(W11:Y11)</f>
        <v>0.66700000000000004</v>
      </c>
      <c r="W11">
        <v>0.65600000000000003</v>
      </c>
      <c r="X11">
        <v>0.57199999999999995</v>
      </c>
      <c r="Y11">
        <v>0.68100000000000005</v>
      </c>
      <c r="Z11">
        <f>3.052-SUM(AA11:AC11)</f>
        <v>0.65300000000000002</v>
      </c>
      <c r="AA11">
        <v>0.81899999999999995</v>
      </c>
      <c r="AB11">
        <v>0.747</v>
      </c>
      <c r="AC11">
        <v>0.83299999999999996</v>
      </c>
      <c r="AD11">
        <f>3.118-SUM(AE11:AG11)</f>
        <v>0.84699999999999998</v>
      </c>
      <c r="AE11">
        <v>0.88700000000000001</v>
      </c>
      <c r="AF11">
        <v>0.73099999999999998</v>
      </c>
      <c r="AG11">
        <v>0.65300000000000002</v>
      </c>
      <c r="AH11">
        <f>2.966-SUM(AI11:AK11)</f>
        <v>0.65900000000000025</v>
      </c>
      <c r="AI11">
        <v>0.82499999999999996</v>
      </c>
      <c r="AJ11">
        <v>0.752</v>
      </c>
      <c r="AK11">
        <v>0.73</v>
      </c>
      <c r="AL11">
        <f>3.434-SUM(AM11:AO11)</f>
        <v>0.79</v>
      </c>
      <c r="AM11">
        <v>0.90400000000000003</v>
      </c>
      <c r="AN11">
        <v>0.85</v>
      </c>
      <c r="AO11">
        <v>0.89</v>
      </c>
      <c r="AP11">
        <f>3.516-SUM(AQ11:AS11)</f>
        <v>0.94</v>
      </c>
      <c r="AQ11">
        <v>0.95799999999999996</v>
      </c>
      <c r="AR11">
        <v>0.82399999999999995</v>
      </c>
      <c r="AS11">
        <v>0.79400000000000004</v>
      </c>
      <c r="AT11">
        <f>3.397-SUM(AU11:AW11)</f>
        <v>0.8969999999999998</v>
      </c>
      <c r="AU11">
        <v>0.9</v>
      </c>
      <c r="AV11">
        <v>0.79900000000000004</v>
      </c>
      <c r="AW11">
        <v>0.80100000000000005</v>
      </c>
      <c r="AX11">
        <f>3.441-SUM(AY11:BA11)</f>
        <v>0.91199999999999992</v>
      </c>
      <c r="AY11">
        <v>0.89500000000000002</v>
      </c>
      <c r="AZ11">
        <v>0.84899999999999998</v>
      </c>
      <c r="BA11">
        <v>0.78500000000000003</v>
      </c>
      <c r="BB11" s="11">
        <f>2.894-SUM(BC12:BE12)</f>
        <v>0.76224705743348853</v>
      </c>
      <c r="BC11" s="7"/>
      <c r="BF11" s="11">
        <f>2.764-SUM(BG12:BI12)</f>
        <v>0.78130785558048776</v>
      </c>
    </row>
    <row r="12" spans="1:85" s="13" customFormat="1" x14ac:dyDescent="0.2">
      <c r="A12" s="14" t="s">
        <v>7</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5">
        <f>(AM7+AM8)/AM16/1000</f>
        <v>0.90499071207430337</v>
      </c>
      <c r="AN12" s="15">
        <f>(AN7+AN8)/AN16/1000</f>
        <v>0.85024496124031013</v>
      </c>
      <c r="AO12" s="15">
        <f>(AO7+AO8)/AO16/1000</f>
        <v>0.89002262443438918</v>
      </c>
      <c r="AP12" s="14"/>
      <c r="AQ12" s="15">
        <f>(AQ7+AQ8)/AQ16/1000</f>
        <v>0.95759738372093017</v>
      </c>
      <c r="AR12" s="15">
        <f>(AR7+AR8)/AR16/1000</f>
        <v>0.82421522693997074</v>
      </c>
      <c r="AS12" s="15">
        <f>(AS7+AS8)/AS16/1000</f>
        <v>0.79448350071736018</v>
      </c>
      <c r="AT12" s="15"/>
      <c r="AU12" s="15">
        <f>(AU7+AU8)/AU16/1000</f>
        <v>0.90038020086083215</v>
      </c>
      <c r="AV12" s="15">
        <f>(AV7+AV8)/AV16/1000</f>
        <v>0.79936994219653179</v>
      </c>
      <c r="AW12" s="15">
        <f>(AW7+AW8)/AW16/1000</f>
        <v>0.83179935794542537</v>
      </c>
      <c r="AX12" s="14"/>
      <c r="AY12" s="15">
        <f>AY7/AY16/1000</f>
        <v>0.89573396674584316</v>
      </c>
      <c r="AZ12" s="15">
        <f>AZ7/AZ16/1000</f>
        <v>0.8476658932714618</v>
      </c>
      <c r="BA12" s="15">
        <f>BA7/BA16/1000</f>
        <v>0.78546981132075477</v>
      </c>
      <c r="BB12" s="15">
        <f>BB7/BB16/1000-SUM(BC12:BE12)</f>
        <v>0.76464440842686621</v>
      </c>
      <c r="BC12" s="15">
        <f>BC7/BC16/1000</f>
        <v>0.74358798283261807</v>
      </c>
      <c r="BD12" s="15">
        <f>BD7/BD16/1000</f>
        <v>0.70024754901960784</v>
      </c>
      <c r="BE12" s="15">
        <f>BE7/BE16/1000</f>
        <v>0.68791741071428569</v>
      </c>
      <c r="BF12" s="15">
        <f>BF7/BF16/1000-SUM(BG12:BI12)</f>
        <v>0.79319621662561879</v>
      </c>
      <c r="BG12" s="15">
        <f>BG7/BG16/1000</f>
        <v>0.72082324455205815</v>
      </c>
      <c r="BH12" s="15">
        <f>BH7/BH16/1000</f>
        <v>0.64326424870466326</v>
      </c>
      <c r="BI12" s="15">
        <f>BI7/BI16/1000</f>
        <v>0.61860465116279062</v>
      </c>
      <c r="BJ12" s="15">
        <f>BJ7/BJ16/1000-SUM(BK12:BM12)</f>
        <v>0.69156387238439665</v>
      </c>
      <c r="BK12" s="15">
        <f>BK7/BK16/1000</f>
        <v>0.68367346938775508</v>
      </c>
      <c r="BL12" s="15">
        <f>BL7/BL16/1000</f>
        <v>0.65625</v>
      </c>
      <c r="BM12" s="15">
        <f>BM7/BM16/1000</f>
        <v>0.6875</v>
      </c>
      <c r="BN12" s="15">
        <f>BN7/BN16/1000-SUM(BO12:BQ12)</f>
        <v>0.70467840809223592</v>
      </c>
      <c r="BO12" s="15">
        <f>BO7/BO16/1000</f>
        <v>0.64840182648401823</v>
      </c>
      <c r="BP12" s="15">
        <f>BP7/BP16/1000</f>
        <v>0.61764705882352944</v>
      </c>
      <c r="BQ12" s="15">
        <f>BQ7/BQ16/1000</f>
        <v>0.58458244111349045</v>
      </c>
      <c r="BR12" s="15">
        <f>BR7/BR16/1000-SUM(BS12:BU12)</f>
        <v>0.56442324798489207</v>
      </c>
      <c r="BS12" s="15">
        <f>BS7/BS16/1000</f>
        <v>0.51538461538461533</v>
      </c>
      <c r="BT12" s="15">
        <f>BT7/BT16/1000</f>
        <v>0.41369863013698632</v>
      </c>
      <c r="BU12" s="15">
        <f>BU7/BU16/1000</f>
        <v>0.4</v>
      </c>
      <c r="BV12" s="15">
        <f>BV7/BV16/1000-SUM(BW12:BY12)</f>
        <v>0.39537343358395982</v>
      </c>
      <c r="BW12" s="15">
        <f>BW7/BW16/1000</f>
        <v>0.26666666666666666</v>
      </c>
      <c r="BX12" s="15">
        <f>BX7/BX16/1000</f>
        <v>0.23571428571428571</v>
      </c>
      <c r="BY12" s="15">
        <f>BY7/BY16/1000</f>
        <v>0.20399999999999999</v>
      </c>
      <c r="BZ12" s="14"/>
      <c r="CA12" s="15">
        <f>CA7/CA16/1000</f>
        <v>0.28000000000000003</v>
      </c>
      <c r="CB12" s="15">
        <f>CB7/CB16/1000</f>
        <v>0.14333333333333334</v>
      </c>
      <c r="CC12" s="15">
        <f>CC7/CC16/1000</f>
        <v>0.14499999999999999</v>
      </c>
      <c r="CD12" s="14"/>
      <c r="CE12" s="14"/>
      <c r="CF12" s="14"/>
      <c r="CG12" s="14"/>
    </row>
    <row r="13" spans="1:85" x14ac:dyDescent="0.2">
      <c r="A13" t="s">
        <v>13</v>
      </c>
      <c r="B13">
        <f>-0.392-SUM(C13:E13)</f>
        <v>2.8000000000000025E-2</v>
      </c>
      <c r="C13" s="16">
        <v>-0.11600000000000001</v>
      </c>
      <c r="D13">
        <v>-0.28100000000000003</v>
      </c>
      <c r="E13">
        <v>-2.3E-2</v>
      </c>
      <c r="F13">
        <f>-0.081-SUM(G13:I13)</f>
        <v>-1.1999999999999997E-2</v>
      </c>
      <c r="G13">
        <v>-2.3E-2</v>
      </c>
      <c r="H13">
        <v>-8.1000000000000003E-2</v>
      </c>
      <c r="I13">
        <v>3.5000000000000003E-2</v>
      </c>
      <c r="J13">
        <f>-0.079-SUM(K13:M13)</f>
        <v>-6.3E-2</v>
      </c>
      <c r="K13">
        <v>-1.2E-2</v>
      </c>
      <c r="L13">
        <v>-4.3999999999999997E-2</v>
      </c>
      <c r="M13">
        <v>0.04</v>
      </c>
      <c r="N13">
        <f>0.001-SUM(O13:Q13)</f>
        <v>8.0000000000000002E-3</v>
      </c>
      <c r="O13">
        <v>3.5000000000000003E-2</v>
      </c>
      <c r="P13">
        <v>-7.8E-2</v>
      </c>
      <c r="Q13">
        <v>3.5999999999999997E-2</v>
      </c>
      <c r="R13">
        <f>0.089-SUM(S13:U13)</f>
        <v>1.3999999999999999E-2</v>
      </c>
      <c r="S13">
        <v>-1.9E-2</v>
      </c>
      <c r="T13">
        <v>-0.01</v>
      </c>
      <c r="U13">
        <v>0.104</v>
      </c>
      <c r="V13" s="10">
        <f>-0.166-SUM(W13:Y13)</f>
        <v>2.1999999999999992E-2</v>
      </c>
      <c r="W13">
        <v>-0.111</v>
      </c>
      <c r="X13">
        <v>-0.13500000000000001</v>
      </c>
      <c r="Y13">
        <v>5.8000000000000003E-2</v>
      </c>
      <c r="Z13">
        <f>0.033-SUM(AA13:AC13)</f>
        <v>-0.156</v>
      </c>
      <c r="AA13">
        <v>-2.9000000000000001E-2</v>
      </c>
      <c r="AB13">
        <v>-1.9E-2</v>
      </c>
      <c r="AC13">
        <v>0.23699999999999999</v>
      </c>
      <c r="AD13">
        <f>0.422-SUM(AE13:AG13)</f>
        <v>0.24899999999999997</v>
      </c>
      <c r="AE13">
        <v>0.24099999999999999</v>
      </c>
      <c r="AF13">
        <v>2.5999999999999999E-2</v>
      </c>
      <c r="AG13">
        <v>-9.4E-2</v>
      </c>
      <c r="AH13">
        <f>-0.102-SUM(AI13:AK13)</f>
        <v>-0.10199999999999999</v>
      </c>
      <c r="AI13">
        <v>-0.01</v>
      </c>
      <c r="AJ13">
        <v>-2.5000000000000001E-2</v>
      </c>
      <c r="AK13">
        <v>3.5000000000000003E-2</v>
      </c>
      <c r="AL13">
        <f>0.675-SUM(AM13:AO13)</f>
        <v>8.4999999999999964E-2</v>
      </c>
      <c r="AM13">
        <v>0.11</v>
      </c>
      <c r="AN13">
        <v>0.17</v>
      </c>
      <c r="AO13">
        <v>0.31</v>
      </c>
      <c r="AP13">
        <f>1.065-SUM(AQ13:AS13)</f>
        <v>0.35</v>
      </c>
      <c r="AQ13">
        <v>0.29499999999999998</v>
      </c>
      <c r="AR13">
        <v>0.19500000000000001</v>
      </c>
      <c r="AS13">
        <v>0.22500000000000001</v>
      </c>
      <c r="AT13">
        <f>1.135-SUM(AU13:AW13)</f>
        <v>0.33000000000000007</v>
      </c>
      <c r="AU13">
        <v>0.255</v>
      </c>
      <c r="AV13">
        <v>0.22500000000000001</v>
      </c>
      <c r="AW13">
        <v>0.32500000000000001</v>
      </c>
      <c r="AX13">
        <f>1.48-SUM(AY13:BA13)</f>
        <v>0.43000000000000016</v>
      </c>
      <c r="AY13">
        <v>0.35</v>
      </c>
      <c r="AZ13">
        <v>0.34</v>
      </c>
      <c r="BA13">
        <v>0.36</v>
      </c>
      <c r="BB13" s="3">
        <f>1.245-SUM(BC13:BE13)</f>
        <v>0.34000000000000019</v>
      </c>
      <c r="BC13" s="3">
        <v>0.28499999999999998</v>
      </c>
      <c r="BD13">
        <v>0.27</v>
      </c>
      <c r="BE13">
        <v>0.35</v>
      </c>
      <c r="BF13">
        <f>1.35-SUM(BG13:BI13)</f>
        <v>0.40000000000000013</v>
      </c>
      <c r="BG13">
        <v>0.32</v>
      </c>
      <c r="BH13">
        <v>0.29499999999999998</v>
      </c>
      <c r="BI13">
        <v>0.33500000000000002</v>
      </c>
      <c r="BJ13">
        <f>1.57-SUM(BK13:BM13)</f>
        <v>0.40000000000000013</v>
      </c>
      <c r="BK13">
        <v>0.36</v>
      </c>
      <c r="BL13">
        <v>0.35</v>
      </c>
      <c r="BM13">
        <v>0.46</v>
      </c>
      <c r="BN13">
        <f>1.85-SUM(BO13:BQ13)</f>
        <v>0.49500000000000011</v>
      </c>
      <c r="BO13">
        <v>0.45500000000000002</v>
      </c>
      <c r="BP13">
        <v>0.44500000000000001</v>
      </c>
      <c r="BQ13">
        <v>0.45500000000000002</v>
      </c>
      <c r="BR13" s="11">
        <f>1.47-SUM(BS13:BU13)</f>
        <v>0.40999999999999992</v>
      </c>
      <c r="BS13" s="11">
        <f t="shared" ref="BS13:CE13" si="0">BS10-BT10</f>
        <v>0.39999999999999991</v>
      </c>
      <c r="BT13" s="11">
        <f t="shared" si="0"/>
        <v>0.30000000000000027</v>
      </c>
      <c r="BU13" s="11">
        <f t="shared" si="0"/>
        <v>0.35999999999999988</v>
      </c>
      <c r="BV13" s="11">
        <f t="shared" si="0"/>
        <v>0.33999999999999986</v>
      </c>
      <c r="BW13" s="11">
        <f t="shared" si="0"/>
        <v>0.20000000000000018</v>
      </c>
      <c r="BX13" s="11">
        <f t="shared" si="0"/>
        <v>0.19999999999999996</v>
      </c>
      <c r="BY13" s="11">
        <f t="shared" si="0"/>
        <v>0.15999999999999992</v>
      </c>
      <c r="BZ13" s="11">
        <f t="shared" si="0"/>
        <v>0.22000000000000008</v>
      </c>
      <c r="CA13" s="11">
        <f t="shared" si="0"/>
        <v>0.22999999999999998</v>
      </c>
      <c r="CB13" s="11">
        <f t="shared" si="0"/>
        <v>0.11039999999999994</v>
      </c>
      <c r="CC13" s="11">
        <f t="shared" si="0"/>
        <v>0.12960000000000005</v>
      </c>
      <c r="CD13" s="11">
        <f t="shared" si="0"/>
        <v>0.15999999999999998</v>
      </c>
      <c r="CE13" s="11">
        <f t="shared" si="0"/>
        <v>0.19</v>
      </c>
    </row>
    <row r="14" spans="1:85" s="13" customFormat="1" x14ac:dyDescent="0.2">
      <c r="A14" s="14" t="s">
        <v>12</v>
      </c>
      <c r="B14" s="14">
        <f t="shared" ref="B14:AG14" si="1">B10-C10</f>
        <v>2.7999999999998693E-2</v>
      </c>
      <c r="C14" s="14">
        <f t="shared" si="1"/>
        <v>5.0000000000000711E-2</v>
      </c>
      <c r="D14" s="14">
        <f t="shared" si="1"/>
        <v>-0.28100000000000058</v>
      </c>
      <c r="E14" s="14">
        <f t="shared" si="1"/>
        <v>-2.2999999999999687E-2</v>
      </c>
      <c r="F14" s="14">
        <f t="shared" si="1"/>
        <v>-1.2000000000000455E-2</v>
      </c>
      <c r="G14" s="14">
        <f t="shared" si="1"/>
        <v>-2.2999999999999687E-2</v>
      </c>
      <c r="H14" s="14">
        <f t="shared" si="1"/>
        <v>-8.0999999999999517E-2</v>
      </c>
      <c r="I14" s="14">
        <f t="shared" si="1"/>
        <v>3.5000000000000142E-2</v>
      </c>
      <c r="J14" s="14">
        <f t="shared" si="1"/>
        <v>-6.3000000000000611E-2</v>
      </c>
      <c r="K14" s="14">
        <f t="shared" si="1"/>
        <v>-1.2000000000000455E-2</v>
      </c>
      <c r="L14" s="14">
        <f t="shared" si="1"/>
        <v>-4.3999999999998707E-2</v>
      </c>
      <c r="M14" s="14">
        <f t="shared" si="1"/>
        <v>3.9999999999999147E-2</v>
      </c>
      <c r="N14" s="14">
        <f t="shared" si="1"/>
        <v>8.0000000000008953E-3</v>
      </c>
      <c r="O14" s="14">
        <f t="shared" si="1"/>
        <v>3.5000000000000142E-2</v>
      </c>
      <c r="P14" s="14">
        <f t="shared" si="1"/>
        <v>-7.800000000000118E-2</v>
      </c>
      <c r="Q14" s="14">
        <f t="shared" si="1"/>
        <v>3.6000000000001364E-2</v>
      </c>
      <c r="R14" s="14">
        <f t="shared" si="1"/>
        <v>1.3999999999999346E-2</v>
      </c>
      <c r="S14" s="14">
        <f t="shared" si="1"/>
        <v>-1.9000000000000128E-2</v>
      </c>
      <c r="T14" s="14">
        <f t="shared" si="1"/>
        <v>-9.9999999999997868E-3</v>
      </c>
      <c r="U14" s="14">
        <f t="shared" si="1"/>
        <v>0.1039999999999992</v>
      </c>
      <c r="V14" s="14">
        <f t="shared" si="1"/>
        <v>2.2000000000000242E-2</v>
      </c>
      <c r="W14" s="14">
        <f t="shared" si="1"/>
        <v>-0.11099999999999888</v>
      </c>
      <c r="X14" s="14">
        <f t="shared" si="1"/>
        <v>-0.13500000000000156</v>
      </c>
      <c r="Y14" s="14">
        <f t="shared" si="1"/>
        <v>5.8000000000001606E-2</v>
      </c>
      <c r="Z14" s="14">
        <f t="shared" si="1"/>
        <v>-0.15600000000000058</v>
      </c>
      <c r="AA14" s="14">
        <f t="shared" si="1"/>
        <v>-2.8999999999999915E-2</v>
      </c>
      <c r="AB14" s="14">
        <f t="shared" si="1"/>
        <v>-1.9000000000000128E-2</v>
      </c>
      <c r="AC14" s="14">
        <f t="shared" si="1"/>
        <v>0.2370000000000001</v>
      </c>
      <c r="AD14" s="14">
        <f t="shared" si="1"/>
        <v>0.24899999999999878</v>
      </c>
      <c r="AE14" s="14">
        <f t="shared" si="1"/>
        <v>0.24100000000000144</v>
      </c>
      <c r="AF14" s="14">
        <f t="shared" si="1"/>
        <v>2.5999999999999801E-2</v>
      </c>
      <c r="AG14" s="14">
        <f t="shared" si="1"/>
        <v>-9.4000000000001194E-2</v>
      </c>
      <c r="AH14" s="14">
        <f t="shared" ref="AH14:BM14" si="2">AH10-AI10</f>
        <v>-0.10199999999999854</v>
      </c>
      <c r="AI14" s="14">
        <f t="shared" si="2"/>
        <v>-9.9999999999997868E-3</v>
      </c>
      <c r="AJ14" s="14">
        <f t="shared" si="2"/>
        <v>-2.5000000000000355E-2</v>
      </c>
      <c r="AK14" s="14">
        <f t="shared" si="2"/>
        <v>3.5000000000000142E-2</v>
      </c>
      <c r="AL14" s="14">
        <f t="shared" si="2"/>
        <v>8.4999999999999076E-2</v>
      </c>
      <c r="AM14" s="15">
        <f t="shared" si="2"/>
        <v>0.10999999999999943</v>
      </c>
      <c r="AN14" s="15">
        <f t="shared" si="2"/>
        <v>0.17000000000000171</v>
      </c>
      <c r="AO14" s="15">
        <f t="shared" si="2"/>
        <v>0.30999999999999872</v>
      </c>
      <c r="AP14" s="14">
        <f t="shared" si="2"/>
        <v>0.34999999999999964</v>
      </c>
      <c r="AQ14" s="15">
        <f t="shared" si="2"/>
        <v>0.29499999999999993</v>
      </c>
      <c r="AR14" s="15">
        <f t="shared" si="2"/>
        <v>0.19500000000000028</v>
      </c>
      <c r="AS14" s="15">
        <f t="shared" si="2"/>
        <v>0.22500000000000142</v>
      </c>
      <c r="AT14" s="15">
        <f t="shared" si="2"/>
        <v>0.32999999999999829</v>
      </c>
      <c r="AU14" s="15">
        <f t="shared" si="2"/>
        <v>0.25500000000000078</v>
      </c>
      <c r="AV14" s="15">
        <f t="shared" si="2"/>
        <v>0.22499999999999964</v>
      </c>
      <c r="AW14" s="15">
        <f t="shared" si="2"/>
        <v>0.32500000000000107</v>
      </c>
      <c r="AX14" s="14">
        <f t="shared" si="2"/>
        <v>0.42999999999999972</v>
      </c>
      <c r="AY14" s="15">
        <f t="shared" si="2"/>
        <v>0.34999999999999964</v>
      </c>
      <c r="AZ14" s="15">
        <f t="shared" si="2"/>
        <v>0.33999999999999986</v>
      </c>
      <c r="BA14" s="15">
        <f t="shared" si="2"/>
        <v>0.35999999999999943</v>
      </c>
      <c r="BB14" s="15">
        <f t="shared" si="2"/>
        <v>0.33999999999999986</v>
      </c>
      <c r="BC14" s="15">
        <f t="shared" si="2"/>
        <v>0.28500000000000014</v>
      </c>
      <c r="BD14" s="15">
        <f t="shared" si="2"/>
        <v>0.27000000000000135</v>
      </c>
      <c r="BE14" s="15">
        <f t="shared" si="2"/>
        <v>0.34999999999999964</v>
      </c>
      <c r="BF14" s="15">
        <f t="shared" si="2"/>
        <v>0.39999999999999947</v>
      </c>
      <c r="BG14" s="15">
        <f t="shared" si="2"/>
        <v>0.32000000000000028</v>
      </c>
      <c r="BH14" s="15">
        <f t="shared" si="2"/>
        <v>0.29999999999999982</v>
      </c>
      <c r="BI14" s="15">
        <f t="shared" si="2"/>
        <v>0.33000000000000007</v>
      </c>
      <c r="BJ14" s="15">
        <f t="shared" si="2"/>
        <v>0.40000000000000036</v>
      </c>
      <c r="BK14" s="15">
        <f t="shared" si="2"/>
        <v>0.35999999999999943</v>
      </c>
      <c r="BL14" s="15">
        <f t="shared" si="2"/>
        <v>0.37000000000000011</v>
      </c>
      <c r="BM14" s="15">
        <f t="shared" si="2"/>
        <v>0.44000000000000039</v>
      </c>
      <c r="BN14" s="15">
        <f t="shared" ref="BN14:CE14" si="3">BN10-BO10</f>
        <v>0.45999999999999996</v>
      </c>
      <c r="BO14" s="15">
        <f t="shared" si="3"/>
        <v>0.5</v>
      </c>
      <c r="BP14" s="15">
        <f t="shared" si="3"/>
        <v>0.39999999999999991</v>
      </c>
      <c r="BQ14" s="15">
        <f t="shared" si="3"/>
        <v>0.48999999999999977</v>
      </c>
      <c r="BR14" s="15">
        <f t="shared" si="3"/>
        <v>0.41000000000000014</v>
      </c>
      <c r="BS14" s="15">
        <f t="shared" si="3"/>
        <v>0.39999999999999991</v>
      </c>
      <c r="BT14" s="15">
        <f t="shared" si="3"/>
        <v>0.30000000000000027</v>
      </c>
      <c r="BU14" s="15">
        <f t="shared" si="3"/>
        <v>0.35999999999999988</v>
      </c>
      <c r="BV14" s="15">
        <f t="shared" si="3"/>
        <v>0.33999999999999986</v>
      </c>
      <c r="BW14" s="15">
        <f t="shared" si="3"/>
        <v>0.20000000000000018</v>
      </c>
      <c r="BX14" s="15">
        <f t="shared" si="3"/>
        <v>0.19999999999999996</v>
      </c>
      <c r="BY14" s="15">
        <f t="shared" si="3"/>
        <v>0.15999999999999992</v>
      </c>
      <c r="BZ14" s="15">
        <f t="shared" si="3"/>
        <v>0.22000000000000008</v>
      </c>
      <c r="CA14" s="15">
        <f t="shared" si="3"/>
        <v>0.22999999999999998</v>
      </c>
      <c r="CB14" s="15">
        <f t="shared" si="3"/>
        <v>0.11039999999999994</v>
      </c>
      <c r="CC14" s="15">
        <f t="shared" si="3"/>
        <v>0.12960000000000005</v>
      </c>
      <c r="CD14" s="15">
        <f t="shared" si="3"/>
        <v>0.15999999999999998</v>
      </c>
      <c r="CE14" s="15">
        <f t="shared" si="3"/>
        <v>0.19</v>
      </c>
      <c r="CF14" s="14"/>
      <c r="CG14" s="14"/>
    </row>
    <row r="15" spans="1:85" x14ac:dyDescent="0.2">
      <c r="A15" t="s">
        <v>9</v>
      </c>
      <c r="B15" s="2">
        <v>1.83E-2</v>
      </c>
      <c r="C15" s="2">
        <v>2.1100000000000001E-2</v>
      </c>
      <c r="D15" s="2">
        <v>1.9599999999999999E-2</v>
      </c>
      <c r="E15" s="2">
        <v>1.6299999999999999E-2</v>
      </c>
      <c r="F15" s="2">
        <v>1.7100000000000001E-2</v>
      </c>
      <c r="G15" s="2">
        <v>1.8599999999999998E-2</v>
      </c>
      <c r="H15" s="2">
        <v>1.7100000000000001E-2</v>
      </c>
      <c r="I15" s="2">
        <v>1.6400000000000001E-2</v>
      </c>
      <c r="J15" s="2">
        <v>1.5900000000000001E-2</v>
      </c>
      <c r="K15" s="2">
        <v>1.67E-2</v>
      </c>
      <c r="L15" s="2">
        <v>1.66E-2</v>
      </c>
      <c r="M15" s="2">
        <v>1.4200000000000001E-2</v>
      </c>
      <c r="N15" s="2">
        <v>1.5800000000000002E-2</v>
      </c>
      <c r="O15" s="2">
        <v>1.66E-2</v>
      </c>
      <c r="P15" s="2">
        <v>1.67E-2</v>
      </c>
      <c r="Q15" s="2">
        <v>1.47E-2</v>
      </c>
      <c r="R15" s="2">
        <v>1.5699999999999999E-2</v>
      </c>
      <c r="S15" s="2">
        <v>1.7999999999999999E-2</v>
      </c>
      <c r="T15" s="2">
        <v>1.6E-2</v>
      </c>
      <c r="U15" s="2">
        <v>1.35E-2</v>
      </c>
      <c r="V15" s="2">
        <v>1.6299999999999999E-2</v>
      </c>
      <c r="W15" s="2">
        <v>1.83E-2</v>
      </c>
      <c r="X15" s="2">
        <v>1.67E-2</v>
      </c>
      <c r="Y15" s="2">
        <v>1.47E-2</v>
      </c>
      <c r="Z15" s="2">
        <v>1.7600000000000001E-2</v>
      </c>
      <c r="AA15" s="2">
        <v>1.9800000000000002E-2</v>
      </c>
      <c r="AB15" s="2">
        <v>1.78E-2</v>
      </c>
      <c r="AC15" s="2">
        <v>1.4E-2</v>
      </c>
      <c r="AD15" s="2">
        <v>1.6399999999999998E-2</v>
      </c>
      <c r="AE15" s="2">
        <v>1.5699999999999999E-2</v>
      </c>
      <c r="AF15" s="2">
        <v>1.7299999999999999E-2</v>
      </c>
      <c r="AG15" s="2">
        <v>1.83E-2</v>
      </c>
      <c r="AH15" s="2">
        <v>1.8600000000000002E-2</v>
      </c>
      <c r="AI15" s="2">
        <v>2.0199999999999999E-2</v>
      </c>
      <c r="AJ15" s="2">
        <v>1.8700000000000001E-2</v>
      </c>
      <c r="AK15" s="2">
        <v>1.6799999999999999E-2</v>
      </c>
      <c r="AL15" s="2">
        <v>1.7000000000000001E-2</v>
      </c>
      <c r="AM15" s="2">
        <v>1.9400000000000001E-2</v>
      </c>
      <c r="AN15" s="2">
        <v>1.6799999999999999E-2</v>
      </c>
      <c r="AO15" s="2">
        <v>1.46E-2</v>
      </c>
      <c r="AP15" s="2">
        <v>1.6400000000000001E-2</v>
      </c>
      <c r="AQ15" s="2">
        <v>1.7600000000000001E-2</v>
      </c>
      <c r="AR15" s="2">
        <v>1.7000000000000001E-2</v>
      </c>
      <c r="AS15" s="2">
        <v>1.5699999999999999E-2</v>
      </c>
      <c r="AT15" s="2">
        <v>1.6500000000000001E-2</v>
      </c>
      <c r="AU15" s="2">
        <v>1.8599999999999998E-2</v>
      </c>
      <c r="AV15" s="2">
        <v>1.6899999999999998E-2</v>
      </c>
      <c r="AW15" s="2">
        <v>1.44E-2</v>
      </c>
      <c r="AX15" s="2">
        <v>1.6200000000000003E-2</v>
      </c>
      <c r="AY15" s="2">
        <v>1.77E-2</v>
      </c>
      <c r="AZ15" s="2">
        <v>1.7100000000000001E-2</v>
      </c>
      <c r="BA15" s="2">
        <v>1.4800000000000001E-2</v>
      </c>
      <c r="BB15" s="2">
        <v>1.5700000000000002E-2</v>
      </c>
      <c r="BC15" s="2">
        <v>1.72E-2</v>
      </c>
      <c r="BD15" s="2">
        <v>1.67E-2</v>
      </c>
      <c r="BE15" s="2">
        <v>1.3599999999999999E-2</v>
      </c>
      <c r="BF15" s="2">
        <v>1.5900000000000001E-2</v>
      </c>
      <c r="BG15" s="2">
        <v>1.5900000000000001E-2</v>
      </c>
      <c r="BH15" s="2">
        <v>1.49E-2</v>
      </c>
      <c r="BI15" s="2">
        <v>1.37E-2</v>
      </c>
      <c r="BJ15" s="2">
        <v>1.6E-2</v>
      </c>
      <c r="CA15" s="2"/>
    </row>
    <row r="16" spans="1:85" x14ac:dyDescent="0.2">
      <c r="A16" t="s">
        <v>10</v>
      </c>
      <c r="B16">
        <v>643</v>
      </c>
      <c r="C16" s="1">
        <v>620</v>
      </c>
      <c r="D16" s="1">
        <v>756</v>
      </c>
      <c r="E16">
        <v>625</v>
      </c>
      <c r="F16">
        <v>723</v>
      </c>
      <c r="G16">
        <v>736</v>
      </c>
      <c r="H16">
        <v>767</v>
      </c>
      <c r="I16">
        <v>667</v>
      </c>
      <c r="J16">
        <v>853</v>
      </c>
      <c r="K16">
        <v>861</v>
      </c>
      <c r="L16">
        <v>846</v>
      </c>
      <c r="M16">
        <v>862</v>
      </c>
      <c r="N16">
        <v>866</v>
      </c>
      <c r="O16">
        <v>842</v>
      </c>
      <c r="P16">
        <v>883</v>
      </c>
      <c r="Q16">
        <v>882</v>
      </c>
      <c r="R16">
        <v>784</v>
      </c>
      <c r="S16">
        <v>797</v>
      </c>
      <c r="T16">
        <v>800</v>
      </c>
      <c r="U16">
        <v>747</v>
      </c>
      <c r="V16">
        <v>770</v>
      </c>
      <c r="W16">
        <v>789</v>
      </c>
      <c r="X16">
        <v>795</v>
      </c>
      <c r="Y16">
        <v>725</v>
      </c>
      <c r="Z16">
        <v>776</v>
      </c>
      <c r="AA16">
        <v>795</v>
      </c>
      <c r="AB16">
        <v>743</v>
      </c>
      <c r="AC16">
        <v>741</v>
      </c>
      <c r="AD16">
        <v>697</v>
      </c>
      <c r="AE16">
        <v>694</v>
      </c>
      <c r="AF16">
        <v>708</v>
      </c>
      <c r="AG16">
        <v>659</v>
      </c>
      <c r="AH16">
        <v>720</v>
      </c>
      <c r="AI16">
        <v>735</v>
      </c>
      <c r="AJ16">
        <v>699</v>
      </c>
      <c r="AK16">
        <v>709</v>
      </c>
      <c r="AL16">
        <v>656</v>
      </c>
      <c r="AM16">
        <v>646</v>
      </c>
      <c r="AN16">
        <v>645</v>
      </c>
      <c r="AO16">
        <v>663</v>
      </c>
      <c r="AP16">
        <v>686</v>
      </c>
      <c r="AQ16">
        <v>688</v>
      </c>
      <c r="AR16">
        <v>683</v>
      </c>
      <c r="AS16">
        <v>697</v>
      </c>
      <c r="AT16">
        <v>693</v>
      </c>
      <c r="AU16">
        <v>697</v>
      </c>
      <c r="AV16">
        <v>692</v>
      </c>
      <c r="AW16">
        <v>623</v>
      </c>
      <c r="AX16">
        <v>611</v>
      </c>
      <c r="AY16">
        <v>421</v>
      </c>
      <c r="AZ16">
        <v>431</v>
      </c>
      <c r="BA16">
        <v>530</v>
      </c>
      <c r="BB16">
        <v>453</v>
      </c>
      <c r="BC16">
        <v>466</v>
      </c>
      <c r="BD16">
        <v>408</v>
      </c>
      <c r="BE16">
        <v>448</v>
      </c>
      <c r="BF16">
        <v>421</v>
      </c>
      <c r="BG16">
        <v>413</v>
      </c>
      <c r="BH16">
        <v>386</v>
      </c>
      <c r="BI16">
        <v>430</v>
      </c>
      <c r="BJ16">
        <v>395</v>
      </c>
      <c r="BK16">
        <v>392</v>
      </c>
      <c r="BL16">
        <v>384</v>
      </c>
      <c r="BM16">
        <v>432</v>
      </c>
      <c r="BN16">
        <v>452</v>
      </c>
      <c r="BO16">
        <v>438</v>
      </c>
      <c r="BP16">
        <v>408</v>
      </c>
      <c r="BQ16">
        <v>467</v>
      </c>
      <c r="BR16">
        <v>385</v>
      </c>
      <c r="BS16">
        <v>390</v>
      </c>
      <c r="BT16">
        <v>365</v>
      </c>
      <c r="BU16">
        <v>355</v>
      </c>
      <c r="BV16">
        <v>285</v>
      </c>
      <c r="BW16">
        <v>240</v>
      </c>
      <c r="BX16">
        <v>280</v>
      </c>
      <c r="BY16">
        <v>250</v>
      </c>
      <c r="CA16">
        <v>300</v>
      </c>
      <c r="CB16">
        <v>300</v>
      </c>
      <c r="CC16">
        <v>400</v>
      </c>
    </row>
    <row r="17" spans="1:83" x14ac:dyDescent="0.2">
      <c r="A17" t="s">
        <v>11</v>
      </c>
      <c r="B17">
        <v>88.66</v>
      </c>
      <c r="C17">
        <v>89.44</v>
      </c>
      <c r="D17">
        <v>89.98</v>
      </c>
      <c r="E17">
        <v>87.94</v>
      </c>
      <c r="F17">
        <v>86.79</v>
      </c>
      <c r="G17">
        <v>86.33</v>
      </c>
      <c r="H17">
        <v>87.91</v>
      </c>
      <c r="I17">
        <v>85.73</v>
      </c>
      <c r="J17">
        <v>83.77</v>
      </c>
      <c r="K17">
        <v>84.39</v>
      </c>
      <c r="L17">
        <v>84.15</v>
      </c>
      <c r="M17">
        <v>82.36</v>
      </c>
      <c r="N17">
        <v>80.37</v>
      </c>
      <c r="O17">
        <v>80.98</v>
      </c>
      <c r="P17">
        <v>80.81</v>
      </c>
      <c r="Q17">
        <v>78.44</v>
      </c>
      <c r="R17">
        <v>76.98</v>
      </c>
      <c r="S17">
        <v>76.989999999999995</v>
      </c>
      <c r="T17">
        <v>77.59</v>
      </c>
      <c r="U17">
        <v>76.239999999999995</v>
      </c>
      <c r="V17">
        <v>76.45</v>
      </c>
      <c r="W17">
        <v>76.989999999999995</v>
      </c>
      <c r="X17">
        <v>78.06</v>
      </c>
      <c r="Y17">
        <v>75.39</v>
      </c>
      <c r="Z17">
        <v>73.319999999999993</v>
      </c>
      <c r="AA17">
        <v>74.36</v>
      </c>
      <c r="AB17">
        <v>73.05</v>
      </c>
      <c r="AC17">
        <v>71.180000000000007</v>
      </c>
      <c r="AD17">
        <v>70.040000000000006</v>
      </c>
      <c r="AE17">
        <v>69.510000000000005</v>
      </c>
      <c r="AF17">
        <v>70.73</v>
      </c>
      <c r="AG17">
        <v>70.03</v>
      </c>
      <c r="AH17">
        <v>69.27</v>
      </c>
      <c r="AI17">
        <v>69.819999999999993</v>
      </c>
      <c r="AJ17">
        <v>69.38</v>
      </c>
      <c r="AK17">
        <v>67.930000000000007</v>
      </c>
      <c r="AL17">
        <v>65.83</v>
      </c>
      <c r="AM17">
        <v>66.010000000000005</v>
      </c>
      <c r="AN17">
        <v>66.06</v>
      </c>
      <c r="AO17">
        <v>64.17</v>
      </c>
      <c r="AP17">
        <v>62.78</v>
      </c>
      <c r="AQ17">
        <v>63.28</v>
      </c>
      <c r="AR17">
        <v>62.91</v>
      </c>
      <c r="AS17">
        <v>60.26</v>
      </c>
      <c r="AT17">
        <v>58.04</v>
      </c>
      <c r="AU17">
        <v>57.87</v>
      </c>
      <c r="AV17">
        <v>58.53</v>
      </c>
      <c r="AW17">
        <v>57</v>
      </c>
      <c r="AX17">
        <v>55</v>
      </c>
      <c r="AY17">
        <v>56.11</v>
      </c>
      <c r="AZ17">
        <v>55.59</v>
      </c>
      <c r="BA17">
        <v>51.76</v>
      </c>
      <c r="BB17">
        <v>51.21</v>
      </c>
      <c r="BC17">
        <v>50.88</v>
      </c>
      <c r="BD17">
        <v>51.69</v>
      </c>
      <c r="BE17">
        <v>51.6</v>
      </c>
      <c r="BF17">
        <v>49.37</v>
      </c>
      <c r="BG17">
        <v>49.04</v>
      </c>
      <c r="BH17">
        <v>48.85</v>
      </c>
      <c r="BI17">
        <v>48.36</v>
      </c>
      <c r="BJ17">
        <v>49.32</v>
      </c>
      <c r="BK17">
        <v>49.26</v>
      </c>
      <c r="BL17">
        <v>50</v>
      </c>
      <c r="BM17">
        <v>48.23</v>
      </c>
      <c r="BN17">
        <v>45.33</v>
      </c>
      <c r="BO17">
        <v>45.36</v>
      </c>
      <c r="BP17">
        <v>45.22</v>
      </c>
      <c r="BQ17">
        <v>43.85</v>
      </c>
      <c r="BR17">
        <v>42.71</v>
      </c>
      <c r="BS17">
        <v>43.13</v>
      </c>
      <c r="BT17">
        <v>41.94</v>
      </c>
      <c r="BU17">
        <v>41.5</v>
      </c>
      <c r="BV17">
        <v>39.25</v>
      </c>
      <c r="BW17">
        <v>40</v>
      </c>
      <c r="BX17">
        <v>39</v>
      </c>
      <c r="BY17">
        <v>38</v>
      </c>
      <c r="BZ17">
        <v>38.5</v>
      </c>
      <c r="CA17">
        <v>39.5</v>
      </c>
      <c r="CB17">
        <v>39</v>
      </c>
      <c r="CC17">
        <v>38</v>
      </c>
      <c r="CD17">
        <v>35.5</v>
      </c>
      <c r="CE17">
        <v>34.5</v>
      </c>
    </row>
    <row r="19" spans="1:83" x14ac:dyDescent="0.2">
      <c r="B19" s="1"/>
      <c r="C19" s="1"/>
      <c r="AQ19" s="1"/>
      <c r="AV19" s="1"/>
      <c r="AY19" s="1"/>
      <c r="AZ19" s="1"/>
      <c r="BB19" s="12"/>
      <c r="BC19" s="1"/>
      <c r="BF19" s="3"/>
      <c r="BN19" s="11"/>
      <c r="BR19" s="11"/>
    </row>
    <row r="20" spans="1:83" x14ac:dyDescent="0.2">
      <c r="B20" s="1"/>
      <c r="C20" s="1"/>
      <c r="AQ20" s="1"/>
      <c r="AV20" s="8"/>
      <c r="AY20" s="9"/>
      <c r="AZ20" s="8"/>
      <c r="BB20" s="5"/>
      <c r="BC20" s="9"/>
      <c r="BF20" s="1"/>
      <c r="BR20" s="1"/>
    </row>
    <row r="21" spans="1:83" x14ac:dyDescent="0.2">
      <c r="AQ21" s="1"/>
      <c r="AR21" s="1"/>
      <c r="AY21" s="6"/>
      <c r="BF21" s="1"/>
      <c r="BJ21" s="1"/>
    </row>
    <row r="22" spans="1:83" x14ac:dyDescent="0.2">
      <c r="AZ22" s="1"/>
    </row>
    <row r="24" spans="1:83" x14ac:dyDescent="0.2">
      <c r="AV24" s="4"/>
      <c r="BG24" s="12"/>
    </row>
  </sheetData>
  <pageMargins left="0.7" right="0.7" top="0.75" bottom="0.75" header="0.3" footer="0.3"/>
  <ignoredErrors>
    <ignoredError sqref="BJ12 BF12 BB12 BN12 BR12 BV12" formula="1"/>
  </ignoredErrors>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DISH-Filings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Rehab Naeem</dc:creator>
  <cp:lastModifiedBy>Rehab Naeem</cp:lastModifiedBy>
  <dcterms:created xsi:type="dcterms:W3CDTF">2025-03-30T13:57:07Z</dcterms:created>
  <dcterms:modified xsi:type="dcterms:W3CDTF">2025-04-04T05:18:41Z</dcterms:modified>
</cp:coreProperties>
</file>