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7"/>
  <workbookPr defaultThemeVersion="166925"/>
  <mc:AlternateContent xmlns:mc="http://schemas.openxmlformats.org/markup-compatibility/2006">
    <mc:Choice Requires="x15">
      <x15ac:absPath xmlns:x15ac="http://schemas.microsoft.com/office/spreadsheetml/2010/11/ac" url="/Users/rehabnaeem/Developer/customer-analytics/data/"/>
    </mc:Choice>
  </mc:AlternateContent>
  <xr:revisionPtr revIDLastSave="0" documentId="13_ncr:1_{F2822071-64D5-F44F-AFD2-030EE2C1046F}" xr6:coauthVersionLast="47" xr6:coauthVersionMax="47" xr10:uidLastSave="{00000000-0000-0000-0000-000000000000}"/>
  <bookViews>
    <workbookView xWindow="680" yWindow="740" windowWidth="28040" windowHeight="17260" xr2:uid="{6E12EA3C-EABC-E34B-8E19-D352840EA5AD}"/>
  </bookViews>
  <sheets>
    <sheet name="DISH-Filings"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85" i="2"/>
  <c r="Q84" i="2"/>
  <c r="Q83" i="2"/>
  <c r="Q82" i="2"/>
  <c r="Q81" i="2"/>
  <c r="Q80" i="2"/>
  <c r="Q79" i="2"/>
  <c r="Q78" i="2"/>
  <c r="B17" i="1"/>
  <c r="C17" i="1"/>
  <c r="D17"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E17" i="1"/>
  <c r="BF17" i="1"/>
  <c r="BG17" i="1"/>
  <c r="BH17" i="1"/>
  <c r="BI17" i="1"/>
  <c r="BJ17" i="1"/>
  <c r="BK17" i="1"/>
  <c r="BL17" i="1"/>
  <c r="BM17" i="1"/>
  <c r="BN17" i="1"/>
  <c r="BO17" i="1"/>
  <c r="BP17" i="1"/>
  <c r="BQ17" i="1"/>
  <c r="BR17" i="1"/>
  <c r="BS17" i="1"/>
  <c r="BT17" i="1"/>
  <c r="BU17" i="1"/>
  <c r="BV17" i="1"/>
  <c r="BW17" i="1"/>
  <c r="BX17" i="1"/>
  <c r="BY17" i="1"/>
  <c r="BZ17" i="1"/>
  <c r="CA17" i="1"/>
  <c r="CB17" i="1"/>
  <c r="CC17" i="1"/>
  <c r="CD17" i="1"/>
  <c r="CE17" i="1"/>
  <c r="CF17" i="1"/>
  <c r="CG17" i="1"/>
  <c r="C1" i="1"/>
  <c r="D1" i="1"/>
  <c r="E1" i="1"/>
  <c r="F1" i="1"/>
  <c r="G1" i="1"/>
  <c r="H1" i="1"/>
  <c r="I1" i="1"/>
  <c r="J1" i="1"/>
  <c r="K1" i="1"/>
  <c r="L1" i="1"/>
  <c r="M1" i="1"/>
  <c r="N1" i="1"/>
  <c r="O1" i="1"/>
  <c r="P1" i="1"/>
  <c r="Q1" i="1"/>
  <c r="R1" i="1"/>
  <c r="S1" i="1"/>
  <c r="T1" i="1"/>
  <c r="U1" i="1"/>
  <c r="V1" i="1"/>
  <c r="W1" i="1"/>
  <c r="X1" i="1"/>
  <c r="Y1" i="1"/>
  <c r="Z1" i="1"/>
  <c r="AA1" i="1"/>
  <c r="AB1" i="1"/>
  <c r="AC1" i="1"/>
  <c r="AD1" i="1"/>
  <c r="AE1" i="1"/>
  <c r="AF1" i="1"/>
  <c r="AG1" i="1"/>
  <c r="AH1" i="1"/>
  <c r="AI1" i="1"/>
  <c r="AJ1" i="1"/>
  <c r="AK1" i="1"/>
  <c r="AL1" i="1"/>
  <c r="AM1" i="1"/>
  <c r="AN1" i="1"/>
  <c r="AO1" i="1"/>
  <c r="AP1" i="1"/>
  <c r="AQ1" i="1"/>
  <c r="AR1" i="1"/>
  <c r="AS1" i="1"/>
  <c r="AT1" i="1"/>
  <c r="AU1" i="1"/>
  <c r="AV1" i="1"/>
  <c r="AW1" i="1"/>
  <c r="AX1" i="1"/>
  <c r="AY1" i="1"/>
  <c r="AZ1" i="1"/>
  <c r="BA1" i="1"/>
  <c r="BB1" i="1"/>
  <c r="BC1" i="1"/>
  <c r="BD1" i="1"/>
  <c r="BE1" i="1"/>
  <c r="BF1" i="1"/>
  <c r="BG1" i="1"/>
  <c r="BH1" i="1"/>
  <c r="BI1" i="1"/>
  <c r="BJ1" i="1"/>
  <c r="BK1" i="1"/>
  <c r="BL1" i="1"/>
  <c r="BM1" i="1"/>
  <c r="BN1" i="1"/>
  <c r="BO1" i="1"/>
  <c r="BP1" i="1"/>
  <c r="BQ1" i="1"/>
  <c r="BR1" i="1"/>
  <c r="BS1" i="1"/>
  <c r="BT1" i="1"/>
  <c r="BU1" i="1"/>
  <c r="BV1" i="1"/>
  <c r="BW1" i="1"/>
  <c r="BX1" i="1"/>
  <c r="BY1" i="1"/>
  <c r="BZ1" i="1"/>
  <c r="CA1" i="1"/>
  <c r="CB1" i="1"/>
  <c r="CC1" i="1"/>
  <c r="CD1" i="1"/>
  <c r="CE1" i="1"/>
  <c r="CF1" i="1"/>
  <c r="CG1" i="1"/>
  <c r="B1" i="1"/>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5" i="2"/>
  <c r="A6" i="2"/>
  <c r="A7" i="2"/>
  <c r="A8" i="2"/>
  <c r="A9" i="2"/>
  <c r="A3" i="2"/>
  <c r="A4" i="2"/>
  <c r="A2" i="2"/>
  <c r="P85" i="2"/>
  <c r="P84" i="2"/>
  <c r="P83" i="2"/>
  <c r="P82" i="2"/>
  <c r="P80" i="2"/>
  <c r="P71" i="2"/>
  <c r="P53" i="2"/>
  <c r="P52" i="2"/>
  <c r="P51" i="2"/>
  <c r="P49" i="2"/>
  <c r="P48" i="2"/>
  <c r="P47" i="2"/>
  <c r="P45" i="2"/>
  <c r="P44" i="2"/>
  <c r="P43" i="2"/>
  <c r="P41" i="2"/>
  <c r="P40" i="2"/>
  <c r="P39" i="2"/>
  <c r="P37" i="2"/>
  <c r="P36" i="2"/>
  <c r="P35" i="2"/>
  <c r="P33" i="2"/>
  <c r="P32" i="2"/>
  <c r="P31" i="2"/>
  <c r="P29" i="2"/>
  <c r="P28" i="2"/>
  <c r="P27" i="2"/>
  <c r="P25" i="2"/>
  <c r="P24" i="2"/>
  <c r="P23" i="2"/>
  <c r="P21" i="2"/>
  <c r="P20" i="2"/>
  <c r="P19" i="2"/>
  <c r="P17" i="2"/>
  <c r="P16" i="2"/>
  <c r="P15" i="2"/>
  <c r="P13" i="2"/>
  <c r="P12" i="2"/>
  <c r="P11" i="2"/>
  <c r="P9" i="2"/>
  <c r="P8" i="2"/>
  <c r="P7" i="2"/>
  <c r="P5" i="2"/>
  <c r="P4" i="2"/>
  <c r="P3" i="2"/>
  <c r="C16" i="1"/>
  <c r="D16" i="1"/>
  <c r="E16" i="1"/>
  <c r="G16" i="1"/>
  <c r="H16" i="1"/>
  <c r="I16" i="1"/>
  <c r="K16" i="1"/>
  <c r="L16" i="1"/>
  <c r="M16" i="1"/>
  <c r="O16" i="1"/>
  <c r="P16" i="1"/>
  <c r="Q16" i="1"/>
  <c r="S16" i="1"/>
  <c r="T16" i="1"/>
  <c r="U16" i="1"/>
  <c r="W16" i="1"/>
  <c r="X16" i="1"/>
  <c r="Y16" i="1"/>
  <c r="AA16" i="1"/>
  <c r="AB16" i="1"/>
  <c r="AC16" i="1"/>
  <c r="AE16" i="1"/>
  <c r="AF16" i="1"/>
  <c r="AG16" i="1"/>
  <c r="AI16" i="1"/>
  <c r="AJ16" i="1"/>
  <c r="AK16" i="1"/>
  <c r="AM16" i="1"/>
  <c r="AN16" i="1"/>
  <c r="AO16" i="1"/>
  <c r="AQ16" i="1"/>
  <c r="AR16" i="1"/>
  <c r="AS16" i="1"/>
  <c r="AU16" i="1"/>
  <c r="AV16" i="1"/>
  <c r="AW16" i="1"/>
  <c r="AY16" i="1"/>
  <c r="AZ16" i="1"/>
  <c r="BA16" i="1"/>
  <c r="CD16" i="1"/>
  <c r="CE16" i="1"/>
  <c r="CF16" i="1"/>
  <c r="CG16" i="1"/>
  <c r="L85" i="2"/>
  <c r="K85" i="2"/>
  <c r="L84" i="2"/>
  <c r="K84" i="2"/>
  <c r="L83" i="2"/>
  <c r="K83" i="2"/>
  <c r="D83" i="2"/>
  <c r="D82" i="2" s="1"/>
  <c r="L82" i="2"/>
  <c r="K82" i="2"/>
  <c r="E82" i="2"/>
  <c r="L81" i="2"/>
  <c r="K81" i="2"/>
  <c r="J81" i="2"/>
  <c r="P81" i="2" s="1"/>
  <c r="D81" i="2"/>
  <c r="L80" i="2"/>
  <c r="K80" i="2"/>
  <c r="J80" i="2"/>
  <c r="D80" i="2"/>
  <c r="L79" i="2"/>
  <c r="K79" i="2"/>
  <c r="J79" i="2"/>
  <c r="J78" i="2" s="1"/>
  <c r="P78" i="2" s="1"/>
  <c r="D79" i="2"/>
  <c r="L78" i="2"/>
  <c r="K78" i="2"/>
  <c r="E78" i="2"/>
  <c r="L77" i="2"/>
  <c r="K77" i="2"/>
  <c r="J77" i="2"/>
  <c r="P77" i="2" s="1"/>
  <c r="D77" i="2"/>
  <c r="L76" i="2"/>
  <c r="K76" i="2"/>
  <c r="J76" i="2"/>
  <c r="P76" i="2" s="1"/>
  <c r="D76" i="2"/>
  <c r="L75" i="2"/>
  <c r="K75" i="2"/>
  <c r="J75" i="2"/>
  <c r="J74" i="2" s="1"/>
  <c r="P74" i="2" s="1"/>
  <c r="D75" i="2"/>
  <c r="L74" i="2"/>
  <c r="K74" i="2"/>
  <c r="E74" i="2"/>
  <c r="L73" i="2"/>
  <c r="K73" i="2"/>
  <c r="J73" i="2"/>
  <c r="P73" i="2" s="1"/>
  <c r="D73" i="2"/>
  <c r="L72" i="2"/>
  <c r="K72" i="2"/>
  <c r="J72" i="2"/>
  <c r="P72" i="2" s="1"/>
  <c r="D72" i="2"/>
  <c r="L71" i="2"/>
  <c r="K71" i="2"/>
  <c r="K70" i="2" s="1"/>
  <c r="J71" i="2"/>
  <c r="D71" i="2"/>
  <c r="L70" i="2"/>
  <c r="E70" i="2"/>
  <c r="L69" i="2"/>
  <c r="J69" i="2"/>
  <c r="P69" i="2" s="1"/>
  <c r="D69" i="2"/>
  <c r="L68" i="2"/>
  <c r="J68" i="2"/>
  <c r="D68" i="2"/>
  <c r="L67" i="2"/>
  <c r="J67" i="2"/>
  <c r="P67" i="2" s="1"/>
  <c r="D67" i="2"/>
  <c r="D66" i="2" s="1"/>
  <c r="L66" i="2"/>
  <c r="K66" i="2"/>
  <c r="E66" i="2"/>
  <c r="L65" i="2"/>
  <c r="J65" i="2"/>
  <c r="P65" i="2" s="1"/>
  <c r="D65" i="2"/>
  <c r="L64" i="2"/>
  <c r="J64" i="2"/>
  <c r="J62" i="2" s="1"/>
  <c r="P62" i="2" s="1"/>
  <c r="D64" i="2"/>
  <c r="L63" i="2"/>
  <c r="J63" i="2"/>
  <c r="P63" i="2" s="1"/>
  <c r="D63" i="2"/>
  <c r="L62" i="2"/>
  <c r="K62" i="2"/>
  <c r="E62" i="2"/>
  <c r="D62" i="2"/>
  <c r="L61" i="2"/>
  <c r="J61" i="2"/>
  <c r="P61" i="2" s="1"/>
  <c r="D61" i="2"/>
  <c r="L60" i="2"/>
  <c r="J60" i="2"/>
  <c r="P60" i="2" s="1"/>
  <c r="D60" i="2"/>
  <c r="L59" i="2"/>
  <c r="J59" i="2"/>
  <c r="J58" i="2" s="1"/>
  <c r="D59" i="2"/>
  <c r="L58" i="2"/>
  <c r="K58" i="2"/>
  <c r="E58" i="2"/>
  <c r="L57" i="2"/>
  <c r="J57" i="2"/>
  <c r="P57" i="2" s="1"/>
  <c r="L56" i="2"/>
  <c r="J56" i="2"/>
  <c r="J54" i="2" s="1"/>
  <c r="L55" i="2"/>
  <c r="J55" i="2"/>
  <c r="P55" i="2" s="1"/>
  <c r="L54" i="2"/>
  <c r="K54" i="2"/>
  <c r="E54" i="2"/>
  <c r="D54" i="2"/>
  <c r="L53" i="2"/>
  <c r="J53" i="2"/>
  <c r="L52" i="2"/>
  <c r="J52" i="2"/>
  <c r="L51" i="2"/>
  <c r="J51" i="2"/>
  <c r="L50" i="2"/>
  <c r="K50" i="2"/>
  <c r="I50" i="2"/>
  <c r="P50" i="2" s="1"/>
  <c r="E50" i="2"/>
  <c r="D50" i="2"/>
  <c r="L49" i="2"/>
  <c r="J49" i="2"/>
  <c r="L48" i="2"/>
  <c r="J48" i="2"/>
  <c r="L47" i="2"/>
  <c r="J47" i="2"/>
  <c r="L46" i="2"/>
  <c r="K46" i="2"/>
  <c r="I46" i="2"/>
  <c r="P46" i="2" s="1"/>
  <c r="E46" i="2"/>
  <c r="D46" i="2"/>
  <c r="L45" i="2"/>
  <c r="J45" i="2"/>
  <c r="L44" i="2"/>
  <c r="J44" i="2"/>
  <c r="L43" i="2"/>
  <c r="J43" i="2"/>
  <c r="L42" i="2"/>
  <c r="K42" i="2"/>
  <c r="I42" i="2"/>
  <c r="P42" i="2" s="1"/>
  <c r="E42" i="2"/>
  <c r="D42" i="2"/>
  <c r="L41" i="2"/>
  <c r="J41" i="2"/>
  <c r="L40" i="2"/>
  <c r="J40" i="2"/>
  <c r="L39" i="2"/>
  <c r="J39" i="2"/>
  <c r="L38" i="2"/>
  <c r="K38" i="2"/>
  <c r="I38" i="2"/>
  <c r="P38" i="2" s="1"/>
  <c r="E38" i="2"/>
  <c r="D38" i="2"/>
  <c r="L37" i="2"/>
  <c r="L36" i="2"/>
  <c r="L35" i="2"/>
  <c r="L34" i="2"/>
  <c r="K34" i="2"/>
  <c r="I34" i="2"/>
  <c r="P34" i="2" s="1"/>
  <c r="E34" i="2"/>
  <c r="D34" i="2"/>
  <c r="L33" i="2"/>
  <c r="L32" i="2"/>
  <c r="L31" i="2"/>
  <c r="L30" i="2"/>
  <c r="K30" i="2"/>
  <c r="I30" i="2"/>
  <c r="P30" i="2" s="1"/>
  <c r="E30" i="2"/>
  <c r="D30" i="2"/>
  <c r="L29" i="2"/>
  <c r="L28" i="2"/>
  <c r="L27" i="2"/>
  <c r="L26" i="2"/>
  <c r="K26" i="2"/>
  <c r="I26" i="2"/>
  <c r="P26" i="2" s="1"/>
  <c r="E26" i="2"/>
  <c r="D26" i="2"/>
  <c r="L25" i="2"/>
  <c r="L24" i="2"/>
  <c r="L23" i="2"/>
  <c r="L22" i="2"/>
  <c r="K22" i="2"/>
  <c r="I22" i="2"/>
  <c r="P22" i="2" s="1"/>
  <c r="E22" i="2"/>
  <c r="D22" i="2"/>
  <c r="L21" i="2"/>
  <c r="L20" i="2"/>
  <c r="L19" i="2"/>
  <c r="L18" i="2"/>
  <c r="K18" i="2"/>
  <c r="I18" i="2"/>
  <c r="P18" i="2" s="1"/>
  <c r="E18" i="2"/>
  <c r="D18" i="2"/>
  <c r="L17" i="2"/>
  <c r="L16" i="2"/>
  <c r="L15" i="2"/>
  <c r="L14" i="2"/>
  <c r="K14" i="2"/>
  <c r="I14" i="2"/>
  <c r="P14" i="2" s="1"/>
  <c r="E14" i="2"/>
  <c r="D14" i="2"/>
  <c r="L13" i="2"/>
  <c r="L12" i="2"/>
  <c r="L11" i="2"/>
  <c r="L10" i="2"/>
  <c r="K10" i="2"/>
  <c r="I10" i="2"/>
  <c r="P10" i="2" s="1"/>
  <c r="E10" i="2"/>
  <c r="D10" i="2"/>
  <c r="L9" i="2"/>
  <c r="L8" i="2"/>
  <c r="L7" i="2"/>
  <c r="L6" i="2"/>
  <c r="K6" i="2"/>
  <c r="I6" i="2"/>
  <c r="P6" i="2" s="1"/>
  <c r="E6" i="2"/>
  <c r="D6" i="2"/>
  <c r="L5" i="2"/>
  <c r="L4" i="2"/>
  <c r="L3" i="2"/>
  <c r="L2" i="2"/>
  <c r="K2" i="2"/>
  <c r="I2" i="2"/>
  <c r="P2" i="2" s="1"/>
  <c r="E2" i="2"/>
  <c r="D2" i="2"/>
  <c r="CG12" i="1"/>
  <c r="CF12" i="1"/>
  <c r="CG11" i="1"/>
  <c r="CF11" i="1"/>
  <c r="D58" i="2" l="1"/>
  <c r="P79" i="2"/>
  <c r="P56" i="2"/>
  <c r="P64" i="2"/>
  <c r="P59" i="2"/>
  <c r="P75" i="2"/>
  <c r="J66" i="2"/>
  <c r="P66" i="2" s="1"/>
  <c r="J70" i="2"/>
  <c r="P70" i="2" s="1"/>
  <c r="P68" i="2"/>
  <c r="D70" i="2"/>
  <c r="D74" i="2"/>
  <c r="D78" i="2"/>
  <c r="I54" i="2"/>
  <c r="P54" i="2" s="1"/>
  <c r="I58" i="2"/>
  <c r="P58" i="2" s="1"/>
  <c r="CD5" i="1"/>
  <c r="BZ5" i="1"/>
  <c r="BZ11" i="1"/>
  <c r="CA11" i="1"/>
  <c r="CB11" i="1"/>
  <c r="CC11" i="1"/>
  <c r="CD11" i="1"/>
  <c r="CE11" i="1"/>
  <c r="BZ12" i="1"/>
  <c r="CA12" i="1"/>
  <c r="CB12" i="1"/>
  <c r="CC12" i="1"/>
  <c r="CD12" i="1"/>
  <c r="CE12" i="1"/>
  <c r="B12" i="1"/>
  <c r="C12"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BK12" i="1"/>
  <c r="BL12" i="1"/>
  <c r="BM12" i="1"/>
  <c r="BN12" i="1"/>
  <c r="BO12" i="1"/>
  <c r="BP12" i="1"/>
  <c r="BQ12" i="1"/>
  <c r="BR12" i="1"/>
  <c r="BS12" i="1"/>
  <c r="BT12" i="1"/>
  <c r="BU12" i="1"/>
  <c r="BV12" i="1"/>
  <c r="BW12" i="1"/>
  <c r="BX12" i="1"/>
  <c r="BY12" i="1"/>
  <c r="BV11" i="1"/>
  <c r="BX11" i="1"/>
  <c r="BY11" i="1"/>
  <c r="BW11" i="1"/>
  <c r="BS11" i="1"/>
  <c r="BT11" i="1"/>
  <c r="BU11" i="1"/>
  <c r="AD11" i="1"/>
  <c r="BV5" i="1"/>
  <c r="BR5" i="1"/>
  <c r="BN11" i="1"/>
  <c r="BJ11" i="1"/>
  <c r="BN5" i="1"/>
  <c r="BJ5" i="1"/>
  <c r="BF11" i="1"/>
  <c r="BF5" i="1"/>
  <c r="BB11" i="1"/>
  <c r="BB5" i="1"/>
  <c r="BB4" i="1"/>
  <c r="AX11" i="1"/>
  <c r="AX9" i="1"/>
  <c r="AX16" i="1" s="1"/>
  <c r="AT11" i="1"/>
  <c r="AT9" i="1"/>
  <c r="AT16" i="1" s="1"/>
  <c r="AX5" i="1"/>
  <c r="AX4" i="1"/>
  <c r="AT5" i="1"/>
  <c r="AT4" i="1"/>
  <c r="AP11" i="1"/>
  <c r="AP9" i="1"/>
  <c r="AP16" i="1" s="1"/>
  <c r="AL11" i="1"/>
  <c r="AL9" i="1"/>
  <c r="AL16" i="1" s="1"/>
  <c r="AP5" i="1"/>
  <c r="AP4" i="1"/>
  <c r="AL5" i="1"/>
  <c r="AL4" i="1"/>
  <c r="AH11" i="1"/>
  <c r="AH9" i="1"/>
  <c r="AH16" i="1" s="1"/>
  <c r="AH5" i="1"/>
  <c r="AH4" i="1"/>
  <c r="AD9" i="1"/>
  <c r="AD16" i="1" s="1"/>
  <c r="AD5" i="1"/>
  <c r="AD4" i="1"/>
  <c r="Z11" i="1"/>
  <c r="Z9" i="1"/>
  <c r="Z16" i="1" s="1"/>
  <c r="V11" i="1"/>
  <c r="V9" i="1"/>
  <c r="V16" i="1" s="1"/>
  <c r="Z5" i="1"/>
  <c r="Z4" i="1"/>
  <c r="V5" i="1"/>
  <c r="V4" i="1"/>
  <c r="R11" i="1"/>
  <c r="R9" i="1"/>
  <c r="R16" i="1" s="1"/>
  <c r="R5" i="1"/>
  <c r="R4" i="1"/>
  <c r="N11" i="1"/>
  <c r="N9" i="1"/>
  <c r="N16" i="1" s="1"/>
  <c r="J11" i="1"/>
  <c r="J9" i="1"/>
  <c r="J16" i="1" s="1"/>
  <c r="N5" i="1"/>
  <c r="N4" i="1"/>
  <c r="J5" i="1"/>
  <c r="J4" i="1"/>
  <c r="F11" i="1"/>
  <c r="F9" i="1"/>
  <c r="F16" i="1" s="1"/>
  <c r="B5" i="1"/>
  <c r="B4" i="1"/>
  <c r="F5" i="1"/>
  <c r="F4" i="1"/>
  <c r="B11" i="1"/>
  <c r="B9" i="1"/>
  <c r="B16" i="1" s="1"/>
  <c r="CE4" i="1"/>
  <c r="CD4" i="1" s="1"/>
  <c r="CC4" i="1"/>
  <c r="CC10" i="1"/>
  <c r="CC16" i="1" s="1"/>
  <c r="CB10" i="1"/>
  <c r="CB16" i="1" s="1"/>
  <c r="CB4" i="1"/>
  <c r="CA10" i="1"/>
  <c r="CA16" i="1" s="1"/>
  <c r="CA4" i="1"/>
  <c r="BY10" i="1"/>
  <c r="BY16" i="1" s="1"/>
  <c r="BY4" i="1"/>
  <c r="BX10" i="1"/>
  <c r="BX16" i="1" s="1"/>
  <c r="BX4" i="1"/>
  <c r="BW10" i="1"/>
  <c r="BW16" i="1" s="1"/>
  <c r="BW4" i="1"/>
  <c r="BU10" i="1"/>
  <c r="BU16" i="1" s="1"/>
  <c r="BU4" i="1"/>
  <c r="BT10" i="1"/>
  <c r="BT16" i="1" s="1"/>
  <c r="BT4" i="1"/>
  <c r="BS10" i="1"/>
  <c r="BS16" i="1" s="1"/>
  <c r="BS4" i="1"/>
  <c r="BQ10" i="1"/>
  <c r="BQ16" i="1" s="1"/>
  <c r="BQ4" i="1"/>
  <c r="BP10" i="1"/>
  <c r="BP16" i="1" s="1"/>
  <c r="BP4" i="1"/>
  <c r="BO10" i="1"/>
  <c r="BO16" i="1" s="1"/>
  <c r="BM10" i="1"/>
  <c r="BM16" i="1" s="1"/>
  <c r="BL10" i="1"/>
  <c r="BL16" i="1" s="1"/>
  <c r="BK10" i="1"/>
  <c r="BK16" i="1" s="1"/>
  <c r="BI10" i="1"/>
  <c r="BI16" i="1" s="1"/>
  <c r="BH10" i="1"/>
  <c r="BH16" i="1" s="1"/>
  <c r="BG10" i="1"/>
  <c r="BG16" i="1" s="1"/>
  <c r="BE10" i="1"/>
  <c r="BE16" i="1" s="1"/>
  <c r="BD10" i="1"/>
  <c r="BD16" i="1" s="1"/>
  <c r="BA10" i="1"/>
  <c r="AW10" i="1"/>
  <c r="AS10" i="1"/>
  <c r="AO10" i="1"/>
  <c r="AR10" i="1"/>
  <c r="AN10" i="1"/>
  <c r="AM10" i="1"/>
  <c r="AQ10" i="1"/>
  <c r="AU10" i="1"/>
  <c r="BC10" i="1"/>
  <c r="BC16" i="1" s="1"/>
  <c r="AZ10" i="1"/>
  <c r="AY10" i="1"/>
  <c r="AV10" i="1"/>
  <c r="BO4" i="1"/>
  <c r="BM4" i="1"/>
  <c r="BL4" i="1"/>
  <c r="BK4" i="1"/>
  <c r="BI4" i="1"/>
  <c r="BH4" i="1"/>
  <c r="BG4" i="1"/>
  <c r="BZ10" i="1" l="1"/>
  <c r="BZ16" i="1" s="1"/>
  <c r="BJ10" i="1"/>
  <c r="BJ16" i="1" s="1"/>
  <c r="BZ4" i="1"/>
  <c r="BF10" i="1"/>
  <c r="BF4" i="1"/>
  <c r="BN10" i="1"/>
  <c r="BN16" i="1" s="1"/>
  <c r="BV10" i="1"/>
  <c r="BV16" i="1" s="1"/>
  <c r="BB10" i="1"/>
  <c r="BN4" i="1"/>
  <c r="BR10" i="1"/>
  <c r="BR16" i="1" s="1"/>
  <c r="BB9" i="1"/>
  <c r="BB16" i="1" s="1"/>
  <c r="BJ4" i="1"/>
  <c r="BR4" i="1"/>
  <c r="BV4" i="1"/>
  <c r="BR11" i="1"/>
  <c r="BF9" i="1"/>
  <c r="BF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Rehab Naeem</author>
  </authors>
  <commentList>
    <comment ref="BV6" authorId="0" shapeId="0" xr:uid="{B4FD4077-C76C-C14B-B4BF-F4777947688C}">
      <text>
        <r>
          <rPr>
            <b/>
            <sz val="10"/>
            <color rgb="FF000000"/>
            <rFont val="Tahoma"/>
            <family val="2"/>
          </rPr>
          <t>Rehab Naeem:</t>
        </r>
        <r>
          <rPr>
            <sz val="10"/>
            <color rgb="FF000000"/>
            <rFont val="Tahoma"/>
            <family val="2"/>
          </rPr>
          <t xml:space="preserve">
</t>
        </r>
        <r>
          <rPr>
            <sz val="10"/>
            <color rgb="FF000000"/>
            <rFont val="Tahoma"/>
            <family val="2"/>
          </rPr>
          <t>314-317</t>
        </r>
      </text>
    </comment>
    <comment ref="A14" authorId="0" shapeId="0" xr:uid="{7198EF84-DC3B-9F47-B22E-DCBD7C5D30D5}">
      <text>
        <r>
          <rPr>
            <b/>
            <sz val="10"/>
            <color rgb="FF000000"/>
            <rFont val="Tahoma"/>
            <family val="2"/>
          </rPr>
          <t>Rehab Naeem:</t>
        </r>
        <r>
          <rPr>
            <sz val="10"/>
            <color rgb="FF000000"/>
            <rFont val="Tahoma"/>
            <family val="2"/>
          </rPr>
          <t xml:space="preserve">
</t>
        </r>
        <r>
          <rPr>
            <sz val="10"/>
            <color rgb="FF000000"/>
            <rFont val="Calibri"/>
            <family val="2"/>
          </rPr>
          <t>We calculate SAC by dividing total subscriber acquisition costs for a period by the number of gross new DISH Network subscribers during the period. We include all new DISH Network subscribers in our calculation, including DISH Network subscribers added with little or no subscriber acquisition costs.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Rehab Naeem</author>
  </authors>
  <commentList>
    <comment ref="N1" authorId="0" shapeId="0" xr:uid="{763FD28D-FD4D-D845-B957-57D578EA7683}">
      <text>
        <r>
          <rPr>
            <b/>
            <sz val="10"/>
            <color rgb="FF000000"/>
            <rFont val="Tahoma"/>
            <family val="2"/>
          </rPr>
          <t>Rehab Naeem:</t>
        </r>
        <r>
          <rPr>
            <sz val="10"/>
            <color rgb="FF000000"/>
            <rFont val="Tahoma"/>
            <family val="2"/>
          </rPr>
          <t xml:space="preserve">
</t>
        </r>
        <r>
          <rPr>
            <sz val="10"/>
            <color rgb="FF000000"/>
            <rFont val="Calibri"/>
            <family val="2"/>
            <scheme val="minor"/>
          </rPr>
          <t>We calculate SAC by dividing total subscriber acquisition costs for a period by the number of gross new DISH Network subscribers during the period. We include all new DISH Network subscribers in our calculation, including DISH Network subscribers added with little or no subscriber acquisition costs.</t>
        </r>
      </text>
    </comment>
    <comment ref="F74" authorId="0" shapeId="0" xr:uid="{F8B732D8-D641-CB41-A83B-B81C0617798B}">
      <text>
        <r>
          <rPr>
            <b/>
            <sz val="10"/>
            <color rgb="FF000000"/>
            <rFont val="Tahoma"/>
            <family val="2"/>
          </rPr>
          <t>Rehab Naeem:</t>
        </r>
        <r>
          <rPr>
            <sz val="10"/>
            <color rgb="FF000000"/>
            <rFont val="Tahoma"/>
            <family val="2"/>
          </rPr>
          <t xml:space="preserve">
</t>
        </r>
        <r>
          <rPr>
            <sz val="10"/>
            <color rgb="FF000000"/>
            <rFont val="Tahoma"/>
            <family val="2"/>
          </rPr>
          <t>314-317</t>
        </r>
      </text>
    </comment>
  </commentList>
</comments>
</file>

<file path=xl/sharedStrings.xml><?xml version="1.0" encoding="utf-8"?>
<sst xmlns="http://schemas.openxmlformats.org/spreadsheetml/2006/main" count="34" uniqueCount="17">
  <si>
    <t>Year</t>
  </si>
  <si>
    <t>Quarter</t>
  </si>
  <si>
    <t>Pay-TV Subscribers</t>
  </si>
  <si>
    <t>Service revenue</t>
  </si>
  <si>
    <t>Total Revenue</t>
  </si>
  <si>
    <t>Pay-TV Subscriber additions, gross</t>
  </si>
  <si>
    <t>Equipment Capitalized</t>
  </si>
  <si>
    <t>Implied Subscriber additions, gross</t>
  </si>
  <si>
    <t>Subscriber Acquisition Costs (SAC)</t>
  </si>
  <si>
    <t>Pay-TV Churn Rate (average monthly)</t>
  </si>
  <si>
    <t>Pay-TV SAC per Subscriber (average)</t>
  </si>
  <si>
    <t>Pay-TV ARPU (average monthly)</t>
  </si>
  <si>
    <t>Implied Pay-TV Subscriber additions, net</t>
  </si>
  <si>
    <t>Pay-TV Subscriber additions, net</t>
  </si>
  <si>
    <t>Combined Additions</t>
  </si>
  <si>
    <t>Date</t>
  </si>
  <si>
    <t>Combined Net Additions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</si>
</sst>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
    <numFmt numFmtId="165" formatCode="#,##0.0"/>
    <numFmt numFmtId="166" formatCode="_(* #,##0.000_);_(* \(#,##0.000\);_(* &quot;-&quot;??_);_(@_)"/>
    <numFmt numFmtId="167" formatCode="_(* #,##0.0000_);_(* \(#,##0.0000\);_(* &quot;-&quot;??_);_(@_)"/>
    <numFmt numFmtId="168" formatCode="0.0000"/>
    <numFmt numFmtId="169" formatCode="0.000"/>
    <numFmt numFmtId="170" formatCode="_(* #,##0_);_(* \(#,##0\);_(* &quot;-&quot;??_);_(@_)"/>
  </numFmts>
  <fonts count="8" x14ac:knownFonts="1">
    <font>
      <sz val="12"/>
      <color theme="1"/>
      <name val="Calibri"/>
      <family val="2"/>
      <scheme val="minor"/>
    </font>
    <font>
      <sz val="12"/>
      <color theme="1"/>
      <name val="Calibri"/>
      <family val="2"/>
      <scheme val="minor"/>
    </font>
    <font>
      <sz val="10"/>
      <color rgb="FF000000"/>
      <name val="Tahoma"/>
      <family val="2"/>
    </font>
    <font>
      <b/>
      <sz val="10"/>
      <color rgb="FF000000"/>
      <name val="Tahoma"/>
      <family val="2"/>
    </font>
    <font>
      <sz val="10"/>
      <color rgb="FF000000"/>
      <name val="Calibri"/>
      <family val="2"/>
      <scheme val="minor"/>
    </font>
    <font>
      <i/>
      <sz val="12"/>
      <color theme="1"/>
      <name val="Calibri"/>
      <family val="2"/>
      <scheme val="minor"/>
    </font>
    <font>
      <i/>
      <sz val="12"/>
      <color theme="1" tint="0.499984740745262"/>
      <name val="Calibri"/>
      <family val="2"/>
      <scheme val="minor"/>
    </font>
    <font>
      <sz val="10"/>
      <color rgb="FF00000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24">
    <xf numFmtId="0" fontId="0" fillId="0" borderId="0" xfId="0"/>
    <xf numFmtId="3" fontId="0" fillId="0" borderId="0" xfId="0" applyNumberFormat="1"/>
    <xf numFmtId="10" fontId="0" fillId="0" borderId="0" xfId="0" applyNumberFormat="1"/>
    <xf numFmtId="164" fontId="0" fillId="0" borderId="0" xfId="0" applyNumberFormat="1"/>
    <xf numFmtId="165" fontId="0" fillId="0" borderId="0" xfId="0" applyNumberFormat="1"/>
    <xf numFmtId="43" fontId="0" fillId="0" borderId="0" xfId="0" applyNumberFormat="1"/>
    <xf numFmtId="166" fontId="0" fillId="0" borderId="0" xfId="0" applyNumberFormat="1"/>
    <xf numFmtId="167" fontId="0" fillId="0" borderId="0" xfId="0" applyNumberFormat="1"/>
    <xf numFmtId="166" fontId="0" fillId="0" borderId="0" xfId="1" applyNumberFormat="1" applyFont="1"/>
    <xf numFmtId="167" fontId="0" fillId="0" borderId="0" xfId="1" applyNumberFormat="1" applyFont="1"/>
    <xf numFmtId="168" fontId="0" fillId="0" borderId="0" xfId="0" applyNumberFormat="1"/>
    <xf numFmtId="169" fontId="0" fillId="0" borderId="0" xfId="0" applyNumberFormat="1"/>
    <xf numFmtId="170" fontId="0" fillId="0" borderId="0" xfId="1" applyNumberFormat="1" applyFont="1"/>
    <xf numFmtId="0" fontId="5" fillId="0" borderId="0" xfId="0" applyFont="1"/>
    <xf numFmtId="0" fontId="6" fillId="0" borderId="0" xfId="0" applyFont="1"/>
    <xf numFmtId="169" fontId="6" fillId="0" borderId="0" xfId="0" applyNumberFormat="1" applyFont="1"/>
    <xf numFmtId="0" fontId="0" fillId="2" borderId="0" xfId="0" applyFill="1"/>
    <xf numFmtId="0" fontId="0" fillId="0" borderId="0" xfId="0" applyAlignment="1">
      <alignment wrapText="1"/>
    </xf>
    <xf numFmtId="0" fontId="6" fillId="0" borderId="0" xfId="0" applyFont="1" applyAlignment="1">
      <alignment wrapText="1"/>
    </xf>
    <xf numFmtId="0" fontId="0" fillId="0" borderId="0" xfId="0" applyAlignment="1">
      <alignment horizontal="center" wrapText="1"/>
    </xf>
    <xf numFmtId="0" fontId="0" fillId="0" borderId="0" xfId="0" applyAlignment="1">
      <alignment horizontal="center"/>
    </xf>
    <xf numFmtId="14" fontId="0" fillId="0" borderId="0" xfId="0" applyNumberFormat="1"/>
    <xf numFmtId="4" fontId="0" fillId="0" borderId="0" xfId="0" applyNumberFormat="1"/>
    <xf numFmtId="0" fontId="0"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5F5B7-6235-AE41-B66E-472D6E330339}">
  <dimension ref="A1:CG22"/>
  <sheetViews>
    <sheetView tabSelected="1" workbookViewId="0">
      <pane xSplit="1" topLeftCell="B1" activePane="topRight" state="frozen"/>
      <selection pane="topRight" activeCell="I17" sqref="I17"/>
    </sheetView>
  </sheetViews>
  <sheetFormatPr baseColWidth="10" defaultRowHeight="16" x14ac:dyDescent="0.2"/>
  <cols>
    <col min="1" max="1" width="38.5" bestFit="1" customWidth="1"/>
    <col min="51" max="51" width="11.5" bestFit="1" customWidth="1"/>
    <col min="54" max="54" width="9.1640625" bestFit="1" customWidth="1"/>
    <col min="59" max="59" width="10.5" bestFit="1" customWidth="1"/>
    <col min="64" max="64" width="9.6640625" customWidth="1"/>
  </cols>
  <sheetData>
    <row r="1" spans="1:85" x14ac:dyDescent="0.2">
      <c r="A1" t="s">
        <v>15</v>
      </c>
      <c r="B1" s="21">
        <f>DATE(B2,12/4*B3,IF(B3=4,31,IF(B3=1,31,30)))</f>
        <v>42735</v>
      </c>
      <c r="C1" s="21">
        <f t="shared" ref="C1:BN1" si="0">DATE(C2,12/4*C3,IF(C3=4,31,IF(C3=1,31,30)))</f>
        <v>42643</v>
      </c>
      <c r="D1" s="21">
        <f t="shared" si="0"/>
        <v>42551</v>
      </c>
      <c r="E1" s="21">
        <f t="shared" si="0"/>
        <v>42460</v>
      </c>
      <c r="F1" s="21">
        <f t="shared" si="0"/>
        <v>42369</v>
      </c>
      <c r="G1" s="21">
        <f t="shared" si="0"/>
        <v>42277</v>
      </c>
      <c r="H1" s="21">
        <f t="shared" si="0"/>
        <v>42185</v>
      </c>
      <c r="I1" s="21">
        <f t="shared" si="0"/>
        <v>42094</v>
      </c>
      <c r="J1" s="21">
        <f t="shared" si="0"/>
        <v>42004</v>
      </c>
      <c r="K1" s="21">
        <f t="shared" si="0"/>
        <v>41912</v>
      </c>
      <c r="L1" s="21">
        <f t="shared" si="0"/>
        <v>41820</v>
      </c>
      <c r="M1" s="21">
        <f t="shared" si="0"/>
        <v>41729</v>
      </c>
      <c r="N1" s="21">
        <f t="shared" si="0"/>
        <v>41639</v>
      </c>
      <c r="O1" s="21">
        <f t="shared" si="0"/>
        <v>41547</v>
      </c>
      <c r="P1" s="21">
        <f t="shared" si="0"/>
        <v>41455</v>
      </c>
      <c r="Q1" s="21">
        <f t="shared" si="0"/>
        <v>41364</v>
      </c>
      <c r="R1" s="21">
        <f t="shared" si="0"/>
        <v>41274</v>
      </c>
      <c r="S1" s="21">
        <f t="shared" si="0"/>
        <v>41182</v>
      </c>
      <c r="T1" s="21">
        <f t="shared" si="0"/>
        <v>41090</v>
      </c>
      <c r="U1" s="21">
        <f t="shared" si="0"/>
        <v>40999</v>
      </c>
      <c r="V1" s="21">
        <f t="shared" si="0"/>
        <v>40908</v>
      </c>
      <c r="W1" s="21">
        <f t="shared" si="0"/>
        <v>40816</v>
      </c>
      <c r="X1" s="21">
        <f t="shared" si="0"/>
        <v>40724</v>
      </c>
      <c r="Y1" s="21">
        <f t="shared" si="0"/>
        <v>40633</v>
      </c>
      <c r="Z1" s="21">
        <f t="shared" si="0"/>
        <v>40543</v>
      </c>
      <c r="AA1" s="21">
        <f t="shared" si="0"/>
        <v>40451</v>
      </c>
      <c r="AB1" s="21">
        <f t="shared" si="0"/>
        <v>40359</v>
      </c>
      <c r="AC1" s="21">
        <f t="shared" si="0"/>
        <v>40268</v>
      </c>
      <c r="AD1" s="21">
        <f t="shared" si="0"/>
        <v>40178</v>
      </c>
      <c r="AE1" s="21">
        <f t="shared" si="0"/>
        <v>40086</v>
      </c>
      <c r="AF1" s="21">
        <f t="shared" si="0"/>
        <v>39994</v>
      </c>
      <c r="AG1" s="21">
        <f t="shared" si="0"/>
        <v>39903</v>
      </c>
      <c r="AH1" s="21">
        <f t="shared" si="0"/>
        <v>39813</v>
      </c>
      <c r="AI1" s="21">
        <f t="shared" si="0"/>
        <v>39721</v>
      </c>
      <c r="AJ1" s="21">
        <f t="shared" si="0"/>
        <v>39629</v>
      </c>
      <c r="AK1" s="21">
        <f t="shared" si="0"/>
        <v>39538</v>
      </c>
      <c r="AL1" s="21">
        <f t="shared" si="0"/>
        <v>39447</v>
      </c>
      <c r="AM1" s="21">
        <f t="shared" si="0"/>
        <v>39355</v>
      </c>
      <c r="AN1" s="21">
        <f t="shared" si="0"/>
        <v>39263</v>
      </c>
      <c r="AO1" s="21">
        <f t="shared" si="0"/>
        <v>39172</v>
      </c>
      <c r="AP1" s="21">
        <f t="shared" si="0"/>
        <v>39082</v>
      </c>
      <c r="AQ1" s="21">
        <f t="shared" si="0"/>
        <v>38990</v>
      </c>
      <c r="AR1" s="21">
        <f t="shared" si="0"/>
        <v>38898</v>
      </c>
      <c r="AS1" s="21">
        <f t="shared" si="0"/>
        <v>38807</v>
      </c>
      <c r="AT1" s="21">
        <f t="shared" si="0"/>
        <v>38717</v>
      </c>
      <c r="AU1" s="21">
        <f t="shared" si="0"/>
        <v>38625</v>
      </c>
      <c r="AV1" s="21">
        <f t="shared" si="0"/>
        <v>38533</v>
      </c>
      <c r="AW1" s="21">
        <f t="shared" si="0"/>
        <v>38442</v>
      </c>
      <c r="AX1" s="21">
        <f t="shared" si="0"/>
        <v>38352</v>
      </c>
      <c r="AY1" s="21">
        <f t="shared" si="0"/>
        <v>38260</v>
      </c>
      <c r="AZ1" s="21">
        <f t="shared" si="0"/>
        <v>38168</v>
      </c>
      <c r="BA1" s="21">
        <f t="shared" si="0"/>
        <v>38077</v>
      </c>
      <c r="BB1" s="21">
        <f t="shared" si="0"/>
        <v>37986</v>
      </c>
      <c r="BC1" s="21">
        <f t="shared" si="0"/>
        <v>37894</v>
      </c>
      <c r="BD1" s="21">
        <f t="shared" si="0"/>
        <v>37802</v>
      </c>
      <c r="BE1" s="21">
        <f t="shared" si="0"/>
        <v>37711</v>
      </c>
      <c r="BF1" s="21">
        <f t="shared" si="0"/>
        <v>37621</v>
      </c>
      <c r="BG1" s="21">
        <f t="shared" si="0"/>
        <v>37529</v>
      </c>
      <c r="BH1" s="21">
        <f t="shared" si="0"/>
        <v>37437</v>
      </c>
      <c r="BI1" s="21">
        <f t="shared" si="0"/>
        <v>37346</v>
      </c>
      <c r="BJ1" s="21">
        <f t="shared" si="0"/>
        <v>37256</v>
      </c>
      <c r="BK1" s="21">
        <f t="shared" si="0"/>
        <v>37164</v>
      </c>
      <c r="BL1" s="21">
        <f t="shared" si="0"/>
        <v>37072</v>
      </c>
      <c r="BM1" s="21">
        <f t="shared" si="0"/>
        <v>36981</v>
      </c>
      <c r="BN1" s="21">
        <f t="shared" si="0"/>
        <v>36891</v>
      </c>
      <c r="BO1" s="21">
        <f t="shared" ref="BO1:CG1" si="1">DATE(BO2,12/4*BO3,IF(BO3=4,31,IF(BO3=1,31,30)))</f>
        <v>36799</v>
      </c>
      <c r="BP1" s="21">
        <f t="shared" si="1"/>
        <v>36707</v>
      </c>
      <c r="BQ1" s="21">
        <f t="shared" si="1"/>
        <v>36616</v>
      </c>
      <c r="BR1" s="21">
        <f t="shared" si="1"/>
        <v>36525</v>
      </c>
      <c r="BS1" s="21">
        <f t="shared" si="1"/>
        <v>36433</v>
      </c>
      <c r="BT1" s="21">
        <f t="shared" si="1"/>
        <v>36341</v>
      </c>
      <c r="BU1" s="21">
        <f t="shared" si="1"/>
        <v>36250</v>
      </c>
      <c r="BV1" s="21">
        <f t="shared" si="1"/>
        <v>36160</v>
      </c>
      <c r="BW1" s="21">
        <f t="shared" si="1"/>
        <v>36068</v>
      </c>
      <c r="BX1" s="21">
        <f t="shared" si="1"/>
        <v>35976</v>
      </c>
      <c r="BY1" s="21">
        <f t="shared" si="1"/>
        <v>35885</v>
      </c>
      <c r="BZ1" s="21">
        <f t="shared" si="1"/>
        <v>35795</v>
      </c>
      <c r="CA1" s="21">
        <f t="shared" si="1"/>
        <v>35703</v>
      </c>
      <c r="CB1" s="21">
        <f t="shared" si="1"/>
        <v>35611</v>
      </c>
      <c r="CC1" s="21">
        <f t="shared" si="1"/>
        <v>35520</v>
      </c>
      <c r="CD1" s="21">
        <f t="shared" si="1"/>
        <v>35430</v>
      </c>
      <c r="CE1" s="21">
        <f t="shared" si="1"/>
        <v>35338</v>
      </c>
      <c r="CF1" s="21">
        <f t="shared" si="1"/>
        <v>35246</v>
      </c>
      <c r="CG1" s="21">
        <f t="shared" si="1"/>
        <v>35155</v>
      </c>
    </row>
    <row r="2" spans="1:85" x14ac:dyDescent="0.2">
      <c r="A2" t="s">
        <v>0</v>
      </c>
      <c r="B2">
        <v>2016</v>
      </c>
      <c r="C2">
        <v>2016</v>
      </c>
      <c r="D2">
        <v>2016</v>
      </c>
      <c r="E2">
        <v>2016</v>
      </c>
      <c r="F2">
        <v>2015</v>
      </c>
      <c r="G2">
        <v>2015</v>
      </c>
      <c r="H2">
        <v>2015</v>
      </c>
      <c r="I2">
        <v>2015</v>
      </c>
      <c r="J2">
        <v>2014</v>
      </c>
      <c r="K2">
        <v>2014</v>
      </c>
      <c r="L2">
        <v>2014</v>
      </c>
      <c r="M2">
        <v>2014</v>
      </c>
      <c r="N2">
        <v>2013</v>
      </c>
      <c r="O2">
        <v>2013</v>
      </c>
      <c r="P2">
        <v>2013</v>
      </c>
      <c r="Q2">
        <v>2013</v>
      </c>
      <c r="R2">
        <v>2012</v>
      </c>
      <c r="S2">
        <v>2012</v>
      </c>
      <c r="T2">
        <v>2012</v>
      </c>
      <c r="U2">
        <v>2012</v>
      </c>
      <c r="V2">
        <v>2011</v>
      </c>
      <c r="W2">
        <v>2011</v>
      </c>
      <c r="X2">
        <v>2011</v>
      </c>
      <c r="Y2">
        <v>2011</v>
      </c>
      <c r="Z2">
        <v>2010</v>
      </c>
      <c r="AA2">
        <v>2010</v>
      </c>
      <c r="AB2">
        <v>2010</v>
      </c>
      <c r="AC2">
        <v>2010</v>
      </c>
      <c r="AD2">
        <v>2009</v>
      </c>
      <c r="AE2">
        <v>2009</v>
      </c>
      <c r="AF2">
        <v>2009</v>
      </c>
      <c r="AG2">
        <v>2009</v>
      </c>
      <c r="AH2">
        <v>2008</v>
      </c>
      <c r="AI2">
        <v>2008</v>
      </c>
      <c r="AJ2">
        <v>2008</v>
      </c>
      <c r="AK2">
        <v>2008</v>
      </c>
      <c r="AL2">
        <v>2007</v>
      </c>
      <c r="AM2">
        <v>2007</v>
      </c>
      <c r="AN2">
        <v>2007</v>
      </c>
      <c r="AO2">
        <v>2007</v>
      </c>
      <c r="AP2">
        <v>2006</v>
      </c>
      <c r="AQ2">
        <v>2006</v>
      </c>
      <c r="AR2">
        <v>2006</v>
      </c>
      <c r="AS2">
        <v>2006</v>
      </c>
      <c r="AT2">
        <v>2005</v>
      </c>
      <c r="AU2">
        <v>2005</v>
      </c>
      <c r="AV2">
        <v>2005</v>
      </c>
      <c r="AW2">
        <v>2005</v>
      </c>
      <c r="AX2">
        <v>2004</v>
      </c>
      <c r="AY2">
        <v>2004</v>
      </c>
      <c r="AZ2">
        <v>2004</v>
      </c>
      <c r="BA2">
        <v>2004</v>
      </c>
      <c r="BB2">
        <v>2003</v>
      </c>
      <c r="BC2">
        <v>2003</v>
      </c>
      <c r="BD2">
        <v>2003</v>
      </c>
      <c r="BE2">
        <v>2003</v>
      </c>
      <c r="BF2">
        <v>2002</v>
      </c>
      <c r="BG2">
        <v>2002</v>
      </c>
      <c r="BH2">
        <v>2002</v>
      </c>
      <c r="BI2">
        <v>2002</v>
      </c>
      <c r="BJ2">
        <v>2001</v>
      </c>
      <c r="BK2">
        <v>2001</v>
      </c>
      <c r="BL2">
        <v>2001</v>
      </c>
      <c r="BM2">
        <v>2001</v>
      </c>
      <c r="BN2">
        <v>2000</v>
      </c>
      <c r="BO2">
        <v>2000</v>
      </c>
      <c r="BP2">
        <v>2000</v>
      </c>
      <c r="BQ2">
        <v>2000</v>
      </c>
      <c r="BR2">
        <v>1999</v>
      </c>
      <c r="BS2">
        <v>1999</v>
      </c>
      <c r="BT2">
        <v>1999</v>
      </c>
      <c r="BU2">
        <v>1999</v>
      </c>
      <c r="BV2">
        <v>1998</v>
      </c>
      <c r="BW2">
        <v>1998</v>
      </c>
      <c r="BX2">
        <v>1998</v>
      </c>
      <c r="BY2">
        <v>1998</v>
      </c>
      <c r="BZ2">
        <v>1997</v>
      </c>
      <c r="CA2">
        <v>1997</v>
      </c>
      <c r="CB2">
        <v>1997</v>
      </c>
      <c r="CC2">
        <v>1997</v>
      </c>
      <c r="CD2">
        <v>1996</v>
      </c>
      <c r="CE2">
        <v>1996</v>
      </c>
      <c r="CF2">
        <v>1996</v>
      </c>
      <c r="CG2">
        <v>1996</v>
      </c>
    </row>
    <row r="3" spans="1:85" x14ac:dyDescent="0.2">
      <c r="A3" t="s">
        <v>1</v>
      </c>
      <c r="B3">
        <v>4</v>
      </c>
      <c r="C3">
        <v>3</v>
      </c>
      <c r="D3">
        <v>2</v>
      </c>
      <c r="E3">
        <v>1</v>
      </c>
      <c r="F3">
        <v>4</v>
      </c>
      <c r="G3">
        <v>3</v>
      </c>
      <c r="H3">
        <v>2</v>
      </c>
      <c r="I3">
        <v>1</v>
      </c>
      <c r="J3">
        <v>4</v>
      </c>
      <c r="K3">
        <v>3</v>
      </c>
      <c r="L3">
        <v>2</v>
      </c>
      <c r="M3">
        <v>1</v>
      </c>
      <c r="N3">
        <v>4</v>
      </c>
      <c r="O3">
        <v>3</v>
      </c>
      <c r="P3">
        <v>2</v>
      </c>
      <c r="Q3">
        <v>1</v>
      </c>
      <c r="R3">
        <v>4</v>
      </c>
      <c r="S3">
        <v>3</v>
      </c>
      <c r="T3">
        <v>2</v>
      </c>
      <c r="U3">
        <v>1</v>
      </c>
      <c r="V3">
        <v>4</v>
      </c>
      <c r="W3">
        <v>3</v>
      </c>
      <c r="X3">
        <v>2</v>
      </c>
      <c r="Y3">
        <v>1</v>
      </c>
      <c r="Z3">
        <v>4</v>
      </c>
      <c r="AA3">
        <v>3</v>
      </c>
      <c r="AB3">
        <v>2</v>
      </c>
      <c r="AC3">
        <v>1</v>
      </c>
      <c r="AD3">
        <v>4</v>
      </c>
      <c r="AE3">
        <v>3</v>
      </c>
      <c r="AF3">
        <v>2</v>
      </c>
      <c r="AG3">
        <v>1</v>
      </c>
      <c r="AH3">
        <v>4</v>
      </c>
      <c r="AI3">
        <v>3</v>
      </c>
      <c r="AJ3">
        <v>2</v>
      </c>
      <c r="AK3">
        <v>1</v>
      </c>
      <c r="AL3">
        <v>4</v>
      </c>
      <c r="AM3">
        <v>3</v>
      </c>
      <c r="AN3">
        <v>2</v>
      </c>
      <c r="AO3">
        <v>1</v>
      </c>
      <c r="AP3">
        <v>4</v>
      </c>
      <c r="AQ3">
        <v>3</v>
      </c>
      <c r="AR3">
        <v>2</v>
      </c>
      <c r="AS3">
        <v>1</v>
      </c>
      <c r="AT3">
        <v>4</v>
      </c>
      <c r="AU3">
        <v>3</v>
      </c>
      <c r="AV3">
        <v>2</v>
      </c>
      <c r="AW3">
        <v>1</v>
      </c>
      <c r="AX3">
        <v>4</v>
      </c>
      <c r="AY3">
        <v>3</v>
      </c>
      <c r="AZ3">
        <v>2</v>
      </c>
      <c r="BA3">
        <v>1</v>
      </c>
      <c r="BB3">
        <v>4</v>
      </c>
      <c r="BC3">
        <v>3</v>
      </c>
      <c r="BD3">
        <v>2</v>
      </c>
      <c r="BE3">
        <v>1</v>
      </c>
      <c r="BF3">
        <v>4</v>
      </c>
      <c r="BG3">
        <v>3</v>
      </c>
      <c r="BH3">
        <v>2</v>
      </c>
      <c r="BI3">
        <v>1</v>
      </c>
      <c r="BJ3">
        <v>4</v>
      </c>
      <c r="BK3">
        <v>3</v>
      </c>
      <c r="BL3">
        <v>2</v>
      </c>
      <c r="BM3">
        <v>1</v>
      </c>
      <c r="BN3">
        <v>4</v>
      </c>
      <c r="BO3">
        <v>3</v>
      </c>
      <c r="BP3">
        <v>2</v>
      </c>
      <c r="BQ3">
        <v>1</v>
      </c>
      <c r="BR3">
        <v>4</v>
      </c>
      <c r="BS3">
        <v>3</v>
      </c>
      <c r="BT3">
        <v>2</v>
      </c>
      <c r="BU3">
        <v>1</v>
      </c>
      <c r="BV3">
        <v>4</v>
      </c>
      <c r="BW3">
        <v>3</v>
      </c>
      <c r="BX3">
        <v>2</v>
      </c>
      <c r="BY3">
        <v>1</v>
      </c>
      <c r="BZ3">
        <v>4</v>
      </c>
      <c r="CA3">
        <v>3</v>
      </c>
      <c r="CB3">
        <v>2</v>
      </c>
      <c r="CC3">
        <v>1</v>
      </c>
      <c r="CD3">
        <v>4</v>
      </c>
      <c r="CE3">
        <v>3</v>
      </c>
      <c r="CF3">
        <v>2</v>
      </c>
      <c r="CG3">
        <v>1</v>
      </c>
    </row>
    <row r="4" spans="1:85" x14ac:dyDescent="0.2">
      <c r="A4" t="s">
        <v>3</v>
      </c>
      <c r="B4" s="1">
        <f>15033939-SUM(C4:E4)</f>
        <v>3700717</v>
      </c>
      <c r="C4" s="1">
        <v>3731528</v>
      </c>
      <c r="D4" s="1">
        <v>3826216</v>
      </c>
      <c r="E4" s="1">
        <v>3775478</v>
      </c>
      <c r="F4" s="1">
        <f>14953559-SUM(G4:I4)</f>
        <v>3754354</v>
      </c>
      <c r="G4" s="1">
        <v>3704259</v>
      </c>
      <c r="H4" s="1">
        <v>3801416</v>
      </c>
      <c r="I4" s="1">
        <v>3693530</v>
      </c>
      <c r="J4" s="1">
        <f>14495091-SUM(K4:M4)</f>
        <v>3645953</v>
      </c>
      <c r="K4" s="1">
        <v>3647850</v>
      </c>
      <c r="L4" s="1">
        <v>3645101</v>
      </c>
      <c r="M4" s="1">
        <v>3556187</v>
      </c>
      <c r="N4" s="1">
        <f>13764774-SUM(O4:Q4)</f>
        <v>3500090</v>
      </c>
      <c r="O4" s="1">
        <v>3463753</v>
      </c>
      <c r="P4" s="1">
        <v>3452764</v>
      </c>
      <c r="Q4" s="1">
        <v>3348167</v>
      </c>
      <c r="R4" s="1">
        <f>13064936-SUM(S4:U4)</f>
        <v>3277260</v>
      </c>
      <c r="S4" s="1">
        <v>3267380</v>
      </c>
      <c r="T4" s="1">
        <v>3295831</v>
      </c>
      <c r="U4" s="1">
        <v>3224465</v>
      </c>
      <c r="V4" s="1">
        <f>12976009-SUM(W4:Y4)</f>
        <v>3123984</v>
      </c>
      <c r="W4" s="1">
        <v>3229345</v>
      </c>
      <c r="X4" s="1">
        <v>3311340</v>
      </c>
      <c r="Y4" s="1">
        <v>3311340</v>
      </c>
      <c r="Z4" s="1">
        <f>12543794-SUM(AA4:AC4)</f>
        <v>3180820</v>
      </c>
      <c r="AA4" s="1">
        <v>3185515</v>
      </c>
      <c r="AB4" s="1">
        <v>3141326</v>
      </c>
      <c r="AC4" s="1">
        <v>3036133</v>
      </c>
      <c r="AD4" s="1">
        <f>11538729-SUM(AE4:AG4)</f>
        <v>2933121</v>
      </c>
      <c r="AE4" s="1">
        <v>2862554</v>
      </c>
      <c r="AF4" s="1">
        <v>2878115</v>
      </c>
      <c r="AG4" s="1">
        <v>2864939</v>
      </c>
      <c r="AH4" s="1">
        <f>11455575-SUM(AI4:AK4)</f>
        <v>2883412</v>
      </c>
      <c r="AI4" s="1">
        <v>2886157</v>
      </c>
      <c r="AJ4" s="1">
        <v>2875580</v>
      </c>
      <c r="AK4" s="1">
        <v>2810426</v>
      </c>
      <c r="AL4" s="1">
        <f>10690976-SUM(AM4:AO4)</f>
        <v>2763665</v>
      </c>
      <c r="AM4" s="1">
        <v>2699018</v>
      </c>
      <c r="AN4" s="1">
        <v>2676230</v>
      </c>
      <c r="AO4" s="1">
        <v>2552063</v>
      </c>
      <c r="AP4" s="1">
        <f>9422274-SUM(AQ4:AS4)</f>
        <v>2505139</v>
      </c>
      <c r="AQ4" s="1">
        <v>2389798</v>
      </c>
      <c r="AR4" s="1">
        <v>2332227</v>
      </c>
      <c r="AS4" s="1">
        <v>2195110</v>
      </c>
      <c r="AT4" s="1">
        <f>7986394-SUM(AU4:AW4)</f>
        <v>2089896</v>
      </c>
      <c r="AU4" s="1">
        <v>2010441</v>
      </c>
      <c r="AV4" s="1">
        <v>1992174</v>
      </c>
      <c r="AW4" s="1">
        <v>1893883</v>
      </c>
      <c r="AX4" s="1">
        <f>6692949-SUM(AY4:BA4)</f>
        <v>1805443</v>
      </c>
      <c r="AY4" s="1">
        <v>1733494</v>
      </c>
      <c r="AZ4" s="1">
        <v>1660502</v>
      </c>
      <c r="BA4" s="1">
        <v>1493510</v>
      </c>
      <c r="BB4" s="1">
        <f>5409875-SUM(BC4:BE4)</f>
        <v>1407862</v>
      </c>
      <c r="BC4" s="1">
        <v>1365827</v>
      </c>
      <c r="BD4" s="1">
        <v>1343041</v>
      </c>
      <c r="BE4" s="1">
        <v>1293145</v>
      </c>
      <c r="BF4" s="1">
        <f>4429699-SUM(BG4:BI4)</f>
        <v>1207121</v>
      </c>
      <c r="BG4" s="1">
        <f>1120448+3558</f>
        <v>1124006</v>
      </c>
      <c r="BH4" s="1">
        <f>1071845+7843</f>
        <v>1079688</v>
      </c>
      <c r="BI4" s="1">
        <f>1016057+2827</f>
        <v>1018884</v>
      </c>
      <c r="BJ4" s="1">
        <f>3588441+17283-SUM(BK4:BM4)</f>
        <v>997851</v>
      </c>
      <c r="BK4" s="1">
        <f>920970+3672</f>
        <v>924642</v>
      </c>
      <c r="BL4" s="1">
        <f>883055+3245</f>
        <v>886300</v>
      </c>
      <c r="BM4" s="1">
        <f>794448+2483</f>
        <v>796931</v>
      </c>
      <c r="BN4" s="1">
        <f>2346700+5537-SUM(BO4:BQ4)</f>
        <v>699291</v>
      </c>
      <c r="BO4" s="1">
        <f>616283+998</f>
        <v>617281</v>
      </c>
      <c r="BP4" s="1">
        <f>555309+2169</f>
        <v>557478</v>
      </c>
      <c r="BQ4" s="1">
        <f>476874+1313</f>
        <v>478187</v>
      </c>
      <c r="BR4" s="1">
        <f>1344136+8467-SUM(BS4:BU4)</f>
        <v>419014</v>
      </c>
      <c r="BS4" s="1">
        <f>359502+1866</f>
        <v>361368</v>
      </c>
      <c r="BT4" s="1">
        <f>306781+2161</f>
        <v>308942</v>
      </c>
      <c r="BU4" s="1">
        <f>261016+2263</f>
        <v>263279</v>
      </c>
      <c r="BV4" s="1">
        <f>669310+13722-SUM(BW4:BY4)</f>
        <v>211488</v>
      </c>
      <c r="BW4" s="1">
        <f>179472+1861</f>
        <v>181333</v>
      </c>
      <c r="BX4" s="1">
        <f>151527+3508</f>
        <v>155035</v>
      </c>
      <c r="BY4" s="1">
        <f>128541+6635</f>
        <v>135176</v>
      </c>
      <c r="BZ4" s="1">
        <f>344250-SUM(CA4:CC4)</f>
        <v>116174</v>
      </c>
      <c r="CA4" s="1">
        <f>82078+13698</f>
        <v>95776</v>
      </c>
      <c r="CB4" s="1">
        <f>62858+12698</f>
        <v>75556</v>
      </c>
      <c r="CC4" s="1">
        <f>48050+8694</f>
        <v>56744</v>
      </c>
      <c r="CD4" s="1">
        <f>49650+10482-SUM(CE4:CG4)</f>
        <v>38521</v>
      </c>
      <c r="CE4" s="1">
        <f>13235+2794</f>
        <v>16029</v>
      </c>
      <c r="CF4" s="1">
        <v>5582</v>
      </c>
    </row>
    <row r="5" spans="1:85" x14ac:dyDescent="0.2">
      <c r="A5" t="s">
        <v>4</v>
      </c>
      <c r="B5" s="1">
        <f>15212302-SUM(C5:E5)</f>
        <v>3752765</v>
      </c>
      <c r="C5" s="1">
        <v>3767472</v>
      </c>
      <c r="D5" s="1">
        <v>3864591</v>
      </c>
      <c r="E5" s="1">
        <v>3827474</v>
      </c>
      <c r="F5" s="1">
        <f>15068901-SUM(G5:I5)</f>
        <v>3778683</v>
      </c>
      <c r="G5" s="1">
        <v>3733565</v>
      </c>
      <c r="H5" s="1">
        <v>3832425</v>
      </c>
      <c r="I5" s="1">
        <v>3724228</v>
      </c>
      <c r="J5" s="1">
        <f>14643387-SUM(K5:M5)</f>
        <v>3681719</v>
      </c>
      <c r="K5" s="1">
        <v>3679351</v>
      </c>
      <c r="L5" s="1">
        <v>3688119</v>
      </c>
      <c r="M5" s="1">
        <v>3594198</v>
      </c>
      <c r="N5" s="1">
        <f>13904865-SUM(O5:Q5)</f>
        <v>3538540</v>
      </c>
      <c r="O5" s="1">
        <v>3505021</v>
      </c>
      <c r="P5" s="1">
        <v>3485774</v>
      </c>
      <c r="Q5" s="1">
        <v>3375530</v>
      </c>
      <c r="R5" s="1">
        <f>13181334-SUM(S5:U5)</f>
        <v>2504352</v>
      </c>
      <c r="S5" s="1">
        <v>3523347</v>
      </c>
      <c r="T5" s="1">
        <v>3571766</v>
      </c>
      <c r="U5" s="1">
        <v>3581869</v>
      </c>
      <c r="V5" s="1">
        <f>14048393-SUM(W5:Y5)</f>
        <v>3265420</v>
      </c>
      <c r="W5" s="1">
        <v>3602651</v>
      </c>
      <c r="X5" s="1">
        <v>3590161</v>
      </c>
      <c r="Y5" s="1">
        <v>3590161</v>
      </c>
      <c r="Z5" s="1">
        <f>12640744-SUM(AA5:AC5)</f>
        <v>3206579</v>
      </c>
      <c r="AA5" s="1">
        <v>3207728</v>
      </c>
      <c r="AB5" s="1">
        <v>3169042</v>
      </c>
      <c r="AC5" s="1">
        <v>3057395</v>
      </c>
      <c r="AD5" s="1">
        <f>11664151-SUM(AE5:AG5)</f>
        <v>2962982</v>
      </c>
      <c r="AE5" s="1">
        <v>2892147</v>
      </c>
      <c r="AF5" s="1">
        <v>2903701</v>
      </c>
      <c r="AG5" s="1">
        <v>2905321</v>
      </c>
      <c r="AH5" s="1">
        <f>11617187-SUM(AI5:AK5)</f>
        <v>2921022</v>
      </c>
      <c r="AI5" s="1">
        <v>2936781</v>
      </c>
      <c r="AJ5" s="1">
        <v>2914990</v>
      </c>
      <c r="AK5" s="1">
        <v>2844394</v>
      </c>
      <c r="AL5" s="1">
        <f>11090375-SUM(AM5:AO5)</f>
        <v>2891055</v>
      </c>
      <c r="AM5" s="1">
        <v>2794327</v>
      </c>
      <c r="AN5" s="1">
        <v>2760008</v>
      </c>
      <c r="AO5" s="1">
        <v>2644985</v>
      </c>
      <c r="AP5" s="1">
        <f>9818486-SUM(AQ5:AS5)</f>
        <v>2577649</v>
      </c>
      <c r="AQ5" s="1">
        <v>2475291</v>
      </c>
      <c r="AR5" s="1">
        <v>2466155</v>
      </c>
      <c r="AS5" s="1">
        <v>2299391</v>
      </c>
      <c r="AT5" s="1">
        <f>8447175-SUM(AU5:AW5)</f>
        <v>2199468</v>
      </c>
      <c r="AU5" s="1">
        <v>2128221</v>
      </c>
      <c r="AV5" s="1">
        <v>2095486</v>
      </c>
      <c r="AW5" s="1">
        <v>2024000</v>
      </c>
      <c r="AX5" s="1">
        <f>7158471-SUM(AY5:BA5)</f>
        <v>1938349</v>
      </c>
      <c r="AY5" s="1">
        <v>1862613</v>
      </c>
      <c r="AZ5" s="1">
        <v>1777713</v>
      </c>
      <c r="BA5" s="1">
        <v>1579796</v>
      </c>
      <c r="BB5" s="1">
        <f>5739296-SUM(BC5:BE5)</f>
        <v>1513386</v>
      </c>
      <c r="BC5" s="1">
        <v>1452295</v>
      </c>
      <c r="BD5" s="1">
        <v>1414567</v>
      </c>
      <c r="BE5" s="1">
        <v>1359048</v>
      </c>
      <c r="BF5" s="1">
        <f>4820825-SUM(BG5:BI5)</f>
        <v>1324824</v>
      </c>
      <c r="BG5" s="1">
        <v>1222849</v>
      </c>
      <c r="BH5" s="1">
        <v>1168684</v>
      </c>
      <c r="BI5" s="1">
        <v>1104468</v>
      </c>
      <c r="BJ5" s="1">
        <f>4001138-SUM(BK5:BM5)</f>
        <v>1150430</v>
      </c>
      <c r="BK5" s="1">
        <v>1022506</v>
      </c>
      <c r="BL5" s="1">
        <v>966272</v>
      </c>
      <c r="BM5" s="1">
        <v>861930</v>
      </c>
      <c r="BN5" s="1">
        <f>2715220-SUM(BO5:BQ5)</f>
        <v>805398</v>
      </c>
      <c r="BO5" s="1">
        <v>697972</v>
      </c>
      <c r="BP5" s="1">
        <v>646129</v>
      </c>
      <c r="BQ5" s="1">
        <v>565721</v>
      </c>
      <c r="BR5" s="1">
        <f>1602841-SUM(BS5:BU5)</f>
        <v>514868</v>
      </c>
      <c r="BS5" s="1">
        <v>428180</v>
      </c>
      <c r="BT5" s="1">
        <v>350217</v>
      </c>
      <c r="BU5" s="1">
        <v>309576</v>
      </c>
      <c r="BV5" s="1">
        <f>982666-SUM(BW5:BY5)</f>
        <v>286982</v>
      </c>
      <c r="BW5" s="1">
        <v>235407</v>
      </c>
      <c r="BX5" s="1">
        <v>245838</v>
      </c>
      <c r="BY5" s="1">
        <v>214439</v>
      </c>
      <c r="BZ5" s="1">
        <f>477418-SUM(CA5:CC5)</f>
        <v>179165</v>
      </c>
      <c r="CA5" s="1">
        <v>130038</v>
      </c>
      <c r="CB5" s="1">
        <v>98691</v>
      </c>
      <c r="CC5" s="1">
        <v>69524</v>
      </c>
      <c r="CD5" s="1">
        <f>198901-SUM(CE5:CG5)</f>
        <v>95015</v>
      </c>
      <c r="CE5" s="1">
        <v>30362</v>
      </c>
      <c r="CF5" s="1">
        <v>73524</v>
      </c>
    </row>
    <row r="6" spans="1:85" x14ac:dyDescent="0.2">
      <c r="A6" t="s">
        <v>8</v>
      </c>
      <c r="C6" s="1"/>
      <c r="AM6" s="1">
        <v>400624</v>
      </c>
      <c r="AN6" s="1">
        <v>376408</v>
      </c>
      <c r="AO6" s="1">
        <v>401085</v>
      </c>
      <c r="AQ6" s="1">
        <v>438827</v>
      </c>
      <c r="AR6" s="1">
        <v>373239</v>
      </c>
      <c r="AS6" s="1">
        <v>358955</v>
      </c>
      <c r="AU6" s="1">
        <v>402565</v>
      </c>
      <c r="AV6" s="1">
        <v>344964</v>
      </c>
      <c r="AW6" s="1">
        <v>333511</v>
      </c>
      <c r="AY6" s="1">
        <v>377104</v>
      </c>
      <c r="AZ6" s="1">
        <v>365344</v>
      </c>
      <c r="BA6" s="1">
        <v>416299</v>
      </c>
      <c r="BB6" s="1">
        <v>1312068</v>
      </c>
      <c r="BC6" s="1">
        <v>346512</v>
      </c>
      <c r="BD6" s="1">
        <v>285701</v>
      </c>
      <c r="BE6" s="1">
        <v>308187</v>
      </c>
      <c r="BF6" s="1">
        <v>1168649</v>
      </c>
      <c r="BG6" s="1">
        <v>297700</v>
      </c>
      <c r="BH6" s="1">
        <v>248300</v>
      </c>
      <c r="BI6" s="1">
        <v>266000</v>
      </c>
      <c r="BJ6" s="1">
        <v>1074000</v>
      </c>
      <c r="BK6" s="1">
        <v>268000</v>
      </c>
      <c r="BL6" s="1">
        <v>252000</v>
      </c>
      <c r="BM6" s="1">
        <v>297000</v>
      </c>
      <c r="BN6" s="1">
        <v>1155000</v>
      </c>
      <c r="BO6" s="1">
        <v>284000</v>
      </c>
      <c r="BP6" s="1">
        <v>252000</v>
      </c>
      <c r="BQ6" s="1">
        <v>273000</v>
      </c>
      <c r="BR6" s="1">
        <v>729000</v>
      </c>
      <c r="BS6" s="1">
        <v>201000</v>
      </c>
      <c r="BT6" s="1">
        <v>151000</v>
      </c>
      <c r="BU6" s="1">
        <v>142000</v>
      </c>
      <c r="BV6" s="1">
        <v>314000</v>
      </c>
      <c r="BW6" s="1">
        <v>64000</v>
      </c>
      <c r="BX6" s="1">
        <v>66000</v>
      </c>
      <c r="BY6" s="1">
        <v>51000</v>
      </c>
      <c r="BZ6" s="1">
        <v>252000</v>
      </c>
      <c r="CA6" s="1">
        <v>84000</v>
      </c>
      <c r="CB6" s="1">
        <v>43000</v>
      </c>
      <c r="CC6" s="1">
        <v>58000</v>
      </c>
    </row>
    <row r="7" spans="1:85" x14ac:dyDescent="0.2">
      <c r="A7" t="s">
        <v>6</v>
      </c>
      <c r="AM7" s="1">
        <v>184000</v>
      </c>
      <c r="AN7" s="1">
        <v>172000</v>
      </c>
      <c r="AO7" s="1">
        <v>189000</v>
      </c>
      <c r="AQ7" s="1">
        <v>220000</v>
      </c>
      <c r="AR7" s="1">
        <v>189700</v>
      </c>
      <c r="AS7" s="1">
        <v>194800</v>
      </c>
      <c r="AU7" s="1">
        <v>225000</v>
      </c>
      <c r="AV7" s="1">
        <v>208200</v>
      </c>
      <c r="AW7" s="1">
        <v>184700</v>
      </c>
    </row>
    <row r="8" spans="1:85" x14ac:dyDescent="0.2">
      <c r="A8" t="s">
        <v>2</v>
      </c>
      <c r="B8">
        <v>13.670999999999999</v>
      </c>
      <c r="C8">
        <v>13.643000000000001</v>
      </c>
      <c r="D8">
        <v>13.593</v>
      </c>
      <c r="E8">
        <v>13.874000000000001</v>
      </c>
      <c r="F8">
        <v>13.897</v>
      </c>
      <c r="G8">
        <v>13.909000000000001</v>
      </c>
      <c r="H8">
        <v>13.932</v>
      </c>
      <c r="I8">
        <v>14.013</v>
      </c>
      <c r="J8">
        <v>13.978</v>
      </c>
      <c r="K8">
        <v>14.041</v>
      </c>
      <c r="L8">
        <v>14.053000000000001</v>
      </c>
      <c r="M8">
        <v>14.097</v>
      </c>
      <c r="N8">
        <v>14.057</v>
      </c>
      <c r="O8">
        <v>14.048999999999999</v>
      </c>
      <c r="P8">
        <v>14.013999999999999</v>
      </c>
      <c r="Q8">
        <v>14.092000000000001</v>
      </c>
      <c r="R8">
        <v>14.055999999999999</v>
      </c>
      <c r="S8">
        <v>14.042</v>
      </c>
      <c r="T8">
        <v>14.061</v>
      </c>
      <c r="U8">
        <v>14.071</v>
      </c>
      <c r="V8">
        <v>13.967000000000001</v>
      </c>
      <c r="W8">
        <v>13.945</v>
      </c>
      <c r="X8">
        <v>14.055999999999999</v>
      </c>
      <c r="Y8">
        <v>14.191000000000001</v>
      </c>
      <c r="Z8">
        <v>14.132999999999999</v>
      </c>
      <c r="AA8">
        <v>14.289</v>
      </c>
      <c r="AB8">
        <v>14.318</v>
      </c>
      <c r="AC8">
        <v>14.337</v>
      </c>
      <c r="AD8">
        <v>14.1</v>
      </c>
      <c r="AE8">
        <v>13.851000000000001</v>
      </c>
      <c r="AF8">
        <v>13.61</v>
      </c>
      <c r="AG8">
        <v>13.584</v>
      </c>
      <c r="AH8">
        <v>13.678000000000001</v>
      </c>
      <c r="AI8">
        <v>13.78</v>
      </c>
      <c r="AJ8">
        <v>13.79</v>
      </c>
      <c r="AK8">
        <v>13.815</v>
      </c>
      <c r="AL8">
        <v>13.78</v>
      </c>
      <c r="AM8">
        <v>13.695</v>
      </c>
      <c r="AN8">
        <v>13.585000000000001</v>
      </c>
      <c r="AO8">
        <v>13.414999999999999</v>
      </c>
      <c r="AP8">
        <v>13.105</v>
      </c>
      <c r="AQ8">
        <v>12.755000000000001</v>
      </c>
      <c r="AR8">
        <v>12.46</v>
      </c>
      <c r="AS8">
        <v>12.265000000000001</v>
      </c>
      <c r="AT8">
        <v>12.04</v>
      </c>
      <c r="AU8">
        <v>11.71</v>
      </c>
      <c r="AV8">
        <v>11.455</v>
      </c>
      <c r="AW8">
        <v>11.23</v>
      </c>
      <c r="AX8">
        <v>10.904999999999999</v>
      </c>
      <c r="AY8">
        <v>10.475</v>
      </c>
      <c r="AZ8">
        <v>10.125</v>
      </c>
      <c r="BA8">
        <v>9.7850000000000001</v>
      </c>
      <c r="BB8">
        <v>9.4250000000000007</v>
      </c>
      <c r="BC8">
        <v>9.0850000000000009</v>
      </c>
      <c r="BD8">
        <v>8.8000000000000007</v>
      </c>
      <c r="BE8">
        <v>8.5299999999999994</v>
      </c>
      <c r="BF8">
        <v>8.18</v>
      </c>
      <c r="BG8">
        <v>7.78</v>
      </c>
      <c r="BH8">
        <v>7.46</v>
      </c>
      <c r="BI8">
        <v>7.16</v>
      </c>
      <c r="BJ8">
        <v>6.83</v>
      </c>
      <c r="BK8">
        <v>6.43</v>
      </c>
      <c r="BL8">
        <v>6.07</v>
      </c>
      <c r="BM8">
        <v>5.7</v>
      </c>
      <c r="BN8">
        <v>5.26</v>
      </c>
      <c r="BO8">
        <v>4.8</v>
      </c>
      <c r="BP8">
        <v>4.3</v>
      </c>
      <c r="BQ8">
        <v>3.9</v>
      </c>
      <c r="BR8">
        <v>3.41</v>
      </c>
      <c r="BS8">
        <v>3</v>
      </c>
      <c r="BT8">
        <v>2.6</v>
      </c>
      <c r="BU8">
        <v>2.2999999999999998</v>
      </c>
      <c r="BV8">
        <v>1.94</v>
      </c>
      <c r="BW8">
        <v>1.6</v>
      </c>
      <c r="BX8">
        <v>1.4</v>
      </c>
      <c r="BY8">
        <v>1.2</v>
      </c>
      <c r="BZ8">
        <v>1.04</v>
      </c>
      <c r="CA8">
        <v>0.82</v>
      </c>
      <c r="CB8">
        <v>0.59</v>
      </c>
      <c r="CC8">
        <v>0.47960000000000003</v>
      </c>
      <c r="CD8">
        <v>0.35</v>
      </c>
      <c r="CE8">
        <v>0.19</v>
      </c>
      <c r="CF8">
        <v>7.0000000000000007E-2</v>
      </c>
      <c r="CG8">
        <v>0</v>
      </c>
    </row>
    <row r="9" spans="1:85" x14ac:dyDescent="0.2">
      <c r="A9" t="s">
        <v>5</v>
      </c>
      <c r="B9">
        <f>2.614-SUM(C9:E9)</f>
        <v>0.69399999999999995</v>
      </c>
      <c r="C9">
        <v>0.73599999999999999</v>
      </c>
      <c r="D9">
        <v>0.52700000000000002</v>
      </c>
      <c r="E9">
        <v>0.65700000000000003</v>
      </c>
      <c r="F9">
        <f>2.773-SUM(G9:I9)</f>
        <v>0.66100000000000003</v>
      </c>
      <c r="G9">
        <v>0.751</v>
      </c>
      <c r="H9">
        <v>0.63800000000000001</v>
      </c>
      <c r="I9">
        <v>0.72299999999999998</v>
      </c>
      <c r="J9">
        <f>2.601-SUM(K9:M9)</f>
        <v>0.61499999999999999</v>
      </c>
      <c r="K9">
        <v>0.69099999999999995</v>
      </c>
      <c r="L9">
        <v>0.65600000000000003</v>
      </c>
      <c r="M9">
        <v>0.63900000000000001</v>
      </c>
      <c r="N9">
        <f>2.666-SUM(O9:Q9)</f>
        <v>0.65399999999999991</v>
      </c>
      <c r="O9">
        <v>0.73399999999999999</v>
      </c>
      <c r="P9">
        <v>0.624</v>
      </c>
      <c r="Q9">
        <v>0.65400000000000003</v>
      </c>
      <c r="R9">
        <f>2.739-SUM(S9:U9)</f>
        <v>0.66199999999999992</v>
      </c>
      <c r="S9">
        <v>0.73899999999999999</v>
      </c>
      <c r="T9">
        <v>0.66500000000000004</v>
      </c>
      <c r="U9">
        <v>0.67300000000000004</v>
      </c>
      <c r="V9">
        <f>2.576-SUM(W9:Y9)</f>
        <v>0.66700000000000004</v>
      </c>
      <c r="W9">
        <v>0.65600000000000003</v>
      </c>
      <c r="X9">
        <v>0.57199999999999995</v>
      </c>
      <c r="Y9">
        <v>0.68100000000000005</v>
      </c>
      <c r="Z9">
        <f>3.052-SUM(AA9:AC9)</f>
        <v>0.65300000000000002</v>
      </c>
      <c r="AA9">
        <v>0.81899999999999995</v>
      </c>
      <c r="AB9">
        <v>0.747</v>
      </c>
      <c r="AC9">
        <v>0.83299999999999996</v>
      </c>
      <c r="AD9">
        <f>3.118-SUM(AE9:AG9)</f>
        <v>0.84699999999999998</v>
      </c>
      <c r="AE9">
        <v>0.88700000000000001</v>
      </c>
      <c r="AF9">
        <v>0.73099999999999998</v>
      </c>
      <c r="AG9">
        <v>0.65300000000000002</v>
      </c>
      <c r="AH9">
        <f>2.966-SUM(AI9:AK9)</f>
        <v>0.65900000000000025</v>
      </c>
      <c r="AI9">
        <v>0.82499999999999996</v>
      </c>
      <c r="AJ9">
        <v>0.752</v>
      </c>
      <c r="AK9">
        <v>0.73</v>
      </c>
      <c r="AL9">
        <f>3.434-SUM(AM9:AO9)</f>
        <v>0.79</v>
      </c>
      <c r="AM9">
        <v>0.90400000000000003</v>
      </c>
      <c r="AN9">
        <v>0.85</v>
      </c>
      <c r="AO9">
        <v>0.89</v>
      </c>
      <c r="AP9">
        <f>3.516-SUM(AQ9:AS9)</f>
        <v>0.94</v>
      </c>
      <c r="AQ9">
        <v>0.95799999999999996</v>
      </c>
      <c r="AR9">
        <v>0.82399999999999995</v>
      </c>
      <c r="AS9">
        <v>0.79400000000000004</v>
      </c>
      <c r="AT9">
        <f>3.397-SUM(AU9:AW9)</f>
        <v>0.8969999999999998</v>
      </c>
      <c r="AU9">
        <v>0.9</v>
      </c>
      <c r="AV9">
        <v>0.79900000000000004</v>
      </c>
      <c r="AW9">
        <v>0.80100000000000005</v>
      </c>
      <c r="AX9">
        <f>3.441-SUM(AY9:BA9)</f>
        <v>0.91199999999999992</v>
      </c>
      <c r="AY9">
        <v>0.89500000000000002</v>
      </c>
      <c r="AZ9">
        <v>0.84899999999999998</v>
      </c>
      <c r="BA9">
        <v>0.78500000000000003</v>
      </c>
      <c r="BB9" s="11">
        <f>2.894-SUM(BC10:BE10)</f>
        <v>0.76224705743348853</v>
      </c>
      <c r="BC9" s="7"/>
      <c r="BF9" s="11">
        <f>2.764-SUM(BG10:BI10)</f>
        <v>0.78130785558048776</v>
      </c>
    </row>
    <row r="10" spans="1:85" s="13" customFormat="1" x14ac:dyDescent="0.2">
      <c r="A10" s="14" t="s">
        <v>7</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5">
        <f>(AM6+AM7)/AM14/1000</f>
        <v>0.90499071207430337</v>
      </c>
      <c r="AN10" s="15">
        <f>(AN6+AN7)/AN14/1000</f>
        <v>0.85024496124031013</v>
      </c>
      <c r="AO10" s="15">
        <f>(AO6+AO7)/AO14/1000</f>
        <v>0.89002262443438918</v>
      </c>
      <c r="AP10" s="14"/>
      <c r="AQ10" s="15">
        <f>(AQ6+AQ7)/AQ14/1000</f>
        <v>0.95759738372093017</v>
      </c>
      <c r="AR10" s="15">
        <f>(AR6+AR7)/AR14/1000</f>
        <v>0.82421522693997074</v>
      </c>
      <c r="AS10" s="15">
        <f>(AS6+AS7)/AS14/1000</f>
        <v>0.79448350071736018</v>
      </c>
      <c r="AT10" s="15"/>
      <c r="AU10" s="15">
        <f>(AU6+AU7)/AU14/1000</f>
        <v>0.90038020086083215</v>
      </c>
      <c r="AV10" s="15">
        <f>(AV6+AV7)/AV14/1000</f>
        <v>0.79936994219653179</v>
      </c>
      <c r="AW10" s="15">
        <f>(AW6+AW7)/AW14/1000</f>
        <v>0.83179935794542537</v>
      </c>
      <c r="AX10" s="14"/>
      <c r="AY10" s="15">
        <f>AY6/AY14/1000</f>
        <v>0.89573396674584316</v>
      </c>
      <c r="AZ10" s="15">
        <f>AZ6/AZ14/1000</f>
        <v>0.8476658932714618</v>
      </c>
      <c r="BA10" s="15">
        <f>BA6/BA14/1000</f>
        <v>0.78546981132075477</v>
      </c>
      <c r="BB10" s="15">
        <f>BB6/BB14/1000-SUM(BC10:BE10)</f>
        <v>0.76464440842686621</v>
      </c>
      <c r="BC10" s="15">
        <f>BC6/BC14/1000</f>
        <v>0.74358798283261807</v>
      </c>
      <c r="BD10" s="15">
        <f>BD6/BD14/1000</f>
        <v>0.70024754901960784</v>
      </c>
      <c r="BE10" s="15">
        <f>BE6/BE14/1000</f>
        <v>0.68791741071428569</v>
      </c>
      <c r="BF10" s="15">
        <f>BF6/BF14/1000-SUM(BG10:BI10)</f>
        <v>0.79319621662561879</v>
      </c>
      <c r="BG10" s="15">
        <f>BG6/BG14/1000</f>
        <v>0.72082324455205815</v>
      </c>
      <c r="BH10" s="15">
        <f>BH6/BH14/1000</f>
        <v>0.64326424870466326</v>
      </c>
      <c r="BI10" s="15">
        <f>BI6/BI14/1000</f>
        <v>0.61860465116279062</v>
      </c>
      <c r="BJ10" s="15">
        <f>BJ6/BJ14/1000-SUM(BK10:BM10)</f>
        <v>0.69156387238439665</v>
      </c>
      <c r="BK10" s="15">
        <f>BK6/BK14/1000</f>
        <v>0.68367346938775508</v>
      </c>
      <c r="BL10" s="15">
        <f>BL6/BL14/1000</f>
        <v>0.65625</v>
      </c>
      <c r="BM10" s="15">
        <f>BM6/BM14/1000</f>
        <v>0.6875</v>
      </c>
      <c r="BN10" s="15">
        <f>BN6/BN14/1000-SUM(BO10:BQ10)</f>
        <v>0.70467840809223592</v>
      </c>
      <c r="BO10" s="15">
        <f>BO6/BO14/1000</f>
        <v>0.64840182648401823</v>
      </c>
      <c r="BP10" s="15">
        <f>BP6/BP14/1000</f>
        <v>0.61764705882352944</v>
      </c>
      <c r="BQ10" s="15">
        <f>BQ6/BQ14/1000</f>
        <v>0.58458244111349045</v>
      </c>
      <c r="BR10" s="15">
        <f>BR6/BR14/1000-SUM(BS10:BU10)</f>
        <v>0.56442324798489207</v>
      </c>
      <c r="BS10" s="15">
        <f>BS6/BS14/1000</f>
        <v>0.51538461538461533</v>
      </c>
      <c r="BT10" s="15">
        <f>BT6/BT14/1000</f>
        <v>0.41369863013698632</v>
      </c>
      <c r="BU10" s="15">
        <f>BU6/BU14/1000</f>
        <v>0.4</v>
      </c>
      <c r="BV10" s="15">
        <f>BV6/BV14/1000-SUM(BW10:BY10)</f>
        <v>0.39537343358395982</v>
      </c>
      <c r="BW10" s="15">
        <f>BW6/BW14/1000</f>
        <v>0.26666666666666666</v>
      </c>
      <c r="BX10" s="15">
        <f>BX6/BX14/1000</f>
        <v>0.23571428571428571</v>
      </c>
      <c r="BY10" s="15">
        <f>BY6/BY14/1000</f>
        <v>0.20399999999999999</v>
      </c>
      <c r="BZ10" s="15">
        <f>BZ6/BZ14/1000-SUM(CA10:CC10)</f>
        <v>0.19530303030303031</v>
      </c>
      <c r="CA10" s="15">
        <f>CA6/CA14/1000</f>
        <v>0.28000000000000003</v>
      </c>
      <c r="CB10" s="15">
        <f>CB6/CB14/1000</f>
        <v>0.14333333333333334</v>
      </c>
      <c r="CC10" s="15">
        <f>CC6/CC14/1000</f>
        <v>0.14499999999999999</v>
      </c>
      <c r="CD10" s="14"/>
      <c r="CE10" s="14"/>
      <c r="CF10" s="14"/>
      <c r="CG10" s="14"/>
    </row>
    <row r="11" spans="1:85" x14ac:dyDescent="0.2">
      <c r="A11" t="s">
        <v>13</v>
      </c>
      <c r="B11">
        <f>-0.392-SUM(C11:E11)</f>
        <v>2.8000000000000025E-2</v>
      </c>
      <c r="C11" s="16">
        <v>-0.11600000000000001</v>
      </c>
      <c r="D11">
        <v>-0.28100000000000003</v>
      </c>
      <c r="E11">
        <v>-2.3E-2</v>
      </c>
      <c r="F11">
        <f>-0.081-SUM(G11:I11)</f>
        <v>-1.1999999999999997E-2</v>
      </c>
      <c r="G11">
        <v>-2.3E-2</v>
      </c>
      <c r="H11">
        <v>-8.1000000000000003E-2</v>
      </c>
      <c r="I11">
        <v>3.5000000000000003E-2</v>
      </c>
      <c r="J11">
        <f>-0.079-SUM(K11:M11)</f>
        <v>-6.3E-2</v>
      </c>
      <c r="K11">
        <v>-1.2E-2</v>
      </c>
      <c r="L11">
        <v>-4.3999999999999997E-2</v>
      </c>
      <c r="M11">
        <v>0.04</v>
      </c>
      <c r="N11">
        <f>0.001-SUM(O11:Q11)</f>
        <v>8.0000000000000002E-3</v>
      </c>
      <c r="O11">
        <v>3.5000000000000003E-2</v>
      </c>
      <c r="P11">
        <v>-7.8E-2</v>
      </c>
      <c r="Q11">
        <v>3.5999999999999997E-2</v>
      </c>
      <c r="R11">
        <f>0.089-SUM(S11:U11)</f>
        <v>1.3999999999999999E-2</v>
      </c>
      <c r="S11">
        <v>-1.9E-2</v>
      </c>
      <c r="T11">
        <v>-0.01</v>
      </c>
      <c r="U11">
        <v>0.104</v>
      </c>
      <c r="V11" s="10">
        <f>-0.166-SUM(W11:Y11)</f>
        <v>2.1999999999999992E-2</v>
      </c>
      <c r="W11">
        <v>-0.111</v>
      </c>
      <c r="X11">
        <v>-0.13500000000000001</v>
      </c>
      <c r="Y11">
        <v>5.8000000000000003E-2</v>
      </c>
      <c r="Z11">
        <f>0.033-SUM(AA11:AC11)</f>
        <v>-0.156</v>
      </c>
      <c r="AA11">
        <v>-2.9000000000000001E-2</v>
      </c>
      <c r="AB11">
        <v>-1.9E-2</v>
      </c>
      <c r="AC11">
        <v>0.23699999999999999</v>
      </c>
      <c r="AD11">
        <f>0.422-SUM(AE11:AG11)</f>
        <v>0.24899999999999997</v>
      </c>
      <c r="AE11">
        <v>0.24099999999999999</v>
      </c>
      <c r="AF11">
        <v>2.5999999999999999E-2</v>
      </c>
      <c r="AG11">
        <v>-9.4E-2</v>
      </c>
      <c r="AH11">
        <f>-0.102-SUM(AI11:AK11)</f>
        <v>-0.10199999999999999</v>
      </c>
      <c r="AI11">
        <v>-0.01</v>
      </c>
      <c r="AJ11">
        <v>-2.5000000000000001E-2</v>
      </c>
      <c r="AK11">
        <v>3.5000000000000003E-2</v>
      </c>
      <c r="AL11">
        <f>0.675-SUM(AM11:AO11)</f>
        <v>8.4999999999999964E-2</v>
      </c>
      <c r="AM11">
        <v>0.11</v>
      </c>
      <c r="AN11">
        <v>0.17</v>
      </c>
      <c r="AO11">
        <v>0.31</v>
      </c>
      <c r="AP11">
        <f>1.065-SUM(AQ11:AS11)</f>
        <v>0.35</v>
      </c>
      <c r="AQ11">
        <v>0.29499999999999998</v>
      </c>
      <c r="AR11">
        <v>0.19500000000000001</v>
      </c>
      <c r="AS11">
        <v>0.22500000000000001</v>
      </c>
      <c r="AT11">
        <f>1.135-SUM(AU11:AW11)</f>
        <v>0.33000000000000007</v>
      </c>
      <c r="AU11">
        <v>0.255</v>
      </c>
      <c r="AV11">
        <v>0.22500000000000001</v>
      </c>
      <c r="AW11">
        <v>0.32500000000000001</v>
      </c>
      <c r="AX11">
        <f>1.48-SUM(AY11:BA11)</f>
        <v>0.43000000000000016</v>
      </c>
      <c r="AY11">
        <v>0.35</v>
      </c>
      <c r="AZ11">
        <v>0.34</v>
      </c>
      <c r="BA11">
        <v>0.36</v>
      </c>
      <c r="BB11" s="3">
        <f>1.245-SUM(BC11:BE11)</f>
        <v>0.34000000000000019</v>
      </c>
      <c r="BC11" s="3">
        <v>0.28499999999999998</v>
      </c>
      <c r="BD11">
        <v>0.27</v>
      </c>
      <c r="BE11">
        <v>0.35</v>
      </c>
      <c r="BF11">
        <f>1.35-SUM(BG11:BI11)</f>
        <v>0.40000000000000013</v>
      </c>
      <c r="BG11">
        <v>0.32</v>
      </c>
      <c r="BH11">
        <v>0.29499999999999998</v>
      </c>
      <c r="BI11">
        <v>0.33500000000000002</v>
      </c>
      <c r="BJ11">
        <f>1.57-SUM(BK11:BM11)</f>
        <v>0.40000000000000013</v>
      </c>
      <c r="BK11">
        <v>0.36</v>
      </c>
      <c r="BL11">
        <v>0.35</v>
      </c>
      <c r="BM11">
        <v>0.46</v>
      </c>
      <c r="BN11">
        <f>1.85-SUM(BO11:BQ11)</f>
        <v>0.49500000000000011</v>
      </c>
      <c r="BO11">
        <v>0.45500000000000002</v>
      </c>
      <c r="BP11">
        <v>0.44500000000000001</v>
      </c>
      <c r="BQ11">
        <v>0.45500000000000002</v>
      </c>
      <c r="BR11" s="11">
        <f>1.47-SUM(BS11:BU11)</f>
        <v>0.40999999999999992</v>
      </c>
      <c r="BS11" s="11">
        <f t="shared" ref="BS11:CE11" si="2">BS8-BT8</f>
        <v>0.39999999999999991</v>
      </c>
      <c r="BT11" s="11">
        <f t="shared" si="2"/>
        <v>0.30000000000000027</v>
      </c>
      <c r="BU11" s="11">
        <f t="shared" si="2"/>
        <v>0.35999999999999988</v>
      </c>
      <c r="BV11" s="11">
        <f t="shared" si="2"/>
        <v>0.33999999999999986</v>
      </c>
      <c r="BW11" s="11">
        <f t="shared" si="2"/>
        <v>0.20000000000000018</v>
      </c>
      <c r="BX11" s="11">
        <f t="shared" si="2"/>
        <v>0.19999999999999996</v>
      </c>
      <c r="BY11" s="11">
        <f t="shared" si="2"/>
        <v>0.15999999999999992</v>
      </c>
      <c r="BZ11" s="11">
        <f t="shared" si="2"/>
        <v>0.22000000000000008</v>
      </c>
      <c r="CA11" s="11">
        <f t="shared" si="2"/>
        <v>0.22999999999999998</v>
      </c>
      <c r="CB11" s="11">
        <f t="shared" si="2"/>
        <v>0.11039999999999994</v>
      </c>
      <c r="CC11" s="11">
        <f t="shared" si="2"/>
        <v>0.12960000000000005</v>
      </c>
      <c r="CD11" s="11">
        <f t="shared" si="2"/>
        <v>0.15999999999999998</v>
      </c>
      <c r="CE11" s="11">
        <f t="shared" si="2"/>
        <v>0.12</v>
      </c>
      <c r="CF11" s="11">
        <f t="shared" ref="CF11" si="3">CF8-CG8</f>
        <v>7.0000000000000007E-2</v>
      </c>
      <c r="CG11" s="11">
        <f t="shared" ref="CG11" si="4">CG8-CH8</f>
        <v>0</v>
      </c>
    </row>
    <row r="12" spans="1:85" s="13" customFormat="1" x14ac:dyDescent="0.2">
      <c r="A12" s="14" t="s">
        <v>12</v>
      </c>
      <c r="B12" s="14">
        <f t="shared" ref="B12:AG12" si="5">B8-C8</f>
        <v>2.7999999999998693E-2</v>
      </c>
      <c r="C12" s="14">
        <f t="shared" si="5"/>
        <v>5.0000000000000711E-2</v>
      </c>
      <c r="D12" s="14">
        <f t="shared" si="5"/>
        <v>-0.28100000000000058</v>
      </c>
      <c r="E12" s="14">
        <f t="shared" si="5"/>
        <v>-2.2999999999999687E-2</v>
      </c>
      <c r="F12" s="14">
        <f t="shared" si="5"/>
        <v>-1.2000000000000455E-2</v>
      </c>
      <c r="G12" s="14">
        <f t="shared" si="5"/>
        <v>-2.2999999999999687E-2</v>
      </c>
      <c r="H12" s="14">
        <f t="shared" si="5"/>
        <v>-8.0999999999999517E-2</v>
      </c>
      <c r="I12" s="14">
        <f t="shared" si="5"/>
        <v>3.5000000000000142E-2</v>
      </c>
      <c r="J12" s="14">
        <f t="shared" si="5"/>
        <v>-6.3000000000000611E-2</v>
      </c>
      <c r="K12" s="14">
        <f t="shared" si="5"/>
        <v>-1.2000000000000455E-2</v>
      </c>
      <c r="L12" s="14">
        <f t="shared" si="5"/>
        <v>-4.3999999999998707E-2</v>
      </c>
      <c r="M12" s="14">
        <f t="shared" si="5"/>
        <v>3.9999999999999147E-2</v>
      </c>
      <c r="N12" s="14">
        <f t="shared" si="5"/>
        <v>8.0000000000008953E-3</v>
      </c>
      <c r="O12" s="14">
        <f t="shared" si="5"/>
        <v>3.5000000000000142E-2</v>
      </c>
      <c r="P12" s="14">
        <f t="shared" si="5"/>
        <v>-7.800000000000118E-2</v>
      </c>
      <c r="Q12" s="14">
        <f t="shared" si="5"/>
        <v>3.6000000000001364E-2</v>
      </c>
      <c r="R12" s="14">
        <f t="shared" si="5"/>
        <v>1.3999999999999346E-2</v>
      </c>
      <c r="S12" s="14">
        <f t="shared" si="5"/>
        <v>-1.9000000000000128E-2</v>
      </c>
      <c r="T12" s="14">
        <f t="shared" si="5"/>
        <v>-9.9999999999997868E-3</v>
      </c>
      <c r="U12" s="14">
        <f t="shared" si="5"/>
        <v>0.1039999999999992</v>
      </c>
      <c r="V12" s="14">
        <f t="shared" si="5"/>
        <v>2.2000000000000242E-2</v>
      </c>
      <c r="W12" s="14">
        <f t="shared" si="5"/>
        <v>-0.11099999999999888</v>
      </c>
      <c r="X12" s="14">
        <f t="shared" si="5"/>
        <v>-0.13500000000000156</v>
      </c>
      <c r="Y12" s="14">
        <f t="shared" si="5"/>
        <v>5.8000000000001606E-2</v>
      </c>
      <c r="Z12" s="14">
        <f t="shared" si="5"/>
        <v>-0.15600000000000058</v>
      </c>
      <c r="AA12" s="14">
        <f t="shared" si="5"/>
        <v>-2.8999999999999915E-2</v>
      </c>
      <c r="AB12" s="14">
        <f t="shared" si="5"/>
        <v>-1.9000000000000128E-2</v>
      </c>
      <c r="AC12" s="14">
        <f t="shared" si="5"/>
        <v>0.2370000000000001</v>
      </c>
      <c r="AD12" s="14">
        <f t="shared" si="5"/>
        <v>0.24899999999999878</v>
      </c>
      <c r="AE12" s="14">
        <f t="shared" si="5"/>
        <v>0.24100000000000144</v>
      </c>
      <c r="AF12" s="14">
        <f t="shared" si="5"/>
        <v>2.5999999999999801E-2</v>
      </c>
      <c r="AG12" s="14">
        <f t="shared" si="5"/>
        <v>-9.4000000000001194E-2</v>
      </c>
      <c r="AH12" s="14">
        <f t="shared" ref="AH12:BM12" si="6">AH8-AI8</f>
        <v>-0.10199999999999854</v>
      </c>
      <c r="AI12" s="14">
        <f t="shared" si="6"/>
        <v>-9.9999999999997868E-3</v>
      </c>
      <c r="AJ12" s="14">
        <f t="shared" si="6"/>
        <v>-2.5000000000000355E-2</v>
      </c>
      <c r="AK12" s="14">
        <f t="shared" si="6"/>
        <v>3.5000000000000142E-2</v>
      </c>
      <c r="AL12" s="14">
        <f t="shared" si="6"/>
        <v>8.4999999999999076E-2</v>
      </c>
      <c r="AM12" s="15">
        <f t="shared" si="6"/>
        <v>0.10999999999999943</v>
      </c>
      <c r="AN12" s="15">
        <f t="shared" si="6"/>
        <v>0.17000000000000171</v>
      </c>
      <c r="AO12" s="15">
        <f t="shared" si="6"/>
        <v>0.30999999999999872</v>
      </c>
      <c r="AP12" s="14">
        <f t="shared" si="6"/>
        <v>0.34999999999999964</v>
      </c>
      <c r="AQ12" s="15">
        <f t="shared" si="6"/>
        <v>0.29499999999999993</v>
      </c>
      <c r="AR12" s="15">
        <f t="shared" si="6"/>
        <v>0.19500000000000028</v>
      </c>
      <c r="AS12" s="15">
        <f t="shared" si="6"/>
        <v>0.22500000000000142</v>
      </c>
      <c r="AT12" s="15">
        <f t="shared" si="6"/>
        <v>0.32999999999999829</v>
      </c>
      <c r="AU12" s="15">
        <f t="shared" si="6"/>
        <v>0.25500000000000078</v>
      </c>
      <c r="AV12" s="15">
        <f t="shared" si="6"/>
        <v>0.22499999999999964</v>
      </c>
      <c r="AW12" s="15">
        <f t="shared" si="6"/>
        <v>0.32500000000000107</v>
      </c>
      <c r="AX12" s="14">
        <f t="shared" si="6"/>
        <v>0.42999999999999972</v>
      </c>
      <c r="AY12" s="15">
        <f t="shared" si="6"/>
        <v>0.34999999999999964</v>
      </c>
      <c r="AZ12" s="15">
        <f t="shared" si="6"/>
        <v>0.33999999999999986</v>
      </c>
      <c r="BA12" s="15">
        <f t="shared" si="6"/>
        <v>0.35999999999999943</v>
      </c>
      <c r="BB12" s="15">
        <f t="shared" si="6"/>
        <v>0.33999999999999986</v>
      </c>
      <c r="BC12" s="15">
        <f t="shared" si="6"/>
        <v>0.28500000000000014</v>
      </c>
      <c r="BD12" s="15">
        <f t="shared" si="6"/>
        <v>0.27000000000000135</v>
      </c>
      <c r="BE12" s="15">
        <f t="shared" si="6"/>
        <v>0.34999999999999964</v>
      </c>
      <c r="BF12" s="15">
        <f t="shared" si="6"/>
        <v>0.39999999999999947</v>
      </c>
      <c r="BG12" s="15">
        <f t="shared" si="6"/>
        <v>0.32000000000000028</v>
      </c>
      <c r="BH12" s="15">
        <f t="shared" si="6"/>
        <v>0.29999999999999982</v>
      </c>
      <c r="BI12" s="15">
        <f t="shared" si="6"/>
        <v>0.33000000000000007</v>
      </c>
      <c r="BJ12" s="15">
        <f t="shared" si="6"/>
        <v>0.40000000000000036</v>
      </c>
      <c r="BK12" s="15">
        <f t="shared" si="6"/>
        <v>0.35999999999999943</v>
      </c>
      <c r="BL12" s="15">
        <f t="shared" si="6"/>
        <v>0.37000000000000011</v>
      </c>
      <c r="BM12" s="15">
        <f t="shared" si="6"/>
        <v>0.44000000000000039</v>
      </c>
      <c r="BN12" s="15">
        <f t="shared" ref="BN12:CE12" si="7">BN8-BO8</f>
        <v>0.45999999999999996</v>
      </c>
      <c r="BO12" s="15">
        <f t="shared" si="7"/>
        <v>0.5</v>
      </c>
      <c r="BP12" s="15">
        <f t="shared" si="7"/>
        <v>0.39999999999999991</v>
      </c>
      <c r="BQ12" s="15">
        <f t="shared" si="7"/>
        <v>0.48999999999999977</v>
      </c>
      <c r="BR12" s="15">
        <f t="shared" si="7"/>
        <v>0.41000000000000014</v>
      </c>
      <c r="BS12" s="15">
        <f t="shared" si="7"/>
        <v>0.39999999999999991</v>
      </c>
      <c r="BT12" s="15">
        <f t="shared" si="7"/>
        <v>0.30000000000000027</v>
      </c>
      <c r="BU12" s="15">
        <f t="shared" si="7"/>
        <v>0.35999999999999988</v>
      </c>
      <c r="BV12" s="15">
        <f t="shared" si="7"/>
        <v>0.33999999999999986</v>
      </c>
      <c r="BW12" s="15">
        <f t="shared" si="7"/>
        <v>0.20000000000000018</v>
      </c>
      <c r="BX12" s="15">
        <f t="shared" si="7"/>
        <v>0.19999999999999996</v>
      </c>
      <c r="BY12" s="15">
        <f t="shared" si="7"/>
        <v>0.15999999999999992</v>
      </c>
      <c r="BZ12" s="15">
        <f t="shared" si="7"/>
        <v>0.22000000000000008</v>
      </c>
      <c r="CA12" s="15">
        <f t="shared" si="7"/>
        <v>0.22999999999999998</v>
      </c>
      <c r="CB12" s="15">
        <f t="shared" si="7"/>
        <v>0.11039999999999994</v>
      </c>
      <c r="CC12" s="15">
        <f t="shared" si="7"/>
        <v>0.12960000000000005</v>
      </c>
      <c r="CD12" s="15">
        <f t="shared" si="7"/>
        <v>0.15999999999999998</v>
      </c>
      <c r="CE12" s="15">
        <f t="shared" si="7"/>
        <v>0.12</v>
      </c>
      <c r="CF12" s="15">
        <f t="shared" ref="CF12" si="8">CF8-CG8</f>
        <v>7.0000000000000007E-2</v>
      </c>
      <c r="CG12" s="15">
        <f t="shared" ref="CG12" si="9">CG8-CH8</f>
        <v>0</v>
      </c>
    </row>
    <row r="13" spans="1:85" x14ac:dyDescent="0.2">
      <c r="A13" t="s">
        <v>9</v>
      </c>
      <c r="B13" s="2">
        <v>1.83E-2</v>
      </c>
      <c r="C13" s="2">
        <v>2.1100000000000001E-2</v>
      </c>
      <c r="D13" s="2">
        <v>1.9599999999999999E-2</v>
      </c>
      <c r="E13" s="2">
        <v>1.6299999999999999E-2</v>
      </c>
      <c r="F13" s="2">
        <v>1.7100000000000001E-2</v>
      </c>
      <c r="G13" s="2">
        <v>1.8599999999999998E-2</v>
      </c>
      <c r="H13" s="2">
        <v>1.7100000000000001E-2</v>
      </c>
      <c r="I13" s="2">
        <v>1.6400000000000001E-2</v>
      </c>
      <c r="J13" s="2">
        <v>1.5900000000000001E-2</v>
      </c>
      <c r="K13" s="2">
        <v>1.67E-2</v>
      </c>
      <c r="L13" s="2">
        <v>1.66E-2</v>
      </c>
      <c r="M13" s="2">
        <v>1.4200000000000001E-2</v>
      </c>
      <c r="N13" s="2">
        <v>1.5800000000000002E-2</v>
      </c>
      <c r="O13" s="2">
        <v>1.66E-2</v>
      </c>
      <c r="P13" s="2">
        <v>1.67E-2</v>
      </c>
      <c r="Q13" s="2">
        <v>1.47E-2</v>
      </c>
      <c r="R13" s="2">
        <v>1.5699999999999999E-2</v>
      </c>
      <c r="S13" s="2">
        <v>1.7999999999999999E-2</v>
      </c>
      <c r="T13" s="2">
        <v>1.6E-2</v>
      </c>
      <c r="U13" s="2">
        <v>1.35E-2</v>
      </c>
      <c r="V13" s="2">
        <v>1.6299999999999999E-2</v>
      </c>
      <c r="W13" s="2">
        <v>1.83E-2</v>
      </c>
      <c r="X13" s="2">
        <v>1.67E-2</v>
      </c>
      <c r="Y13" s="2">
        <v>1.47E-2</v>
      </c>
      <c r="Z13" s="2">
        <v>1.7600000000000001E-2</v>
      </c>
      <c r="AA13" s="2">
        <v>1.9800000000000002E-2</v>
      </c>
      <c r="AB13" s="2">
        <v>1.78E-2</v>
      </c>
      <c r="AC13" s="2">
        <v>1.4E-2</v>
      </c>
      <c r="AD13" s="2">
        <v>1.6399999999999998E-2</v>
      </c>
      <c r="AE13" s="2">
        <v>1.5699999999999999E-2</v>
      </c>
      <c r="AF13" s="2">
        <v>1.7299999999999999E-2</v>
      </c>
      <c r="AG13" s="2">
        <v>1.83E-2</v>
      </c>
      <c r="AH13" s="2">
        <v>1.8600000000000002E-2</v>
      </c>
      <c r="AI13" s="2">
        <v>2.0199999999999999E-2</v>
      </c>
      <c r="AJ13" s="2">
        <v>1.8700000000000001E-2</v>
      </c>
      <c r="AK13" s="2">
        <v>1.6799999999999999E-2</v>
      </c>
      <c r="AL13" s="2">
        <v>1.7000000000000001E-2</v>
      </c>
      <c r="AM13" s="2">
        <v>1.9400000000000001E-2</v>
      </c>
      <c r="AN13" s="2">
        <v>1.6799999999999999E-2</v>
      </c>
      <c r="AO13" s="2">
        <v>1.46E-2</v>
      </c>
      <c r="AP13" s="2">
        <v>1.6400000000000001E-2</v>
      </c>
      <c r="AQ13" s="2">
        <v>1.7600000000000001E-2</v>
      </c>
      <c r="AR13" s="2">
        <v>1.7000000000000001E-2</v>
      </c>
      <c r="AS13" s="2">
        <v>1.5699999999999999E-2</v>
      </c>
      <c r="AT13" s="2">
        <v>1.6500000000000001E-2</v>
      </c>
      <c r="AU13" s="2">
        <v>1.8599999999999998E-2</v>
      </c>
      <c r="AV13" s="2">
        <v>1.6899999999999998E-2</v>
      </c>
      <c r="AW13" s="2">
        <v>1.44E-2</v>
      </c>
      <c r="AX13" s="2">
        <v>1.6200000000000003E-2</v>
      </c>
      <c r="AY13" s="2">
        <v>1.77E-2</v>
      </c>
      <c r="AZ13" s="2">
        <v>1.7100000000000001E-2</v>
      </c>
      <c r="BA13" s="2">
        <v>1.4800000000000001E-2</v>
      </c>
      <c r="BB13" s="2">
        <v>1.5700000000000002E-2</v>
      </c>
      <c r="BC13" s="2">
        <v>1.72E-2</v>
      </c>
      <c r="BD13" s="2">
        <v>1.67E-2</v>
      </c>
      <c r="BE13" s="2">
        <v>1.3599999999999999E-2</v>
      </c>
      <c r="BF13" s="2">
        <v>1.5900000000000001E-2</v>
      </c>
      <c r="BG13" s="2">
        <v>1.5900000000000001E-2</v>
      </c>
      <c r="BH13" s="2">
        <v>1.49E-2</v>
      </c>
      <c r="BI13" s="2">
        <v>1.37E-2</v>
      </c>
      <c r="BJ13" s="2">
        <v>1.6E-2</v>
      </c>
      <c r="CA13" s="2"/>
    </row>
    <row r="14" spans="1:85" x14ac:dyDescent="0.2">
      <c r="A14" t="s">
        <v>10</v>
      </c>
      <c r="B14">
        <v>643</v>
      </c>
      <c r="C14" s="1">
        <v>620</v>
      </c>
      <c r="D14" s="1">
        <v>756</v>
      </c>
      <c r="E14">
        <v>625</v>
      </c>
      <c r="F14">
        <v>723</v>
      </c>
      <c r="G14">
        <v>736</v>
      </c>
      <c r="H14">
        <v>767</v>
      </c>
      <c r="I14">
        <v>667</v>
      </c>
      <c r="J14">
        <v>853</v>
      </c>
      <c r="K14">
        <v>861</v>
      </c>
      <c r="L14">
        <v>846</v>
      </c>
      <c r="M14">
        <v>862</v>
      </c>
      <c r="N14">
        <v>866</v>
      </c>
      <c r="O14">
        <v>842</v>
      </c>
      <c r="P14">
        <v>883</v>
      </c>
      <c r="Q14">
        <v>882</v>
      </c>
      <c r="R14">
        <v>784</v>
      </c>
      <c r="S14">
        <v>797</v>
      </c>
      <c r="T14">
        <v>800</v>
      </c>
      <c r="U14">
        <v>747</v>
      </c>
      <c r="V14">
        <v>770</v>
      </c>
      <c r="W14">
        <v>789</v>
      </c>
      <c r="X14">
        <v>795</v>
      </c>
      <c r="Y14">
        <v>725</v>
      </c>
      <c r="Z14">
        <v>776</v>
      </c>
      <c r="AA14">
        <v>795</v>
      </c>
      <c r="AB14">
        <v>743</v>
      </c>
      <c r="AC14">
        <v>741</v>
      </c>
      <c r="AD14">
        <v>697</v>
      </c>
      <c r="AE14">
        <v>694</v>
      </c>
      <c r="AF14">
        <v>708</v>
      </c>
      <c r="AG14">
        <v>659</v>
      </c>
      <c r="AH14">
        <v>720</v>
      </c>
      <c r="AI14">
        <v>735</v>
      </c>
      <c r="AJ14">
        <v>699</v>
      </c>
      <c r="AK14">
        <v>709</v>
      </c>
      <c r="AL14">
        <v>656</v>
      </c>
      <c r="AM14">
        <v>646</v>
      </c>
      <c r="AN14">
        <v>645</v>
      </c>
      <c r="AO14">
        <v>663</v>
      </c>
      <c r="AP14">
        <v>686</v>
      </c>
      <c r="AQ14">
        <v>688</v>
      </c>
      <c r="AR14">
        <v>683</v>
      </c>
      <c r="AS14">
        <v>697</v>
      </c>
      <c r="AT14">
        <v>693</v>
      </c>
      <c r="AU14">
        <v>697</v>
      </c>
      <c r="AV14">
        <v>692</v>
      </c>
      <c r="AW14">
        <v>623</v>
      </c>
      <c r="AX14">
        <v>611</v>
      </c>
      <c r="AY14">
        <v>421</v>
      </c>
      <c r="AZ14">
        <v>431</v>
      </c>
      <c r="BA14">
        <v>530</v>
      </c>
      <c r="BB14">
        <v>453</v>
      </c>
      <c r="BC14">
        <v>466</v>
      </c>
      <c r="BD14">
        <v>408</v>
      </c>
      <c r="BE14">
        <v>448</v>
      </c>
      <c r="BF14">
        <v>421</v>
      </c>
      <c r="BG14">
        <v>413</v>
      </c>
      <c r="BH14">
        <v>386</v>
      </c>
      <c r="BI14">
        <v>430</v>
      </c>
      <c r="BJ14">
        <v>395</v>
      </c>
      <c r="BK14">
        <v>392</v>
      </c>
      <c r="BL14">
        <v>384</v>
      </c>
      <c r="BM14">
        <v>432</v>
      </c>
      <c r="BN14">
        <v>452</v>
      </c>
      <c r="BO14">
        <v>438</v>
      </c>
      <c r="BP14">
        <v>408</v>
      </c>
      <c r="BQ14">
        <v>467</v>
      </c>
      <c r="BR14">
        <v>385</v>
      </c>
      <c r="BS14">
        <v>390</v>
      </c>
      <c r="BT14">
        <v>365</v>
      </c>
      <c r="BU14">
        <v>355</v>
      </c>
      <c r="BV14">
        <v>285</v>
      </c>
      <c r="BW14">
        <v>240</v>
      </c>
      <c r="BX14">
        <v>280</v>
      </c>
      <c r="BY14">
        <v>250</v>
      </c>
      <c r="BZ14">
        <v>330</v>
      </c>
      <c r="CA14">
        <v>300</v>
      </c>
      <c r="CB14">
        <v>300</v>
      </c>
      <c r="CC14">
        <v>400</v>
      </c>
    </row>
    <row r="15" spans="1:85" x14ac:dyDescent="0.2">
      <c r="A15" t="s">
        <v>11</v>
      </c>
      <c r="B15">
        <v>88.66</v>
      </c>
      <c r="C15">
        <v>89.44</v>
      </c>
      <c r="D15">
        <v>89.98</v>
      </c>
      <c r="E15">
        <v>87.94</v>
      </c>
      <c r="F15">
        <v>86.79</v>
      </c>
      <c r="G15">
        <v>86.33</v>
      </c>
      <c r="H15">
        <v>87.91</v>
      </c>
      <c r="I15">
        <v>85.73</v>
      </c>
      <c r="J15">
        <v>83.77</v>
      </c>
      <c r="K15">
        <v>84.39</v>
      </c>
      <c r="L15">
        <v>84.15</v>
      </c>
      <c r="M15">
        <v>82.36</v>
      </c>
      <c r="N15">
        <v>80.37</v>
      </c>
      <c r="O15">
        <v>80.98</v>
      </c>
      <c r="P15">
        <v>80.81</v>
      </c>
      <c r="Q15">
        <v>78.44</v>
      </c>
      <c r="R15">
        <v>76.98</v>
      </c>
      <c r="S15">
        <v>76.989999999999995</v>
      </c>
      <c r="T15">
        <v>77.59</v>
      </c>
      <c r="U15">
        <v>76.239999999999995</v>
      </c>
      <c r="V15">
        <v>76.45</v>
      </c>
      <c r="W15">
        <v>76.989999999999995</v>
      </c>
      <c r="X15">
        <v>78.06</v>
      </c>
      <c r="Y15">
        <v>75.39</v>
      </c>
      <c r="Z15">
        <v>73.319999999999993</v>
      </c>
      <c r="AA15">
        <v>74.36</v>
      </c>
      <c r="AB15">
        <v>73.05</v>
      </c>
      <c r="AC15">
        <v>71.180000000000007</v>
      </c>
      <c r="AD15">
        <v>70.040000000000006</v>
      </c>
      <c r="AE15">
        <v>69.510000000000005</v>
      </c>
      <c r="AF15">
        <v>70.73</v>
      </c>
      <c r="AG15">
        <v>70.03</v>
      </c>
      <c r="AH15">
        <v>69.27</v>
      </c>
      <c r="AI15">
        <v>69.819999999999993</v>
      </c>
      <c r="AJ15">
        <v>69.38</v>
      </c>
      <c r="AK15">
        <v>67.930000000000007</v>
      </c>
      <c r="AL15">
        <v>65.83</v>
      </c>
      <c r="AM15">
        <v>66.010000000000005</v>
      </c>
      <c r="AN15">
        <v>66.06</v>
      </c>
      <c r="AO15">
        <v>64.17</v>
      </c>
      <c r="AP15">
        <v>62.78</v>
      </c>
      <c r="AQ15">
        <v>63.28</v>
      </c>
      <c r="AR15">
        <v>62.91</v>
      </c>
      <c r="AS15">
        <v>60.26</v>
      </c>
      <c r="AT15">
        <v>58.04</v>
      </c>
      <c r="AU15">
        <v>57.87</v>
      </c>
      <c r="AV15">
        <v>58.53</v>
      </c>
      <c r="AW15">
        <v>57</v>
      </c>
      <c r="AX15">
        <v>55</v>
      </c>
      <c r="AY15">
        <v>56.11</v>
      </c>
      <c r="AZ15">
        <v>55.59</v>
      </c>
      <c r="BA15">
        <v>51.76</v>
      </c>
      <c r="BB15">
        <v>51.21</v>
      </c>
      <c r="BC15">
        <v>50.88</v>
      </c>
      <c r="BD15">
        <v>51.69</v>
      </c>
      <c r="BE15">
        <v>51.6</v>
      </c>
      <c r="BF15">
        <v>49.37</v>
      </c>
      <c r="BG15">
        <v>49.04</v>
      </c>
      <c r="BH15">
        <v>48.85</v>
      </c>
      <c r="BI15">
        <v>48.36</v>
      </c>
      <c r="BJ15">
        <v>49.32</v>
      </c>
      <c r="BK15">
        <v>49.26</v>
      </c>
      <c r="BL15">
        <v>50</v>
      </c>
      <c r="BM15">
        <v>48.23</v>
      </c>
      <c r="BN15">
        <v>45.33</v>
      </c>
      <c r="BO15">
        <v>45.36</v>
      </c>
      <c r="BP15">
        <v>45.22</v>
      </c>
      <c r="BQ15">
        <v>43.85</v>
      </c>
      <c r="BR15">
        <v>42.71</v>
      </c>
      <c r="BS15">
        <v>43.13</v>
      </c>
      <c r="BT15">
        <v>41.94</v>
      </c>
      <c r="BU15">
        <v>41.5</v>
      </c>
      <c r="BV15">
        <v>39.25</v>
      </c>
      <c r="BW15">
        <v>40</v>
      </c>
      <c r="BX15">
        <v>39</v>
      </c>
      <c r="BY15">
        <v>38</v>
      </c>
      <c r="BZ15">
        <v>38.5</v>
      </c>
      <c r="CA15">
        <v>39.5</v>
      </c>
      <c r="CB15">
        <v>39</v>
      </c>
      <c r="CC15">
        <v>38</v>
      </c>
      <c r="CD15">
        <v>35.5</v>
      </c>
      <c r="CE15">
        <v>34.5</v>
      </c>
    </row>
    <row r="16" spans="1:85" x14ac:dyDescent="0.2">
      <c r="A16" t="s">
        <v>14</v>
      </c>
      <c r="B16">
        <f>IF(B9="",B10,B9)</f>
        <v>0.69399999999999995</v>
      </c>
      <c r="C16">
        <f t="shared" ref="C16:BN16" si="10">IF(C9="",C10,C9)</f>
        <v>0.73599999999999999</v>
      </c>
      <c r="D16">
        <f t="shared" si="10"/>
        <v>0.52700000000000002</v>
      </c>
      <c r="E16">
        <f t="shared" si="10"/>
        <v>0.65700000000000003</v>
      </c>
      <c r="F16">
        <f t="shared" si="10"/>
        <v>0.66100000000000003</v>
      </c>
      <c r="G16">
        <f t="shared" si="10"/>
        <v>0.751</v>
      </c>
      <c r="H16">
        <f t="shared" si="10"/>
        <v>0.63800000000000001</v>
      </c>
      <c r="I16">
        <f t="shared" si="10"/>
        <v>0.72299999999999998</v>
      </c>
      <c r="J16">
        <f t="shared" si="10"/>
        <v>0.61499999999999999</v>
      </c>
      <c r="K16">
        <f t="shared" si="10"/>
        <v>0.69099999999999995</v>
      </c>
      <c r="L16">
        <f t="shared" si="10"/>
        <v>0.65600000000000003</v>
      </c>
      <c r="M16">
        <f t="shared" si="10"/>
        <v>0.63900000000000001</v>
      </c>
      <c r="N16">
        <f t="shared" si="10"/>
        <v>0.65399999999999991</v>
      </c>
      <c r="O16">
        <f t="shared" si="10"/>
        <v>0.73399999999999999</v>
      </c>
      <c r="P16">
        <f t="shared" si="10"/>
        <v>0.624</v>
      </c>
      <c r="Q16">
        <f t="shared" si="10"/>
        <v>0.65400000000000003</v>
      </c>
      <c r="R16">
        <f t="shared" si="10"/>
        <v>0.66199999999999992</v>
      </c>
      <c r="S16">
        <f t="shared" si="10"/>
        <v>0.73899999999999999</v>
      </c>
      <c r="T16">
        <f t="shared" si="10"/>
        <v>0.66500000000000004</v>
      </c>
      <c r="U16">
        <f t="shared" si="10"/>
        <v>0.67300000000000004</v>
      </c>
      <c r="V16">
        <f t="shared" si="10"/>
        <v>0.66700000000000004</v>
      </c>
      <c r="W16">
        <f t="shared" si="10"/>
        <v>0.65600000000000003</v>
      </c>
      <c r="X16">
        <f t="shared" si="10"/>
        <v>0.57199999999999995</v>
      </c>
      <c r="Y16">
        <f t="shared" si="10"/>
        <v>0.68100000000000005</v>
      </c>
      <c r="Z16">
        <f t="shared" si="10"/>
        <v>0.65300000000000002</v>
      </c>
      <c r="AA16">
        <f t="shared" si="10"/>
        <v>0.81899999999999995</v>
      </c>
      <c r="AB16">
        <f t="shared" si="10"/>
        <v>0.747</v>
      </c>
      <c r="AC16">
        <f t="shared" si="10"/>
        <v>0.83299999999999996</v>
      </c>
      <c r="AD16">
        <f t="shared" si="10"/>
        <v>0.84699999999999998</v>
      </c>
      <c r="AE16">
        <f t="shared" si="10"/>
        <v>0.88700000000000001</v>
      </c>
      <c r="AF16">
        <f t="shared" si="10"/>
        <v>0.73099999999999998</v>
      </c>
      <c r="AG16">
        <f t="shared" si="10"/>
        <v>0.65300000000000002</v>
      </c>
      <c r="AH16">
        <f t="shared" si="10"/>
        <v>0.65900000000000025</v>
      </c>
      <c r="AI16">
        <f t="shared" si="10"/>
        <v>0.82499999999999996</v>
      </c>
      <c r="AJ16">
        <f t="shared" si="10"/>
        <v>0.752</v>
      </c>
      <c r="AK16">
        <f t="shared" si="10"/>
        <v>0.73</v>
      </c>
      <c r="AL16">
        <f t="shared" si="10"/>
        <v>0.79</v>
      </c>
      <c r="AM16">
        <f t="shared" si="10"/>
        <v>0.90400000000000003</v>
      </c>
      <c r="AN16">
        <f t="shared" si="10"/>
        <v>0.85</v>
      </c>
      <c r="AO16">
        <f t="shared" si="10"/>
        <v>0.89</v>
      </c>
      <c r="AP16">
        <f t="shared" si="10"/>
        <v>0.94</v>
      </c>
      <c r="AQ16">
        <f t="shared" si="10"/>
        <v>0.95799999999999996</v>
      </c>
      <c r="AR16">
        <f t="shared" si="10"/>
        <v>0.82399999999999995</v>
      </c>
      <c r="AS16">
        <f t="shared" si="10"/>
        <v>0.79400000000000004</v>
      </c>
      <c r="AT16">
        <f t="shared" si="10"/>
        <v>0.8969999999999998</v>
      </c>
      <c r="AU16">
        <f t="shared" si="10"/>
        <v>0.9</v>
      </c>
      <c r="AV16">
        <f t="shared" si="10"/>
        <v>0.79900000000000004</v>
      </c>
      <c r="AW16">
        <f t="shared" si="10"/>
        <v>0.80100000000000005</v>
      </c>
      <c r="AX16">
        <f t="shared" si="10"/>
        <v>0.91199999999999992</v>
      </c>
      <c r="AY16">
        <f t="shared" si="10"/>
        <v>0.89500000000000002</v>
      </c>
      <c r="AZ16">
        <f t="shared" si="10"/>
        <v>0.84899999999999998</v>
      </c>
      <c r="BA16">
        <f t="shared" si="10"/>
        <v>0.78500000000000003</v>
      </c>
      <c r="BB16">
        <f t="shared" si="10"/>
        <v>0.76224705743348853</v>
      </c>
      <c r="BC16">
        <f t="shared" si="10"/>
        <v>0.74358798283261807</v>
      </c>
      <c r="BD16">
        <f t="shared" si="10"/>
        <v>0.70024754901960784</v>
      </c>
      <c r="BE16">
        <f t="shared" si="10"/>
        <v>0.68791741071428569</v>
      </c>
      <c r="BF16">
        <f t="shared" si="10"/>
        <v>0.78130785558048776</v>
      </c>
      <c r="BG16">
        <f t="shared" si="10"/>
        <v>0.72082324455205815</v>
      </c>
      <c r="BH16">
        <f t="shared" si="10"/>
        <v>0.64326424870466326</v>
      </c>
      <c r="BI16">
        <f t="shared" si="10"/>
        <v>0.61860465116279062</v>
      </c>
      <c r="BJ16">
        <f t="shared" si="10"/>
        <v>0.69156387238439665</v>
      </c>
      <c r="BK16">
        <f t="shared" si="10"/>
        <v>0.68367346938775508</v>
      </c>
      <c r="BL16">
        <f t="shared" si="10"/>
        <v>0.65625</v>
      </c>
      <c r="BM16">
        <f t="shared" si="10"/>
        <v>0.6875</v>
      </c>
      <c r="BN16">
        <f t="shared" si="10"/>
        <v>0.70467840809223592</v>
      </c>
      <c r="BO16">
        <f t="shared" ref="BO16:CG16" si="11">IF(BO9="",BO10,BO9)</f>
        <v>0.64840182648401823</v>
      </c>
      <c r="BP16">
        <f t="shared" si="11"/>
        <v>0.61764705882352944</v>
      </c>
      <c r="BQ16">
        <f t="shared" si="11"/>
        <v>0.58458244111349045</v>
      </c>
      <c r="BR16">
        <f t="shared" si="11"/>
        <v>0.56442324798489207</v>
      </c>
      <c r="BS16">
        <f t="shared" si="11"/>
        <v>0.51538461538461533</v>
      </c>
      <c r="BT16">
        <f t="shared" si="11"/>
        <v>0.41369863013698632</v>
      </c>
      <c r="BU16">
        <f t="shared" si="11"/>
        <v>0.4</v>
      </c>
      <c r="BV16">
        <f t="shared" si="11"/>
        <v>0.39537343358395982</v>
      </c>
      <c r="BW16">
        <f t="shared" si="11"/>
        <v>0.26666666666666666</v>
      </c>
      <c r="BX16">
        <f t="shared" si="11"/>
        <v>0.23571428571428571</v>
      </c>
      <c r="BY16">
        <f t="shared" si="11"/>
        <v>0.20399999999999999</v>
      </c>
      <c r="BZ16">
        <f t="shared" si="11"/>
        <v>0.19530303030303031</v>
      </c>
      <c r="CA16">
        <f t="shared" si="11"/>
        <v>0.28000000000000003</v>
      </c>
      <c r="CB16">
        <f t="shared" si="11"/>
        <v>0.14333333333333334</v>
      </c>
      <c r="CC16">
        <f t="shared" si="11"/>
        <v>0.14499999999999999</v>
      </c>
      <c r="CD16">
        <f t="shared" si="11"/>
        <v>0</v>
      </c>
      <c r="CE16">
        <f t="shared" si="11"/>
        <v>0</v>
      </c>
      <c r="CF16">
        <f t="shared" si="11"/>
        <v>0</v>
      </c>
      <c r="CG16">
        <f t="shared" si="11"/>
        <v>0</v>
      </c>
    </row>
    <row r="17" spans="1:85" x14ac:dyDescent="0.2">
      <c r="A17" t="s">
        <v>16</v>
      </c>
      <c r="B17">
        <f t="shared" ref="B17:AG17" si="12">IF(B11="",B12,B11)</f>
        <v>2.8000000000000025E-2</v>
      </c>
      <c r="C17" s="1">
        <f t="shared" si="12"/>
        <v>-0.11600000000000001</v>
      </c>
      <c r="D17">
        <f t="shared" si="12"/>
        <v>-0.28100000000000003</v>
      </c>
      <c r="E17">
        <f t="shared" si="12"/>
        <v>-2.3E-2</v>
      </c>
      <c r="F17">
        <f t="shared" si="12"/>
        <v>-1.1999999999999997E-2</v>
      </c>
      <c r="G17">
        <f t="shared" si="12"/>
        <v>-2.3E-2</v>
      </c>
      <c r="H17">
        <f t="shared" si="12"/>
        <v>-8.1000000000000003E-2</v>
      </c>
      <c r="I17">
        <f t="shared" si="12"/>
        <v>3.5000000000000003E-2</v>
      </c>
      <c r="J17">
        <f t="shared" si="12"/>
        <v>-6.3E-2</v>
      </c>
      <c r="K17">
        <f t="shared" si="12"/>
        <v>-1.2E-2</v>
      </c>
      <c r="L17">
        <f t="shared" si="12"/>
        <v>-4.3999999999999997E-2</v>
      </c>
      <c r="M17">
        <f t="shared" si="12"/>
        <v>0.04</v>
      </c>
      <c r="N17">
        <f t="shared" si="12"/>
        <v>8.0000000000000002E-3</v>
      </c>
      <c r="O17">
        <f t="shared" si="12"/>
        <v>3.5000000000000003E-2</v>
      </c>
      <c r="P17">
        <f t="shared" si="12"/>
        <v>-7.8E-2</v>
      </c>
      <c r="Q17">
        <f t="shared" si="12"/>
        <v>3.5999999999999997E-2</v>
      </c>
      <c r="R17">
        <f t="shared" si="12"/>
        <v>1.3999999999999999E-2</v>
      </c>
      <c r="S17">
        <f t="shared" si="12"/>
        <v>-1.9E-2</v>
      </c>
      <c r="T17">
        <f t="shared" si="12"/>
        <v>-0.01</v>
      </c>
      <c r="U17">
        <f t="shared" si="12"/>
        <v>0.104</v>
      </c>
      <c r="V17">
        <f t="shared" si="12"/>
        <v>2.1999999999999992E-2</v>
      </c>
      <c r="W17">
        <f t="shared" si="12"/>
        <v>-0.111</v>
      </c>
      <c r="X17">
        <f t="shared" si="12"/>
        <v>-0.13500000000000001</v>
      </c>
      <c r="Y17">
        <f t="shared" si="12"/>
        <v>5.8000000000000003E-2</v>
      </c>
      <c r="Z17">
        <f t="shared" si="12"/>
        <v>-0.156</v>
      </c>
      <c r="AA17">
        <f t="shared" si="12"/>
        <v>-2.9000000000000001E-2</v>
      </c>
      <c r="AB17">
        <f t="shared" si="12"/>
        <v>-1.9E-2</v>
      </c>
      <c r="AC17">
        <f t="shared" si="12"/>
        <v>0.23699999999999999</v>
      </c>
      <c r="AD17">
        <f t="shared" si="12"/>
        <v>0.24899999999999997</v>
      </c>
      <c r="AE17">
        <f t="shared" si="12"/>
        <v>0.24099999999999999</v>
      </c>
      <c r="AF17">
        <f t="shared" si="12"/>
        <v>2.5999999999999999E-2</v>
      </c>
      <c r="AG17">
        <f t="shared" si="12"/>
        <v>-9.4E-2</v>
      </c>
      <c r="AH17">
        <f t="shared" ref="AH17:BM17" si="13">IF(AH11="",AH12,AH11)</f>
        <v>-0.10199999999999999</v>
      </c>
      <c r="AI17">
        <f t="shared" si="13"/>
        <v>-0.01</v>
      </c>
      <c r="AJ17">
        <f t="shared" si="13"/>
        <v>-2.5000000000000001E-2</v>
      </c>
      <c r="AK17">
        <f t="shared" si="13"/>
        <v>3.5000000000000003E-2</v>
      </c>
      <c r="AL17">
        <f t="shared" si="13"/>
        <v>8.4999999999999964E-2</v>
      </c>
      <c r="AM17">
        <f t="shared" si="13"/>
        <v>0.11</v>
      </c>
      <c r="AN17">
        <f t="shared" si="13"/>
        <v>0.17</v>
      </c>
      <c r="AO17">
        <f t="shared" si="13"/>
        <v>0.31</v>
      </c>
      <c r="AP17">
        <f t="shared" si="13"/>
        <v>0.35</v>
      </c>
      <c r="AQ17" s="1">
        <f t="shared" si="13"/>
        <v>0.29499999999999998</v>
      </c>
      <c r="AR17">
        <f t="shared" si="13"/>
        <v>0.19500000000000001</v>
      </c>
      <c r="AS17">
        <f t="shared" si="13"/>
        <v>0.22500000000000001</v>
      </c>
      <c r="AT17">
        <f t="shared" si="13"/>
        <v>0.33000000000000007</v>
      </c>
      <c r="AU17">
        <f t="shared" si="13"/>
        <v>0.255</v>
      </c>
      <c r="AV17" s="1">
        <f t="shared" si="13"/>
        <v>0.22500000000000001</v>
      </c>
      <c r="AW17">
        <f t="shared" si="13"/>
        <v>0.32500000000000001</v>
      </c>
      <c r="AX17">
        <f t="shared" si="13"/>
        <v>0.43000000000000016</v>
      </c>
      <c r="AY17" s="1">
        <f t="shared" si="13"/>
        <v>0.35</v>
      </c>
      <c r="AZ17" s="1">
        <f t="shared" si="13"/>
        <v>0.34</v>
      </c>
      <c r="BA17">
        <f t="shared" si="13"/>
        <v>0.36</v>
      </c>
      <c r="BB17" s="12">
        <f t="shared" si="13"/>
        <v>0.34000000000000019</v>
      </c>
      <c r="BC17" s="1">
        <f t="shared" si="13"/>
        <v>0.28499999999999998</v>
      </c>
      <c r="BD17">
        <f t="shared" si="13"/>
        <v>0.27</v>
      </c>
      <c r="BE17">
        <f t="shared" si="13"/>
        <v>0.35</v>
      </c>
      <c r="BF17" s="3">
        <f t="shared" si="13"/>
        <v>0.40000000000000013</v>
      </c>
      <c r="BG17">
        <f t="shared" si="13"/>
        <v>0.32</v>
      </c>
      <c r="BH17">
        <f t="shared" si="13"/>
        <v>0.29499999999999998</v>
      </c>
      <c r="BI17">
        <f t="shared" si="13"/>
        <v>0.33500000000000002</v>
      </c>
      <c r="BJ17">
        <f t="shared" si="13"/>
        <v>0.40000000000000013</v>
      </c>
      <c r="BK17">
        <f t="shared" si="13"/>
        <v>0.36</v>
      </c>
      <c r="BL17">
        <f t="shared" si="13"/>
        <v>0.35</v>
      </c>
      <c r="BM17">
        <f t="shared" si="13"/>
        <v>0.46</v>
      </c>
      <c r="BN17" s="11">
        <f t="shared" ref="BN17:CG17" si="14">IF(BN11="",BN12,BN11)</f>
        <v>0.49500000000000011</v>
      </c>
      <c r="BO17">
        <f t="shared" si="14"/>
        <v>0.45500000000000002</v>
      </c>
      <c r="BP17">
        <f t="shared" si="14"/>
        <v>0.44500000000000001</v>
      </c>
      <c r="BQ17">
        <f t="shared" si="14"/>
        <v>0.45500000000000002</v>
      </c>
      <c r="BR17" s="11">
        <f t="shared" si="14"/>
        <v>0.40999999999999992</v>
      </c>
      <c r="BS17">
        <f t="shared" si="14"/>
        <v>0.39999999999999991</v>
      </c>
      <c r="BT17">
        <f t="shared" si="14"/>
        <v>0.30000000000000027</v>
      </c>
      <c r="BU17">
        <f t="shared" si="14"/>
        <v>0.35999999999999988</v>
      </c>
      <c r="BV17">
        <f t="shared" si="14"/>
        <v>0.33999999999999986</v>
      </c>
      <c r="BW17">
        <f t="shared" si="14"/>
        <v>0.20000000000000018</v>
      </c>
      <c r="BX17">
        <f t="shared" si="14"/>
        <v>0.19999999999999996</v>
      </c>
      <c r="BY17">
        <f t="shared" si="14"/>
        <v>0.15999999999999992</v>
      </c>
      <c r="BZ17">
        <f t="shared" si="14"/>
        <v>0.22000000000000008</v>
      </c>
      <c r="CA17">
        <f t="shared" si="14"/>
        <v>0.22999999999999998</v>
      </c>
      <c r="CB17">
        <f t="shared" si="14"/>
        <v>0.11039999999999994</v>
      </c>
      <c r="CC17">
        <f t="shared" si="14"/>
        <v>0.12960000000000005</v>
      </c>
      <c r="CD17">
        <f t="shared" si="14"/>
        <v>0.15999999999999998</v>
      </c>
      <c r="CE17">
        <f t="shared" si="14"/>
        <v>0.12</v>
      </c>
      <c r="CF17">
        <f t="shared" si="14"/>
        <v>7.0000000000000007E-2</v>
      </c>
      <c r="CG17">
        <f t="shared" si="14"/>
        <v>0</v>
      </c>
    </row>
    <row r="18" spans="1:85" x14ac:dyDescent="0.2">
      <c r="B18" s="22"/>
      <c r="C18" s="22"/>
      <c r="D18" s="22"/>
      <c r="E18" s="22"/>
      <c r="F18" s="22"/>
      <c r="G18" s="22"/>
      <c r="H18" s="22"/>
      <c r="I18" s="22"/>
      <c r="J18" s="22"/>
      <c r="K18" s="22"/>
      <c r="L18" s="22"/>
      <c r="M18" s="22"/>
      <c r="N18" s="22"/>
      <c r="O18" s="22"/>
      <c r="P18" s="22"/>
      <c r="Q18" s="22"/>
      <c r="R18" s="22"/>
      <c r="AQ18" s="1"/>
      <c r="AV18" s="8"/>
      <c r="AY18" s="9"/>
      <c r="AZ18" s="8"/>
      <c r="BB18" s="5"/>
      <c r="BC18" s="9"/>
      <c r="BF18" s="1"/>
      <c r="BR18" s="1"/>
    </row>
    <row r="19" spans="1:85" x14ac:dyDescent="0.2">
      <c r="B19" s="3"/>
      <c r="C19" s="3"/>
      <c r="D19" s="3"/>
      <c r="E19" s="3"/>
      <c r="F19" s="3"/>
      <c r="G19" s="3"/>
      <c r="H19" s="3"/>
      <c r="I19" s="3"/>
      <c r="J19" s="3"/>
      <c r="K19" s="3"/>
      <c r="L19" s="3"/>
      <c r="M19" s="3"/>
      <c r="N19" s="3"/>
      <c r="O19" s="3"/>
      <c r="P19" s="3"/>
      <c r="Q19" s="3"/>
      <c r="R19" s="3"/>
      <c r="AQ19" s="1"/>
      <c r="AR19" s="1"/>
      <c r="AY19" s="6"/>
      <c r="BF19" s="1"/>
      <c r="BJ19" s="1"/>
      <c r="CB19" s="1"/>
    </row>
    <row r="20" spans="1:85" x14ac:dyDescent="0.2">
      <c r="AZ20" s="1"/>
      <c r="CB20" s="1"/>
    </row>
    <row r="21" spans="1:85" x14ac:dyDescent="0.2">
      <c r="CB21" s="1"/>
    </row>
    <row r="22" spans="1:85" x14ac:dyDescent="0.2">
      <c r="AV22" s="4"/>
      <c r="BG22" s="12"/>
    </row>
  </sheetData>
  <pageMargins left="0.7" right="0.7" top="0.75" bottom="0.75" header="0.3" footer="0.3"/>
  <ignoredErrors>
    <ignoredError sqref="BJ10 BF10 BB10 BN10 BR10 BV10 BZ10" formula="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0A972-8A0C-A64E-86F3-A7FD87B6909A}">
  <dimension ref="A1:Q85"/>
  <sheetViews>
    <sheetView workbookViewId="0">
      <selection activeCell="K25" sqref="K25"/>
    </sheetView>
  </sheetViews>
  <sheetFormatPr baseColWidth="10" defaultRowHeight="16" x14ac:dyDescent="0.2"/>
  <cols>
    <col min="2" max="3" width="10.83203125" style="20"/>
    <col min="6" max="6" width="16.5" customWidth="1"/>
    <col min="7" max="7" width="13.5" customWidth="1"/>
    <col min="8" max="8" width="10.83203125" customWidth="1"/>
    <col min="9" max="9" width="14" customWidth="1"/>
    <col min="10" max="10" width="16.5" customWidth="1"/>
    <col min="11" max="11" width="15.5" customWidth="1"/>
    <col min="12" max="12" width="18.83203125" bestFit="1" customWidth="1"/>
    <col min="13" max="13" width="14.83203125" customWidth="1"/>
    <col min="14" max="14" width="16.83203125" customWidth="1"/>
    <col min="15" max="15" width="14.5" customWidth="1"/>
  </cols>
  <sheetData>
    <row r="1" spans="1:17" ht="51" x14ac:dyDescent="0.2">
      <c r="A1" s="17" t="s">
        <v>15</v>
      </c>
      <c r="B1" s="19" t="s">
        <v>0</v>
      </c>
      <c r="C1" s="19" t="s">
        <v>1</v>
      </c>
      <c r="D1" s="17" t="s">
        <v>3</v>
      </c>
      <c r="E1" s="17" t="s">
        <v>4</v>
      </c>
      <c r="F1" s="17" t="s">
        <v>8</v>
      </c>
      <c r="G1" s="17" t="s">
        <v>6</v>
      </c>
      <c r="H1" s="17" t="s">
        <v>2</v>
      </c>
      <c r="I1" s="17" t="s">
        <v>5</v>
      </c>
      <c r="J1" s="18" t="s">
        <v>7</v>
      </c>
      <c r="K1" s="17" t="s">
        <v>13</v>
      </c>
      <c r="L1" s="18" t="s">
        <v>12</v>
      </c>
      <c r="M1" s="17" t="s">
        <v>9</v>
      </c>
      <c r="N1" s="17" t="s">
        <v>10</v>
      </c>
      <c r="O1" s="17" t="s">
        <v>11</v>
      </c>
      <c r="P1" t="s">
        <v>14</v>
      </c>
      <c r="Q1" t="s">
        <v>16</v>
      </c>
    </row>
    <row r="2" spans="1:17" x14ac:dyDescent="0.2">
      <c r="A2" s="21">
        <f t="shared" ref="A2:A33" si="0">DATE(B2,12/4*C2,IF(C2=4,31,IF(C2=1,31,30)))</f>
        <v>42735</v>
      </c>
      <c r="B2" s="20">
        <v>2016</v>
      </c>
      <c r="C2" s="20">
        <v>4</v>
      </c>
      <c r="D2" s="1">
        <f>15033939-SUM(D3:D5)</f>
        <v>3700717</v>
      </c>
      <c r="E2" s="1">
        <f>15212302-SUM(E3:E5)</f>
        <v>3752765</v>
      </c>
      <c r="H2">
        <v>13.670999999999999</v>
      </c>
      <c r="I2">
        <f>2.614-SUM(I3:I5)</f>
        <v>0.69399999999999995</v>
      </c>
      <c r="J2" s="14"/>
      <c r="K2">
        <f>-0.392-SUM(K3:K5)</f>
        <v>2.8000000000000025E-2</v>
      </c>
      <c r="L2" s="14">
        <f t="shared" ref="L2:L33" si="1">H2-H3</f>
        <v>2.7999999999998693E-2</v>
      </c>
      <c r="M2" s="2">
        <v>1.83E-2</v>
      </c>
      <c r="N2">
        <v>643</v>
      </c>
      <c r="O2">
        <v>88.66</v>
      </c>
      <c r="P2">
        <f t="shared" ref="P2:P33" si="2">IF(I2="",J2,I2)</f>
        <v>0.69399999999999995</v>
      </c>
      <c r="Q2">
        <f t="shared" ref="Q2:Q33" si="3">IF(K2="",L2,K2)</f>
        <v>2.8000000000000025E-2</v>
      </c>
    </row>
    <row r="3" spans="1:17" x14ac:dyDescent="0.2">
      <c r="A3" s="21">
        <f t="shared" si="0"/>
        <v>42643</v>
      </c>
      <c r="B3" s="20">
        <v>2016</v>
      </c>
      <c r="C3" s="20">
        <v>3</v>
      </c>
      <c r="D3" s="1">
        <v>3731528</v>
      </c>
      <c r="E3" s="1">
        <v>3767472</v>
      </c>
      <c r="F3" s="1"/>
      <c r="H3">
        <v>13.643000000000001</v>
      </c>
      <c r="I3">
        <v>0.73599999999999999</v>
      </c>
      <c r="J3" s="14"/>
      <c r="K3" s="16">
        <v>-0.11600000000000001</v>
      </c>
      <c r="L3" s="14">
        <f t="shared" si="1"/>
        <v>5.0000000000000711E-2</v>
      </c>
      <c r="M3" s="2">
        <v>2.1100000000000001E-2</v>
      </c>
      <c r="N3" s="1">
        <v>620</v>
      </c>
      <c r="O3">
        <v>89.44</v>
      </c>
      <c r="P3">
        <f t="shared" si="2"/>
        <v>0.73599999999999999</v>
      </c>
      <c r="Q3">
        <f t="shared" si="3"/>
        <v>-0.11600000000000001</v>
      </c>
    </row>
    <row r="4" spans="1:17" x14ac:dyDescent="0.2">
      <c r="A4" s="21">
        <f t="shared" si="0"/>
        <v>42551</v>
      </c>
      <c r="B4" s="20">
        <v>2016</v>
      </c>
      <c r="C4" s="20">
        <v>2</v>
      </c>
      <c r="D4" s="1">
        <v>3826216</v>
      </c>
      <c r="E4" s="1">
        <v>3864591</v>
      </c>
      <c r="H4">
        <v>13.593</v>
      </c>
      <c r="I4">
        <v>0.52700000000000002</v>
      </c>
      <c r="J4" s="14"/>
      <c r="K4">
        <v>-0.28100000000000003</v>
      </c>
      <c r="L4" s="14">
        <f t="shared" si="1"/>
        <v>-0.28100000000000058</v>
      </c>
      <c r="M4" s="2">
        <v>1.9599999999999999E-2</v>
      </c>
      <c r="N4" s="1">
        <v>756</v>
      </c>
      <c r="O4">
        <v>89.98</v>
      </c>
      <c r="P4">
        <f t="shared" si="2"/>
        <v>0.52700000000000002</v>
      </c>
      <c r="Q4">
        <f t="shared" si="3"/>
        <v>-0.28100000000000003</v>
      </c>
    </row>
    <row r="5" spans="1:17" x14ac:dyDescent="0.2">
      <c r="A5" s="21">
        <f t="shared" si="0"/>
        <v>42460</v>
      </c>
      <c r="B5" s="20">
        <v>2016</v>
      </c>
      <c r="C5" s="20">
        <v>1</v>
      </c>
      <c r="D5" s="1">
        <v>3775478</v>
      </c>
      <c r="E5" s="1">
        <v>3827474</v>
      </c>
      <c r="H5">
        <v>13.874000000000001</v>
      </c>
      <c r="I5">
        <v>0.65700000000000003</v>
      </c>
      <c r="J5" s="14"/>
      <c r="K5">
        <v>-2.3E-2</v>
      </c>
      <c r="L5" s="14">
        <f t="shared" si="1"/>
        <v>-2.2999999999999687E-2</v>
      </c>
      <c r="M5" s="2">
        <v>1.6299999999999999E-2</v>
      </c>
      <c r="N5">
        <v>625</v>
      </c>
      <c r="O5">
        <v>87.94</v>
      </c>
      <c r="P5">
        <f t="shared" si="2"/>
        <v>0.65700000000000003</v>
      </c>
      <c r="Q5">
        <f t="shared" si="3"/>
        <v>-2.3E-2</v>
      </c>
    </row>
    <row r="6" spans="1:17" x14ac:dyDescent="0.2">
      <c r="A6" s="21">
        <f t="shared" si="0"/>
        <v>42369</v>
      </c>
      <c r="B6" s="20">
        <v>2015</v>
      </c>
      <c r="C6" s="20">
        <v>4</v>
      </c>
      <c r="D6" s="1">
        <f>14953559-SUM(D7:D9)</f>
        <v>3754354</v>
      </c>
      <c r="E6" s="1">
        <f>15068901-SUM(E7:E9)</f>
        <v>3778683</v>
      </c>
      <c r="H6">
        <v>13.897</v>
      </c>
      <c r="I6">
        <f>2.773-SUM(I7:I9)</f>
        <v>0.66100000000000003</v>
      </c>
      <c r="J6" s="14"/>
      <c r="K6">
        <f>-0.081-SUM(K7:K9)</f>
        <v>-1.1999999999999997E-2</v>
      </c>
      <c r="L6" s="14">
        <f t="shared" si="1"/>
        <v>-1.2000000000000455E-2</v>
      </c>
      <c r="M6" s="2">
        <v>1.7100000000000001E-2</v>
      </c>
      <c r="N6">
        <v>723</v>
      </c>
      <c r="O6">
        <v>86.79</v>
      </c>
      <c r="P6">
        <f t="shared" si="2"/>
        <v>0.66100000000000003</v>
      </c>
      <c r="Q6">
        <f t="shared" si="3"/>
        <v>-1.1999999999999997E-2</v>
      </c>
    </row>
    <row r="7" spans="1:17" x14ac:dyDescent="0.2">
      <c r="A7" s="21">
        <f t="shared" si="0"/>
        <v>42277</v>
      </c>
      <c r="B7" s="20">
        <v>2015</v>
      </c>
      <c r="C7" s="20">
        <v>3</v>
      </c>
      <c r="D7" s="1">
        <v>3704259</v>
      </c>
      <c r="E7" s="1">
        <v>3733565</v>
      </c>
      <c r="H7">
        <v>13.909000000000001</v>
      </c>
      <c r="I7">
        <v>0.751</v>
      </c>
      <c r="J7" s="14"/>
      <c r="K7">
        <v>-2.3E-2</v>
      </c>
      <c r="L7" s="14">
        <f t="shared" si="1"/>
        <v>-2.2999999999999687E-2</v>
      </c>
      <c r="M7" s="2">
        <v>1.8599999999999998E-2</v>
      </c>
      <c r="N7">
        <v>736</v>
      </c>
      <c r="O7">
        <v>86.33</v>
      </c>
      <c r="P7">
        <f t="shared" si="2"/>
        <v>0.751</v>
      </c>
      <c r="Q7">
        <f t="shared" si="3"/>
        <v>-2.3E-2</v>
      </c>
    </row>
    <row r="8" spans="1:17" x14ac:dyDescent="0.2">
      <c r="A8" s="21">
        <f t="shared" si="0"/>
        <v>42185</v>
      </c>
      <c r="B8" s="20">
        <v>2015</v>
      </c>
      <c r="C8" s="20">
        <v>2</v>
      </c>
      <c r="D8" s="1">
        <v>3801416</v>
      </c>
      <c r="E8" s="1">
        <v>3832425</v>
      </c>
      <c r="H8">
        <v>13.932</v>
      </c>
      <c r="I8">
        <v>0.63800000000000001</v>
      </c>
      <c r="J8" s="14"/>
      <c r="K8">
        <v>-8.1000000000000003E-2</v>
      </c>
      <c r="L8" s="14">
        <f t="shared" si="1"/>
        <v>-8.0999999999999517E-2</v>
      </c>
      <c r="M8" s="2">
        <v>1.7100000000000001E-2</v>
      </c>
      <c r="N8">
        <v>767</v>
      </c>
      <c r="O8">
        <v>87.91</v>
      </c>
      <c r="P8">
        <f t="shared" si="2"/>
        <v>0.63800000000000001</v>
      </c>
      <c r="Q8">
        <f t="shared" si="3"/>
        <v>-8.1000000000000003E-2</v>
      </c>
    </row>
    <row r="9" spans="1:17" x14ac:dyDescent="0.2">
      <c r="A9" s="21">
        <f t="shared" si="0"/>
        <v>42094</v>
      </c>
      <c r="B9" s="20">
        <v>2015</v>
      </c>
      <c r="C9" s="20">
        <v>1</v>
      </c>
      <c r="D9" s="1">
        <v>3693530</v>
      </c>
      <c r="E9" s="1">
        <v>3724228</v>
      </c>
      <c r="H9">
        <v>14.013</v>
      </c>
      <c r="I9">
        <v>0.72299999999999998</v>
      </c>
      <c r="J9" s="14"/>
      <c r="K9">
        <v>3.5000000000000003E-2</v>
      </c>
      <c r="L9" s="14">
        <f t="shared" si="1"/>
        <v>3.5000000000000142E-2</v>
      </c>
      <c r="M9" s="2">
        <v>1.6400000000000001E-2</v>
      </c>
      <c r="N9">
        <v>667</v>
      </c>
      <c r="O9">
        <v>85.73</v>
      </c>
      <c r="P9">
        <f t="shared" si="2"/>
        <v>0.72299999999999998</v>
      </c>
      <c r="Q9">
        <f t="shared" si="3"/>
        <v>3.5000000000000003E-2</v>
      </c>
    </row>
    <row r="10" spans="1:17" x14ac:dyDescent="0.2">
      <c r="A10" s="21">
        <f t="shared" si="0"/>
        <v>42004</v>
      </c>
      <c r="B10" s="20">
        <v>2014</v>
      </c>
      <c r="C10" s="20">
        <v>4</v>
      </c>
      <c r="D10" s="1">
        <f>14495091-SUM(D11:D13)</f>
        <v>3645953</v>
      </c>
      <c r="E10" s="1">
        <f>14643387-SUM(E11:E13)</f>
        <v>3681719</v>
      </c>
      <c r="H10">
        <v>13.978</v>
      </c>
      <c r="I10">
        <f>2.601-SUM(I11:I13)</f>
        <v>0.61499999999999999</v>
      </c>
      <c r="J10" s="14"/>
      <c r="K10">
        <f>-0.079-SUM(K11:K13)</f>
        <v>-6.3E-2</v>
      </c>
      <c r="L10" s="14">
        <f t="shared" si="1"/>
        <v>-6.3000000000000611E-2</v>
      </c>
      <c r="M10" s="2">
        <v>1.5900000000000001E-2</v>
      </c>
      <c r="N10">
        <v>853</v>
      </c>
      <c r="O10">
        <v>83.77</v>
      </c>
      <c r="P10">
        <f t="shared" si="2"/>
        <v>0.61499999999999999</v>
      </c>
      <c r="Q10">
        <f t="shared" si="3"/>
        <v>-6.3E-2</v>
      </c>
    </row>
    <row r="11" spans="1:17" x14ac:dyDescent="0.2">
      <c r="A11" s="21">
        <f t="shared" si="0"/>
        <v>41912</v>
      </c>
      <c r="B11" s="20">
        <v>2014</v>
      </c>
      <c r="C11" s="20">
        <v>3</v>
      </c>
      <c r="D11" s="1">
        <v>3647850</v>
      </c>
      <c r="E11" s="1">
        <v>3679351</v>
      </c>
      <c r="H11">
        <v>14.041</v>
      </c>
      <c r="I11">
        <v>0.69099999999999995</v>
      </c>
      <c r="J11" s="14"/>
      <c r="K11">
        <v>-1.2E-2</v>
      </c>
      <c r="L11" s="14">
        <f t="shared" si="1"/>
        <v>-1.2000000000000455E-2</v>
      </c>
      <c r="M11" s="2">
        <v>1.67E-2</v>
      </c>
      <c r="N11">
        <v>861</v>
      </c>
      <c r="O11">
        <v>84.39</v>
      </c>
      <c r="P11">
        <f t="shared" si="2"/>
        <v>0.69099999999999995</v>
      </c>
      <c r="Q11">
        <f t="shared" si="3"/>
        <v>-1.2E-2</v>
      </c>
    </row>
    <row r="12" spans="1:17" x14ac:dyDescent="0.2">
      <c r="A12" s="21">
        <f t="shared" si="0"/>
        <v>41820</v>
      </c>
      <c r="B12" s="20">
        <v>2014</v>
      </c>
      <c r="C12" s="20">
        <v>2</v>
      </c>
      <c r="D12" s="1">
        <v>3645101</v>
      </c>
      <c r="E12" s="1">
        <v>3688119</v>
      </c>
      <c r="H12">
        <v>14.053000000000001</v>
      </c>
      <c r="I12">
        <v>0.65600000000000003</v>
      </c>
      <c r="J12" s="14"/>
      <c r="K12">
        <v>-4.3999999999999997E-2</v>
      </c>
      <c r="L12" s="14">
        <f t="shared" si="1"/>
        <v>-4.3999999999998707E-2</v>
      </c>
      <c r="M12" s="2">
        <v>1.66E-2</v>
      </c>
      <c r="N12">
        <v>846</v>
      </c>
      <c r="O12">
        <v>84.15</v>
      </c>
      <c r="P12">
        <f t="shared" si="2"/>
        <v>0.65600000000000003</v>
      </c>
      <c r="Q12">
        <f t="shared" si="3"/>
        <v>-4.3999999999999997E-2</v>
      </c>
    </row>
    <row r="13" spans="1:17" x14ac:dyDescent="0.2">
      <c r="A13" s="21">
        <f t="shared" si="0"/>
        <v>41729</v>
      </c>
      <c r="B13" s="20">
        <v>2014</v>
      </c>
      <c r="C13" s="20">
        <v>1</v>
      </c>
      <c r="D13" s="1">
        <v>3556187</v>
      </c>
      <c r="E13" s="1">
        <v>3594198</v>
      </c>
      <c r="H13">
        <v>14.097</v>
      </c>
      <c r="I13">
        <v>0.63900000000000001</v>
      </c>
      <c r="J13" s="14"/>
      <c r="K13">
        <v>0.04</v>
      </c>
      <c r="L13" s="14">
        <f t="shared" si="1"/>
        <v>3.9999999999999147E-2</v>
      </c>
      <c r="M13" s="2">
        <v>1.4200000000000001E-2</v>
      </c>
      <c r="N13">
        <v>862</v>
      </c>
      <c r="O13">
        <v>82.36</v>
      </c>
      <c r="P13">
        <f t="shared" si="2"/>
        <v>0.63900000000000001</v>
      </c>
      <c r="Q13">
        <f t="shared" si="3"/>
        <v>0.04</v>
      </c>
    </row>
    <row r="14" spans="1:17" x14ac:dyDescent="0.2">
      <c r="A14" s="21">
        <f t="shared" si="0"/>
        <v>41639</v>
      </c>
      <c r="B14" s="20">
        <v>2013</v>
      </c>
      <c r="C14" s="20">
        <v>4</v>
      </c>
      <c r="D14" s="1">
        <f>13764774-SUM(D15:D17)</f>
        <v>3500090</v>
      </c>
      <c r="E14" s="1">
        <f>13904865-SUM(E15:E17)</f>
        <v>3538540</v>
      </c>
      <c r="H14">
        <v>14.057</v>
      </c>
      <c r="I14">
        <f>2.666-SUM(I15:I17)</f>
        <v>0.65399999999999991</v>
      </c>
      <c r="J14" s="14"/>
      <c r="K14">
        <f>0.001-SUM(K15:K17)</f>
        <v>8.0000000000000002E-3</v>
      </c>
      <c r="L14" s="14">
        <f t="shared" si="1"/>
        <v>8.0000000000008953E-3</v>
      </c>
      <c r="M14" s="2">
        <v>1.5800000000000002E-2</v>
      </c>
      <c r="N14">
        <v>866</v>
      </c>
      <c r="O14">
        <v>80.37</v>
      </c>
      <c r="P14">
        <f t="shared" si="2"/>
        <v>0.65399999999999991</v>
      </c>
      <c r="Q14">
        <f t="shared" si="3"/>
        <v>8.0000000000000002E-3</v>
      </c>
    </row>
    <row r="15" spans="1:17" x14ac:dyDescent="0.2">
      <c r="A15" s="21">
        <f t="shared" si="0"/>
        <v>41547</v>
      </c>
      <c r="B15" s="20">
        <v>2013</v>
      </c>
      <c r="C15" s="20">
        <v>3</v>
      </c>
      <c r="D15" s="1">
        <v>3463753</v>
      </c>
      <c r="E15" s="1">
        <v>3505021</v>
      </c>
      <c r="H15">
        <v>14.048999999999999</v>
      </c>
      <c r="I15">
        <v>0.73399999999999999</v>
      </c>
      <c r="J15" s="14"/>
      <c r="K15">
        <v>3.5000000000000003E-2</v>
      </c>
      <c r="L15" s="14">
        <f t="shared" si="1"/>
        <v>3.5000000000000142E-2</v>
      </c>
      <c r="M15" s="2">
        <v>1.66E-2</v>
      </c>
      <c r="N15">
        <v>842</v>
      </c>
      <c r="O15">
        <v>80.98</v>
      </c>
      <c r="P15">
        <f t="shared" si="2"/>
        <v>0.73399999999999999</v>
      </c>
      <c r="Q15">
        <f t="shared" si="3"/>
        <v>3.5000000000000003E-2</v>
      </c>
    </row>
    <row r="16" spans="1:17" x14ac:dyDescent="0.2">
      <c r="A16" s="21">
        <f t="shared" si="0"/>
        <v>41455</v>
      </c>
      <c r="B16" s="20">
        <v>2013</v>
      </c>
      <c r="C16" s="20">
        <v>2</v>
      </c>
      <c r="D16" s="1">
        <v>3452764</v>
      </c>
      <c r="E16" s="1">
        <v>3485774</v>
      </c>
      <c r="H16">
        <v>14.013999999999999</v>
      </c>
      <c r="I16">
        <v>0.624</v>
      </c>
      <c r="J16" s="14"/>
      <c r="K16">
        <v>-7.8E-2</v>
      </c>
      <c r="L16" s="14">
        <f t="shared" si="1"/>
        <v>-7.800000000000118E-2</v>
      </c>
      <c r="M16" s="2">
        <v>1.67E-2</v>
      </c>
      <c r="N16">
        <v>883</v>
      </c>
      <c r="O16">
        <v>80.81</v>
      </c>
      <c r="P16">
        <f t="shared" si="2"/>
        <v>0.624</v>
      </c>
      <c r="Q16">
        <f t="shared" si="3"/>
        <v>-7.8E-2</v>
      </c>
    </row>
    <row r="17" spans="1:17" x14ac:dyDescent="0.2">
      <c r="A17" s="21">
        <f t="shared" si="0"/>
        <v>41364</v>
      </c>
      <c r="B17" s="20">
        <v>2013</v>
      </c>
      <c r="C17" s="20">
        <v>1</v>
      </c>
      <c r="D17" s="1">
        <v>3348167</v>
      </c>
      <c r="E17" s="1">
        <v>3375530</v>
      </c>
      <c r="H17">
        <v>14.092000000000001</v>
      </c>
      <c r="I17">
        <v>0.65400000000000003</v>
      </c>
      <c r="J17" s="14"/>
      <c r="K17">
        <v>3.5999999999999997E-2</v>
      </c>
      <c r="L17" s="14">
        <f t="shared" si="1"/>
        <v>3.6000000000001364E-2</v>
      </c>
      <c r="M17" s="2">
        <v>1.47E-2</v>
      </c>
      <c r="N17">
        <v>882</v>
      </c>
      <c r="O17">
        <v>78.44</v>
      </c>
      <c r="P17">
        <f t="shared" si="2"/>
        <v>0.65400000000000003</v>
      </c>
      <c r="Q17">
        <f t="shared" si="3"/>
        <v>3.5999999999999997E-2</v>
      </c>
    </row>
    <row r="18" spans="1:17" x14ac:dyDescent="0.2">
      <c r="A18" s="21">
        <f t="shared" si="0"/>
        <v>41274</v>
      </c>
      <c r="B18" s="20">
        <v>2012</v>
      </c>
      <c r="C18" s="20">
        <v>4</v>
      </c>
      <c r="D18" s="1">
        <f>13064936-SUM(D19:D21)</f>
        <v>3277260</v>
      </c>
      <c r="E18" s="1">
        <f>13181334-SUM(E19:E21)</f>
        <v>2504352</v>
      </c>
      <c r="H18">
        <v>14.055999999999999</v>
      </c>
      <c r="I18">
        <f>2.739-SUM(I19:I21)</f>
        <v>0.66199999999999992</v>
      </c>
      <c r="J18" s="14"/>
      <c r="K18">
        <f>0.089-SUM(K19:K21)</f>
        <v>1.3999999999999999E-2</v>
      </c>
      <c r="L18" s="14">
        <f t="shared" si="1"/>
        <v>1.3999999999999346E-2</v>
      </c>
      <c r="M18" s="2">
        <v>1.5699999999999999E-2</v>
      </c>
      <c r="N18">
        <v>784</v>
      </c>
      <c r="O18">
        <v>76.98</v>
      </c>
      <c r="P18">
        <f t="shared" si="2"/>
        <v>0.66199999999999992</v>
      </c>
      <c r="Q18">
        <f t="shared" si="3"/>
        <v>1.3999999999999999E-2</v>
      </c>
    </row>
    <row r="19" spans="1:17" x14ac:dyDescent="0.2">
      <c r="A19" s="21">
        <f t="shared" si="0"/>
        <v>41182</v>
      </c>
      <c r="B19" s="20">
        <v>2012</v>
      </c>
      <c r="C19" s="20">
        <v>3</v>
      </c>
      <c r="D19" s="1">
        <v>3267380</v>
      </c>
      <c r="E19" s="1">
        <v>3523347</v>
      </c>
      <c r="H19">
        <v>14.042</v>
      </c>
      <c r="I19">
        <v>0.73899999999999999</v>
      </c>
      <c r="J19" s="14"/>
      <c r="K19">
        <v>-1.9E-2</v>
      </c>
      <c r="L19" s="14">
        <f t="shared" si="1"/>
        <v>-1.9000000000000128E-2</v>
      </c>
      <c r="M19" s="2">
        <v>1.7999999999999999E-2</v>
      </c>
      <c r="N19">
        <v>797</v>
      </c>
      <c r="O19">
        <v>76.989999999999995</v>
      </c>
      <c r="P19">
        <f t="shared" si="2"/>
        <v>0.73899999999999999</v>
      </c>
      <c r="Q19">
        <f t="shared" si="3"/>
        <v>-1.9E-2</v>
      </c>
    </row>
    <row r="20" spans="1:17" x14ac:dyDescent="0.2">
      <c r="A20" s="21">
        <f t="shared" si="0"/>
        <v>41090</v>
      </c>
      <c r="B20" s="20">
        <v>2012</v>
      </c>
      <c r="C20" s="20">
        <v>2</v>
      </c>
      <c r="D20" s="1">
        <v>3295831</v>
      </c>
      <c r="E20" s="1">
        <v>3571766</v>
      </c>
      <c r="H20">
        <v>14.061</v>
      </c>
      <c r="I20">
        <v>0.66500000000000004</v>
      </c>
      <c r="J20" s="14"/>
      <c r="K20">
        <v>-0.01</v>
      </c>
      <c r="L20" s="14">
        <f t="shared" si="1"/>
        <v>-9.9999999999997868E-3</v>
      </c>
      <c r="M20" s="2">
        <v>1.6E-2</v>
      </c>
      <c r="N20">
        <v>800</v>
      </c>
      <c r="O20">
        <v>77.59</v>
      </c>
      <c r="P20">
        <f t="shared" si="2"/>
        <v>0.66500000000000004</v>
      </c>
      <c r="Q20">
        <f t="shared" si="3"/>
        <v>-0.01</v>
      </c>
    </row>
    <row r="21" spans="1:17" x14ac:dyDescent="0.2">
      <c r="A21" s="21">
        <f t="shared" si="0"/>
        <v>40999</v>
      </c>
      <c r="B21" s="20">
        <v>2012</v>
      </c>
      <c r="C21" s="20">
        <v>1</v>
      </c>
      <c r="D21" s="1">
        <v>3224465</v>
      </c>
      <c r="E21" s="1">
        <v>3581869</v>
      </c>
      <c r="H21">
        <v>14.071</v>
      </c>
      <c r="I21">
        <v>0.67300000000000004</v>
      </c>
      <c r="J21" s="14"/>
      <c r="K21">
        <v>0.104</v>
      </c>
      <c r="L21" s="14">
        <f t="shared" si="1"/>
        <v>0.1039999999999992</v>
      </c>
      <c r="M21" s="2">
        <v>1.35E-2</v>
      </c>
      <c r="N21">
        <v>747</v>
      </c>
      <c r="O21">
        <v>76.239999999999995</v>
      </c>
      <c r="P21">
        <f t="shared" si="2"/>
        <v>0.67300000000000004</v>
      </c>
      <c r="Q21">
        <f t="shared" si="3"/>
        <v>0.104</v>
      </c>
    </row>
    <row r="22" spans="1:17" x14ac:dyDescent="0.2">
      <c r="A22" s="21">
        <f t="shared" si="0"/>
        <v>40908</v>
      </c>
      <c r="B22" s="20">
        <v>2011</v>
      </c>
      <c r="C22" s="20">
        <v>4</v>
      </c>
      <c r="D22" s="1">
        <f>12976009-SUM(D23:D25)</f>
        <v>3123984</v>
      </c>
      <c r="E22" s="1">
        <f>14048393-SUM(E23:E25)</f>
        <v>3265420</v>
      </c>
      <c r="H22">
        <v>13.967000000000001</v>
      </c>
      <c r="I22">
        <f>2.576-SUM(I23:I25)</f>
        <v>0.66700000000000004</v>
      </c>
      <c r="J22" s="14"/>
      <c r="K22" s="10">
        <f>-0.166-SUM(K23:K25)</f>
        <v>2.1999999999999992E-2</v>
      </c>
      <c r="L22" s="14">
        <f t="shared" si="1"/>
        <v>2.2000000000000242E-2</v>
      </c>
      <c r="M22" s="2">
        <v>1.6299999999999999E-2</v>
      </c>
      <c r="N22">
        <v>770</v>
      </c>
      <c r="O22">
        <v>76.45</v>
      </c>
      <c r="P22">
        <f t="shared" si="2"/>
        <v>0.66700000000000004</v>
      </c>
      <c r="Q22">
        <f t="shared" si="3"/>
        <v>2.1999999999999992E-2</v>
      </c>
    </row>
    <row r="23" spans="1:17" x14ac:dyDescent="0.2">
      <c r="A23" s="21">
        <f t="shared" si="0"/>
        <v>40816</v>
      </c>
      <c r="B23" s="20">
        <v>2011</v>
      </c>
      <c r="C23" s="20">
        <v>3</v>
      </c>
      <c r="D23" s="1">
        <v>3229345</v>
      </c>
      <c r="E23" s="1">
        <v>3602651</v>
      </c>
      <c r="H23">
        <v>13.945</v>
      </c>
      <c r="I23">
        <v>0.65600000000000003</v>
      </c>
      <c r="J23" s="14"/>
      <c r="K23">
        <v>-0.111</v>
      </c>
      <c r="L23" s="14">
        <f t="shared" si="1"/>
        <v>-0.11099999999999888</v>
      </c>
      <c r="M23" s="2">
        <v>1.83E-2</v>
      </c>
      <c r="N23">
        <v>789</v>
      </c>
      <c r="O23">
        <v>76.989999999999995</v>
      </c>
      <c r="P23">
        <f t="shared" si="2"/>
        <v>0.65600000000000003</v>
      </c>
      <c r="Q23">
        <f t="shared" si="3"/>
        <v>-0.111</v>
      </c>
    </row>
    <row r="24" spans="1:17" x14ac:dyDescent="0.2">
      <c r="A24" s="21">
        <f t="shared" si="0"/>
        <v>40724</v>
      </c>
      <c r="B24" s="20">
        <v>2011</v>
      </c>
      <c r="C24" s="20">
        <v>2</v>
      </c>
      <c r="D24" s="1">
        <v>3311340</v>
      </c>
      <c r="E24" s="1">
        <v>3590161</v>
      </c>
      <c r="H24">
        <v>14.055999999999999</v>
      </c>
      <c r="I24">
        <v>0.57199999999999995</v>
      </c>
      <c r="J24" s="14"/>
      <c r="K24">
        <v>-0.13500000000000001</v>
      </c>
      <c r="L24" s="14">
        <f t="shared" si="1"/>
        <v>-0.13500000000000156</v>
      </c>
      <c r="M24" s="2">
        <v>1.67E-2</v>
      </c>
      <c r="N24">
        <v>795</v>
      </c>
      <c r="O24">
        <v>78.06</v>
      </c>
      <c r="P24">
        <f t="shared" si="2"/>
        <v>0.57199999999999995</v>
      </c>
      <c r="Q24">
        <f t="shared" si="3"/>
        <v>-0.13500000000000001</v>
      </c>
    </row>
    <row r="25" spans="1:17" x14ac:dyDescent="0.2">
      <c r="A25" s="21">
        <f t="shared" si="0"/>
        <v>40633</v>
      </c>
      <c r="B25" s="20">
        <v>2011</v>
      </c>
      <c r="C25" s="20">
        <v>1</v>
      </c>
      <c r="D25" s="1">
        <v>3311340</v>
      </c>
      <c r="E25" s="1">
        <v>3590161</v>
      </c>
      <c r="H25">
        <v>14.191000000000001</v>
      </c>
      <c r="I25">
        <v>0.68100000000000005</v>
      </c>
      <c r="J25" s="14"/>
      <c r="K25">
        <v>5.8000000000000003E-2</v>
      </c>
      <c r="L25" s="14">
        <f t="shared" si="1"/>
        <v>5.8000000000001606E-2</v>
      </c>
      <c r="M25" s="2">
        <v>1.47E-2</v>
      </c>
      <c r="N25">
        <v>725</v>
      </c>
      <c r="O25">
        <v>75.39</v>
      </c>
      <c r="P25">
        <f t="shared" si="2"/>
        <v>0.68100000000000005</v>
      </c>
      <c r="Q25">
        <f t="shared" si="3"/>
        <v>5.8000000000000003E-2</v>
      </c>
    </row>
    <row r="26" spans="1:17" x14ac:dyDescent="0.2">
      <c r="A26" s="21">
        <f t="shared" si="0"/>
        <v>40543</v>
      </c>
      <c r="B26" s="20">
        <v>2010</v>
      </c>
      <c r="C26" s="20">
        <v>4</v>
      </c>
      <c r="D26" s="1">
        <f>12543794-SUM(D27:D29)</f>
        <v>3180820</v>
      </c>
      <c r="E26" s="1">
        <f>12640744-SUM(E27:E29)</f>
        <v>3206579</v>
      </c>
      <c r="H26">
        <v>14.132999999999999</v>
      </c>
      <c r="I26">
        <f>3.052-SUM(I27:I29)</f>
        <v>0.65300000000000002</v>
      </c>
      <c r="J26" s="14"/>
      <c r="K26">
        <f>0.033-SUM(K27:K29)</f>
        <v>-0.156</v>
      </c>
      <c r="L26" s="14">
        <f t="shared" si="1"/>
        <v>-0.15600000000000058</v>
      </c>
      <c r="M26" s="2">
        <v>1.7600000000000001E-2</v>
      </c>
      <c r="N26">
        <v>776</v>
      </c>
      <c r="O26">
        <v>73.319999999999993</v>
      </c>
      <c r="P26">
        <f t="shared" si="2"/>
        <v>0.65300000000000002</v>
      </c>
      <c r="Q26">
        <f t="shared" si="3"/>
        <v>-0.156</v>
      </c>
    </row>
    <row r="27" spans="1:17" x14ac:dyDescent="0.2">
      <c r="A27" s="21">
        <f t="shared" si="0"/>
        <v>40451</v>
      </c>
      <c r="B27" s="20">
        <v>2010</v>
      </c>
      <c r="C27" s="20">
        <v>3</v>
      </c>
      <c r="D27" s="1">
        <v>3185515</v>
      </c>
      <c r="E27" s="1">
        <v>3207728</v>
      </c>
      <c r="H27">
        <v>14.289</v>
      </c>
      <c r="I27">
        <v>0.81899999999999995</v>
      </c>
      <c r="J27" s="14"/>
      <c r="K27">
        <v>-2.9000000000000001E-2</v>
      </c>
      <c r="L27" s="14">
        <f t="shared" si="1"/>
        <v>-2.8999999999999915E-2</v>
      </c>
      <c r="M27" s="2">
        <v>1.9800000000000002E-2</v>
      </c>
      <c r="N27">
        <v>795</v>
      </c>
      <c r="O27">
        <v>74.36</v>
      </c>
      <c r="P27">
        <f t="shared" si="2"/>
        <v>0.81899999999999995</v>
      </c>
      <c r="Q27">
        <f t="shared" si="3"/>
        <v>-2.9000000000000001E-2</v>
      </c>
    </row>
    <row r="28" spans="1:17" x14ac:dyDescent="0.2">
      <c r="A28" s="21">
        <f t="shared" si="0"/>
        <v>40359</v>
      </c>
      <c r="B28" s="20">
        <v>2010</v>
      </c>
      <c r="C28" s="20">
        <v>2</v>
      </c>
      <c r="D28" s="1">
        <v>3141326</v>
      </c>
      <c r="E28" s="1">
        <v>3169042</v>
      </c>
      <c r="H28">
        <v>14.318</v>
      </c>
      <c r="I28">
        <v>0.747</v>
      </c>
      <c r="J28" s="14"/>
      <c r="K28">
        <v>-1.9E-2</v>
      </c>
      <c r="L28" s="14">
        <f t="shared" si="1"/>
        <v>-1.9000000000000128E-2</v>
      </c>
      <c r="M28" s="2">
        <v>1.78E-2</v>
      </c>
      <c r="N28">
        <v>743</v>
      </c>
      <c r="O28">
        <v>73.05</v>
      </c>
      <c r="P28">
        <f t="shared" si="2"/>
        <v>0.747</v>
      </c>
      <c r="Q28">
        <f t="shared" si="3"/>
        <v>-1.9E-2</v>
      </c>
    </row>
    <row r="29" spans="1:17" x14ac:dyDescent="0.2">
      <c r="A29" s="21">
        <f t="shared" si="0"/>
        <v>40268</v>
      </c>
      <c r="B29" s="20">
        <v>2010</v>
      </c>
      <c r="C29" s="20">
        <v>1</v>
      </c>
      <c r="D29" s="1">
        <v>3036133</v>
      </c>
      <c r="E29" s="1">
        <v>3057395</v>
      </c>
      <c r="H29">
        <v>14.337</v>
      </c>
      <c r="I29">
        <v>0.83299999999999996</v>
      </c>
      <c r="J29" s="14"/>
      <c r="K29">
        <v>0.23699999999999999</v>
      </c>
      <c r="L29" s="14">
        <f t="shared" si="1"/>
        <v>0.2370000000000001</v>
      </c>
      <c r="M29" s="2">
        <v>1.4E-2</v>
      </c>
      <c r="N29">
        <v>741</v>
      </c>
      <c r="O29">
        <v>71.180000000000007</v>
      </c>
      <c r="P29">
        <f t="shared" si="2"/>
        <v>0.83299999999999996</v>
      </c>
      <c r="Q29">
        <f t="shared" si="3"/>
        <v>0.23699999999999999</v>
      </c>
    </row>
    <row r="30" spans="1:17" x14ac:dyDescent="0.2">
      <c r="A30" s="21">
        <f t="shared" si="0"/>
        <v>40178</v>
      </c>
      <c r="B30" s="20">
        <v>2009</v>
      </c>
      <c r="C30" s="20">
        <v>4</v>
      </c>
      <c r="D30" s="1">
        <f>11538729-SUM(D31:D33)</f>
        <v>2933121</v>
      </c>
      <c r="E30" s="1">
        <f>11664151-SUM(E31:E33)</f>
        <v>2962982</v>
      </c>
      <c r="H30">
        <v>14.1</v>
      </c>
      <c r="I30">
        <f>3.118-SUM(I31:I33)</f>
        <v>0.84699999999999998</v>
      </c>
      <c r="J30" s="14"/>
      <c r="K30">
        <f>0.422-SUM(K31:K33)</f>
        <v>0.24899999999999997</v>
      </c>
      <c r="L30" s="14">
        <f t="shared" si="1"/>
        <v>0.24899999999999878</v>
      </c>
      <c r="M30" s="2">
        <v>1.6399999999999998E-2</v>
      </c>
      <c r="N30">
        <v>697</v>
      </c>
      <c r="O30">
        <v>70.040000000000006</v>
      </c>
      <c r="P30">
        <f t="shared" si="2"/>
        <v>0.84699999999999998</v>
      </c>
      <c r="Q30">
        <f t="shared" si="3"/>
        <v>0.24899999999999997</v>
      </c>
    </row>
    <row r="31" spans="1:17" x14ac:dyDescent="0.2">
      <c r="A31" s="21">
        <f t="shared" si="0"/>
        <v>40086</v>
      </c>
      <c r="B31" s="20">
        <v>2009</v>
      </c>
      <c r="C31" s="20">
        <v>3</v>
      </c>
      <c r="D31" s="1">
        <v>2862554</v>
      </c>
      <c r="E31" s="1">
        <v>2892147</v>
      </c>
      <c r="H31">
        <v>13.851000000000001</v>
      </c>
      <c r="I31">
        <v>0.88700000000000001</v>
      </c>
      <c r="J31" s="14"/>
      <c r="K31">
        <v>0.24099999999999999</v>
      </c>
      <c r="L31" s="14">
        <f t="shared" si="1"/>
        <v>0.24100000000000144</v>
      </c>
      <c r="M31" s="2">
        <v>1.5699999999999999E-2</v>
      </c>
      <c r="N31">
        <v>694</v>
      </c>
      <c r="O31">
        <v>69.510000000000005</v>
      </c>
      <c r="P31">
        <f t="shared" si="2"/>
        <v>0.88700000000000001</v>
      </c>
      <c r="Q31">
        <f t="shared" si="3"/>
        <v>0.24099999999999999</v>
      </c>
    </row>
    <row r="32" spans="1:17" x14ac:dyDescent="0.2">
      <c r="A32" s="21">
        <f t="shared" si="0"/>
        <v>39994</v>
      </c>
      <c r="B32" s="20">
        <v>2009</v>
      </c>
      <c r="C32" s="20">
        <v>2</v>
      </c>
      <c r="D32" s="1">
        <v>2878115</v>
      </c>
      <c r="E32" s="1">
        <v>2903701</v>
      </c>
      <c r="H32">
        <v>13.61</v>
      </c>
      <c r="I32">
        <v>0.73099999999999998</v>
      </c>
      <c r="J32" s="14"/>
      <c r="K32">
        <v>2.5999999999999999E-2</v>
      </c>
      <c r="L32" s="14">
        <f t="shared" si="1"/>
        <v>2.5999999999999801E-2</v>
      </c>
      <c r="M32" s="2">
        <v>1.7299999999999999E-2</v>
      </c>
      <c r="N32">
        <v>708</v>
      </c>
      <c r="O32">
        <v>70.73</v>
      </c>
      <c r="P32">
        <f t="shared" si="2"/>
        <v>0.73099999999999998</v>
      </c>
      <c r="Q32">
        <f t="shared" si="3"/>
        <v>2.5999999999999999E-2</v>
      </c>
    </row>
    <row r="33" spans="1:17" x14ac:dyDescent="0.2">
      <c r="A33" s="21">
        <f t="shared" si="0"/>
        <v>39903</v>
      </c>
      <c r="B33" s="20">
        <v>2009</v>
      </c>
      <c r="C33" s="20">
        <v>1</v>
      </c>
      <c r="D33" s="1">
        <v>2864939</v>
      </c>
      <c r="E33" s="1">
        <v>2905321</v>
      </c>
      <c r="H33">
        <v>13.584</v>
      </c>
      <c r="I33">
        <v>0.65300000000000002</v>
      </c>
      <c r="J33" s="14"/>
      <c r="K33">
        <v>-9.4E-2</v>
      </c>
      <c r="L33" s="14">
        <f t="shared" si="1"/>
        <v>-9.4000000000001194E-2</v>
      </c>
      <c r="M33" s="2">
        <v>1.83E-2</v>
      </c>
      <c r="N33">
        <v>659</v>
      </c>
      <c r="O33">
        <v>70.03</v>
      </c>
      <c r="P33">
        <f t="shared" si="2"/>
        <v>0.65300000000000002</v>
      </c>
      <c r="Q33">
        <f t="shared" si="3"/>
        <v>-9.4E-2</v>
      </c>
    </row>
    <row r="34" spans="1:17" x14ac:dyDescent="0.2">
      <c r="A34" s="21">
        <f t="shared" ref="A34:A65" si="4">DATE(B34,12/4*C34,IF(C34=4,31,IF(C34=1,31,30)))</f>
        <v>39813</v>
      </c>
      <c r="B34" s="20">
        <v>2008</v>
      </c>
      <c r="C34" s="20">
        <v>4</v>
      </c>
      <c r="D34" s="1">
        <f>11455575-SUM(D35:D37)</f>
        <v>2883412</v>
      </c>
      <c r="E34" s="1">
        <f>11617187-SUM(E35:E37)</f>
        <v>2921022</v>
      </c>
      <c r="H34">
        <v>13.678000000000001</v>
      </c>
      <c r="I34">
        <f>2.966-SUM(I35:I37)</f>
        <v>0.65900000000000025</v>
      </c>
      <c r="J34" s="14"/>
      <c r="K34">
        <f>-0.102-SUM(K35:K37)</f>
        <v>-0.10199999999999999</v>
      </c>
      <c r="L34" s="14">
        <f t="shared" ref="L34:L65" si="5">H34-H35</f>
        <v>-0.10199999999999854</v>
      </c>
      <c r="M34" s="2">
        <v>1.8600000000000002E-2</v>
      </c>
      <c r="N34">
        <v>720</v>
      </c>
      <c r="O34">
        <v>69.27</v>
      </c>
      <c r="P34">
        <f t="shared" ref="P34:P65" si="6">IF(I34="",J34,I34)</f>
        <v>0.65900000000000025</v>
      </c>
      <c r="Q34">
        <f t="shared" ref="Q34:Q65" si="7">IF(K34="",L34,K34)</f>
        <v>-0.10199999999999999</v>
      </c>
    </row>
    <row r="35" spans="1:17" x14ac:dyDescent="0.2">
      <c r="A35" s="21">
        <f t="shared" si="4"/>
        <v>39721</v>
      </c>
      <c r="B35" s="20">
        <v>2008</v>
      </c>
      <c r="C35" s="20">
        <v>3</v>
      </c>
      <c r="D35" s="1">
        <v>2886157</v>
      </c>
      <c r="E35" s="1">
        <v>2936781</v>
      </c>
      <c r="H35">
        <v>13.78</v>
      </c>
      <c r="I35">
        <v>0.82499999999999996</v>
      </c>
      <c r="J35" s="14"/>
      <c r="K35">
        <v>-0.01</v>
      </c>
      <c r="L35" s="14">
        <f t="shared" si="5"/>
        <v>-9.9999999999997868E-3</v>
      </c>
      <c r="M35" s="2">
        <v>2.0199999999999999E-2</v>
      </c>
      <c r="N35">
        <v>735</v>
      </c>
      <c r="O35">
        <v>69.819999999999993</v>
      </c>
      <c r="P35">
        <f t="shared" si="6"/>
        <v>0.82499999999999996</v>
      </c>
      <c r="Q35">
        <f t="shared" si="7"/>
        <v>-0.01</v>
      </c>
    </row>
    <row r="36" spans="1:17" x14ac:dyDescent="0.2">
      <c r="A36" s="21">
        <f t="shared" si="4"/>
        <v>39629</v>
      </c>
      <c r="B36" s="20">
        <v>2008</v>
      </c>
      <c r="C36" s="20">
        <v>2</v>
      </c>
      <c r="D36" s="1">
        <v>2875580</v>
      </c>
      <c r="E36" s="1">
        <v>2914990</v>
      </c>
      <c r="H36">
        <v>13.79</v>
      </c>
      <c r="I36">
        <v>0.752</v>
      </c>
      <c r="J36" s="14"/>
      <c r="K36">
        <v>-2.5000000000000001E-2</v>
      </c>
      <c r="L36" s="14">
        <f t="shared" si="5"/>
        <v>-2.5000000000000355E-2</v>
      </c>
      <c r="M36" s="2">
        <v>1.8700000000000001E-2</v>
      </c>
      <c r="N36">
        <v>699</v>
      </c>
      <c r="O36">
        <v>69.38</v>
      </c>
      <c r="P36">
        <f t="shared" si="6"/>
        <v>0.752</v>
      </c>
      <c r="Q36">
        <f t="shared" si="7"/>
        <v>-2.5000000000000001E-2</v>
      </c>
    </row>
    <row r="37" spans="1:17" x14ac:dyDescent="0.2">
      <c r="A37" s="21">
        <f t="shared" si="4"/>
        <v>39538</v>
      </c>
      <c r="B37" s="20">
        <v>2008</v>
      </c>
      <c r="C37" s="20">
        <v>1</v>
      </c>
      <c r="D37" s="1">
        <v>2810426</v>
      </c>
      <c r="E37" s="1">
        <v>2844394</v>
      </c>
      <c r="H37">
        <v>13.815</v>
      </c>
      <c r="I37">
        <v>0.73</v>
      </c>
      <c r="J37" s="14"/>
      <c r="K37">
        <v>3.5000000000000003E-2</v>
      </c>
      <c r="L37" s="14">
        <f t="shared" si="5"/>
        <v>3.5000000000000142E-2</v>
      </c>
      <c r="M37" s="2">
        <v>1.6799999999999999E-2</v>
      </c>
      <c r="N37">
        <v>709</v>
      </c>
      <c r="O37">
        <v>67.930000000000007</v>
      </c>
      <c r="P37">
        <f t="shared" si="6"/>
        <v>0.73</v>
      </c>
      <c r="Q37">
        <f t="shared" si="7"/>
        <v>3.5000000000000003E-2</v>
      </c>
    </row>
    <row r="38" spans="1:17" x14ac:dyDescent="0.2">
      <c r="A38" s="21">
        <f t="shared" si="4"/>
        <v>39447</v>
      </c>
      <c r="B38" s="20">
        <v>2007</v>
      </c>
      <c r="C38" s="20">
        <v>4</v>
      </c>
      <c r="D38" s="1">
        <f>10690976-SUM(D39:D41)</f>
        <v>2763665</v>
      </c>
      <c r="E38" s="1">
        <f>11090375-SUM(E39:E41)</f>
        <v>2891055</v>
      </c>
      <c r="H38">
        <v>13.78</v>
      </c>
      <c r="I38">
        <f>3.434-SUM(I39:I41)</f>
        <v>0.79</v>
      </c>
      <c r="J38" s="14"/>
      <c r="K38">
        <f>0.675-SUM(K39:K41)</f>
        <v>8.4999999999999964E-2</v>
      </c>
      <c r="L38" s="14">
        <f t="shared" si="5"/>
        <v>8.4999999999999076E-2</v>
      </c>
      <c r="M38" s="2">
        <v>1.7000000000000001E-2</v>
      </c>
      <c r="N38">
        <v>656</v>
      </c>
      <c r="O38">
        <v>65.83</v>
      </c>
      <c r="P38">
        <f t="shared" si="6"/>
        <v>0.79</v>
      </c>
      <c r="Q38">
        <f t="shared" si="7"/>
        <v>8.4999999999999964E-2</v>
      </c>
    </row>
    <row r="39" spans="1:17" x14ac:dyDescent="0.2">
      <c r="A39" s="21">
        <f t="shared" si="4"/>
        <v>39355</v>
      </c>
      <c r="B39" s="20">
        <v>2007</v>
      </c>
      <c r="C39" s="20">
        <v>3</v>
      </c>
      <c r="D39" s="1">
        <v>2699018</v>
      </c>
      <c r="E39" s="1">
        <v>2794327</v>
      </c>
      <c r="F39" s="1">
        <v>400624</v>
      </c>
      <c r="G39" s="1">
        <v>184000</v>
      </c>
      <c r="H39">
        <v>13.695</v>
      </c>
      <c r="I39">
        <v>0.90400000000000003</v>
      </c>
      <c r="J39" s="15">
        <f>(F39+G39)/N39/1000</f>
        <v>0.90499071207430337</v>
      </c>
      <c r="K39">
        <v>0.11</v>
      </c>
      <c r="L39" s="15">
        <f t="shared" si="5"/>
        <v>0.10999999999999943</v>
      </c>
      <c r="M39" s="2">
        <v>1.9400000000000001E-2</v>
      </c>
      <c r="N39">
        <v>646</v>
      </c>
      <c r="O39">
        <v>66.010000000000005</v>
      </c>
      <c r="P39">
        <f t="shared" si="6"/>
        <v>0.90400000000000003</v>
      </c>
      <c r="Q39">
        <f t="shared" si="7"/>
        <v>0.11</v>
      </c>
    </row>
    <row r="40" spans="1:17" x14ac:dyDescent="0.2">
      <c r="A40" s="21">
        <f t="shared" si="4"/>
        <v>39263</v>
      </c>
      <c r="B40" s="20">
        <v>2007</v>
      </c>
      <c r="C40" s="20">
        <v>2</v>
      </c>
      <c r="D40" s="1">
        <v>2676230</v>
      </c>
      <c r="E40" s="1">
        <v>2760008</v>
      </c>
      <c r="F40" s="1">
        <v>376408</v>
      </c>
      <c r="G40" s="1">
        <v>172000</v>
      </c>
      <c r="H40">
        <v>13.585000000000001</v>
      </c>
      <c r="I40">
        <v>0.85</v>
      </c>
      <c r="J40" s="15">
        <f>(F40+G40)/N40/1000</f>
        <v>0.85024496124031013</v>
      </c>
      <c r="K40">
        <v>0.17</v>
      </c>
      <c r="L40" s="15">
        <f t="shared" si="5"/>
        <v>0.17000000000000171</v>
      </c>
      <c r="M40" s="2">
        <v>1.6799999999999999E-2</v>
      </c>
      <c r="N40">
        <v>645</v>
      </c>
      <c r="O40">
        <v>66.06</v>
      </c>
      <c r="P40">
        <f t="shared" si="6"/>
        <v>0.85</v>
      </c>
      <c r="Q40">
        <f t="shared" si="7"/>
        <v>0.17</v>
      </c>
    </row>
    <row r="41" spans="1:17" x14ac:dyDescent="0.2">
      <c r="A41" s="21">
        <f t="shared" si="4"/>
        <v>39172</v>
      </c>
      <c r="B41" s="20">
        <v>2007</v>
      </c>
      <c r="C41" s="20">
        <v>1</v>
      </c>
      <c r="D41" s="1">
        <v>2552063</v>
      </c>
      <c r="E41" s="1">
        <v>2644985</v>
      </c>
      <c r="F41" s="1">
        <v>401085</v>
      </c>
      <c r="G41" s="1">
        <v>189000</v>
      </c>
      <c r="H41">
        <v>13.414999999999999</v>
      </c>
      <c r="I41">
        <v>0.89</v>
      </c>
      <c r="J41" s="15">
        <f>(F41+G41)/N41/1000</f>
        <v>0.89002262443438918</v>
      </c>
      <c r="K41">
        <v>0.31</v>
      </c>
      <c r="L41" s="15">
        <f t="shared" si="5"/>
        <v>0.30999999999999872</v>
      </c>
      <c r="M41" s="2">
        <v>1.46E-2</v>
      </c>
      <c r="N41">
        <v>663</v>
      </c>
      <c r="O41">
        <v>64.17</v>
      </c>
      <c r="P41">
        <f t="shared" si="6"/>
        <v>0.89</v>
      </c>
      <c r="Q41">
        <f t="shared" si="7"/>
        <v>0.31</v>
      </c>
    </row>
    <row r="42" spans="1:17" x14ac:dyDescent="0.2">
      <c r="A42" s="21">
        <f t="shared" si="4"/>
        <v>39082</v>
      </c>
      <c r="B42" s="20">
        <v>2006</v>
      </c>
      <c r="C42" s="20">
        <v>4</v>
      </c>
      <c r="D42" s="1">
        <f>9422274-SUM(D43:D45)</f>
        <v>2505139</v>
      </c>
      <c r="E42" s="1">
        <f>9818486-SUM(E43:E45)</f>
        <v>2577649</v>
      </c>
      <c r="H42">
        <v>13.105</v>
      </c>
      <c r="I42">
        <f>3.516-SUM(I43:I45)</f>
        <v>0.94</v>
      </c>
      <c r="J42" s="14"/>
      <c r="K42">
        <f>1.065-SUM(K43:K45)</f>
        <v>0.35</v>
      </c>
      <c r="L42" s="14">
        <f t="shared" si="5"/>
        <v>0.34999999999999964</v>
      </c>
      <c r="M42" s="2">
        <v>1.6400000000000001E-2</v>
      </c>
      <c r="N42">
        <v>686</v>
      </c>
      <c r="O42">
        <v>62.78</v>
      </c>
      <c r="P42">
        <f t="shared" si="6"/>
        <v>0.94</v>
      </c>
      <c r="Q42">
        <f t="shared" si="7"/>
        <v>0.35</v>
      </c>
    </row>
    <row r="43" spans="1:17" x14ac:dyDescent="0.2">
      <c r="A43" s="21">
        <f t="shared" si="4"/>
        <v>38990</v>
      </c>
      <c r="B43" s="20">
        <v>2006</v>
      </c>
      <c r="C43" s="20">
        <v>3</v>
      </c>
      <c r="D43" s="1">
        <v>2389798</v>
      </c>
      <c r="E43" s="1">
        <v>2475291</v>
      </c>
      <c r="F43" s="1">
        <v>438827</v>
      </c>
      <c r="G43" s="1">
        <v>220000</v>
      </c>
      <c r="H43">
        <v>12.755000000000001</v>
      </c>
      <c r="I43">
        <v>0.95799999999999996</v>
      </c>
      <c r="J43" s="15">
        <f>(F43+G43)/N43/1000</f>
        <v>0.95759738372093017</v>
      </c>
      <c r="K43">
        <v>0.29499999999999998</v>
      </c>
      <c r="L43" s="15">
        <f t="shared" si="5"/>
        <v>0.29499999999999993</v>
      </c>
      <c r="M43" s="2">
        <v>1.7600000000000001E-2</v>
      </c>
      <c r="N43">
        <v>688</v>
      </c>
      <c r="O43">
        <v>63.28</v>
      </c>
      <c r="P43">
        <f t="shared" si="6"/>
        <v>0.95799999999999996</v>
      </c>
      <c r="Q43">
        <f t="shared" si="7"/>
        <v>0.29499999999999998</v>
      </c>
    </row>
    <row r="44" spans="1:17" x14ac:dyDescent="0.2">
      <c r="A44" s="21">
        <f t="shared" si="4"/>
        <v>38898</v>
      </c>
      <c r="B44" s="20">
        <v>2006</v>
      </c>
      <c r="C44" s="20">
        <v>2</v>
      </c>
      <c r="D44" s="1">
        <v>2332227</v>
      </c>
      <c r="E44" s="1">
        <v>2466155</v>
      </c>
      <c r="F44" s="1">
        <v>373239</v>
      </c>
      <c r="G44" s="1">
        <v>189700</v>
      </c>
      <c r="H44">
        <v>12.46</v>
      </c>
      <c r="I44">
        <v>0.82399999999999995</v>
      </c>
      <c r="J44" s="15">
        <f>(F44+G44)/N44/1000</f>
        <v>0.82421522693997074</v>
      </c>
      <c r="K44">
        <v>0.19500000000000001</v>
      </c>
      <c r="L44" s="15">
        <f t="shared" si="5"/>
        <v>0.19500000000000028</v>
      </c>
      <c r="M44" s="2">
        <v>1.7000000000000001E-2</v>
      </c>
      <c r="N44">
        <v>683</v>
      </c>
      <c r="O44">
        <v>62.91</v>
      </c>
      <c r="P44">
        <f t="shared" si="6"/>
        <v>0.82399999999999995</v>
      </c>
      <c r="Q44">
        <f t="shared" si="7"/>
        <v>0.19500000000000001</v>
      </c>
    </row>
    <row r="45" spans="1:17" x14ac:dyDescent="0.2">
      <c r="A45" s="21">
        <f t="shared" si="4"/>
        <v>38807</v>
      </c>
      <c r="B45" s="20">
        <v>2006</v>
      </c>
      <c r="C45" s="20">
        <v>1</v>
      </c>
      <c r="D45" s="1">
        <v>2195110</v>
      </c>
      <c r="E45" s="1">
        <v>2299391</v>
      </c>
      <c r="F45" s="1">
        <v>358955</v>
      </c>
      <c r="G45" s="1">
        <v>194800</v>
      </c>
      <c r="H45">
        <v>12.265000000000001</v>
      </c>
      <c r="I45">
        <v>0.79400000000000004</v>
      </c>
      <c r="J45" s="15">
        <f>(F45+G45)/N45/1000</f>
        <v>0.79448350071736018</v>
      </c>
      <c r="K45">
        <v>0.22500000000000001</v>
      </c>
      <c r="L45" s="15">
        <f t="shared" si="5"/>
        <v>0.22500000000000142</v>
      </c>
      <c r="M45" s="2">
        <v>1.5699999999999999E-2</v>
      </c>
      <c r="N45">
        <v>697</v>
      </c>
      <c r="O45">
        <v>60.26</v>
      </c>
      <c r="P45">
        <f t="shared" si="6"/>
        <v>0.79400000000000004</v>
      </c>
      <c r="Q45">
        <f t="shared" si="7"/>
        <v>0.22500000000000001</v>
      </c>
    </row>
    <row r="46" spans="1:17" x14ac:dyDescent="0.2">
      <c r="A46" s="21">
        <f t="shared" si="4"/>
        <v>38717</v>
      </c>
      <c r="B46" s="20">
        <v>2005</v>
      </c>
      <c r="C46" s="20">
        <v>4</v>
      </c>
      <c r="D46" s="1">
        <f>7986394-SUM(D47:D49)</f>
        <v>2089896</v>
      </c>
      <c r="E46" s="1">
        <f>8447175-SUM(E47:E49)</f>
        <v>2199468</v>
      </c>
      <c r="H46">
        <v>12.04</v>
      </c>
      <c r="I46">
        <f>3.397-SUM(I47:I49)</f>
        <v>0.8969999999999998</v>
      </c>
      <c r="J46" s="15"/>
      <c r="K46">
        <f>1.135-SUM(K47:K49)</f>
        <v>0.33000000000000007</v>
      </c>
      <c r="L46" s="15">
        <f t="shared" si="5"/>
        <v>0.32999999999999829</v>
      </c>
      <c r="M46" s="2">
        <v>1.6500000000000001E-2</v>
      </c>
      <c r="N46">
        <v>693</v>
      </c>
      <c r="O46">
        <v>58.04</v>
      </c>
      <c r="P46">
        <f t="shared" si="6"/>
        <v>0.8969999999999998</v>
      </c>
      <c r="Q46">
        <f t="shared" si="7"/>
        <v>0.33000000000000007</v>
      </c>
    </row>
    <row r="47" spans="1:17" x14ac:dyDescent="0.2">
      <c r="A47" s="21">
        <f t="shared" si="4"/>
        <v>38625</v>
      </c>
      <c r="B47" s="20">
        <v>2005</v>
      </c>
      <c r="C47" s="20">
        <v>3</v>
      </c>
      <c r="D47" s="1">
        <v>2010441</v>
      </c>
      <c r="E47" s="1">
        <v>2128221</v>
      </c>
      <c r="F47" s="1">
        <v>402565</v>
      </c>
      <c r="G47" s="1">
        <v>225000</v>
      </c>
      <c r="H47">
        <v>11.71</v>
      </c>
      <c r="I47">
        <v>0.9</v>
      </c>
      <c r="J47" s="15">
        <f>(F47+G47)/N47/1000</f>
        <v>0.90038020086083215</v>
      </c>
      <c r="K47">
        <v>0.255</v>
      </c>
      <c r="L47" s="15">
        <f t="shared" si="5"/>
        <v>0.25500000000000078</v>
      </c>
      <c r="M47" s="2">
        <v>1.8599999999999998E-2</v>
      </c>
      <c r="N47">
        <v>697</v>
      </c>
      <c r="O47">
        <v>57.87</v>
      </c>
      <c r="P47">
        <f t="shared" si="6"/>
        <v>0.9</v>
      </c>
      <c r="Q47">
        <f t="shared" si="7"/>
        <v>0.255</v>
      </c>
    </row>
    <row r="48" spans="1:17" x14ac:dyDescent="0.2">
      <c r="A48" s="21">
        <f t="shared" si="4"/>
        <v>38533</v>
      </c>
      <c r="B48" s="20">
        <v>2005</v>
      </c>
      <c r="C48" s="20">
        <v>2</v>
      </c>
      <c r="D48" s="1">
        <v>1992174</v>
      </c>
      <c r="E48" s="1">
        <v>2095486</v>
      </c>
      <c r="F48" s="1">
        <v>344964</v>
      </c>
      <c r="G48" s="1">
        <v>208200</v>
      </c>
      <c r="H48">
        <v>11.455</v>
      </c>
      <c r="I48">
        <v>0.79900000000000004</v>
      </c>
      <c r="J48" s="15">
        <f>(F48+G48)/N48/1000</f>
        <v>0.79936994219653179</v>
      </c>
      <c r="K48">
        <v>0.22500000000000001</v>
      </c>
      <c r="L48" s="15">
        <f t="shared" si="5"/>
        <v>0.22499999999999964</v>
      </c>
      <c r="M48" s="2">
        <v>1.6899999999999998E-2</v>
      </c>
      <c r="N48">
        <v>692</v>
      </c>
      <c r="O48">
        <v>58.53</v>
      </c>
      <c r="P48">
        <f t="shared" si="6"/>
        <v>0.79900000000000004</v>
      </c>
      <c r="Q48">
        <f t="shared" si="7"/>
        <v>0.22500000000000001</v>
      </c>
    </row>
    <row r="49" spans="1:17" x14ac:dyDescent="0.2">
      <c r="A49" s="21">
        <f t="shared" si="4"/>
        <v>38442</v>
      </c>
      <c r="B49" s="20">
        <v>2005</v>
      </c>
      <c r="C49" s="20">
        <v>1</v>
      </c>
      <c r="D49" s="1">
        <v>1893883</v>
      </c>
      <c r="E49" s="1">
        <v>2024000</v>
      </c>
      <c r="F49" s="1">
        <v>333511</v>
      </c>
      <c r="G49" s="1">
        <v>184700</v>
      </c>
      <c r="H49">
        <v>11.23</v>
      </c>
      <c r="I49">
        <v>0.80100000000000005</v>
      </c>
      <c r="J49" s="15">
        <f>(F49+G49)/N49/1000</f>
        <v>0.83179935794542537</v>
      </c>
      <c r="K49">
        <v>0.32500000000000001</v>
      </c>
      <c r="L49" s="15">
        <f t="shared" si="5"/>
        <v>0.32500000000000107</v>
      </c>
      <c r="M49" s="2">
        <v>1.44E-2</v>
      </c>
      <c r="N49">
        <v>623</v>
      </c>
      <c r="O49">
        <v>57</v>
      </c>
      <c r="P49">
        <f t="shared" si="6"/>
        <v>0.80100000000000005</v>
      </c>
      <c r="Q49">
        <f t="shared" si="7"/>
        <v>0.32500000000000001</v>
      </c>
    </row>
    <row r="50" spans="1:17" x14ac:dyDescent="0.2">
      <c r="A50" s="21">
        <f t="shared" si="4"/>
        <v>38352</v>
      </c>
      <c r="B50" s="20">
        <v>2004</v>
      </c>
      <c r="C50" s="20">
        <v>4</v>
      </c>
      <c r="D50" s="1">
        <f>6692949-SUM(D51:D53)</f>
        <v>1805443</v>
      </c>
      <c r="E50" s="1">
        <f>7158471-SUM(E51:E53)</f>
        <v>1938349</v>
      </c>
      <c r="H50">
        <v>10.904999999999999</v>
      </c>
      <c r="I50">
        <f>3.441-SUM(I51:I53)</f>
        <v>0.91199999999999992</v>
      </c>
      <c r="J50" s="14"/>
      <c r="K50">
        <f>1.48-SUM(K51:K53)</f>
        <v>0.43000000000000016</v>
      </c>
      <c r="L50" s="14">
        <f t="shared" si="5"/>
        <v>0.42999999999999972</v>
      </c>
      <c r="M50" s="2">
        <v>1.6200000000000003E-2</v>
      </c>
      <c r="N50">
        <v>611</v>
      </c>
      <c r="O50">
        <v>55</v>
      </c>
      <c r="P50">
        <f t="shared" si="6"/>
        <v>0.91199999999999992</v>
      </c>
      <c r="Q50">
        <f t="shared" si="7"/>
        <v>0.43000000000000016</v>
      </c>
    </row>
    <row r="51" spans="1:17" x14ac:dyDescent="0.2">
      <c r="A51" s="21">
        <f t="shared" si="4"/>
        <v>38260</v>
      </c>
      <c r="B51" s="20">
        <v>2004</v>
      </c>
      <c r="C51" s="20">
        <v>3</v>
      </c>
      <c r="D51" s="1">
        <v>1733494</v>
      </c>
      <c r="E51" s="1">
        <v>1862613</v>
      </c>
      <c r="F51" s="1">
        <v>377104</v>
      </c>
      <c r="H51">
        <v>10.475</v>
      </c>
      <c r="I51">
        <v>0.89500000000000002</v>
      </c>
      <c r="J51" s="15">
        <f>F51/N51/1000</f>
        <v>0.89573396674584316</v>
      </c>
      <c r="K51">
        <v>0.35</v>
      </c>
      <c r="L51" s="15">
        <f t="shared" si="5"/>
        <v>0.34999999999999964</v>
      </c>
      <c r="M51" s="2">
        <v>1.77E-2</v>
      </c>
      <c r="N51">
        <v>421</v>
      </c>
      <c r="O51">
        <v>56.11</v>
      </c>
      <c r="P51">
        <f t="shared" si="6"/>
        <v>0.89500000000000002</v>
      </c>
      <c r="Q51">
        <f t="shared" si="7"/>
        <v>0.35</v>
      </c>
    </row>
    <row r="52" spans="1:17" x14ac:dyDescent="0.2">
      <c r="A52" s="21">
        <f t="shared" si="4"/>
        <v>38168</v>
      </c>
      <c r="B52" s="20">
        <v>2004</v>
      </c>
      <c r="C52" s="20">
        <v>2</v>
      </c>
      <c r="D52" s="1">
        <v>1660502</v>
      </c>
      <c r="E52" s="1">
        <v>1777713</v>
      </c>
      <c r="F52" s="1">
        <v>365344</v>
      </c>
      <c r="H52">
        <v>10.125</v>
      </c>
      <c r="I52">
        <v>0.84899999999999998</v>
      </c>
      <c r="J52" s="15">
        <f>F52/N52/1000</f>
        <v>0.8476658932714618</v>
      </c>
      <c r="K52">
        <v>0.34</v>
      </c>
      <c r="L52" s="15">
        <f t="shared" si="5"/>
        <v>0.33999999999999986</v>
      </c>
      <c r="M52" s="2">
        <v>1.7100000000000001E-2</v>
      </c>
      <c r="N52">
        <v>431</v>
      </c>
      <c r="O52">
        <v>55.59</v>
      </c>
      <c r="P52">
        <f t="shared" si="6"/>
        <v>0.84899999999999998</v>
      </c>
      <c r="Q52">
        <f t="shared" si="7"/>
        <v>0.34</v>
      </c>
    </row>
    <row r="53" spans="1:17" x14ac:dyDescent="0.2">
      <c r="A53" s="21">
        <f t="shared" si="4"/>
        <v>38077</v>
      </c>
      <c r="B53" s="20">
        <v>2004</v>
      </c>
      <c r="C53" s="20">
        <v>1</v>
      </c>
      <c r="D53" s="1">
        <v>1493510</v>
      </c>
      <c r="E53" s="1">
        <v>1579796</v>
      </c>
      <c r="F53" s="1">
        <v>416299</v>
      </c>
      <c r="H53">
        <v>9.7850000000000001</v>
      </c>
      <c r="I53">
        <v>0.78500000000000003</v>
      </c>
      <c r="J53" s="15">
        <f>F53/N53/1000</f>
        <v>0.78546981132075477</v>
      </c>
      <c r="K53">
        <v>0.36</v>
      </c>
      <c r="L53" s="15">
        <f t="shared" si="5"/>
        <v>0.35999999999999943</v>
      </c>
      <c r="M53" s="2">
        <v>1.4800000000000001E-2</v>
      </c>
      <c r="N53">
        <v>530</v>
      </c>
      <c r="O53">
        <v>51.76</v>
      </c>
      <c r="P53">
        <f t="shared" si="6"/>
        <v>0.78500000000000003</v>
      </c>
      <c r="Q53">
        <f t="shared" si="7"/>
        <v>0.36</v>
      </c>
    </row>
    <row r="54" spans="1:17" x14ac:dyDescent="0.2">
      <c r="A54" s="21">
        <f t="shared" si="4"/>
        <v>37986</v>
      </c>
      <c r="B54" s="20">
        <v>2003</v>
      </c>
      <c r="C54" s="20">
        <v>4</v>
      </c>
      <c r="D54" s="1">
        <f>5409875-SUM(D55:D57)</f>
        <v>1407862</v>
      </c>
      <c r="E54" s="1">
        <f>5739296-SUM(E55:E57)</f>
        <v>1513386</v>
      </c>
      <c r="F54" s="1">
        <v>1312068</v>
      </c>
      <c r="H54">
        <v>9.4250000000000007</v>
      </c>
      <c r="I54" s="11">
        <f>2.894-SUM(J55:J57)</f>
        <v>0.76224705743348853</v>
      </c>
      <c r="J54" s="15">
        <f>F54/N54/1000-SUM(J55:J57)</f>
        <v>0.76464440842686621</v>
      </c>
      <c r="K54" s="3">
        <f>1.245-SUM(K55:K57)</f>
        <v>0.34000000000000019</v>
      </c>
      <c r="L54" s="15">
        <f t="shared" si="5"/>
        <v>0.33999999999999986</v>
      </c>
      <c r="M54" s="2">
        <v>1.5700000000000002E-2</v>
      </c>
      <c r="N54">
        <v>453</v>
      </c>
      <c r="O54">
        <v>51.21</v>
      </c>
      <c r="P54">
        <f t="shared" si="6"/>
        <v>0.76224705743348853</v>
      </c>
      <c r="Q54" s="23">
        <f t="shared" si="7"/>
        <v>0.34000000000000019</v>
      </c>
    </row>
    <row r="55" spans="1:17" x14ac:dyDescent="0.2">
      <c r="A55" s="21">
        <f t="shared" si="4"/>
        <v>37894</v>
      </c>
      <c r="B55" s="20">
        <v>2003</v>
      </c>
      <c r="C55" s="20">
        <v>3</v>
      </c>
      <c r="D55" s="1">
        <v>1365827</v>
      </c>
      <c r="E55" s="1">
        <v>1452295</v>
      </c>
      <c r="F55" s="1">
        <v>346512</v>
      </c>
      <c r="H55">
        <v>9.0850000000000009</v>
      </c>
      <c r="I55" s="7"/>
      <c r="J55" s="15">
        <f>F55/N55/1000</f>
        <v>0.74358798283261807</v>
      </c>
      <c r="K55" s="3">
        <v>0.28499999999999998</v>
      </c>
      <c r="L55" s="15">
        <f t="shared" si="5"/>
        <v>0.28500000000000014</v>
      </c>
      <c r="M55" s="2">
        <v>1.72E-2</v>
      </c>
      <c r="N55">
        <v>466</v>
      </c>
      <c r="O55">
        <v>50.88</v>
      </c>
      <c r="P55">
        <f t="shared" si="6"/>
        <v>0.74358798283261807</v>
      </c>
      <c r="Q55">
        <f t="shared" si="7"/>
        <v>0.28499999999999998</v>
      </c>
    </row>
    <row r="56" spans="1:17" x14ac:dyDescent="0.2">
      <c r="A56" s="21">
        <f t="shared" si="4"/>
        <v>37802</v>
      </c>
      <c r="B56" s="20">
        <v>2003</v>
      </c>
      <c r="C56" s="20">
        <v>2</v>
      </c>
      <c r="D56" s="1">
        <v>1343041</v>
      </c>
      <c r="E56" s="1">
        <v>1414567</v>
      </c>
      <c r="F56" s="1">
        <v>285701</v>
      </c>
      <c r="H56">
        <v>8.8000000000000007</v>
      </c>
      <c r="J56" s="15">
        <f>F56/N56/1000</f>
        <v>0.70024754901960784</v>
      </c>
      <c r="K56">
        <v>0.27</v>
      </c>
      <c r="L56" s="15">
        <f t="shared" si="5"/>
        <v>0.27000000000000135</v>
      </c>
      <c r="M56" s="2">
        <v>1.67E-2</v>
      </c>
      <c r="N56">
        <v>408</v>
      </c>
      <c r="O56">
        <v>51.69</v>
      </c>
      <c r="P56">
        <f t="shared" si="6"/>
        <v>0.70024754901960784</v>
      </c>
      <c r="Q56">
        <f t="shared" si="7"/>
        <v>0.27</v>
      </c>
    </row>
    <row r="57" spans="1:17" x14ac:dyDescent="0.2">
      <c r="A57" s="21">
        <f t="shared" si="4"/>
        <v>37711</v>
      </c>
      <c r="B57" s="20">
        <v>2003</v>
      </c>
      <c r="C57" s="20">
        <v>1</v>
      </c>
      <c r="D57" s="1">
        <v>1293145</v>
      </c>
      <c r="E57" s="1">
        <v>1359048</v>
      </c>
      <c r="F57" s="1">
        <v>308187</v>
      </c>
      <c r="H57">
        <v>8.5299999999999994</v>
      </c>
      <c r="J57" s="15">
        <f>F57/N57/1000</f>
        <v>0.68791741071428569</v>
      </c>
      <c r="K57">
        <v>0.35</v>
      </c>
      <c r="L57" s="15">
        <f t="shared" si="5"/>
        <v>0.34999999999999964</v>
      </c>
      <c r="M57" s="2">
        <v>1.3599999999999999E-2</v>
      </c>
      <c r="N57">
        <v>448</v>
      </c>
      <c r="O57">
        <v>51.6</v>
      </c>
      <c r="P57">
        <f t="shared" si="6"/>
        <v>0.68791741071428569</v>
      </c>
      <c r="Q57">
        <f t="shared" si="7"/>
        <v>0.35</v>
      </c>
    </row>
    <row r="58" spans="1:17" x14ac:dyDescent="0.2">
      <c r="A58" s="21">
        <f t="shared" si="4"/>
        <v>37621</v>
      </c>
      <c r="B58" s="20">
        <v>2002</v>
      </c>
      <c r="C58" s="20">
        <v>4</v>
      </c>
      <c r="D58" s="1">
        <f>4429699-SUM(D59:D61)</f>
        <v>1207121</v>
      </c>
      <c r="E58" s="1">
        <f>4820825-SUM(E59:E61)</f>
        <v>1324824</v>
      </c>
      <c r="F58" s="1">
        <v>1168649</v>
      </c>
      <c r="H58">
        <v>8.18</v>
      </c>
      <c r="I58" s="11">
        <f>2.764-SUM(J59:J61)</f>
        <v>0.78130785558048776</v>
      </c>
      <c r="J58" s="15">
        <f>F58/N58/1000-SUM(J59:J61)</f>
        <v>0.79319621662561879</v>
      </c>
      <c r="K58">
        <f>1.35-SUM(K59:K61)</f>
        <v>0.40000000000000013</v>
      </c>
      <c r="L58" s="15">
        <f t="shared" si="5"/>
        <v>0.39999999999999947</v>
      </c>
      <c r="M58" s="2">
        <v>1.5900000000000001E-2</v>
      </c>
      <c r="N58">
        <v>421</v>
      </c>
      <c r="O58">
        <v>49.37</v>
      </c>
      <c r="P58">
        <f t="shared" si="6"/>
        <v>0.78130785558048776</v>
      </c>
      <c r="Q58">
        <f t="shared" si="7"/>
        <v>0.40000000000000013</v>
      </c>
    </row>
    <row r="59" spans="1:17" x14ac:dyDescent="0.2">
      <c r="A59" s="21">
        <f t="shared" si="4"/>
        <v>37529</v>
      </c>
      <c r="B59" s="20">
        <v>2002</v>
      </c>
      <c r="C59" s="20">
        <v>3</v>
      </c>
      <c r="D59" s="1">
        <f>1120448+3558</f>
        <v>1124006</v>
      </c>
      <c r="E59" s="1">
        <v>1222849</v>
      </c>
      <c r="F59" s="1">
        <v>297700</v>
      </c>
      <c r="H59">
        <v>7.78</v>
      </c>
      <c r="J59" s="15">
        <f>F59/N59/1000</f>
        <v>0.72082324455205815</v>
      </c>
      <c r="K59">
        <v>0.32</v>
      </c>
      <c r="L59" s="15">
        <f t="shared" si="5"/>
        <v>0.32000000000000028</v>
      </c>
      <c r="M59" s="2">
        <v>1.5900000000000001E-2</v>
      </c>
      <c r="N59">
        <v>413</v>
      </c>
      <c r="O59">
        <v>49.04</v>
      </c>
      <c r="P59">
        <f t="shared" si="6"/>
        <v>0.72082324455205815</v>
      </c>
      <c r="Q59">
        <f t="shared" si="7"/>
        <v>0.32</v>
      </c>
    </row>
    <row r="60" spans="1:17" x14ac:dyDescent="0.2">
      <c r="A60" s="21">
        <f t="shared" si="4"/>
        <v>37437</v>
      </c>
      <c r="B60" s="20">
        <v>2002</v>
      </c>
      <c r="C60" s="20">
        <v>2</v>
      </c>
      <c r="D60" s="1">
        <f>1071845+7843</f>
        <v>1079688</v>
      </c>
      <c r="E60" s="1">
        <v>1168684</v>
      </c>
      <c r="F60" s="1">
        <v>248300</v>
      </c>
      <c r="H60">
        <v>7.46</v>
      </c>
      <c r="J60" s="15">
        <f>F60/N60/1000</f>
        <v>0.64326424870466326</v>
      </c>
      <c r="K60">
        <v>0.29499999999999998</v>
      </c>
      <c r="L60" s="15">
        <f t="shared" si="5"/>
        <v>0.29999999999999982</v>
      </c>
      <c r="M60" s="2">
        <v>1.49E-2</v>
      </c>
      <c r="N60">
        <v>386</v>
      </c>
      <c r="O60">
        <v>48.85</v>
      </c>
      <c r="P60">
        <f t="shared" si="6"/>
        <v>0.64326424870466326</v>
      </c>
      <c r="Q60">
        <f t="shared" si="7"/>
        <v>0.29499999999999998</v>
      </c>
    </row>
    <row r="61" spans="1:17" x14ac:dyDescent="0.2">
      <c r="A61" s="21">
        <f t="shared" si="4"/>
        <v>37346</v>
      </c>
      <c r="B61" s="20">
        <v>2002</v>
      </c>
      <c r="C61" s="20">
        <v>1</v>
      </c>
      <c r="D61" s="1">
        <f>1016057+2827</f>
        <v>1018884</v>
      </c>
      <c r="E61" s="1">
        <v>1104468</v>
      </c>
      <c r="F61" s="1">
        <v>266000</v>
      </c>
      <c r="H61">
        <v>7.16</v>
      </c>
      <c r="J61" s="15">
        <f>F61/N61/1000</f>
        <v>0.61860465116279062</v>
      </c>
      <c r="K61">
        <v>0.33500000000000002</v>
      </c>
      <c r="L61" s="15">
        <f t="shared" si="5"/>
        <v>0.33000000000000007</v>
      </c>
      <c r="M61" s="2">
        <v>1.37E-2</v>
      </c>
      <c r="N61">
        <v>430</v>
      </c>
      <c r="O61">
        <v>48.36</v>
      </c>
      <c r="P61">
        <f t="shared" si="6"/>
        <v>0.61860465116279062</v>
      </c>
      <c r="Q61">
        <f t="shared" si="7"/>
        <v>0.33500000000000002</v>
      </c>
    </row>
    <row r="62" spans="1:17" x14ac:dyDescent="0.2">
      <c r="A62" s="21">
        <f t="shared" si="4"/>
        <v>37256</v>
      </c>
      <c r="B62" s="20">
        <v>2001</v>
      </c>
      <c r="C62" s="20">
        <v>4</v>
      </c>
      <c r="D62" s="1">
        <f>3588441+17283-SUM(D63:D65)</f>
        <v>997851</v>
      </c>
      <c r="E62" s="1">
        <f>4001138-SUM(E63:E65)</f>
        <v>1150430</v>
      </c>
      <c r="F62" s="1">
        <v>1074000</v>
      </c>
      <c r="H62">
        <v>6.83</v>
      </c>
      <c r="J62" s="15">
        <f>F62/N62/1000-SUM(J63:J65)</f>
        <v>0.69156387238439665</v>
      </c>
      <c r="K62">
        <f>1.57-SUM(K63:K65)</f>
        <v>0.40000000000000013</v>
      </c>
      <c r="L62" s="15">
        <f t="shared" si="5"/>
        <v>0.40000000000000036</v>
      </c>
      <c r="M62" s="2">
        <v>1.6E-2</v>
      </c>
      <c r="N62">
        <v>395</v>
      </c>
      <c r="O62">
        <v>49.32</v>
      </c>
      <c r="P62">
        <f t="shared" si="6"/>
        <v>0.69156387238439665</v>
      </c>
      <c r="Q62">
        <f t="shared" si="7"/>
        <v>0.40000000000000013</v>
      </c>
    </row>
    <row r="63" spans="1:17" x14ac:dyDescent="0.2">
      <c r="A63" s="21">
        <f t="shared" si="4"/>
        <v>37164</v>
      </c>
      <c r="B63" s="20">
        <v>2001</v>
      </c>
      <c r="C63" s="20">
        <v>3</v>
      </c>
      <c r="D63" s="1">
        <f>920970+3672</f>
        <v>924642</v>
      </c>
      <c r="E63" s="1">
        <v>1022506</v>
      </c>
      <c r="F63" s="1">
        <v>268000</v>
      </c>
      <c r="H63">
        <v>6.43</v>
      </c>
      <c r="J63" s="15">
        <f>F63/N63/1000</f>
        <v>0.68367346938775508</v>
      </c>
      <c r="K63">
        <v>0.36</v>
      </c>
      <c r="L63" s="15">
        <f t="shared" si="5"/>
        <v>0.35999999999999943</v>
      </c>
      <c r="N63">
        <v>392</v>
      </c>
      <c r="O63">
        <v>49.26</v>
      </c>
      <c r="P63">
        <f t="shared" si="6"/>
        <v>0.68367346938775508</v>
      </c>
      <c r="Q63">
        <f t="shared" si="7"/>
        <v>0.36</v>
      </c>
    </row>
    <row r="64" spans="1:17" x14ac:dyDescent="0.2">
      <c r="A64" s="21">
        <f t="shared" si="4"/>
        <v>37072</v>
      </c>
      <c r="B64" s="20">
        <v>2001</v>
      </c>
      <c r="C64" s="20">
        <v>2</v>
      </c>
      <c r="D64" s="1">
        <f>883055+3245</f>
        <v>886300</v>
      </c>
      <c r="E64" s="1">
        <v>966272</v>
      </c>
      <c r="F64" s="1">
        <v>252000</v>
      </c>
      <c r="H64">
        <v>6.07</v>
      </c>
      <c r="J64" s="15">
        <f>F64/N64/1000</f>
        <v>0.65625</v>
      </c>
      <c r="K64">
        <v>0.35</v>
      </c>
      <c r="L64" s="15">
        <f t="shared" si="5"/>
        <v>0.37000000000000011</v>
      </c>
      <c r="N64">
        <v>384</v>
      </c>
      <c r="O64">
        <v>50</v>
      </c>
      <c r="P64">
        <f t="shared" si="6"/>
        <v>0.65625</v>
      </c>
      <c r="Q64">
        <f t="shared" si="7"/>
        <v>0.35</v>
      </c>
    </row>
    <row r="65" spans="1:17" x14ac:dyDescent="0.2">
      <c r="A65" s="21">
        <f t="shared" si="4"/>
        <v>36981</v>
      </c>
      <c r="B65" s="20">
        <v>2001</v>
      </c>
      <c r="C65" s="20">
        <v>1</v>
      </c>
      <c r="D65" s="1">
        <f>794448+2483</f>
        <v>796931</v>
      </c>
      <c r="E65" s="1">
        <v>861930</v>
      </c>
      <c r="F65" s="1">
        <v>297000</v>
      </c>
      <c r="H65">
        <v>5.7</v>
      </c>
      <c r="J65" s="15">
        <f>F65/N65/1000</f>
        <v>0.6875</v>
      </c>
      <c r="K65">
        <v>0.46</v>
      </c>
      <c r="L65" s="15">
        <f t="shared" si="5"/>
        <v>0.44000000000000039</v>
      </c>
      <c r="N65">
        <v>432</v>
      </c>
      <c r="O65">
        <v>48.23</v>
      </c>
      <c r="P65">
        <f t="shared" si="6"/>
        <v>0.6875</v>
      </c>
      <c r="Q65">
        <f t="shared" si="7"/>
        <v>0.46</v>
      </c>
    </row>
    <row r="66" spans="1:17" x14ac:dyDescent="0.2">
      <c r="A66" s="21">
        <f t="shared" ref="A66:A97" si="8">DATE(B66,12/4*C66,IF(C66=4,31,IF(C66=1,31,30)))</f>
        <v>36891</v>
      </c>
      <c r="B66" s="20">
        <v>2000</v>
      </c>
      <c r="C66" s="20">
        <v>4</v>
      </c>
      <c r="D66" s="1">
        <f>2346700+5537-SUM(D67:D69)</f>
        <v>699291</v>
      </c>
      <c r="E66" s="1">
        <f>2715220-SUM(E67:E69)</f>
        <v>805398</v>
      </c>
      <c r="F66" s="1">
        <v>1155000</v>
      </c>
      <c r="H66">
        <v>5.26</v>
      </c>
      <c r="J66" s="15">
        <f>F66/N66/1000-SUM(J67:J69)</f>
        <v>0.70467840809223592</v>
      </c>
      <c r="K66">
        <f>1.85-SUM(K67:K69)</f>
        <v>0.49500000000000011</v>
      </c>
      <c r="L66" s="15">
        <f t="shared" ref="L66:L84" si="9">H66-H67</f>
        <v>0.45999999999999996</v>
      </c>
      <c r="N66">
        <v>452</v>
      </c>
      <c r="O66">
        <v>45.33</v>
      </c>
      <c r="P66">
        <f t="shared" ref="P66:P85" si="10">IF(I66="",J66,I66)</f>
        <v>0.70467840809223592</v>
      </c>
      <c r="Q66">
        <f t="shared" ref="Q66:Q85" si="11">IF(K66="",L66,K66)</f>
        <v>0.49500000000000011</v>
      </c>
    </row>
    <row r="67" spans="1:17" x14ac:dyDescent="0.2">
      <c r="A67" s="21">
        <f t="shared" si="8"/>
        <v>36799</v>
      </c>
      <c r="B67" s="20">
        <v>2000</v>
      </c>
      <c r="C67" s="20">
        <v>3</v>
      </c>
      <c r="D67" s="1">
        <f>616283+998</f>
        <v>617281</v>
      </c>
      <c r="E67" s="1">
        <v>697972</v>
      </c>
      <c r="F67" s="1">
        <v>284000</v>
      </c>
      <c r="H67">
        <v>4.8</v>
      </c>
      <c r="J67" s="15">
        <f>F67/N67/1000</f>
        <v>0.64840182648401823</v>
      </c>
      <c r="K67">
        <v>0.45500000000000002</v>
      </c>
      <c r="L67" s="15">
        <f t="shared" si="9"/>
        <v>0.5</v>
      </c>
      <c r="N67">
        <v>438</v>
      </c>
      <c r="O67">
        <v>45.36</v>
      </c>
      <c r="P67">
        <f t="shared" si="10"/>
        <v>0.64840182648401823</v>
      </c>
      <c r="Q67">
        <f t="shared" si="11"/>
        <v>0.45500000000000002</v>
      </c>
    </row>
    <row r="68" spans="1:17" x14ac:dyDescent="0.2">
      <c r="A68" s="21">
        <f t="shared" si="8"/>
        <v>36707</v>
      </c>
      <c r="B68" s="20">
        <v>2000</v>
      </c>
      <c r="C68" s="20">
        <v>2</v>
      </c>
      <c r="D68" s="1">
        <f>555309+2169</f>
        <v>557478</v>
      </c>
      <c r="E68" s="1">
        <v>646129</v>
      </c>
      <c r="F68" s="1">
        <v>252000</v>
      </c>
      <c r="H68">
        <v>4.3</v>
      </c>
      <c r="J68" s="15">
        <f>F68/N68/1000</f>
        <v>0.61764705882352944</v>
      </c>
      <c r="K68">
        <v>0.44500000000000001</v>
      </c>
      <c r="L68" s="15">
        <f t="shared" si="9"/>
        <v>0.39999999999999991</v>
      </c>
      <c r="N68">
        <v>408</v>
      </c>
      <c r="O68">
        <v>45.22</v>
      </c>
      <c r="P68">
        <f t="shared" si="10"/>
        <v>0.61764705882352944</v>
      </c>
      <c r="Q68">
        <f t="shared" si="11"/>
        <v>0.44500000000000001</v>
      </c>
    </row>
    <row r="69" spans="1:17" x14ac:dyDescent="0.2">
      <c r="A69" s="21">
        <f t="shared" si="8"/>
        <v>36616</v>
      </c>
      <c r="B69" s="20">
        <v>2000</v>
      </c>
      <c r="C69" s="20">
        <v>1</v>
      </c>
      <c r="D69" s="1">
        <f>476874+1313</f>
        <v>478187</v>
      </c>
      <c r="E69" s="1">
        <v>565721</v>
      </c>
      <c r="F69" s="1">
        <v>273000</v>
      </c>
      <c r="H69">
        <v>3.9</v>
      </c>
      <c r="J69" s="15">
        <f>F69/N69/1000</f>
        <v>0.58458244111349045</v>
      </c>
      <c r="K69">
        <v>0.45500000000000002</v>
      </c>
      <c r="L69" s="15">
        <f t="shared" si="9"/>
        <v>0.48999999999999977</v>
      </c>
      <c r="N69">
        <v>467</v>
      </c>
      <c r="O69">
        <v>43.85</v>
      </c>
      <c r="P69">
        <f t="shared" si="10"/>
        <v>0.58458244111349045</v>
      </c>
      <c r="Q69">
        <f t="shared" si="11"/>
        <v>0.45500000000000002</v>
      </c>
    </row>
    <row r="70" spans="1:17" x14ac:dyDescent="0.2">
      <c r="A70" s="21">
        <f t="shared" si="8"/>
        <v>36525</v>
      </c>
      <c r="B70" s="20">
        <v>1999</v>
      </c>
      <c r="C70" s="20">
        <v>4</v>
      </c>
      <c r="D70" s="1">
        <f>1344136+8467-SUM(D71:D73)</f>
        <v>419014</v>
      </c>
      <c r="E70" s="1">
        <f>1602841-SUM(E71:E73)</f>
        <v>514868</v>
      </c>
      <c r="F70" s="1">
        <v>729000</v>
      </c>
      <c r="H70">
        <v>3.41</v>
      </c>
      <c r="J70" s="15">
        <f>F70/N70/1000-SUM(J71:J73)</f>
        <v>0.56442324798489207</v>
      </c>
      <c r="K70" s="11">
        <f>1.47-SUM(K71:K73)</f>
        <v>0.40999999999999992</v>
      </c>
      <c r="L70" s="15">
        <f t="shared" si="9"/>
        <v>0.41000000000000014</v>
      </c>
      <c r="N70">
        <v>385</v>
      </c>
      <c r="O70">
        <v>42.71</v>
      </c>
      <c r="P70">
        <f t="shared" si="10"/>
        <v>0.56442324798489207</v>
      </c>
      <c r="Q70">
        <f t="shared" si="11"/>
        <v>0.40999999999999992</v>
      </c>
    </row>
    <row r="71" spans="1:17" x14ac:dyDescent="0.2">
      <c r="A71" s="21">
        <f t="shared" si="8"/>
        <v>36433</v>
      </c>
      <c r="B71" s="20">
        <v>1999</v>
      </c>
      <c r="C71" s="20">
        <v>3</v>
      </c>
      <c r="D71" s="1">
        <f>359502+1866</f>
        <v>361368</v>
      </c>
      <c r="E71" s="1">
        <v>428180</v>
      </c>
      <c r="F71" s="1">
        <v>201000</v>
      </c>
      <c r="H71">
        <v>3</v>
      </c>
      <c r="J71" s="15">
        <f>F71/N71/1000</f>
        <v>0.51538461538461533</v>
      </c>
      <c r="K71" s="11">
        <f t="shared" ref="K71:K84" si="12">H71-H72</f>
        <v>0.39999999999999991</v>
      </c>
      <c r="L71" s="15">
        <f t="shared" si="9"/>
        <v>0.39999999999999991</v>
      </c>
      <c r="N71">
        <v>390</v>
      </c>
      <c r="O71">
        <v>43.13</v>
      </c>
      <c r="P71">
        <f t="shared" si="10"/>
        <v>0.51538461538461533</v>
      </c>
      <c r="Q71">
        <f t="shared" si="11"/>
        <v>0.39999999999999991</v>
      </c>
    </row>
    <row r="72" spans="1:17" x14ac:dyDescent="0.2">
      <c r="A72" s="21">
        <f t="shared" si="8"/>
        <v>36341</v>
      </c>
      <c r="B72" s="20">
        <v>1999</v>
      </c>
      <c r="C72" s="20">
        <v>2</v>
      </c>
      <c r="D72" s="1">
        <f>306781+2161</f>
        <v>308942</v>
      </c>
      <c r="E72" s="1">
        <v>350217</v>
      </c>
      <c r="F72" s="1">
        <v>151000</v>
      </c>
      <c r="H72">
        <v>2.6</v>
      </c>
      <c r="J72" s="15">
        <f>F72/N72/1000</f>
        <v>0.41369863013698632</v>
      </c>
      <c r="K72" s="11">
        <f t="shared" si="12"/>
        <v>0.30000000000000027</v>
      </c>
      <c r="L72" s="15">
        <f t="shared" si="9"/>
        <v>0.30000000000000027</v>
      </c>
      <c r="N72">
        <v>365</v>
      </c>
      <c r="O72">
        <v>41.94</v>
      </c>
      <c r="P72">
        <f t="shared" si="10"/>
        <v>0.41369863013698632</v>
      </c>
      <c r="Q72">
        <f t="shared" si="11"/>
        <v>0.30000000000000027</v>
      </c>
    </row>
    <row r="73" spans="1:17" x14ac:dyDescent="0.2">
      <c r="A73" s="21">
        <f t="shared" si="8"/>
        <v>36250</v>
      </c>
      <c r="B73" s="20">
        <v>1999</v>
      </c>
      <c r="C73" s="20">
        <v>1</v>
      </c>
      <c r="D73" s="1">
        <f>261016+2263</f>
        <v>263279</v>
      </c>
      <c r="E73" s="1">
        <v>309576</v>
      </c>
      <c r="F73" s="1">
        <v>142000</v>
      </c>
      <c r="H73">
        <v>2.2999999999999998</v>
      </c>
      <c r="J73" s="15">
        <f>F73/N73/1000</f>
        <v>0.4</v>
      </c>
      <c r="K73" s="11">
        <f t="shared" si="12"/>
        <v>0.35999999999999988</v>
      </c>
      <c r="L73" s="15">
        <f t="shared" si="9"/>
        <v>0.35999999999999988</v>
      </c>
      <c r="N73">
        <v>355</v>
      </c>
      <c r="O73">
        <v>41.5</v>
      </c>
      <c r="P73">
        <f t="shared" si="10"/>
        <v>0.4</v>
      </c>
      <c r="Q73">
        <f t="shared" si="11"/>
        <v>0.35999999999999988</v>
      </c>
    </row>
    <row r="74" spans="1:17" x14ac:dyDescent="0.2">
      <c r="A74" s="21">
        <f t="shared" si="8"/>
        <v>36160</v>
      </c>
      <c r="B74" s="20">
        <v>1998</v>
      </c>
      <c r="C74" s="20">
        <v>4</v>
      </c>
      <c r="D74" s="1">
        <f>669310+13722-SUM(D75:D77)</f>
        <v>211488</v>
      </c>
      <c r="E74" s="1">
        <f>982666-SUM(E75:E77)</f>
        <v>286982</v>
      </c>
      <c r="F74" s="1">
        <v>314000</v>
      </c>
      <c r="H74">
        <v>1.94</v>
      </c>
      <c r="J74" s="15">
        <f>F74/N74/1000-SUM(J75:J77)</f>
        <v>0.39537343358395982</v>
      </c>
      <c r="K74" s="11">
        <f t="shared" si="12"/>
        <v>0.33999999999999986</v>
      </c>
      <c r="L74" s="15">
        <f t="shared" si="9"/>
        <v>0.33999999999999986</v>
      </c>
      <c r="N74">
        <v>285</v>
      </c>
      <c r="O74">
        <v>39.25</v>
      </c>
      <c r="P74">
        <f t="shared" si="10"/>
        <v>0.39537343358395982</v>
      </c>
      <c r="Q74">
        <f t="shared" si="11"/>
        <v>0.33999999999999986</v>
      </c>
    </row>
    <row r="75" spans="1:17" x14ac:dyDescent="0.2">
      <c r="A75" s="21">
        <f t="shared" si="8"/>
        <v>36068</v>
      </c>
      <c r="B75" s="20">
        <v>1998</v>
      </c>
      <c r="C75" s="20">
        <v>3</v>
      </c>
      <c r="D75" s="1">
        <f>179472+1861</f>
        <v>181333</v>
      </c>
      <c r="E75" s="1">
        <v>235407</v>
      </c>
      <c r="F75" s="1">
        <v>64000</v>
      </c>
      <c r="H75">
        <v>1.6</v>
      </c>
      <c r="J75" s="15">
        <f>F75/N75/1000</f>
        <v>0.26666666666666666</v>
      </c>
      <c r="K75" s="11">
        <f t="shared" si="12"/>
        <v>0.20000000000000018</v>
      </c>
      <c r="L75" s="15">
        <f t="shared" si="9"/>
        <v>0.20000000000000018</v>
      </c>
      <c r="N75">
        <v>240</v>
      </c>
      <c r="O75">
        <v>40</v>
      </c>
      <c r="P75">
        <f t="shared" si="10"/>
        <v>0.26666666666666666</v>
      </c>
      <c r="Q75">
        <f t="shared" si="11"/>
        <v>0.20000000000000018</v>
      </c>
    </row>
    <row r="76" spans="1:17" x14ac:dyDescent="0.2">
      <c r="A76" s="21">
        <f t="shared" si="8"/>
        <v>35976</v>
      </c>
      <c r="B76" s="20">
        <v>1998</v>
      </c>
      <c r="C76" s="20">
        <v>2</v>
      </c>
      <c r="D76" s="1">
        <f>151527+3508</f>
        <v>155035</v>
      </c>
      <c r="E76" s="1">
        <v>245838</v>
      </c>
      <c r="F76" s="1">
        <v>66000</v>
      </c>
      <c r="H76">
        <v>1.4</v>
      </c>
      <c r="J76" s="15">
        <f>F76/N76/1000</f>
        <v>0.23571428571428571</v>
      </c>
      <c r="K76" s="11">
        <f t="shared" si="12"/>
        <v>0.19999999999999996</v>
      </c>
      <c r="L76" s="15">
        <f t="shared" si="9"/>
        <v>0.19999999999999996</v>
      </c>
      <c r="N76">
        <v>280</v>
      </c>
      <c r="O76">
        <v>39</v>
      </c>
      <c r="P76">
        <f t="shared" si="10"/>
        <v>0.23571428571428571</v>
      </c>
      <c r="Q76">
        <f t="shared" si="11"/>
        <v>0.19999999999999996</v>
      </c>
    </row>
    <row r="77" spans="1:17" x14ac:dyDescent="0.2">
      <c r="A77" s="21">
        <f t="shared" si="8"/>
        <v>35885</v>
      </c>
      <c r="B77" s="20">
        <v>1998</v>
      </c>
      <c r="C77" s="20">
        <v>1</v>
      </c>
      <c r="D77" s="1">
        <f>128541+6635</f>
        <v>135176</v>
      </c>
      <c r="E77" s="1">
        <v>214439</v>
      </c>
      <c r="F77" s="1">
        <v>51000</v>
      </c>
      <c r="H77">
        <v>1.2</v>
      </c>
      <c r="J77" s="15">
        <f>F77/N77/1000</f>
        <v>0.20399999999999999</v>
      </c>
      <c r="K77" s="11">
        <f t="shared" si="12"/>
        <v>0.15999999999999992</v>
      </c>
      <c r="L77" s="15">
        <f t="shared" si="9"/>
        <v>0.15999999999999992</v>
      </c>
      <c r="N77">
        <v>250</v>
      </c>
      <c r="O77">
        <v>38</v>
      </c>
      <c r="P77">
        <f t="shared" si="10"/>
        <v>0.20399999999999999</v>
      </c>
      <c r="Q77">
        <f t="shared" si="11"/>
        <v>0.15999999999999992</v>
      </c>
    </row>
    <row r="78" spans="1:17" x14ac:dyDescent="0.2">
      <c r="A78" s="21">
        <f t="shared" si="8"/>
        <v>35795</v>
      </c>
      <c r="B78" s="20">
        <v>1997</v>
      </c>
      <c r="C78" s="20">
        <v>4</v>
      </c>
      <c r="D78" s="1">
        <f>344250-SUM(D79:D81)</f>
        <v>116174</v>
      </c>
      <c r="E78" s="1">
        <f>477418-SUM(E79:E81)</f>
        <v>179165</v>
      </c>
      <c r="F78" s="1">
        <v>252000</v>
      </c>
      <c r="H78">
        <v>1.04</v>
      </c>
      <c r="J78" s="15">
        <f>F78/N78/1000-SUM(J79:J81)</f>
        <v>0.19530303030303031</v>
      </c>
      <c r="K78" s="11">
        <f t="shared" si="12"/>
        <v>0.22000000000000008</v>
      </c>
      <c r="L78" s="15">
        <f t="shared" si="9"/>
        <v>0.22000000000000008</v>
      </c>
      <c r="N78">
        <v>330</v>
      </c>
      <c r="O78">
        <v>38.5</v>
      </c>
      <c r="P78">
        <f t="shared" si="10"/>
        <v>0.19530303030303031</v>
      </c>
      <c r="Q78">
        <f t="shared" si="11"/>
        <v>0.22000000000000008</v>
      </c>
    </row>
    <row r="79" spans="1:17" x14ac:dyDescent="0.2">
      <c r="A79" s="21">
        <f t="shared" si="8"/>
        <v>35703</v>
      </c>
      <c r="B79" s="20">
        <v>1997</v>
      </c>
      <c r="C79" s="20">
        <v>3</v>
      </c>
      <c r="D79" s="1">
        <f>82078+13698</f>
        <v>95776</v>
      </c>
      <c r="E79" s="1">
        <v>130038</v>
      </c>
      <c r="F79" s="1">
        <v>84000</v>
      </c>
      <c r="H79">
        <v>0.82</v>
      </c>
      <c r="J79" s="15">
        <f>F79/N79/1000</f>
        <v>0.28000000000000003</v>
      </c>
      <c r="K79" s="11">
        <f t="shared" si="12"/>
        <v>0.22999999999999998</v>
      </c>
      <c r="L79" s="15">
        <f t="shared" si="9"/>
        <v>0.22999999999999998</v>
      </c>
      <c r="M79" s="2"/>
      <c r="N79">
        <v>300</v>
      </c>
      <c r="O79">
        <v>39.5</v>
      </c>
      <c r="P79">
        <f t="shared" si="10"/>
        <v>0.28000000000000003</v>
      </c>
      <c r="Q79">
        <f t="shared" si="11"/>
        <v>0.22999999999999998</v>
      </c>
    </row>
    <row r="80" spans="1:17" x14ac:dyDescent="0.2">
      <c r="A80" s="21">
        <f t="shared" si="8"/>
        <v>35611</v>
      </c>
      <c r="B80" s="20">
        <v>1997</v>
      </c>
      <c r="C80" s="20">
        <v>2</v>
      </c>
      <c r="D80" s="1">
        <f>62858+12698</f>
        <v>75556</v>
      </c>
      <c r="E80" s="1">
        <v>98691</v>
      </c>
      <c r="F80" s="1">
        <v>43000</v>
      </c>
      <c r="H80">
        <v>0.59</v>
      </c>
      <c r="J80" s="15">
        <f>F80/N80/1000</f>
        <v>0.14333333333333334</v>
      </c>
      <c r="K80" s="11">
        <f t="shared" si="12"/>
        <v>0.11039999999999994</v>
      </c>
      <c r="L80" s="15">
        <f t="shared" si="9"/>
        <v>0.11039999999999994</v>
      </c>
      <c r="N80">
        <v>300</v>
      </c>
      <c r="O80">
        <v>39</v>
      </c>
      <c r="P80">
        <f t="shared" si="10"/>
        <v>0.14333333333333334</v>
      </c>
      <c r="Q80">
        <f t="shared" si="11"/>
        <v>0.11039999999999994</v>
      </c>
    </row>
    <row r="81" spans="1:17" x14ac:dyDescent="0.2">
      <c r="A81" s="21">
        <f t="shared" si="8"/>
        <v>35520</v>
      </c>
      <c r="B81" s="20">
        <v>1997</v>
      </c>
      <c r="C81" s="20">
        <v>1</v>
      </c>
      <c r="D81" s="1">
        <f>48050+8694</f>
        <v>56744</v>
      </c>
      <c r="E81" s="1">
        <v>69524</v>
      </c>
      <c r="F81" s="1">
        <v>58000</v>
      </c>
      <c r="H81">
        <v>0.47960000000000003</v>
      </c>
      <c r="J81" s="15">
        <f>F81/N81/1000</f>
        <v>0.14499999999999999</v>
      </c>
      <c r="K81" s="11">
        <f t="shared" si="12"/>
        <v>0.12960000000000005</v>
      </c>
      <c r="L81" s="15">
        <f t="shared" si="9"/>
        <v>0.12960000000000005</v>
      </c>
      <c r="N81">
        <v>400</v>
      </c>
      <c r="O81">
        <v>38</v>
      </c>
      <c r="P81">
        <f t="shared" si="10"/>
        <v>0.14499999999999999</v>
      </c>
      <c r="Q81">
        <f t="shared" si="11"/>
        <v>0.12960000000000005</v>
      </c>
    </row>
    <row r="82" spans="1:17" x14ac:dyDescent="0.2">
      <c r="A82" s="21">
        <f t="shared" si="8"/>
        <v>35430</v>
      </c>
      <c r="B82" s="20">
        <v>1996</v>
      </c>
      <c r="C82" s="20">
        <v>4</v>
      </c>
      <c r="D82" s="1">
        <f>49650+10482-SUM(D83:D85)</f>
        <v>38521</v>
      </c>
      <c r="E82" s="1">
        <f>198901-SUM(E83:E85)</f>
        <v>95015</v>
      </c>
      <c r="H82">
        <v>0.35</v>
      </c>
      <c r="J82" s="14"/>
      <c r="K82" s="11">
        <f t="shared" si="12"/>
        <v>0.15999999999999998</v>
      </c>
      <c r="L82" s="15">
        <f t="shared" si="9"/>
        <v>0.15999999999999998</v>
      </c>
      <c r="O82">
        <v>35.5</v>
      </c>
      <c r="P82">
        <f t="shared" si="10"/>
        <v>0</v>
      </c>
      <c r="Q82">
        <f t="shared" si="11"/>
        <v>0.15999999999999998</v>
      </c>
    </row>
    <row r="83" spans="1:17" x14ac:dyDescent="0.2">
      <c r="A83" s="21">
        <f t="shared" si="8"/>
        <v>35338</v>
      </c>
      <c r="B83" s="20">
        <v>1996</v>
      </c>
      <c r="C83" s="20">
        <v>3</v>
      </c>
      <c r="D83" s="1">
        <f>13235+2794</f>
        <v>16029</v>
      </c>
      <c r="E83" s="1">
        <v>30362</v>
      </c>
      <c r="H83">
        <v>0.19</v>
      </c>
      <c r="J83" s="14"/>
      <c r="K83" s="11">
        <f t="shared" si="12"/>
        <v>0.12</v>
      </c>
      <c r="L83" s="15">
        <f t="shared" si="9"/>
        <v>0.12</v>
      </c>
      <c r="O83">
        <v>34.5</v>
      </c>
      <c r="P83">
        <f t="shared" si="10"/>
        <v>0</v>
      </c>
      <c r="Q83">
        <f t="shared" si="11"/>
        <v>0.12</v>
      </c>
    </row>
    <row r="84" spans="1:17" x14ac:dyDescent="0.2">
      <c r="A84" s="21">
        <f t="shared" si="8"/>
        <v>35246</v>
      </c>
      <c r="B84" s="20">
        <v>1996</v>
      </c>
      <c r="C84" s="20">
        <v>2</v>
      </c>
      <c r="D84" s="1">
        <v>5582</v>
      </c>
      <c r="E84" s="1">
        <v>73524</v>
      </c>
      <c r="H84">
        <v>7.0000000000000007E-2</v>
      </c>
      <c r="J84" s="14"/>
      <c r="K84" s="11">
        <f t="shared" si="12"/>
        <v>7.0000000000000007E-2</v>
      </c>
      <c r="L84" s="15">
        <f t="shared" si="9"/>
        <v>7.0000000000000007E-2</v>
      </c>
      <c r="P84">
        <f t="shared" si="10"/>
        <v>0</v>
      </c>
      <c r="Q84">
        <f t="shared" si="11"/>
        <v>7.0000000000000007E-2</v>
      </c>
    </row>
    <row r="85" spans="1:17" x14ac:dyDescent="0.2">
      <c r="A85" s="21">
        <f t="shared" si="8"/>
        <v>35155</v>
      </c>
      <c r="B85" s="20">
        <v>1996</v>
      </c>
      <c r="C85" s="20">
        <v>1</v>
      </c>
      <c r="H85">
        <v>0</v>
      </c>
      <c r="J85" s="14"/>
      <c r="K85" s="11">
        <f>H85-I86</f>
        <v>0</v>
      </c>
      <c r="L85" s="15">
        <f>H85-I86</f>
        <v>0</v>
      </c>
      <c r="P85">
        <f t="shared" si="10"/>
        <v>0</v>
      </c>
      <c r="Q85">
        <f t="shared" si="11"/>
        <v>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DISH-Filings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Rehab Naeem</dc:creator>
  <cp:lastModifiedBy>Rehab Naeem</cp:lastModifiedBy>
  <dcterms:created xsi:type="dcterms:W3CDTF">2025-03-30T13:57:07Z</dcterms:created>
  <dcterms:modified xsi:type="dcterms:W3CDTF">2025-04-08T13:03:50Z</dcterms:modified>
</cp:coreProperties>
</file>