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5330"/>
  <workbookPr defaultThemeVersion="153222"/>
  <bookViews>
    <workbookView xWindow="-120" yWindow="-120" windowWidth="24240" windowHeight="13140" activeTab="4"/>
  </bookViews>
  <sheets>
    <sheet name="Balance sheet" sheetId="1" r:id="rId1"/>
    <sheet name="Profit &amp; Loss AC" sheetId="2" r:id="rId2"/>
    <sheet name="Cash flow " sheetId="3" r:id="rId3"/>
    <sheet name="Ratios" sheetId="4" r:id="rId4"/>
    <sheet name="Working" sheetId="5" r:id="rId5"/>
    <sheet name="Graphs" sheetId="6" r:id="rId6"/>
    <sheet name="Trend analysis 1" sheetId="7" r:id="rId7"/>
    <sheet name="Trend analysis 2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<sst xmlns="http://schemas.openxmlformats.org/spreadsheetml/2006/main" uniqueCount="163" count="163">
  <si>
    <t xml:space="preserve">Consolidated Balance Sheet </t>
  </si>
  <si>
    <t>NON-CURRENT ASSETS</t>
  </si>
  <si>
    <t>Fixed assets</t>
  </si>
  <si>
    <t>Long term loans to employees</t>
  </si>
  <si>
    <t>Long term security deposits</t>
  </si>
  <si>
    <t>EQUITY AND LIABILITIES</t>
  </si>
  <si>
    <t xml:space="preserve">SHARE CAPITAL AND RESERVES </t>
  </si>
  <si>
    <t>Authorized share capital</t>
  </si>
  <si>
    <t>Issued, subscribed and paid-up share capital</t>
  </si>
  <si>
    <t>Reserves</t>
  </si>
  <si>
    <t>Equity attributable to equity holders of the Holding Company</t>
  </si>
  <si>
    <t>Non-controlling interest</t>
  </si>
  <si>
    <t>Total equity</t>
  </si>
  <si>
    <t>NON-CURRENT LIABILITIES</t>
  </si>
  <si>
    <t>Long term financing</t>
  </si>
  <si>
    <t>CURRENT LIABILITIES</t>
  </si>
  <si>
    <t>Trade and other payables</t>
  </si>
  <si>
    <t>Short term borrowings</t>
  </si>
  <si>
    <t>Derivative financial instruments</t>
  </si>
  <si>
    <t>Share deposit money</t>
  </si>
  <si>
    <t xml:space="preserve">LIABILITIES </t>
  </si>
  <si>
    <t>Redeemable capital</t>
  </si>
  <si>
    <t xml:space="preserve">Accrued mark-up </t>
  </si>
  <si>
    <t>Current portion of non-current liabilities</t>
  </si>
  <si>
    <t>Total liabilities</t>
  </si>
  <si>
    <t>CONTINGENCIES AND COMMITMENTS</t>
  </si>
  <si>
    <t xml:space="preserve">TOTAL EQUITY AND LIABILITIES  </t>
  </si>
  <si>
    <t>Deferred income tax liability</t>
  </si>
  <si>
    <t xml:space="preserve"> - </t>
  </si>
  <si>
    <t>ASSETS</t>
  </si>
  <si>
    <t>CURRENT ASSETS</t>
  </si>
  <si>
    <t>Stores, spare parts and loose tools</t>
  </si>
  <si>
    <t>Stock-in-trade</t>
  </si>
  <si>
    <t>Trade debts</t>
  </si>
  <si>
    <t>Loans and advances</t>
  </si>
  <si>
    <t>Short term deposits and prepayments</t>
  </si>
  <si>
    <t>Accrued interest</t>
  </si>
  <si>
    <t>Other receivables</t>
  </si>
  <si>
    <t>Short term investments</t>
  </si>
  <si>
    <t>Cash and bank balances</t>
  </si>
  <si>
    <t>TOTAL ASSETS</t>
  </si>
  <si>
    <t>Of Last Five Years</t>
  </si>
  <si>
    <t xml:space="preserve">NISHAT (CHUNIAN) LIMITED AND ITS SUBSIDIARY COMPANIES </t>
  </si>
  <si>
    <t xml:space="preserve">SALES </t>
  </si>
  <si>
    <t>COST OF SALES</t>
  </si>
  <si>
    <t>GROSS PROFIT</t>
  </si>
  <si>
    <t>DISTRIBUTION COST</t>
  </si>
  <si>
    <t>ADMINISTRATIVE EXPENSES</t>
  </si>
  <si>
    <t>OTHER EXPENSES</t>
  </si>
  <si>
    <t>OTHER INCOME</t>
  </si>
  <si>
    <t>PROFIT FROM OPERATIONS</t>
  </si>
  <si>
    <t>FINANCE COST</t>
  </si>
  <si>
    <t>PROFIT BEFORE TAXATION</t>
  </si>
  <si>
    <t>TAXATION</t>
  </si>
  <si>
    <t>PROFIT AFTER TAXATION</t>
  </si>
  <si>
    <t>PROFIT ATTRIBUTABLE TO:</t>
  </si>
  <si>
    <t>EQUITY HOLDERS OF THE HOLDING COMPANY</t>
  </si>
  <si>
    <t xml:space="preserve">NON-CONTROLLING INTEREST </t>
  </si>
  <si>
    <t>EARNINGS PER SHARE - BASIC AND DILUTED</t>
  </si>
  <si>
    <t>CASH FLOWS FROM OPERATING ACTIVITIES</t>
  </si>
  <si>
    <t>Cash generated from operations</t>
  </si>
  <si>
    <t>Net increase in long term security deposits</t>
  </si>
  <si>
    <t>Finance cost paid</t>
  </si>
  <si>
    <t>Income tax paid</t>
  </si>
  <si>
    <t>Net decrease / (increase) in long term loans to employees</t>
  </si>
  <si>
    <t>Net cash generated from operating activities</t>
  </si>
  <si>
    <t>CASH FLOWS FROM INVESTING ACTIVITIES</t>
  </si>
  <si>
    <t>Capital expenditure on property, plant and equipment</t>
  </si>
  <si>
    <t>Capital expenditure on intangible asset</t>
  </si>
  <si>
    <t>Proceeds from sale of operating fixed assets</t>
  </si>
  <si>
    <t>Loss on derivative financial instruments</t>
  </si>
  <si>
    <t>Short term investments - net</t>
  </si>
  <si>
    <t>Profit on bank deposits received</t>
  </si>
  <si>
    <t>Net cash used in investing activities</t>
  </si>
  <si>
    <t>CASH FLOWS FROM FINANCING ACTIVITIES</t>
  </si>
  <si>
    <t>Proceeds from long term financing</t>
  </si>
  <si>
    <t>Repayment of long term financing</t>
  </si>
  <si>
    <t>Share deposit money received</t>
  </si>
  <si>
    <t>Repayment of redeemable capital</t>
  </si>
  <si>
    <t>Short term borrowings - net</t>
  </si>
  <si>
    <t>Dividend paid to non-controlling interest</t>
  </si>
  <si>
    <t>Dividends paid</t>
  </si>
  <si>
    <t>Net cash from / (used in) financing activities</t>
  </si>
  <si>
    <t>Net increase / (decrease) in cash and cash equivalents</t>
  </si>
  <si>
    <t>Impact of exchange translation</t>
  </si>
  <si>
    <t>Cash and cash equivalents at the beginning of the year</t>
  </si>
  <si>
    <t xml:space="preserve">Cash and cash equivalents at the end of the year </t>
  </si>
  <si>
    <t>Acquisition of subsidiary net of cash and cash equivalents</t>
  </si>
  <si>
    <t>CONSOLIDATED STATEMENT OF COMPREHENSIVE INCOME</t>
  </si>
  <si>
    <t>OTHER COMPREHENSIVE INCOME</t>
  </si>
  <si>
    <t>Items that will not be reclassified to profit or loss</t>
  </si>
  <si>
    <t>Items that may be reclassified subsequently to profit or</t>
  </si>
  <si>
    <t>Exchange difference on translation of foreign operations</t>
  </si>
  <si>
    <t>Other comprehensive income for the year</t>
  </si>
  <si>
    <t>TOTAL COMPREHENSIVE INCOME FOR THE YEAR</t>
  </si>
  <si>
    <t>TOTAL COMPREHENSIVE INCOME ATTRIBUTABLE TO:</t>
  </si>
  <si>
    <t>NON-CONTROLLING INTEREST</t>
  </si>
  <si>
    <t>NISHAT (CHUNIA)LIMITED AND ITS SUBSIDARY COMPANIES</t>
  </si>
  <si>
    <t>Consolidated Cash Flow Statement</t>
  </si>
  <si>
    <t>NISHAT (CHUNIA) LIMITED AND ITS SUBSIDARY COMPANIES</t>
  </si>
  <si>
    <t>CONSOLIDATED profit and loss account</t>
  </si>
  <si>
    <t>Ratio analysis</t>
  </si>
  <si>
    <t>In days</t>
  </si>
  <si>
    <t>Liquidity ratio</t>
  </si>
  <si>
    <t>Activity ratios</t>
  </si>
  <si>
    <t>Profitability ratios</t>
  </si>
  <si>
    <t>Market ratios</t>
  </si>
  <si>
    <t>Dividend yield</t>
  </si>
  <si>
    <t>Price earning ratio</t>
  </si>
  <si>
    <t>Return on equity</t>
  </si>
  <si>
    <t>Return on assets</t>
  </si>
  <si>
    <t>Total assets turnover</t>
  </si>
  <si>
    <t>Operating income margin</t>
  </si>
  <si>
    <t>Current ratio</t>
  </si>
  <si>
    <t>Quick ratio</t>
  </si>
  <si>
    <t>Cash ratio</t>
  </si>
  <si>
    <t>Cash conversion ration</t>
  </si>
  <si>
    <t>Fixed assets turnover ratio</t>
  </si>
  <si>
    <t>Working capital turnover ratio</t>
  </si>
  <si>
    <t>Debt ratio</t>
  </si>
  <si>
    <t>Debt to equity ratio</t>
  </si>
  <si>
    <t>Time interest earned ratio</t>
  </si>
  <si>
    <t>Equity multiplier ratio</t>
  </si>
  <si>
    <t xml:space="preserve">Net profit margin </t>
  </si>
  <si>
    <t>Gross profit margin</t>
  </si>
  <si>
    <t>Solvency ratios</t>
  </si>
  <si>
    <t>Ratios</t>
  </si>
  <si>
    <t xml:space="preserve">Working capital </t>
  </si>
  <si>
    <t xml:space="preserve">NISHAT (CHUNIAN) LIMITED  </t>
  </si>
  <si>
    <t>Current market price per share</t>
  </si>
  <si>
    <t>Dividend payout ratio</t>
  </si>
  <si>
    <t>Dividend per share</t>
  </si>
  <si>
    <t>Receivable turnover ratio (times)</t>
  </si>
  <si>
    <t>Payable turnover ratio(times)</t>
  </si>
  <si>
    <t>Inventory turnover ratio(times)</t>
  </si>
  <si>
    <t>Avg receivables</t>
  </si>
  <si>
    <t>Avg. inventory</t>
  </si>
  <si>
    <t>Avg fixed assets</t>
  </si>
  <si>
    <t>Avg total assets</t>
  </si>
  <si>
    <t>Avg equity</t>
  </si>
  <si>
    <t>Net credit purchase</t>
  </si>
  <si>
    <t>Avg. payable</t>
  </si>
  <si>
    <t>Horizontal Analysis</t>
  </si>
  <si>
    <t>Current liabilities</t>
  </si>
  <si>
    <t>Total non current assets</t>
  </si>
  <si>
    <t>Total current assets</t>
  </si>
  <si>
    <t>NISHAT (CHUNIAN) LIMITED</t>
  </si>
  <si>
    <t>Vertical Analysis</t>
  </si>
  <si>
    <t>Total current liabilities</t>
  </si>
  <si>
    <t>Sub total of expenses</t>
  </si>
  <si>
    <t>Profit</t>
  </si>
  <si>
    <t>Total</t>
  </si>
  <si>
    <t>COST OF SALES(less)</t>
  </si>
  <si>
    <t>DISTRIBUTION COST(less)</t>
  </si>
  <si>
    <t>ADMINISTRATIVE EXPENSES(less)</t>
  </si>
  <si>
    <t>OTHER EXPENSES(less)</t>
  </si>
  <si>
    <t>TAXATION(less)</t>
  </si>
  <si>
    <t xml:space="preserve">Particulars </t>
  </si>
  <si>
    <t>Total Income</t>
  </si>
  <si>
    <t>Working Of Ratios</t>
  </si>
  <si>
    <t>Graphs Of Ratios</t>
  </si>
  <si>
    <t>Creditors (trade payables)</t>
  </si>
  <si>
    <t>avg Working capital</t>
  </si>
</sst>
</file>

<file path=xl/styles.xml><?xml version="1.0" encoding="utf-8"?>
<styleSheet xmlns="http://schemas.openxmlformats.org/spreadsheetml/2006/main">
  <numFmts count="11">
    <numFmt numFmtId="0" formatCode="General"/>
    <numFmt numFmtId="3" formatCode="#,##0"/>
    <numFmt numFmtId="4" formatCode="#,##0.00"/>
    <numFmt numFmtId="2" formatCode="0.00"/>
    <numFmt numFmtId="164" formatCode="0.0000"/>
    <numFmt numFmtId="165" formatCode="0.000"/>
    <numFmt numFmtId="9" formatCode="0%"/>
    <numFmt numFmtId="167" formatCode="0.000%"/>
    <numFmt numFmtId="10" formatCode="0.00%"/>
    <numFmt numFmtId="168" formatCode="0.0000%"/>
    <numFmt numFmtId="166" formatCode="0.0%"/>
  </numFmts>
  <fonts count="22">
    <font>
      <name val="Calibri"/>
      <sz val="11"/>
    </font>
    <font>
      <name val="Algerian"/>
      <b/>
      <sz val="22"/>
      <color rgb="FF0C0C0C"/>
    </font>
    <font>
      <name val="Calibri"/>
      <b/>
      <sz val="15"/>
      <color rgb="FF435369"/>
    </font>
    <font>
      <name val="Calibri"/>
      <b/>
      <sz val="18"/>
      <color rgb="FF000000"/>
    </font>
    <font>
      <name val="Calibri"/>
      <b/>
      <sz val="14"/>
      <color rgb="FF435369"/>
    </font>
    <font>
      <name val="Calibri"/>
      <b/>
      <sz val="11"/>
      <color rgb="FF000000"/>
    </font>
    <font>
      <name val="Calibri"/>
      <sz val="11"/>
      <color rgb="FF0C0C0C"/>
    </font>
    <font>
      <name val="Calibri"/>
      <b/>
      <sz val="12"/>
      <color rgb="FF000000"/>
    </font>
    <font>
      <name val="Calibri"/>
      <sz val="11"/>
      <color rgb="FF000000"/>
    </font>
    <font>
      <name val="Calibri"/>
      <sz val="18"/>
      <color rgb="FF000000"/>
    </font>
    <font>
      <name val="Calibri"/>
      <sz val="12"/>
      <color rgb="FF000000"/>
    </font>
    <font>
      <name val="Calibri"/>
      <b/>
      <sz val="20"/>
      <color rgb="FF000000"/>
    </font>
    <font>
      <name val="Algerian"/>
      <b/>
      <sz val="22"/>
      <color rgb="FF000000"/>
    </font>
    <font>
      <name val="Calibri"/>
      <b/>
      <sz val="14"/>
      <color rgb="FF000000"/>
    </font>
    <font>
      <name val="Algerian"/>
      <b/>
      <sz val="24"/>
      <color rgb="FF0C0C0C"/>
    </font>
    <font>
      <name val="Algerian"/>
      <b/>
      <sz val="28"/>
      <color rgb="FF000000"/>
    </font>
    <font>
      <name val="Algerian"/>
      <b/>
      <sz val="28"/>
      <color rgb="FF0C0C0C"/>
    </font>
    <font>
      <name val="Calibri"/>
      <b/>
      <sz val="16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3"/>
      <color rgb="FF435369"/>
    </font>
    <font>
      <name val="Calibri"/>
      <b/>
      <sz val="11"/>
      <color rgb="FF435369"/>
    </font>
  </fonts>
  <fills count="7">
    <fill>
      <patternFill patternType="none"/>
    </fill>
    <fill>
      <patternFill patternType="gray125"/>
    </fill>
    <fill>
      <patternFill patternType="solid">
        <fgColor rgb="FFBED7EE"/>
      </patternFill>
    </fill>
    <fill>
      <patternFill patternType="solid">
        <fgColor rgb="FF9DC3E5"/>
      </patternFill>
    </fill>
    <fill>
      <patternFill patternType="solid">
        <fgColor rgb="FF5C9BD5"/>
      </patternFill>
    </fill>
    <fill>
      <patternFill patternType="solid">
        <fgColor rgb="FFB4C7E7"/>
      </patternFill>
    </fill>
    <fill>
      <patternFill patternType="solid">
        <fgColor rgb="FFD9E3F3"/>
      </patternFill>
    </fill>
  </fills>
  <borders count="6">
    <border>
      <left/>
      <right/>
      <top/>
      <bottom/>
      <diagonal/>
    </border>
    <border>
      <left/>
      <right/>
      <top/>
      <bottom style="thick">
        <color rgb="FF5C9BD5"/>
      </bottom>
      <diagonal/>
    </border>
    <border>
      <left/>
      <right/>
      <top style="thick">
        <color rgb="FF5C9BD5"/>
      </top>
      <bottom/>
      <diagonal/>
    </border>
    <border>
      <left/>
      <right/>
      <top/>
      <bottom style="thick">
        <color rgb="FFADCDEA"/>
      </bottom>
      <diagonal/>
    </border>
    <border>
      <left/>
      <right/>
      <top style="thin">
        <color rgb="FF5C9BD5"/>
      </top>
      <bottom style="double">
        <color rgb="FF5C9BD5"/>
      </bottom>
      <diagonal/>
    </border>
    <border>
      <left/>
      <right/>
      <top/>
      <bottom style="medium">
        <color rgb="FF9DC3E5"/>
      </bottom>
      <diagonal/>
    </border>
  </borders>
  <cellStyleXfs count="11">
    <xf numFmtId="0" fontId="0" fillId="0" borderId="0">
      <alignment vertical="center"/>
    </xf>
    <xf numFmtId="0" fontId="18" fillId="2" borderId="0">
      <alignment vertical="top"/>
      <protection locked="0" hidden="0"/>
    </xf>
    <xf numFmtId="0" fontId="19" fillId="3" borderId="0">
      <alignment vertical="top"/>
      <protection locked="0" hidden="0"/>
    </xf>
    <xf numFmtId="0" fontId="19" fillId="4" borderId="0">
      <alignment vertical="top"/>
      <protection locked="0" hidden="0"/>
    </xf>
    <xf numFmtId="0" fontId="2" fillId="0" borderId="1">
      <alignment vertical="top"/>
      <protection locked="0" hidden="0"/>
    </xf>
    <xf numFmtId="0" fontId="18" fillId="5" borderId="0">
      <alignment vertical="top"/>
      <protection locked="0" hidden="0"/>
    </xf>
    <xf numFmtId="0" fontId="20" fillId="0" borderId="3">
      <alignment vertical="top"/>
      <protection locked="0" hidden="0"/>
    </xf>
    <xf numFmtId="0" fontId="5" fillId="0" borderId="4">
      <alignment vertical="top"/>
      <protection locked="0" hidden="0"/>
    </xf>
    <xf numFmtId="0" fontId="21" fillId="0" borderId="5">
      <alignment vertical="top"/>
      <protection locked="0" hidden="0"/>
    </xf>
    <xf numFmtId="0" fontId="18" fillId="6" borderId="0">
      <alignment vertical="top"/>
      <protection locked="0" hidden="0"/>
    </xf>
    <xf numFmtId="9" fontId="18" fillId="0" borderId="0">
      <alignment vertical="top"/>
      <protection locked="0" hidden="0"/>
    </xf>
  </cellStyleXfs>
  <cellXfs count="56">
    <xf numFmtId="0" fontId="0" fillId="0" borderId="0" xfId="0">
      <alignment vertical="center"/>
    </xf>
    <xf numFmtId="0" fontId="1" fillId="2" borderId="0" xfId="1" applyFont="1" applyAlignment="1">
      <alignment horizontal="center" vertical="bottom"/>
    </xf>
    <xf numFmtId="0" fontId="1" fillId="3" borderId="0" xfId="2" applyFont="1" applyAlignment="1">
      <alignment horizontal="center" vertical="bottom"/>
    </xf>
    <xf numFmtId="0" fontId="1" fillId="4" borderId="0" xfId="3" applyFont="1" applyAlignment="1">
      <alignment horizontal="center" vertical="bottom"/>
    </xf>
    <xf numFmtId="0" fontId="2" fillId="0" borderId="1" xfId="4" applyAlignment="1">
      <alignment vertical="bottom"/>
    </xf>
    <xf numFmtId="0" fontId="3" fillId="5" borderId="2" xfId="5" applyFont="1" applyBorder="1" applyAlignment="1">
      <alignment horizontal="center" vertical="bottom"/>
    </xf>
    <xf numFmtId="0" fontId="4" fillId="0" borderId="3" xfId="6" applyFont="1" applyAlignment="1">
      <alignment horizontal="left" vertical="bottom"/>
    </xf>
    <xf numFmtId="0" fontId="5" fillId="0" borderId="4" xfId="7" applyAlignment="1">
      <alignment vertical="bottom"/>
    </xf>
    <xf numFmtId="3" fontId="5" fillId="0" borderId="4" xfId="7" applyNumberFormat="1" applyAlignment="1">
      <alignment vertical="bottom"/>
    </xf>
    <xf numFmtId="0" fontId="6" fillId="0" borderId="0" xfId="0" applyFont="1" applyAlignment="1">
      <alignment vertical="bottom"/>
    </xf>
    <xf numFmtId="3" fontId="6" fillId="0" borderId="0" xfId="0" applyNumberFormat="1" applyFont="1" applyAlignment="1">
      <alignment vertical="bottom"/>
    </xf>
    <xf numFmtId="3" fontId="7" fillId="0" borderId="0" xfId="0" applyNumberFormat="1" applyFont="1" applyAlignment="1">
      <alignment horizontal="center" vertical="bottom"/>
    </xf>
    <xf numFmtId="3" fontId="8" fillId="0" borderId="0" xfId="0" applyNumberFormat="1" applyAlignment="1">
      <alignment vertical="bottom"/>
    </xf>
    <xf numFmtId="0" fontId="9" fillId="0" borderId="0" xfId="0" applyFont="1" applyAlignment="1">
      <alignment vertical="bottom"/>
    </xf>
    <xf numFmtId="0" fontId="10" fillId="0" borderId="0" xfId="0" applyFont="1" applyAlignment="1">
      <alignment vertical="bottom"/>
    </xf>
    <xf numFmtId="3" fontId="6" fillId="0" borderId="5" xfId="8" applyNumberFormat="1" applyFont="1" applyAlignment="1">
      <alignment vertical="bottom"/>
    </xf>
    <xf numFmtId="0" fontId="7" fillId="6" borderId="4" xfId="9" applyFont="1" applyBorder="1" applyAlignment="1">
      <alignment vertical="bottom"/>
    </xf>
    <xf numFmtId="3" fontId="5" fillId="6" borderId="4" xfId="9" applyNumberFormat="1" applyFont="1" applyBorder="1" applyAlignment="1">
      <alignment vertical="bottom"/>
    </xf>
    <xf numFmtId="0" fontId="4" fillId="0" borderId="3" xfId="6" applyFont="1" applyAlignment="1">
      <alignment vertical="bottom"/>
    </xf>
    <xf numFmtId="0" fontId="8" fillId="0" borderId="0" xfId="0" applyFont="1" applyAlignment="1">
      <alignment vertical="bottom"/>
    </xf>
    <xf numFmtId="4" fontId="6" fillId="0" borderId="5" xfId="8" applyNumberFormat="1" applyFont="1" applyAlignment="1">
      <alignment vertical="bottom"/>
    </xf>
    <xf numFmtId="0" fontId="5" fillId="6" borderId="4" xfId="9" applyFont="1" applyBorder="1" applyAlignment="1">
      <alignment vertical="bottom"/>
    </xf>
    <xf numFmtId="0" fontId="7" fillId="0" borderId="0" xfId="0" applyFont="1" applyAlignment="1">
      <alignment vertical="bottom"/>
    </xf>
    <xf numFmtId="0" fontId="11" fillId="5" borderId="2" xfId="5" applyFont="1" applyBorder="1" applyAlignment="1">
      <alignment horizontal="center" vertical="bottom"/>
    </xf>
    <xf numFmtId="0" fontId="5" fillId="0" borderId="0" xfId="0" applyFont="1" applyAlignment="1">
      <alignment vertical="bottom"/>
    </xf>
    <xf numFmtId="3" fontId="5" fillId="0" borderId="0" xfId="0" applyNumberFormat="1" applyFont="1" applyAlignment="1">
      <alignment vertical="bottom"/>
    </xf>
    <xf numFmtId="0" fontId="12" fillId="2" borderId="0" xfId="1" applyFont="1" applyAlignment="1">
      <alignment horizontal="center" vertical="bottom"/>
    </xf>
    <xf numFmtId="0" fontId="13" fillId="6" borderId="4" xfId="9" applyFont="1" applyBorder="1" applyAlignment="1">
      <alignment vertical="bottom"/>
    </xf>
    <xf numFmtId="0" fontId="6" fillId="0" borderId="5" xfId="8" applyFont="1" applyAlignment="1">
      <alignment vertical="bottom"/>
    </xf>
    <xf numFmtId="0" fontId="14" fillId="3" borderId="0" xfId="2" applyFont="1" applyAlignment="1">
      <alignment horizontal="center" vertical="bottom"/>
    </xf>
    <xf numFmtId="0" fontId="14" fillId="4" borderId="0" xfId="3" applyFont="1" applyAlignment="1">
      <alignment horizontal="center" vertical="bottom"/>
    </xf>
    <xf numFmtId="0" fontId="7" fillId="0" borderId="0" xfId="0" applyFont="1" applyAlignment="1">
      <alignment horizontal="center" vertical="bottom"/>
    </xf>
    <xf numFmtId="0" fontId="13" fillId="0" borderId="4" xfId="7" applyFont="1" applyAlignment="1">
      <alignment vertical="bottom"/>
    </xf>
    <xf numFmtId="3" fontId="8" fillId="0" borderId="0" xfId="0" applyNumberFormat="1" applyAlignment="1">
      <alignment vertical="bottom" wrapText="1"/>
    </xf>
    <xf numFmtId="0" fontId="13" fillId="0" borderId="0" xfId="0" applyFont="1" applyAlignment="1">
      <alignment horizontal="center" vertical="bottom"/>
    </xf>
    <xf numFmtId="0" fontId="15" fillId="2" borderId="0" xfId="1" applyFont="1" applyAlignment="1">
      <alignment horizontal="center" vertical="bottom"/>
    </xf>
    <xf numFmtId="0" fontId="16" fillId="4" borderId="0" xfId="3" applyNumberFormat="1" applyFont="1" applyAlignment="1">
      <alignment horizontal="center" vertical="bottom"/>
    </xf>
    <xf numFmtId="0" fontId="17" fillId="0" borderId="0" xfId="0" applyFont="1" applyAlignment="1">
      <alignment vertical="bottom"/>
    </xf>
    <xf numFmtId="2" fontId="8" fillId="0" borderId="0" xfId="0" applyNumberFormat="1" applyAlignment="1">
      <alignment vertical="bottom"/>
    </xf>
    <xf numFmtId="164" fontId="8" fillId="0" borderId="0" xfId="0" applyNumberFormat="1" applyAlignment="1">
      <alignment vertical="bottom"/>
    </xf>
    <xf numFmtId="165" fontId="8" fillId="0" borderId="0" xfId="0" applyNumberFormat="1" applyAlignment="1">
      <alignment vertical="bottom"/>
    </xf>
    <xf numFmtId="0" fontId="8" fillId="0" borderId="0" xfId="0" applyAlignment="1">
      <alignment vertical="bottom"/>
    </xf>
    <xf numFmtId="0" fontId="15" fillId="4" borderId="0" xfId="3" applyFont="1" applyAlignment="1">
      <alignment horizontal="center" vertical="bottom"/>
    </xf>
    <xf numFmtId="0" fontId="12" fillId="4" borderId="0" xfId="3" applyFont="1" applyAlignment="1">
      <alignment horizontal="center" vertical="bottom"/>
    </xf>
    <xf numFmtId="9" fontId="5" fillId="0" borderId="4" xfId="10" applyFont="1" applyBorder="1" applyAlignment="1">
      <alignment vertical="bottom"/>
    </xf>
    <xf numFmtId="9" fontId="8" fillId="0" borderId="0" xfId="10" applyFont="1" applyAlignment="1">
      <alignment vertical="bottom"/>
    </xf>
    <xf numFmtId="9" fontId="7" fillId="6" borderId="4" xfId="10" applyFont="1" applyFill="1" applyBorder="1" applyAlignment="1">
      <alignment vertical="bottom"/>
    </xf>
    <xf numFmtId="9" fontId="5" fillId="6" borderId="4" xfId="10" applyFont="1" applyFill="1" applyBorder="1" applyAlignment="1">
      <alignment vertical="bottom"/>
    </xf>
    <xf numFmtId="167" fontId="8" fillId="0" borderId="0" xfId="10" applyNumberFormat="1" applyFont="1" applyAlignment="1">
      <alignment vertical="bottom"/>
    </xf>
    <xf numFmtId="10" fontId="8" fillId="0" borderId="0" xfId="10" applyNumberFormat="1" applyFont="1" applyAlignment="1">
      <alignment vertical="bottom"/>
    </xf>
    <xf numFmtId="168" fontId="8" fillId="0" borderId="0" xfId="10" applyNumberFormat="1" applyFont="1" applyAlignment="1">
      <alignment vertical="bottom"/>
    </xf>
    <xf numFmtId="0" fontId="13" fillId="0" borderId="0" xfId="0" applyFont="1" applyAlignment="1">
      <alignment vertical="bottom"/>
    </xf>
    <xf numFmtId="166" fontId="5" fillId="0" borderId="4" xfId="10" applyNumberFormat="1" applyFont="1" applyBorder="1" applyAlignment="1">
      <alignment vertical="bottom"/>
    </xf>
    <xf numFmtId="166" fontId="8" fillId="0" borderId="0" xfId="10" applyNumberFormat="1" applyFont="1" applyAlignment="1">
      <alignment vertical="bottom"/>
    </xf>
    <xf numFmtId="166" fontId="13" fillId="6" borderId="4" xfId="10" applyNumberFormat="1" applyFont="1" applyFill="1" applyBorder="1" applyAlignment="1">
      <alignment vertical="bottom"/>
    </xf>
    <xf numFmtId="166" fontId="5" fillId="6" borderId="4" xfId="10" applyNumberFormat="1" applyFont="1" applyFill="1" applyBorder="1" applyAlignment="1">
      <alignment vertical="bottom"/>
    </xf>
  </cellXfs>
  <cellStyles count="11">
    <cellStyle name="常规" xfId="0" builtinId="0"/>
    <cellStyle name="40% - Accent1" xfId="1"/>
    <cellStyle name="60% - Accent1" xfId="2"/>
    <cellStyle name="Accent1" xfId="3"/>
    <cellStyle name="Heading 1" xfId="4"/>
    <cellStyle name="40% - Accent5" xfId="5"/>
    <cellStyle name="Heading 2" xfId="6"/>
    <cellStyle name="Total" xfId="7"/>
    <cellStyle name="Heading 3" xfId="8"/>
    <cellStyle name="20% - Accent5" xfId="9"/>
    <cellStyle name="百分比" xfId="10" builtinId="5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www.wps.cn/officeDocument/2020/cellImage" Target="cellimages.xml"/><Relationship Id="rId10" Type="http://schemas.openxmlformats.org/officeDocument/2006/relationships/sharedStrings" Target="sharedStrings.xml"/><Relationship Id="rId11" Type="http://schemas.openxmlformats.org/officeDocument/2006/relationships/styles" Target="styles.xml"/><Relationship Id="rId12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10.xml.rels><?xml version="1.0" encoding="UTF-8" standalone="yes"?>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1.xml.rels><?xml version="1.0" encoding="UTF-8" standalone="yes"?>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2.xml.rels><?xml version="1.0" encoding="UTF-8" standalone="yes"?>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13.xml.rels><?xml version="1.0" encoding="UTF-8" standalone="yes"?>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14.xml.rels><?xml version="1.0" encoding="UTF-8" standalone="yes"?>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15.xml.rels><?xml version="1.0" encoding="UTF-8" standalone="yes"?>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16.xml.rels><?xml version="1.0" encoding="UTF-8" standalone="yes"?>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17.xml.rels><?xml version="1.0" encoding="UTF-8" standalone="yes"?>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18.xml.rels><?xml version="1.0" encoding="UTF-8" standalone="yes"?>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19.xml.rels><?xml version="1.0" encoding="UTF-8" standalone="yes"?>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20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1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2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3.xml.rels><?xml version="1.0" encoding="UTF-8" standalone="yes"?>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24.xml.rels><?xml version="1.0" encoding="UTF-8" standalone="yes"?>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25.xml.rels><?xml version="1.0" encoding="UTF-8" standalone="yes"?>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6.xml.rels><?xml version="1.0" encoding="UTF-8" standalone="yes"?>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4.xml.rels><?xml version="1.0" encoding="UTF-8" standalone="yes"?>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5.xml.rels><?xml version="1.0" encoding="UTF-8" standalone="yes"?>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6.xml.rels><?xml version="1.0" encoding="UTF-8" standalone="yes"?>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7.xml.rels><?xml version="1.0" encoding="UTF-8" standalone="yes"?>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8.xml.rels><?xml version="1.0" encoding="UTF-8" standalone="yes"?>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9.xml.rels><?xml version="1.0" encoding="UTF-8" standalone="yes"?>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Ratios!$C$5</c:f>
              <c:numCache>
                <c:formatCode>0.00</c:formatCode>
                <c:ptCount val="1"/>
                <c:pt idx="0">
                  <c:v>1.23663698373633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Ratios!$D$5</c:f>
              <c:numCache>
                <c:formatCode>0.00</c:formatCode>
                <c:ptCount val="1"/>
                <c:pt idx="0">
                  <c:v>1.17971929678538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Ratios!$E$5</c:f>
              <c:numCache>
                <c:formatCode>0.00</c:formatCode>
                <c:ptCount val="1"/>
                <c:pt idx="0">
                  <c:v>1.11223346133009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Ratios!$F$5</c:f>
              <c:numCache>
                <c:formatCode>0.00</c:formatCode>
                <c:ptCount val="1"/>
                <c:pt idx="0">
                  <c:v>1.10896791001612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13389055"/>
        <c:axId val="2013379487"/>
      </c:barChart>
      <c:catAx>
        <c:axId val="201338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79487"/>
        <c:crosses val="autoZero"/>
        <c:auto val="1"/>
        <c:lblAlgn val="ctr"/>
        <c:lblOffset val="100"/>
        <c:noMultiLvlLbl val="0"/>
      </c:catAx>
      <c:valAx>
        <c:axId val="20133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8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Inventory</a:t>
            </a:r>
            <a:r>
              <a:rPr lang="en-US" b="1" baseline="0"/>
              <a:t> Turnover Ratios(In times)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Ratios!$C$15</c:f>
              <c:numCache>
                <c:formatCode>0.00</c:formatCode>
                <c:ptCount val="1"/>
                <c:pt idx="0">
                  <c:v>6.1506351370274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Ratios!$D$15</c:f>
              <c:numCache>
                <c:formatCode>0.00</c:formatCode>
                <c:ptCount val="1"/>
                <c:pt idx="0">
                  <c:v>5.12414334512112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Ratios!$E$15</c:f>
              <c:numCache>
                <c:formatCode>0.00</c:formatCode>
                <c:ptCount val="1"/>
                <c:pt idx="0">
                  <c:v>4.26761726456634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Ratios!$F$15</c:f>
              <c:numCache>
                <c:formatCode>0.00</c:formatCode>
                <c:ptCount val="1"/>
                <c:pt idx="0">
                  <c:v>4.28704044608904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3381151"/>
        <c:axId val="2013382399"/>
      </c:barChart>
      <c:catAx>
        <c:axId val="20133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82399"/>
        <c:crosses val="autoZero"/>
        <c:auto val="1"/>
        <c:lblAlgn val="ctr"/>
        <c:lblOffset val="100"/>
        <c:noMultiLvlLbl val="0"/>
      </c:catAx>
      <c:valAx>
        <c:axId val="20133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8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Inventory</a:t>
            </a:r>
            <a:r>
              <a:rPr lang="en-US" b="1" baseline="0"/>
              <a:t> Turnover Ratios(In days)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Ratios!$C$16</c:f>
              <c:numCache>
                <c:formatCode>0.00</c:formatCode>
                <c:ptCount val="1"/>
                <c:pt idx="0">
                  <c:v>59.3434648403489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Ratios!$D$16</c:f>
              <c:numCache>
                <c:formatCode>0.00</c:formatCode>
                <c:ptCount val="1"/>
                <c:pt idx="0">
                  <c:v>71.2314186814327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Ratios!$E$16</c:f>
              <c:numCache>
                <c:formatCode>0.00</c:formatCode>
                <c:ptCount val="1"/>
                <c:pt idx="0">
                  <c:v>85.5278197111451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Ratios!$F$16</c:f>
              <c:numCache>
                <c:formatCode>0.00</c:formatCode>
                <c:ptCount val="1"/>
                <c:pt idx="0">
                  <c:v>85.1403210653122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7398895"/>
        <c:axId val="2017399727"/>
      </c:barChart>
      <c:catAx>
        <c:axId val="201739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99727"/>
        <c:crosses val="autoZero"/>
        <c:auto val="1"/>
        <c:lblAlgn val="ctr"/>
        <c:lblOffset val="100"/>
        <c:noMultiLvlLbl val="0"/>
      </c:catAx>
      <c:valAx>
        <c:axId val="20173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Assets Turnover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Ratios!$C$17</c:f>
              <c:numCache>
                <c:formatCode>0.00</c:formatCode>
                <c:ptCount val="1"/>
                <c:pt idx="0">
                  <c:v>0.991928884905098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Ratios!$D$17</c:f>
              <c:numCache>
                <c:formatCode>0.00</c:formatCode>
                <c:ptCount val="1"/>
                <c:pt idx="0">
                  <c:v>0.901509336652874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Ratios!$E$17</c:f>
              <c:numCache>
                <c:formatCode>0.00</c:formatCode>
                <c:ptCount val="1"/>
                <c:pt idx="0">
                  <c:v>0.69606974244633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Ratios!$F$17</c:f>
              <c:numCache>
                <c:formatCode>0.00</c:formatCode>
                <c:ptCount val="1"/>
                <c:pt idx="0">
                  <c:v>1.51613178911471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2239215"/>
        <c:axId val="2002236303"/>
      </c:barChart>
      <c:catAx>
        <c:axId val="20022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36303"/>
        <c:crosses val="autoZero"/>
        <c:auto val="1"/>
        <c:lblAlgn val="ctr"/>
        <c:lblOffset val="100"/>
        <c:noMultiLvlLbl val="0"/>
      </c:catAx>
      <c:valAx>
        <c:axId val="20022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Fixed</a:t>
            </a:r>
            <a:r>
              <a:rPr lang="en-US" b="1" baseline="0"/>
              <a:t> Assets Turnover Ratios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Ratios!$C$18</c:f>
              <c:numCache>
                <c:formatCode>0.00</c:formatCode>
                <c:ptCount val="1"/>
                <c:pt idx="0">
                  <c:v>2.09874835131869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Ratios!$D$18</c:f>
              <c:numCache>
                <c:formatCode>0.00</c:formatCode>
                <c:ptCount val="1"/>
                <c:pt idx="0">
                  <c:v>1.7957867860474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Ratios!$E$18</c:f>
              <c:numCache>
                <c:formatCode>0.00</c:formatCode>
                <c:ptCount val="1"/>
                <c:pt idx="0">
                  <c:v>1.3878566618046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Ratios!$F$18</c:f>
              <c:numCache>
                <c:formatCode>0.00</c:formatCode>
                <c:ptCount val="1"/>
                <c:pt idx="0">
                  <c:v>3.11496995847766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0321727"/>
        <c:axId val="2010323391"/>
      </c:barChart>
      <c:catAx>
        <c:axId val="201032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23391"/>
        <c:crosses val="autoZero"/>
        <c:auto val="1"/>
        <c:lblAlgn val="ctr"/>
        <c:lblOffset val="100"/>
        <c:noMultiLvlLbl val="0"/>
      </c:catAx>
      <c:valAx>
        <c:axId val="20103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2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Working</a:t>
            </a:r>
            <a:r>
              <a:rPr lang="en-US" b="1" baseline="0"/>
              <a:t> Capital Turnover Ratios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Ratios!$C$19</c:f>
              <c:numCache>
                <c:formatCode>0.00</c:formatCode>
                <c:ptCount val="1"/>
                <c:pt idx="0">
                  <c:v>8.18411963043208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Ratios!$D$19</c:f>
              <c:numCache>
                <c:formatCode>0.00</c:formatCode>
                <c:ptCount val="1"/>
                <c:pt idx="0">
                  <c:v>10.0915633277738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Ratios!$E$19</c:f>
              <c:numCache>
                <c:formatCode>0.00</c:formatCode>
                <c:ptCount val="1"/>
                <c:pt idx="0">
                  <c:v>12.2125271399939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Ratios!$F$19</c:f>
              <c:numCache>
                <c:formatCode>0.00</c:formatCode>
                <c:ptCount val="1"/>
                <c:pt idx="0">
                  <c:v>16.4518363477204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3387807"/>
        <c:axId val="2013388639"/>
      </c:barChart>
      <c:catAx>
        <c:axId val="201338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88639"/>
        <c:crosses val="autoZero"/>
        <c:auto val="1"/>
        <c:lblAlgn val="ctr"/>
        <c:lblOffset val="100"/>
        <c:noMultiLvlLbl val="0"/>
      </c:catAx>
      <c:valAx>
        <c:axId val="20133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8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Debt</a:t>
            </a:r>
            <a:r>
              <a:rPr lang="en-US" b="1" baseline="0"/>
              <a:t> Ratios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Ratios!$C$21</c:f>
              <c:numCache>
                <c:formatCode>0.00</c:formatCode>
                <c:ptCount val="1"/>
                <c:pt idx="0">
                  <c:v>0.7350676022783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Ratios!$D$21</c:f>
              <c:numCache>
                <c:formatCode>0.00</c:formatCode>
                <c:ptCount val="1"/>
                <c:pt idx="0">
                  <c:v>0.694307407613343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Ratios!$E$21</c:f>
              <c:numCache>
                <c:formatCode>0.00</c:formatCode>
                <c:ptCount val="1"/>
                <c:pt idx="0">
                  <c:v>0.684975907393134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Ratios!$F$21</c:f>
              <c:numCache>
                <c:formatCode>0.00</c:formatCode>
                <c:ptCount val="1"/>
                <c:pt idx="0">
                  <c:v>0.683125579203456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9506415"/>
        <c:axId val="2009501839"/>
      </c:barChart>
      <c:catAx>
        <c:axId val="20095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01839"/>
        <c:crosses val="autoZero"/>
        <c:auto val="1"/>
        <c:lblAlgn val="ctr"/>
        <c:lblOffset val="100"/>
        <c:noMultiLvlLbl val="0"/>
      </c:catAx>
      <c:valAx>
        <c:axId val="200950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Debt</a:t>
            </a:r>
            <a:r>
              <a:rPr lang="en-US" b="1" baseline="0"/>
              <a:t> To Equity Ratios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Ratios!$C$22</c:f>
              <c:numCache>
                <c:formatCode>0.00</c:formatCode>
                <c:ptCount val="1"/>
                <c:pt idx="0">
                  <c:v>2.77454780389093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Ratios!$D$22</c:f>
              <c:numCache>
                <c:formatCode>0.00</c:formatCode>
                <c:ptCount val="1"/>
                <c:pt idx="0">
                  <c:v>2.27126016431286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Ratios!$E$22</c:f>
              <c:numCache>
                <c:formatCode>0.00</c:formatCode>
                <c:ptCount val="1"/>
                <c:pt idx="0">
                  <c:v>2.17436038534345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Ratios!$F$22</c:f>
              <c:numCache>
                <c:formatCode>0.00</c:formatCode>
                <c:ptCount val="1"/>
                <c:pt idx="0">
                  <c:v>2.15582430884212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7405135"/>
        <c:axId val="2017405551"/>
      </c:barChart>
      <c:catAx>
        <c:axId val="201740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05551"/>
        <c:crosses val="autoZero"/>
        <c:auto val="1"/>
        <c:lblAlgn val="ctr"/>
        <c:lblOffset val="100"/>
        <c:noMultiLvlLbl val="0"/>
      </c:catAx>
      <c:valAx>
        <c:axId val="20174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0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Interest Earned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Ratios!$C$23</c:f>
              <c:numCache>
                <c:formatCode>0.00</c:formatCode>
                <c:ptCount val="1"/>
                <c:pt idx="0">
                  <c:v>1.67494668689638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Ratios!$D$23</c:f>
              <c:numCache>
                <c:formatCode>0.00</c:formatCode>
                <c:ptCount val="1"/>
                <c:pt idx="0">
                  <c:v>1.85195077059004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Ratios!$E$23</c:f>
              <c:numCache>
                <c:formatCode>0.00</c:formatCode>
                <c:ptCount val="1"/>
                <c:pt idx="0">
                  <c:v>2.44396411880502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Ratios!$F$23</c:f>
              <c:numCache>
                <c:formatCode>0.00</c:formatCode>
                <c:ptCount val="1"/>
                <c:pt idx="0">
                  <c:v>2.82894982543613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2233391"/>
        <c:axId val="2002233807"/>
      </c:barChart>
      <c:catAx>
        <c:axId val="200223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33807"/>
        <c:crosses val="autoZero"/>
        <c:auto val="1"/>
        <c:lblAlgn val="ctr"/>
        <c:lblOffset val="100"/>
        <c:noMultiLvlLbl val="0"/>
      </c:catAx>
      <c:valAx>
        <c:axId val="20022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3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</a:t>
            </a:r>
            <a:r>
              <a:rPr lang="en-US" baseline="0"/>
              <a:t> Multiplier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Ratios!$C$24</c:f>
              <c:numCache>
                <c:formatCode>0.00</c:formatCode>
                <c:ptCount val="1"/>
                <c:pt idx="0">
                  <c:v>3.77454780389093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Ratios!$D$24</c:f>
              <c:numCache>
                <c:formatCode>0.00</c:formatCode>
                <c:ptCount val="1"/>
                <c:pt idx="0">
                  <c:v>3.27126016431286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Ratios!$E$24</c:f>
              <c:numCache>
                <c:formatCode>0.00</c:formatCode>
                <c:ptCount val="1"/>
                <c:pt idx="0">
                  <c:v>3.17436038534345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Ratios!$F$24</c:f>
              <c:numCache>
                <c:formatCode>0.00</c:formatCode>
                <c:ptCount val="1"/>
                <c:pt idx="0">
                  <c:v>3.15582430884212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244751"/>
        <c:axId val="141250575"/>
      </c:barChart>
      <c:catAx>
        <c:axId val="1412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0575"/>
        <c:crosses val="autoZero"/>
        <c:auto val="1"/>
        <c:lblAlgn val="ctr"/>
        <c:lblOffset val="100"/>
        <c:noMultiLvlLbl val="0"/>
      </c:catAx>
      <c:valAx>
        <c:axId val="1412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Net</a:t>
            </a:r>
            <a:r>
              <a:rPr lang="en-US" b="1" baseline="0"/>
              <a:t> Profit Margin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Ratios!$C$26</c:f>
              <c:numCache>
                <c:formatCode>0.00</c:formatCode>
                <c:ptCount val="1"/>
                <c:pt idx="0">
                  <c:v>0.0409220663563944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Ratios!$D$26</c:f>
              <c:numCache>
                <c:formatCode>0.00</c:formatCode>
                <c:ptCount val="1"/>
                <c:pt idx="0">
                  <c:v>0.0521303036572189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Ratios!$E$26</c:f>
              <c:numCache>
                <c:formatCode>0.00</c:formatCode>
                <c:ptCount val="1"/>
                <c:pt idx="0">
                  <c:v>0.0749555653878388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Ratios!$F$26</c:f>
              <c:numCache>
                <c:formatCode>0.00</c:formatCode>
                <c:ptCount val="1"/>
                <c:pt idx="0">
                  <c:v>0.084286663462337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0320063"/>
        <c:axId val="2010323807"/>
      </c:barChart>
      <c:catAx>
        <c:axId val="201032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23807"/>
        <c:crosses val="autoZero"/>
        <c:auto val="1"/>
        <c:lblAlgn val="ctr"/>
        <c:lblOffset val="100"/>
        <c:noMultiLvlLbl val="0"/>
      </c:catAx>
      <c:valAx>
        <c:axId val="20103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Ratios!$C$6</c:f>
              <c:numCache>
                <c:formatCode>0.00</c:formatCode>
                <c:ptCount val="1"/>
                <c:pt idx="0">
                  <c:v>0.685566175471369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Ratios!$D$6</c:f>
              <c:numCache>
                <c:formatCode>0.00</c:formatCode>
                <c:ptCount val="1"/>
                <c:pt idx="0">
                  <c:v>0.616642442386216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Ratios!$E$6</c:f>
              <c:numCache>
                <c:formatCode>0.00</c:formatCode>
                <c:ptCount val="1"/>
                <c:pt idx="0">
                  <c:v>0.495180837861846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Ratios!$F$6</c:f>
              <c:numCache>
                <c:formatCode>0.00</c:formatCode>
                <c:ptCount val="1"/>
                <c:pt idx="0">
                  <c:v>0.500808022551125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12964815"/>
        <c:axId val="2012967311"/>
      </c:barChart>
      <c:catAx>
        <c:axId val="201296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67311"/>
        <c:crosses val="autoZero"/>
        <c:auto val="1"/>
        <c:lblAlgn val="ctr"/>
        <c:lblOffset val="100"/>
        <c:noMultiLvlLbl val="0"/>
      </c:catAx>
      <c:valAx>
        <c:axId val="20129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6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</a:t>
            </a:r>
            <a:r>
              <a:rPr lang="en-US" b="1" baseline="0"/>
              <a:t> Profit Margin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Ratios!$C$27</c:f>
              <c:numCache>
                <c:formatCode>0.00</c:formatCode>
                <c:ptCount val="1"/>
                <c:pt idx="0">
                  <c:v>0.127925132630657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Ratios!$D$27</c:f>
              <c:numCache>
                <c:formatCode>0.00</c:formatCode>
                <c:ptCount val="1"/>
                <c:pt idx="0">
                  <c:v>0.15497130109874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Ratios!$E$27</c:f>
              <c:numCache>
                <c:formatCode>0.00</c:formatCode>
                <c:ptCount val="1"/>
                <c:pt idx="0">
                  <c:v>0.173057580458057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Ratios!$F$27</c:f>
              <c:numCache>
                <c:formatCode>0.00</c:formatCode>
                <c:ptCount val="1"/>
                <c:pt idx="0">
                  <c:v>0.16616597025026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2238799"/>
        <c:axId val="2002235471"/>
      </c:barChart>
      <c:catAx>
        <c:axId val="200223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35471"/>
        <c:crosses val="autoZero"/>
        <c:auto val="1"/>
        <c:lblAlgn val="ctr"/>
        <c:lblOffset val="100"/>
        <c:noMultiLvlLbl val="0"/>
      </c:catAx>
      <c:valAx>
        <c:axId val="200223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3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Operating</a:t>
            </a:r>
            <a:r>
              <a:rPr lang="en-US" b="1" baseline="0"/>
              <a:t> Income Margin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Ratios!$C$28</c:f>
              <c:numCache>
                <c:formatCode>0.00</c:formatCode>
                <c:ptCount val="1"/>
                <c:pt idx="0">
                  <c:v>0.109752912526698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Ratios!$D$28</c:f>
              <c:numCache>
                <c:formatCode>0.00</c:formatCode>
                <c:ptCount val="1"/>
                <c:pt idx="0">
                  <c:v>0.129348521836458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Ratios!$E$28</c:f>
              <c:numCache>
                <c:formatCode>0.00</c:formatCode>
                <c:ptCount val="1"/>
                <c:pt idx="0">
                  <c:v>0.139066187491776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Ratios!$F$28</c:f>
              <c:numCache>
                <c:formatCode>0.00</c:formatCode>
                <c:ptCount val="1"/>
                <c:pt idx="0">
                  <c:v>0.136644524778078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9500591"/>
        <c:axId val="2009502255"/>
      </c:barChart>
      <c:catAx>
        <c:axId val="20095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02255"/>
        <c:crosses val="autoZero"/>
        <c:auto val="1"/>
        <c:lblAlgn val="ctr"/>
        <c:lblOffset val="100"/>
        <c:noMultiLvlLbl val="0"/>
      </c:catAx>
      <c:valAx>
        <c:axId val="20095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Return</a:t>
            </a:r>
            <a:r>
              <a:rPr lang="en-US" b="1" baseline="0"/>
              <a:t> On Assets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Ratios!$C$29</c:f>
              <c:numCache>
                <c:formatCode>0.00</c:formatCode>
                <c:ptCount val="1"/>
                <c:pt idx="0">
                  <c:v>0.0405917796489108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Ratios!$D$29</c:f>
              <c:numCache>
                <c:formatCode>0.00</c:formatCode>
                <c:ptCount val="1"/>
                <c:pt idx="0">
                  <c:v>0.0469959554695324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Ratios!$E$29</c:f>
              <c:numCache>
                <c:formatCode>0.00</c:formatCode>
                <c:ptCount val="1"/>
                <c:pt idx="0">
                  <c:v>0.052174301094432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Ratios!$F$29</c:f>
              <c:numCache>
                <c:formatCode>0.00</c:formatCode>
                <c:ptCount val="1"/>
                <c:pt idx="0">
                  <c:v>0.127789689873663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0318399"/>
        <c:axId val="2010324639"/>
      </c:barChart>
      <c:catAx>
        <c:axId val="201031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24639"/>
        <c:crosses val="autoZero"/>
        <c:auto val="1"/>
        <c:lblAlgn val="ctr"/>
        <c:lblOffset val="100"/>
        <c:noMultiLvlLbl val="0"/>
      </c:catAx>
      <c:valAx>
        <c:axId val="20103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Ratios!$C$30</c:f>
              <c:numCache>
                <c:formatCode>0.00</c:formatCode>
                <c:ptCount val="1"/>
                <c:pt idx="0">
                  <c:v>0.152895848246395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Ratios!$D$30</c:f>
              <c:numCache>
                <c:formatCode>0.00</c:formatCode>
                <c:ptCount val="1"/>
                <c:pt idx="0">
                  <c:v>0.167595620688145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Ratios!$E$30</c:f>
              <c:numCache>
                <c:formatCode>0.00</c:formatCode>
                <c:ptCount val="1"/>
                <c:pt idx="0">
                  <c:v>0.185988517576399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Ratios!$F$30</c:f>
              <c:numCache>
                <c:formatCode>0.00</c:formatCode>
                <c:ptCount val="1"/>
                <c:pt idx="0">
                  <c:v>0.217166676143655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3376575"/>
        <c:axId val="2017399727"/>
      </c:barChart>
      <c:catAx>
        <c:axId val="201337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99727"/>
        <c:crosses val="autoZero"/>
        <c:auto val="1"/>
        <c:lblAlgn val="ctr"/>
        <c:lblOffset val="100"/>
        <c:noMultiLvlLbl val="0"/>
      </c:catAx>
      <c:valAx>
        <c:axId val="20173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7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Price</a:t>
            </a:r>
            <a:r>
              <a:rPr lang="en-US" b="1" baseline="0"/>
              <a:t> Earning Ratios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Ratios!$C$32</c:f>
              <c:numCache>
                <c:formatCode>0.00</c:formatCode>
                <c:ptCount val="1"/>
                <c:pt idx="0">
                  <c:v>15.8875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Ratios!$D$32</c:f>
              <c:numCache>
                <c:formatCode>0.00</c:formatCode>
                <c:ptCount val="1"/>
                <c:pt idx="0">
                  <c:v>13.4142480211082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Ratios!$E$32</c:f>
              <c:numCache>
                <c:formatCode>0.00</c:formatCode>
                <c:ptCount val="1"/>
                <c:pt idx="0">
                  <c:v>7.42189781021898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Ratios!$F$32</c:f>
              <c:numCache>
                <c:formatCode>0.00</c:formatCode>
                <c:ptCount val="1"/>
                <c:pt idx="0">
                  <c:v>4.9794319294809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9503919"/>
        <c:axId val="2017399311"/>
      </c:barChart>
      <c:catAx>
        <c:axId val="200950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99311"/>
        <c:crosses val="autoZero"/>
        <c:auto val="1"/>
        <c:lblAlgn val="ctr"/>
        <c:lblOffset val="100"/>
        <c:noMultiLvlLbl val="0"/>
      </c:catAx>
      <c:valAx>
        <c:axId val="20173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0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Dividend</a:t>
            </a:r>
            <a:r>
              <a:rPr lang="en-US" b="1" baseline="0"/>
              <a:t> Yield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Ratios!$C$33</c:f>
              <c:numCache>
                <c:formatCode>0.00</c:formatCode>
                <c:ptCount val="1"/>
                <c:pt idx="0">
                  <c:v>0.019669551534225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Ratios!$D$33</c:f>
              <c:numCache>
                <c:formatCode>0.00</c:formatCode>
                <c:ptCount val="1"/>
                <c:pt idx="0">
                  <c:v>0.0295043273013375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Ratios!$E$33</c:f>
              <c:numCache>
                <c:formatCode>0.00</c:formatCode>
                <c:ptCount val="1"/>
                <c:pt idx="0">
                  <c:v>0.0491738788355626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Ratios!$F$33</c:f>
              <c:numCache>
                <c:formatCode>0.00</c:formatCode>
                <c:ptCount val="1"/>
                <c:pt idx="0">
                  <c:v>0.0540912667191188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7405135"/>
        <c:axId val="2017402223"/>
      </c:barChart>
      <c:catAx>
        <c:axId val="201740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02223"/>
        <c:crosses val="autoZero"/>
        <c:auto val="1"/>
        <c:lblAlgn val="ctr"/>
        <c:lblOffset val="100"/>
        <c:noMultiLvlLbl val="0"/>
      </c:catAx>
      <c:valAx>
        <c:axId val="20174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0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Dividend</a:t>
            </a:r>
            <a:r>
              <a:rPr lang="en-US" b="1" baseline="0"/>
              <a:t> Payout Ratios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Ratios!$C$34</c:f>
              <c:numCache>
                <c:formatCode>0.00</c:formatCode>
                <c:ptCount val="1"/>
                <c:pt idx="0">
                  <c:v>0.3125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Ratios!$D$34</c:f>
              <c:numCache>
                <c:formatCode>0.00</c:formatCode>
                <c:ptCount val="1"/>
                <c:pt idx="0">
                  <c:v>0.395778364116095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Ratios!$E$34</c:f>
              <c:numCache>
                <c:formatCode>0.00</c:formatCode>
                <c:ptCount val="1"/>
                <c:pt idx="0">
                  <c:v>0.364963503649635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Ratios!$F$34</c:f>
              <c:numCache>
                <c:formatCode>0.00</c:formatCode>
                <c:ptCount val="1"/>
                <c:pt idx="0">
                  <c:v>0.269343780607248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9620479"/>
        <c:axId val="2079617567"/>
      </c:barChart>
      <c:catAx>
        <c:axId val="207962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17567"/>
        <c:crosses val="autoZero"/>
        <c:auto val="1"/>
        <c:lblAlgn val="ctr"/>
        <c:lblOffset val="100"/>
        <c:noMultiLvlLbl val="0"/>
      </c:catAx>
      <c:valAx>
        <c:axId val="20796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2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Ratios!$C$7</c:f>
              <c:numCache>
                <c:formatCode>0.0000</c:formatCode>
                <c:ptCount val="1"/>
                <c:pt idx="0">
                  <c:v>0.0489296089260034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Ratios!$D$7</c:f>
              <c:numCache>
                <c:formatCode>0.0000</c:formatCode>
                <c:ptCount val="1"/>
                <c:pt idx="0">
                  <c:v>0.0472048333512525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Ratios!$E$7</c:f>
              <c:numCache>
                <c:formatCode>0.0000</c:formatCode>
                <c:ptCount val="1"/>
                <c:pt idx="0">
                  <c:v>0.0037938309905635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Ratios!$F$7</c:f>
              <c:numCache>
                <c:formatCode>0.0000</c:formatCode>
                <c:ptCount val="1"/>
                <c:pt idx="0">
                  <c:v>0.00985481386481708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2235471"/>
        <c:axId val="2002237135"/>
      </c:barChart>
      <c:catAx>
        <c:axId val="20022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37135"/>
        <c:crosses val="autoZero"/>
        <c:auto val="1"/>
        <c:lblAlgn val="ctr"/>
        <c:lblOffset val="100"/>
        <c:noMultiLvlLbl val="0"/>
      </c:catAx>
      <c:valAx>
        <c:axId val="20022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3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Warking</a:t>
            </a:r>
            <a:r>
              <a:rPr lang="en-US" b="1" baseline="0"/>
              <a:t>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Ratios!$C$8</c:f>
              <c:numCache>
                <c:formatCode>#,##0</c:formatCode>
                <c:ptCount val="1"/>
                <c:pt idx="0">
                  <c:v>5271582955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Ratios!$D$8</c:f>
              <c:numCache>
                <c:formatCode>#,##0</c:formatCode>
                <c:ptCount val="1"/>
                <c:pt idx="0">
                  <c:v>3945869758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Ratios!$E$8</c:f>
              <c:numCache>
                <c:formatCode>#,##0</c:formatCode>
                <c:ptCount val="1"/>
                <c:pt idx="0">
                  <c:v>2.56293053E+9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Ratios!$F$8</c:f>
              <c:numCache>
                <c:formatCode>#,##0</c:formatCode>
                <c:ptCount val="1"/>
                <c:pt idx="0">
                  <c:v>3088849051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3391551"/>
        <c:axId val="2013377823"/>
      </c:barChart>
      <c:catAx>
        <c:axId val="201339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77823"/>
        <c:crosses val="autoZero"/>
        <c:auto val="1"/>
        <c:lblAlgn val="ctr"/>
        <c:lblOffset val="100"/>
        <c:noMultiLvlLbl val="0"/>
      </c:catAx>
      <c:valAx>
        <c:axId val="2013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9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Cash</a:t>
            </a:r>
            <a:r>
              <a:rPr lang="en-US" b="1" baseline="0"/>
              <a:t> Conversion Ratios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Ratios!$C$9</c:f>
              <c:numCache>
                <c:formatCode>0.000</c:formatCode>
                <c:ptCount val="1"/>
                <c:pt idx="0">
                  <c:v>138.138182068406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Ratios!$D$9</c:f>
              <c:numCache>
                <c:formatCode>0.000</c:formatCode>
                <c:ptCount val="1"/>
                <c:pt idx="0">
                  <c:v>170.369366759853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Ratios!$E$9</c:f>
              <c:numCache>
                <c:formatCode>0.000</c:formatCode>
                <c:ptCount val="1"/>
                <c:pt idx="0">
                  <c:v>186.833893289238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Ratios!$F$9</c:f>
              <c:numCache>
                <c:formatCode>0.000</c:formatCode>
                <c:ptCount val="1"/>
                <c:pt idx="0">
                  <c:v>174.246444434083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2606047"/>
        <c:axId val="2062607711"/>
      </c:barChart>
      <c:catAx>
        <c:axId val="20626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07711"/>
        <c:crosses val="autoZero"/>
        <c:auto val="1"/>
        <c:lblAlgn val="ctr"/>
        <c:lblOffset val="100"/>
        <c:noMultiLvlLbl val="0"/>
      </c:catAx>
      <c:valAx>
        <c:axId val="20626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Receivable</a:t>
            </a:r>
            <a:r>
              <a:rPr lang="en-US" b="1" baseline="0"/>
              <a:t> Turnover Ratios(times)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Ratios!$C$11</c:f>
              <c:numCache>
                <c:formatCode>0.00</c:formatCode>
                <c:ptCount val="1"/>
                <c:pt idx="0">
                  <c:v>4.25850683040283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Ratios!$D$11</c:f>
              <c:numCache>
                <c:formatCode>0.00</c:formatCode>
                <c:ptCount val="1"/>
                <c:pt idx="0">
                  <c:v>3.48581953080294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Ratios!$E$11</c:f>
              <c:numCache>
                <c:formatCode>0.00</c:formatCode>
                <c:ptCount val="1"/>
                <c:pt idx="0">
                  <c:v>3.35062654000938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Ratios!$F$11</c:f>
              <c:numCache>
                <c:formatCode>0.00</c:formatCode>
                <c:ptCount val="1"/>
                <c:pt idx="0">
                  <c:v>3.6988785028071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2611871"/>
        <c:axId val="2062600639"/>
      </c:barChart>
      <c:catAx>
        <c:axId val="206261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00639"/>
        <c:crosses val="autoZero"/>
        <c:auto val="1"/>
        <c:lblAlgn val="ctr"/>
        <c:lblOffset val="100"/>
        <c:noMultiLvlLbl val="0"/>
      </c:catAx>
      <c:valAx>
        <c:axId val="20626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1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Receivable</a:t>
            </a:r>
            <a:r>
              <a:rPr lang="en-US" b="1" baseline="0"/>
              <a:t> Turnover Ratios(In days)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Ratios!$C$12</c:f>
              <c:numCache>
                <c:formatCode>0.00</c:formatCode>
                <c:ptCount val="1"/>
                <c:pt idx="0">
                  <c:v>85.7107936035583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Ratios!$D$12</c:f>
              <c:numCache>
                <c:formatCode>0.00</c:formatCode>
                <c:ptCount val="1"/>
                <c:pt idx="0">
                  <c:v>104.709953218928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Ratios!$E$12</c:f>
              <c:numCache>
                <c:formatCode>0.00</c:formatCode>
                <c:ptCount val="1"/>
                <c:pt idx="0">
                  <c:v>108.934850136709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Ratios!$F$12</c:f>
              <c:numCache>
                <c:formatCode>0.00</c:formatCode>
                <c:ptCount val="1"/>
                <c:pt idx="0">
                  <c:v>98.678558845066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9505999"/>
        <c:axId val="2009502671"/>
      </c:barChart>
      <c:catAx>
        <c:axId val="200950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02671"/>
        <c:crosses val="autoZero"/>
        <c:auto val="1"/>
        <c:lblAlgn val="ctr"/>
        <c:lblOffset val="100"/>
        <c:noMultiLvlLbl val="0"/>
      </c:catAx>
      <c:valAx>
        <c:axId val="200950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0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Payable</a:t>
            </a:r>
            <a:r>
              <a:rPr lang="en-US" b="1" baseline="0"/>
              <a:t> Turnover Ratios(times)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Ratios!$C$13</c:f>
              <c:numCache>
                <c:formatCode>0.00</c:formatCode>
                <c:ptCount val="1"/>
                <c:pt idx="0">
                  <c:v>52.7755883802757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Ratios!$D$13</c:f>
              <c:numCache>
                <c:formatCode>0.00</c:formatCode>
                <c:ptCount val="1"/>
                <c:pt idx="0">
                  <c:v>65.5060415049744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Ratios!$E$13</c:f>
              <c:numCache>
                <c:formatCode>0.00</c:formatCode>
                <c:ptCount val="1"/>
                <c:pt idx="0">
                  <c:v>47.8451554053957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Ratios!$F$13</c:f>
              <c:numCache>
                <c:formatCode>0.00</c:formatCode>
                <c:ptCount val="1"/>
                <c:pt idx="0">
                  <c:v>38.1303170863773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0324223"/>
        <c:axId val="2010318815"/>
      </c:barChart>
      <c:catAx>
        <c:axId val="201032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18815"/>
        <c:crosses val="autoZero"/>
        <c:auto val="1"/>
        <c:lblAlgn val="ctr"/>
        <c:lblOffset val="100"/>
        <c:noMultiLvlLbl val="0"/>
      </c:catAx>
      <c:valAx>
        <c:axId val="20103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2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Payable</a:t>
            </a:r>
            <a:r>
              <a:rPr lang="en-US" b="1" baseline="0"/>
              <a:t> Turnover Ratios(In days)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Ratios!$C$14</c:f>
              <c:numCache>
                <c:formatCode>0.00</c:formatCode>
                <c:ptCount val="1"/>
                <c:pt idx="0">
                  <c:v>6.9160763755012</c:v>
                </c:pt>
              </c:numCache>
            </c:numRef>
          </c:val>
        </c:ser>
        <c:ser>
          <c:idx val="1"/>
          <c:order val="1"/>
          <c:tx>
            <c:strRef>
              <c:f>Ratios!$D$4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Ratios!$D$14</c:f>
              <c:numCache>
                <c:formatCode>0.00</c:formatCode>
                <c:ptCount val="1"/>
                <c:pt idx="0">
                  <c:v>5.57200514050727</c:v>
                </c:pt>
              </c:numCache>
            </c:numRef>
          </c:val>
        </c:ser>
        <c:ser>
          <c:idx val="2"/>
          <c:order val="2"/>
          <c:tx>
            <c:strRef>
              <c:f>Ratios!$E$4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Ratios!$E$14</c:f>
              <c:numCache>
                <c:formatCode>0.00</c:formatCode>
                <c:ptCount val="1"/>
                <c:pt idx="0">
                  <c:v>7.62877655861553</c:v>
                </c:pt>
              </c:numCache>
            </c:numRef>
          </c:val>
        </c:ser>
        <c:ser>
          <c:idx val="3"/>
          <c:order val="3"/>
          <c:tx>
            <c:strRef>
              <c:f>Ratios!$F$4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Ratios!$F$14</c:f>
              <c:numCache>
                <c:formatCode>0.00</c:formatCode>
                <c:ptCount val="1"/>
                <c:pt idx="0">
                  <c:v>9.5724354762946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2234223"/>
        <c:axId val="2002232559"/>
      </c:barChart>
      <c:catAx>
        <c:axId val="20022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32559"/>
        <c:crosses val="autoZero"/>
        <c:auto val="1"/>
        <c:lblAlgn val="ctr"/>
        <c:lblOffset val="100"/>
        <c:noMultiLvlLbl val="0"/>
      </c:catAx>
      <c:valAx>
        <c:axId val="20022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3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/Relationship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380579</xdr:colOff>
      <xdr:row>1</xdr:row>
      <xdr:rowOff>151804</xdr:rowOff>
    </xdr:from>
    <xdr:to>
      <xdr:col>8</xdr:col>
      <xdr:colOff>76115</xdr:colOff>
      <xdr:row>16</xdr:row>
      <xdr:rowOff>37951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304463</xdr:colOff>
      <xdr:row>16</xdr:row>
      <xdr:rowOff>75902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380579</xdr:colOff>
      <xdr:row>18</xdr:row>
      <xdr:rowOff>37951</xdr:rowOff>
    </xdr:from>
    <xdr:to>
      <xdr:col>8</xdr:col>
      <xdr:colOff>76115</xdr:colOff>
      <xdr:row>32</xdr:row>
      <xdr:rowOff>113853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304463</xdr:colOff>
      <xdr:row>32</xdr:row>
      <xdr:rowOff>75902</xdr:rowOff>
    </xdr:to>
    <xdr:graphicFrame macro="">
      <xdr:nvGraphicFramePr>
        <xdr:cNvPr name="图表 4" id="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304463</xdr:colOff>
      <xdr:row>48</xdr:row>
      <xdr:rowOff>75902</xdr:rowOff>
    </xdr:to>
    <xdr:graphicFrame macro="">
      <xdr:nvGraphicFramePr>
        <xdr:cNvPr name="图表 5" id="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304463</xdr:colOff>
      <xdr:row>48</xdr:row>
      <xdr:rowOff>75902</xdr:rowOff>
    </xdr:to>
    <xdr:graphicFrame macro="">
      <xdr:nvGraphicFramePr>
        <xdr:cNvPr name="图表 6" id="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304463</xdr:colOff>
      <xdr:row>64</xdr:row>
      <xdr:rowOff>75902</xdr:rowOff>
    </xdr:to>
    <xdr:graphicFrame macro="">
      <xdr:nvGraphicFramePr>
        <xdr:cNvPr name="图表 7" id="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16</xdr:col>
      <xdr:colOff>304463</xdr:colOff>
      <xdr:row>64</xdr:row>
      <xdr:rowOff>75902</xdr:rowOff>
    </xdr:to>
    <xdr:graphicFrame macro="">
      <xdr:nvGraphicFramePr>
        <xdr:cNvPr name="图表 8" id="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8</xdr:col>
      <xdr:colOff>304463</xdr:colOff>
      <xdr:row>80</xdr:row>
      <xdr:rowOff>75902</xdr:rowOff>
    </xdr:to>
    <xdr:graphicFrame macro="">
      <xdr:nvGraphicFramePr>
        <xdr:cNvPr name="图表 9" id="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66</xdr:row>
      <xdr:rowOff>0</xdr:rowOff>
    </xdr:from>
    <xdr:to>
      <xdr:col>16</xdr:col>
      <xdr:colOff>304463</xdr:colOff>
      <xdr:row>80</xdr:row>
      <xdr:rowOff>75902</xdr:rowOff>
    </xdr:to>
    <xdr:graphicFrame macro="">
      <xdr:nvGraphicFramePr>
        <xdr:cNvPr name="图表 10" id="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304463</xdr:colOff>
      <xdr:row>96</xdr:row>
      <xdr:rowOff>75902</xdr:rowOff>
    </xdr:to>
    <xdr:graphicFrame macro="">
      <xdr:nvGraphicFramePr>
        <xdr:cNvPr name="图表 11" id="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16</xdr:col>
      <xdr:colOff>304463</xdr:colOff>
      <xdr:row>96</xdr:row>
      <xdr:rowOff>75902</xdr:rowOff>
    </xdr:to>
    <xdr:graphicFrame macro="">
      <xdr:nvGraphicFramePr>
        <xdr:cNvPr name="图表 12" id="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304463</xdr:colOff>
      <xdr:row>112</xdr:row>
      <xdr:rowOff>75902</xdr:rowOff>
    </xdr:to>
    <xdr:graphicFrame macro="">
      <xdr:nvGraphicFramePr>
        <xdr:cNvPr name="图表 13" id="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304463</xdr:colOff>
      <xdr:row>112</xdr:row>
      <xdr:rowOff>75902</xdr:rowOff>
    </xdr:to>
    <xdr:graphicFrame macro="">
      <xdr:nvGraphicFramePr>
        <xdr:cNvPr name="图表 14" id="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8</xdr:col>
      <xdr:colOff>304463</xdr:colOff>
      <xdr:row>128</xdr:row>
      <xdr:rowOff>75902</xdr:rowOff>
    </xdr:to>
    <xdr:graphicFrame macro="">
      <xdr:nvGraphicFramePr>
        <xdr:cNvPr name="图表 15" id="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114</xdr:row>
      <xdr:rowOff>0</xdr:rowOff>
    </xdr:from>
    <xdr:to>
      <xdr:col>16</xdr:col>
      <xdr:colOff>304463</xdr:colOff>
      <xdr:row>128</xdr:row>
      <xdr:rowOff>75902</xdr:rowOff>
    </xdr:to>
    <xdr:graphicFrame macro="">
      <xdr:nvGraphicFramePr>
        <xdr:cNvPr name="图表 16" id="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130</xdr:row>
      <xdr:rowOff>0</xdr:rowOff>
    </xdr:from>
    <xdr:to>
      <xdr:col>8</xdr:col>
      <xdr:colOff>304463</xdr:colOff>
      <xdr:row>144</xdr:row>
      <xdr:rowOff>75902</xdr:rowOff>
    </xdr:to>
    <xdr:graphicFrame macro="">
      <xdr:nvGraphicFramePr>
        <xdr:cNvPr name="图表 17" id="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130</xdr:row>
      <xdr:rowOff>0</xdr:rowOff>
    </xdr:from>
    <xdr:to>
      <xdr:col>16</xdr:col>
      <xdr:colOff>304463</xdr:colOff>
      <xdr:row>144</xdr:row>
      <xdr:rowOff>75902</xdr:rowOff>
    </xdr:to>
    <xdr:graphicFrame macro="">
      <xdr:nvGraphicFramePr>
        <xdr:cNvPr name="图表 18" id="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8</xdr:col>
      <xdr:colOff>304463</xdr:colOff>
      <xdr:row>160</xdr:row>
      <xdr:rowOff>75902</xdr:rowOff>
    </xdr:to>
    <xdr:graphicFrame macro="">
      <xdr:nvGraphicFramePr>
        <xdr:cNvPr name="图表 19" id="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16</xdr:col>
      <xdr:colOff>304463</xdr:colOff>
      <xdr:row>160</xdr:row>
      <xdr:rowOff>75902</xdr:rowOff>
    </xdr:to>
    <xdr:graphicFrame macro="">
      <xdr:nvGraphicFramePr>
        <xdr:cNvPr name="图表 20" id="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8</xdr:col>
      <xdr:colOff>304463</xdr:colOff>
      <xdr:row>176</xdr:row>
      <xdr:rowOff>75902</xdr:rowOff>
    </xdr:to>
    <xdr:graphicFrame macro="">
      <xdr:nvGraphicFramePr>
        <xdr:cNvPr name="图表 21" id="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162</xdr:row>
      <xdr:rowOff>0</xdr:rowOff>
    </xdr:from>
    <xdr:to>
      <xdr:col>16</xdr:col>
      <xdr:colOff>304463</xdr:colOff>
      <xdr:row>176</xdr:row>
      <xdr:rowOff>75902</xdr:rowOff>
    </xdr:to>
    <xdr:graphicFrame macro="">
      <xdr:nvGraphicFramePr>
        <xdr:cNvPr name="图表 22" id="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304463</xdr:colOff>
      <xdr:row>192</xdr:row>
      <xdr:rowOff>75902</xdr:rowOff>
    </xdr:to>
    <xdr:graphicFrame macro="">
      <xdr:nvGraphicFramePr>
        <xdr:cNvPr name="图表 23" id="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16</xdr:col>
      <xdr:colOff>304463</xdr:colOff>
      <xdr:row>192</xdr:row>
      <xdr:rowOff>75902</xdr:rowOff>
    </xdr:to>
    <xdr:graphicFrame macro="">
      <xdr:nvGraphicFramePr>
        <xdr:cNvPr name="图表 24" id="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194</xdr:row>
      <xdr:rowOff>0</xdr:rowOff>
    </xdr:from>
    <xdr:to>
      <xdr:col>8</xdr:col>
      <xdr:colOff>304463</xdr:colOff>
      <xdr:row>208</xdr:row>
      <xdr:rowOff>75902</xdr:rowOff>
    </xdr:to>
    <xdr:graphicFrame macro="">
      <xdr:nvGraphicFramePr>
        <xdr:cNvPr name="图表 25" id="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194</xdr:row>
      <xdr:rowOff>0</xdr:rowOff>
    </xdr:from>
    <xdr:to>
      <xdr:col>16</xdr:col>
      <xdr:colOff>304463</xdr:colOff>
      <xdr:row>208</xdr:row>
      <xdr:rowOff>75902</xdr:rowOff>
    </xdr:to>
    <xdr:graphicFrame macro="">
      <xdr:nvGraphicFramePr>
        <xdr:cNvPr name="图表 26" id="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53"/>
  <sheetViews>
    <sheetView workbookViewId="0" zoomScale="43">
      <selection activeCell="D55" sqref="D55"/>
    </sheetView>
  </sheetViews>
  <sheetFormatPr defaultRowHeight="15.0" defaultColWidth="10"/>
  <cols>
    <col min="1" max="1" customWidth="1" bestFit="1" width="56.42578" style="0"/>
    <col min="2" max="2" customWidth="1" bestFit="1" width="16.0" style="0"/>
    <col min="3" max="3" customWidth="1" bestFit="1" width="16.140625" style="0"/>
    <col min="4" max="5" customWidth="1" bestFit="1" width="15.5703125" style="0"/>
    <col min="6" max="6" customWidth="1" bestFit="1" width="16.425781" style="0"/>
  </cols>
  <sheetData>
    <row r="1" spans="8:8" ht="30.0">
      <c r="A1" s="1" t="s">
        <v>42</v>
      </c>
      <c r="B1" s="1"/>
      <c r="C1" s="1"/>
      <c r="D1" s="1"/>
      <c r="E1" s="1"/>
      <c r="F1" s="1"/>
    </row>
    <row r="2" spans="8:8" ht="30.0">
      <c r="A2" s="2" t="s">
        <v>0</v>
      </c>
      <c r="B2" s="2"/>
      <c r="C2" s="2"/>
      <c r="D2" s="2"/>
      <c r="E2" s="2"/>
      <c r="F2" s="2"/>
    </row>
    <row r="3" spans="8:8" ht="30.0">
      <c r="A3" s="3" t="s">
        <v>41</v>
      </c>
      <c r="B3" s="3"/>
      <c r="C3" s="3"/>
      <c r="D3" s="3"/>
      <c r="E3" s="3"/>
      <c r="F3" s="3"/>
    </row>
    <row r="5" spans="8:8" ht="20.25">
      <c r="A5" s="4" t="s">
        <v>157</v>
      </c>
      <c r="B5" s="4">
        <v>2013.0</v>
      </c>
      <c r="C5" s="4">
        <v>2014.0</v>
      </c>
      <c r="D5" s="4">
        <v>2015.0</v>
      </c>
      <c r="E5" s="4">
        <v>2016.0</v>
      </c>
      <c r="F5" s="4">
        <v>2017.0</v>
      </c>
    </row>
    <row r="6" spans="8:8" ht="24.0">
      <c r="A6" s="5" t="s">
        <v>5</v>
      </c>
      <c r="B6" s="5"/>
      <c r="C6" s="5"/>
      <c r="D6" s="5"/>
      <c r="E6" s="5"/>
      <c r="F6" s="5"/>
    </row>
    <row r="7" spans="8:8" ht="19.5">
      <c r="A7" s="6" t="s">
        <v>6</v>
      </c>
      <c r="B7" s="6"/>
      <c r="C7" s="6"/>
      <c r="D7" s="6"/>
      <c r="E7" s="6"/>
      <c r="F7" s="6"/>
    </row>
    <row r="8" spans="8:8" ht="16.5">
      <c r="A8" s="7" t="s">
        <v>7</v>
      </c>
      <c r="B8" s="8">
        <v>2.5E9</v>
      </c>
      <c r="C8" s="8">
        <v>2.5E9</v>
      </c>
      <c r="D8" s="8">
        <v>3.0E9</v>
      </c>
      <c r="E8" s="8">
        <v>3.0E9</v>
      </c>
      <c r="F8" s="8">
        <v>3.0E9</v>
      </c>
    </row>
    <row r="9" spans="8:8" ht="15.75">
      <c r="A9" s="9" t="s">
        <v>8</v>
      </c>
      <c r="B9" s="10">
        <v>1.81986028E9</v>
      </c>
      <c r="C9" s="10">
        <v>2.0018463E9</v>
      </c>
      <c r="D9" s="10">
        <v>2.0018463E9</v>
      </c>
      <c r="E9" s="10">
        <v>2.40221556E9</v>
      </c>
      <c r="F9" s="10">
        <v>2.40221556E9</v>
      </c>
    </row>
    <row r="10" spans="8:8" ht="15.75">
      <c r="A10" t="s">
        <v>19</v>
      </c>
      <c r="B10" s="11" t="s">
        <v>28</v>
      </c>
      <c r="C10" s="11" t="s">
        <v>28</v>
      </c>
      <c r="D10" s="12">
        <v>9.51794725E8</v>
      </c>
      <c r="E10" s="11" t="s">
        <v>28</v>
      </c>
      <c r="F10" s="11" t="s">
        <v>28</v>
      </c>
    </row>
    <row r="11" spans="8:8" ht="23.25">
      <c r="A11" t="s">
        <v>9</v>
      </c>
      <c r="B11">
        <v>8.013542833E9</v>
      </c>
      <c r="C11">
        <v>8.107892249E9</v>
      </c>
      <c r="D11">
        <v>8.819241226E9</v>
      </c>
      <c r="E11">
        <v>1.0689601317E10</v>
      </c>
      <c r="F11">
        <v>1.2541748839E10</v>
      </c>
      <c r="I11" s="13"/>
    </row>
    <row r="12" spans="8:8">
      <c r="A12" t="s">
        <v>10</v>
      </c>
      <c r="B12" s="12">
        <v>9.833403113E9</v>
      </c>
      <c r="C12" s="12">
        <v>1.0109738549E10</v>
      </c>
      <c r="D12" s="12">
        <v>1.1772882251E10</v>
      </c>
      <c r="E12">
        <v>1.3091816877E10</v>
      </c>
      <c r="F12">
        <v>1.4943964399E10</v>
      </c>
    </row>
    <row r="13" spans="8:8" ht="16.5">
      <c r="A13" s="14" t="s">
        <v>11</v>
      </c>
      <c r="B13" s="15">
        <v>3.552270788E9</v>
      </c>
      <c r="C13" s="15">
        <v>3.443288118E9</v>
      </c>
      <c r="D13" s="15">
        <v>3.607323562E9</v>
      </c>
      <c r="E13">
        <v>3.562941251E9</v>
      </c>
      <c r="F13">
        <v>4.489481958E9</v>
      </c>
    </row>
    <row r="14" spans="8:8" ht="16.5">
      <c r="A14" s="16" t="s">
        <v>12</v>
      </c>
      <c r="B14" s="17">
        <v>1.3385673901E10</v>
      </c>
      <c r="C14" s="17">
        <v>1.3553026667E10</v>
      </c>
      <c r="D14" s="17">
        <v>1.5380205813E10</v>
      </c>
      <c r="E14" s="17">
        <v>1.6654758128E10</v>
      </c>
      <c r="F14" s="17">
        <v>1.9433446357E10</v>
      </c>
    </row>
    <row r="15" spans="8:8" ht="24.0">
      <c r="A15" s="5" t="s">
        <v>20</v>
      </c>
      <c r="B15" s="5"/>
      <c r="C15" s="5"/>
      <c r="D15" s="5"/>
      <c r="E15" s="5"/>
      <c r="F15" s="5"/>
    </row>
    <row r="16" spans="8:8" ht="19.5">
      <c r="A16" s="18" t="s">
        <v>13</v>
      </c>
    </row>
    <row r="17" spans="8:8" ht="16.5">
      <c r="A17" t="s">
        <v>27</v>
      </c>
      <c r="B17" s="11" t="s">
        <v>28</v>
      </c>
      <c r="C17" s="11" t="s">
        <v>28</v>
      </c>
      <c r="D17" s="11" t="s">
        <v>28</v>
      </c>
      <c r="E17" s="11" t="s">
        <v>28</v>
      </c>
      <c r="F17" s="12">
        <v>2.9687845E7</v>
      </c>
    </row>
    <row r="18" spans="8:8">
      <c r="A18" t="s">
        <v>14</v>
      </c>
      <c r="B18" s="12">
        <v>1.5881868234E10</v>
      </c>
      <c r="C18" s="12">
        <v>1.5295182188E10</v>
      </c>
      <c r="D18" s="12">
        <v>1.2976710981E10</v>
      </c>
      <c r="E18" s="12">
        <v>1.3377738486E10</v>
      </c>
      <c r="F18" s="12">
        <v>1.3518998245E10</v>
      </c>
    </row>
    <row r="19" spans="8:8" ht="15.75">
      <c r="A19" s="19" t="s">
        <v>21</v>
      </c>
      <c r="B19" s="12">
        <v>1.5625E8</v>
      </c>
      <c r="C19" s="12">
        <v>3.125E7</v>
      </c>
      <c r="D19" s="11" t="s">
        <v>28</v>
      </c>
      <c r="E19" s="11" t="s">
        <v>28</v>
      </c>
      <c r="F19" s="11" t="s">
        <v>28</v>
      </c>
    </row>
    <row r="20" spans="8:8" ht="19.5">
      <c r="A20" s="18" t="s">
        <v>15</v>
      </c>
      <c r="B20" s="12"/>
      <c r="C20" s="12"/>
    </row>
    <row r="21" spans="8:8" ht="16.5">
      <c r="A21" t="s">
        <v>18</v>
      </c>
      <c r="B21" s="11" t="s">
        <v>28</v>
      </c>
      <c r="C21" s="11" t="s">
        <v>28</v>
      </c>
      <c r="D21" s="11" t="s">
        <v>28</v>
      </c>
      <c r="E21" s="12">
        <v>1713049.0</v>
      </c>
      <c r="F21" s="11" t="s">
        <v>28</v>
      </c>
    </row>
    <row r="22" spans="8:8">
      <c r="A22" t="s">
        <v>16</v>
      </c>
      <c r="B22" s="12">
        <v>3.382808041E9</v>
      </c>
      <c r="C22" s="12">
        <v>3.521920445E9</v>
      </c>
      <c r="D22" s="12">
        <v>1.879738635E9</v>
      </c>
      <c r="E22" s="12">
        <v>2.593380872E9</v>
      </c>
      <c r="F22" s="12">
        <v>2.190189285E9</v>
      </c>
    </row>
    <row r="23" spans="8:8">
      <c r="A23" t="s">
        <v>22</v>
      </c>
      <c r="B23" s="12">
        <v>6.83900614E8</v>
      </c>
      <c r="C23" s="12">
        <v>7.18900828E8</v>
      </c>
      <c r="D23" s="12">
        <v>5.25773933E8</v>
      </c>
      <c r="E23" s="12">
        <v>4.58805704E8</v>
      </c>
      <c r="F23" s="12">
        <v>5.06797544E8</v>
      </c>
    </row>
    <row r="24" spans="8:8">
      <c r="A24" t="s">
        <v>17</v>
      </c>
      <c r="B24" s="12">
        <v>6.498176644E9</v>
      </c>
      <c r="C24" s="12">
        <v>1.4879080864E10</v>
      </c>
      <c r="D24" s="12">
        <v>1.6301412103E10</v>
      </c>
      <c r="E24" s="12">
        <v>1.6460565575E10</v>
      </c>
      <c r="F24" s="12">
        <v>2.1474756918E10</v>
      </c>
    </row>
    <row r="25" spans="8:8" ht="15.75">
      <c r="A25" t="s">
        <v>23</v>
      </c>
      <c r="B25" s="15">
        <v>2.681282514E9</v>
      </c>
      <c r="C25" s="15">
        <v>3.15718605E9</v>
      </c>
      <c r="D25" s="15">
        <v>3.24881313E9</v>
      </c>
      <c r="E25" s="20">
        <v>3.321242615E9</v>
      </c>
      <c r="F25" s="15">
        <v>4.174666224E9</v>
      </c>
    </row>
    <row r="26" spans="8:8" ht="15.75">
      <c r="A26" s="21" t="s">
        <v>148</v>
      </c>
      <c r="B26" s="21">
        <v>1.3246167813E10</v>
      </c>
      <c r="C26" s="21">
        <v>2.2277088187E10</v>
      </c>
      <c r="D26" s="21">
        <v>2.1955737801E10</v>
      </c>
      <c r="E26" s="21">
        <v>2.2835707815E10</v>
      </c>
      <c r="F26" s="21">
        <v>2.8346409971E10</v>
      </c>
    </row>
    <row r="27" spans="8:8" ht="16.5">
      <c r="A27" s="21" t="s">
        <v>24</v>
      </c>
      <c r="B27" s="21">
        <v>2.9284286047E10</v>
      </c>
      <c r="C27" s="21">
        <v>3.7603520375E10</v>
      </c>
      <c r="D27" s="21">
        <v>3.4932448782E10</v>
      </c>
      <c r="E27" s="21">
        <v>3.6213446301E10</v>
      </c>
      <c r="F27" s="21">
        <v>4.1895096061E10</v>
      </c>
    </row>
    <row r="28" spans="8:8" ht="16.5">
      <c r="A28" s="22" t="s">
        <v>25</v>
      </c>
    </row>
    <row r="29" spans="8:8" ht="16.5">
      <c r="A29" s="16" t="s">
        <v>26</v>
      </c>
      <c r="B29" s="21">
        <v>4.2669959948E10</v>
      </c>
      <c r="C29" s="21">
        <v>5.1156547042E10</v>
      </c>
      <c r="D29" s="21">
        <v>5.0312654595E10</v>
      </c>
      <c r="E29" s="21">
        <v>5.2868204429E10</v>
      </c>
      <c r="F29" s="21">
        <v>6.1328542418E10</v>
      </c>
    </row>
    <row r="30" spans="8:8" ht="27.0">
      <c r="A30" s="23" t="s">
        <v>29</v>
      </c>
      <c r="B30" s="23"/>
      <c r="C30" s="23"/>
      <c r="D30" s="23"/>
      <c r="E30" s="23"/>
      <c r="F30" s="23"/>
    </row>
    <row r="31" spans="8:8" ht="19.5">
      <c r="A31" s="18" t="s">
        <v>1</v>
      </c>
    </row>
    <row r="32" spans="8:8" ht="15.75">
      <c r="A32" t="s">
        <v>2</v>
      </c>
      <c r="B32" s="12">
        <v>2.2391029019E10</v>
      </c>
      <c r="C32" s="12">
        <v>2.3583552739E10</v>
      </c>
      <c r="D32" s="12">
        <v>2.4373712823E10</v>
      </c>
      <c r="E32" s="12">
        <v>2.7424478642E10</v>
      </c>
      <c r="F32" s="12">
        <v>2.9850096142E10</v>
      </c>
    </row>
    <row r="33" spans="8:8">
      <c r="A33" t="s">
        <v>3</v>
      </c>
      <c r="B33" s="12">
        <v>3474134.0</v>
      </c>
      <c r="C33" s="12">
        <v>3473721.0</v>
      </c>
      <c r="D33" s="12">
        <v>1.6459773E7</v>
      </c>
      <c r="E33" s="12">
        <v>2.4213002E7</v>
      </c>
      <c r="F33" s="12">
        <v>2.0847814E7</v>
      </c>
    </row>
    <row r="34" spans="8:8" ht="15.75">
      <c r="A34" t="s">
        <v>4</v>
      </c>
      <c r="B34" s="15">
        <v>2636259.0</v>
      </c>
      <c r="C34" s="15">
        <v>2.084944E7</v>
      </c>
      <c r="D34" s="15">
        <v>2.087444E7</v>
      </c>
      <c r="E34" s="15">
        <v>2.087444E7</v>
      </c>
      <c r="F34" s="15">
        <v>2.233944E7</v>
      </c>
    </row>
    <row r="35" spans="8:8" ht="16.5">
      <c r="A35" s="16" t="s">
        <v>144</v>
      </c>
      <c r="B35" s="21">
        <v>2.2397139412E10</v>
      </c>
      <c r="C35" s="21">
        <v>2.36078759E10</v>
      </c>
      <c r="D35" s="21">
        <v>2.4411047036E10</v>
      </c>
      <c r="E35" s="21">
        <v>2.7469566084E10</v>
      </c>
      <c r="F35" s="21">
        <v>2.9893283396E10</v>
      </c>
    </row>
    <row r="36" spans="8:8" ht="20.25">
      <c r="A36" s="18" t="s">
        <v>30</v>
      </c>
    </row>
    <row r="37" spans="8:8" ht="15.75">
      <c r="A37" t="s">
        <v>31</v>
      </c>
      <c r="B37" s="12">
        <v>1.244305405E9</v>
      </c>
      <c r="C37" s="12">
        <v>1.681534544E9</v>
      </c>
      <c r="D37" s="12">
        <v>1.560071795E9</v>
      </c>
      <c r="E37" s="12">
        <v>1.470107563E9</v>
      </c>
      <c r="F37" s="12">
        <v>1.222827106E9</v>
      </c>
    </row>
    <row r="38" spans="8:8">
      <c r="A38" t="s">
        <v>32</v>
      </c>
      <c r="B38" s="12">
        <v>6.331973069E9</v>
      </c>
      <c r="C38" s="12">
        <v>7.938835684E9</v>
      </c>
      <c r="D38" s="12">
        <v>7.400959342E9</v>
      </c>
      <c r="E38" s="12">
        <v>8.001720738E9</v>
      </c>
      <c r="F38" s="12">
        <v>1.0083409106E10</v>
      </c>
    </row>
    <row r="39" spans="8:8">
      <c r="A39" t="s">
        <v>33</v>
      </c>
      <c r="B39" s="12">
        <v>9.452690417E9</v>
      </c>
      <c r="C39" s="12">
        <v>1.4182408936E10</v>
      </c>
      <c r="D39" s="12">
        <v>1.2502422838E10</v>
      </c>
      <c r="E39" s="12">
        <v>1.1221170113E10</v>
      </c>
      <c r="F39" s="12">
        <v>1.391676093E10</v>
      </c>
    </row>
    <row r="40" spans="8:8">
      <c r="A40" t="s">
        <v>34</v>
      </c>
      <c r="B40" s="12">
        <v>9.9464455E8</v>
      </c>
      <c r="C40" s="12">
        <v>7.81099555E8</v>
      </c>
      <c r="D40" s="12">
        <v>1.026674441E9</v>
      </c>
      <c r="E40" s="12">
        <v>1.300670193E9</v>
      </c>
      <c r="F40" s="12">
        <v>1.320638807E9</v>
      </c>
    </row>
    <row r="41" spans="8:8">
      <c r="A41" t="s">
        <v>35</v>
      </c>
      <c r="B41" s="12">
        <v>2932499.0</v>
      </c>
      <c r="C41" s="12">
        <v>8263811.0</v>
      </c>
      <c r="D41" s="12">
        <v>2.0516746E7</v>
      </c>
      <c r="E41" s="12">
        <v>1.7060032E7</v>
      </c>
      <c r="F41" s="12">
        <v>3.2099574E7</v>
      </c>
    </row>
    <row r="42" spans="8:8" ht="15.75">
      <c r="A42" t="s">
        <v>36</v>
      </c>
      <c r="B42" s="12">
        <v>161854.0</v>
      </c>
      <c r="C42" s="12">
        <v>402011.0</v>
      </c>
      <c r="D42" s="12">
        <v>477712.0</v>
      </c>
      <c r="E42" s="11" t="s">
        <v>28</v>
      </c>
      <c r="F42" s="11" t="s">
        <v>28</v>
      </c>
    </row>
    <row r="43" spans="8:8">
      <c r="A43" t="s">
        <v>37</v>
      </c>
      <c r="B43" s="12">
        <v>1.62086771E9</v>
      </c>
      <c r="C43" s="12">
        <v>1.866117388E9</v>
      </c>
      <c r="D43" s="12">
        <v>2.354067741E9</v>
      </c>
      <c r="E43" s="12">
        <v>3.30127489E9</v>
      </c>
      <c r="F43" s="12">
        <v>4.580174905E9</v>
      </c>
    </row>
    <row r="44" spans="8:8" ht="15.75">
      <c r="A44" t="s">
        <v>18</v>
      </c>
      <c r="B44" s="12">
        <v>2362939.0</v>
      </c>
      <c r="C44" s="11" t="s">
        <v>28</v>
      </c>
      <c r="D44" s="11" t="s">
        <v>28</v>
      </c>
      <c r="E44" s="11" t="s">
        <v>28</v>
      </c>
      <c r="F44" s="11" t="s">
        <v>28</v>
      </c>
    </row>
    <row r="45" spans="8:8">
      <c r="A45" t="s">
        <v>38</v>
      </c>
      <c r="B45" s="12">
        <v>8.2162359E7</v>
      </c>
      <c r="C45" s="12">
        <v>2.2658812E7</v>
      </c>
      <c r="D45" s="12">
        <v>2.1891484E7</v>
      </c>
      <c r="E45" s="12">
        <v>1.0520822E7</v>
      </c>
      <c r="F45" s="12">
        <v>3.229416E7</v>
      </c>
    </row>
    <row r="46" spans="8:8" ht="15.75">
      <c r="A46" t="s">
        <v>39</v>
      </c>
      <c r="B46" s="15">
        <v>5.40719734E8</v>
      </c>
      <c r="C46" s="15">
        <v>1.067350401E9</v>
      </c>
      <c r="D46" s="15">
        <v>1.01452546E9</v>
      </c>
      <c r="E46" s="15">
        <v>7.6113994E7</v>
      </c>
      <c r="F46" s="15">
        <v>2.47054434E8</v>
      </c>
    </row>
    <row r="47" spans="8:8" ht="15.75">
      <c r="A47" s="21" t="s">
        <v>145</v>
      </c>
      <c r="B47" s="21">
        <v>2.0272820536E10</v>
      </c>
      <c r="C47" s="21">
        <v>2.7548671142E10</v>
      </c>
      <c r="D47" s="21">
        <v>2.5901607559E10</v>
      </c>
      <c r="E47" s="21">
        <v>2.5398638345E10</v>
      </c>
      <c r="F47" s="21">
        <v>3.1435259022E10</v>
      </c>
    </row>
    <row r="48" spans="8:8" ht="17.25">
      <c r="A48" s="16" t="s">
        <v>40</v>
      </c>
      <c r="B48" s="21">
        <v>4.2669959948E10</v>
      </c>
      <c r="C48" s="21">
        <v>5.1156547042E10</v>
      </c>
      <c r="D48" s="21">
        <v>5.0312654595E10</v>
      </c>
      <c r="E48" s="21">
        <v>5.2868204429E10</v>
      </c>
      <c r="F48" s="21">
        <v>6.1328542418E10</v>
      </c>
    </row>
    <row r="49" spans="8:8" ht="15.75"/>
    <row r="50" spans="8:8">
      <c r="A50" s="24" t="s">
        <v>161</v>
      </c>
      <c r="B50" s="25">
        <v>8.45135593E8</v>
      </c>
      <c r="C50" s="25">
        <v>8.23301752E8</v>
      </c>
      <c r="D50" s="25">
        <v>3.26499751E8</v>
      </c>
      <c r="E50" s="25">
        <v>1.077195719E9</v>
      </c>
      <c r="F50" s="25">
        <v>9.34990536E8</v>
      </c>
    </row>
    <row r="51" spans="8:8" ht="15.75">
      <c r="F51" s="11"/>
    </row>
    <row r="53" spans="8:8">
      <c r="B53" s="12"/>
    </row>
  </sheetData>
  <mergeCells count="7">
    <mergeCell ref="A15:F15"/>
    <mergeCell ref="A30:F30"/>
    <mergeCell ref="A2:F2"/>
    <mergeCell ref="A3:F3"/>
    <mergeCell ref="A1:F1"/>
    <mergeCell ref="A7:F7"/>
    <mergeCell ref="A6:F6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42"/>
  <sheetViews>
    <sheetView workbookViewId="0">
      <selection activeCell="A1" sqref="A1:F1"/>
    </sheetView>
  </sheetViews>
  <sheetFormatPr defaultRowHeight="15.0" defaultColWidth="10"/>
  <cols>
    <col min="1" max="1" customWidth="1" bestFit="1" width="62.570312" style="0"/>
    <col min="2" max="6" customWidth="1" bestFit="1" width="14.5703125" style="0"/>
  </cols>
  <sheetData>
    <row r="1" spans="8:8" ht="30.0">
      <c r="A1" s="26" t="s">
        <v>99</v>
      </c>
      <c r="B1" s="26"/>
      <c r="C1" s="26"/>
      <c r="D1" s="26"/>
      <c r="E1" s="26"/>
      <c r="F1" s="26"/>
    </row>
    <row r="2" spans="8:8" ht="30.0">
      <c r="A2" s="2" t="s">
        <v>100</v>
      </c>
      <c r="B2" s="2"/>
      <c r="C2" s="2"/>
      <c r="D2" s="2"/>
      <c r="E2" s="2"/>
      <c r="F2" s="2"/>
    </row>
    <row r="3" spans="8:8" ht="30.0">
      <c r="A3" s="3" t="s">
        <v>41</v>
      </c>
      <c r="B3" s="3"/>
      <c r="C3" s="3"/>
      <c r="D3" s="3"/>
      <c r="E3" s="3"/>
      <c r="F3" s="3"/>
    </row>
    <row r="5" spans="8:8" ht="20.25">
      <c r="A5" s="4" t="s">
        <v>157</v>
      </c>
      <c r="B5" s="4">
        <v>2013.0</v>
      </c>
      <c r="C5" s="4">
        <v>2014.0</v>
      </c>
      <c r="D5" s="4">
        <v>2015.0</v>
      </c>
      <c r="E5" s="4">
        <v>2016.0</v>
      </c>
      <c r="F5" s="4">
        <v>2017.0</v>
      </c>
    </row>
    <row r="6" spans="8:8" ht="16.5">
      <c r="A6" s="22" t="s">
        <v>43</v>
      </c>
      <c r="B6" s="12">
        <v>4.6104381356E10</v>
      </c>
      <c r="C6" s="12">
        <v>5.0325116016E10</v>
      </c>
      <c r="D6" s="12">
        <v>4.6509253887E10</v>
      </c>
      <c r="E6" s="12">
        <v>3.9744450083E10</v>
      </c>
      <c r="F6" s="12">
        <v>4.649107637E10</v>
      </c>
    </row>
    <row r="7" spans="8:8" ht="15.75">
      <c r="A7" t="s">
        <v>152</v>
      </c>
      <c r="B7" s="15">
        <v>3.7456819915E10</v>
      </c>
      <c r="C7" s="15">
        <v>4.3887268875E10</v>
      </c>
      <c r="D7" s="15">
        <v>3.9301654299E10</v>
      </c>
      <c r="E7" s="15">
        <v>3.2866371715E10</v>
      </c>
      <c r="F7" s="15">
        <v>3.8765841557E10</v>
      </c>
    </row>
    <row r="8" spans="8:8" ht="15.75">
      <c r="A8" s="21" t="s">
        <v>45</v>
      </c>
      <c r="B8" s="21">
        <v>8.647561441E9</v>
      </c>
      <c r="C8" s="21">
        <v>6.437847141E9</v>
      </c>
      <c r="D8" s="21">
        <v>7.207599588E9</v>
      </c>
      <c r="E8" s="21">
        <v>6.878078368E9</v>
      </c>
      <c r="F8" s="21">
        <v>7.725234813E9</v>
      </c>
    </row>
    <row r="9" spans="8:8" ht="15.75">
      <c r="A9" t="s">
        <v>153</v>
      </c>
      <c r="B9" s="12">
        <v>5.37730402E8</v>
      </c>
      <c r="C9" s="12">
        <v>7.83994589E8</v>
      </c>
      <c r="D9" s="12">
        <v>8.15192033E8</v>
      </c>
      <c r="E9" s="12">
        <v>9.25584306E8</v>
      </c>
      <c r="F9" s="12">
        <v>8.95297451E8</v>
      </c>
    </row>
    <row r="10" spans="8:8">
      <c r="A10" t="s">
        <v>154</v>
      </c>
      <c r="B10" s="12">
        <v>2.26234391E8</v>
      </c>
      <c r="C10" s="12">
        <v>2.82205382E8</v>
      </c>
      <c r="D10" s="12">
        <v>3.31503468E8</v>
      </c>
      <c r="E10" s="12">
        <v>3.32581672E8</v>
      </c>
      <c r="F10" s="12">
        <v>4.47957227E8</v>
      </c>
    </row>
    <row r="11" spans="8:8" ht="15.75">
      <c r="A11" t="s">
        <v>155</v>
      </c>
      <c r="B11" s="15">
        <v>1.48345872E8</v>
      </c>
      <c r="C11" s="15">
        <v>1.55397673E8</v>
      </c>
      <c r="D11" s="15">
        <v>1.43556649E8</v>
      </c>
      <c r="E11" s="15">
        <v>1.88771303E8</v>
      </c>
      <c r="F11" s="15">
        <v>2.84671147E8</v>
      </c>
    </row>
    <row r="12" spans="8:8" ht="15.75">
      <c r="A12" s="8" t="s">
        <v>149</v>
      </c>
      <c r="B12" s="8">
        <v>9.12310665E8</v>
      </c>
      <c r="C12" s="8">
        <v>1.221597644E9</v>
      </c>
      <c r="D12" s="8">
        <v>1.29025215E9</v>
      </c>
      <c r="E12" s="8">
        <v>1.446937281E9</v>
      </c>
      <c r="F12" s="8">
        <v>1.627925825E9</v>
      </c>
    </row>
    <row r="13" spans="8:8" ht="16.5">
      <c r="A13" s="22" t="s">
        <v>150</v>
      </c>
      <c r="B13" s="12">
        <v>7.735250776E9</v>
      </c>
      <c r="C13" s="12">
        <v>5.216249497E9</v>
      </c>
      <c r="D13" s="12">
        <v>5.917347438E9</v>
      </c>
      <c r="E13" s="12">
        <v>5.431141087E9</v>
      </c>
      <c r="F13" s="12">
        <v>6.097308988E9</v>
      </c>
    </row>
    <row r="14" spans="8:8" ht="15.75">
      <c r="A14" t="s">
        <v>49</v>
      </c>
      <c r="B14" s="15">
        <v>3.90090594E8</v>
      </c>
      <c r="C14" s="15">
        <v>3.07078559E8</v>
      </c>
      <c r="D14" s="15">
        <v>9.8555804E7</v>
      </c>
      <c r="E14" s="15">
        <v>9.596806E7</v>
      </c>
      <c r="F14" s="15">
        <v>2.55442049E8</v>
      </c>
    </row>
    <row r="15" spans="8:8" ht="15.75">
      <c r="A15" s="21" t="s">
        <v>50</v>
      </c>
      <c r="B15" s="21">
        <v>8.12534137E9</v>
      </c>
      <c r="C15" s="21">
        <v>5.523328056E9</v>
      </c>
      <c r="D15" s="21">
        <v>6.015903242E9</v>
      </c>
      <c r="E15" s="21">
        <v>5.527109147E9</v>
      </c>
      <c r="F15" s="21">
        <v>6.352751037E9</v>
      </c>
    </row>
    <row r="16" spans="8:8" ht="16.5">
      <c r="A16" t="s">
        <v>51</v>
      </c>
      <c r="B16" s="15">
        <v>3.65155147E9</v>
      </c>
      <c r="C16" s="15">
        <v>3.297614246E9</v>
      </c>
      <c r="D16" s="15">
        <v>3.248414233E9</v>
      </c>
      <c r="E16" s="15">
        <v>2.26153449E9</v>
      </c>
      <c r="F16" s="15">
        <v>2.245621672E9</v>
      </c>
    </row>
    <row r="17" spans="8:8" ht="15.75">
      <c r="A17" s="21" t="s">
        <v>52</v>
      </c>
      <c r="B17" s="21">
        <v>4.4737899E9</v>
      </c>
      <c r="C17" s="21">
        <v>2.22571381E9</v>
      </c>
      <c r="D17" s="21">
        <v>2.767489009E9</v>
      </c>
      <c r="E17" s="21">
        <v>3.265574657E9</v>
      </c>
      <c r="F17" s="21">
        <v>4.107129365E9</v>
      </c>
    </row>
    <row r="18" spans="8:8" ht="16.5">
      <c r="A18" t="s">
        <v>156</v>
      </c>
      <c r="B18" s="15">
        <v>2.30386577E8</v>
      </c>
      <c r="C18" s="15">
        <v>1.66306073E8</v>
      </c>
      <c r="D18" s="15">
        <v>3.42947481E8</v>
      </c>
      <c r="E18" s="15">
        <v>2.8650693E8</v>
      </c>
      <c r="F18" s="15">
        <v>1.88551657E8</v>
      </c>
    </row>
    <row r="19" spans="8:8" ht="19.5">
      <c r="A19" s="27" t="s">
        <v>54</v>
      </c>
      <c r="B19" s="21">
        <v>4.243403323E9</v>
      </c>
      <c r="C19" s="21">
        <v>2.059407737E9</v>
      </c>
      <c r="D19" s="21">
        <v>2.424541528E9</v>
      </c>
      <c r="E19" s="21">
        <v>2.979067727E9</v>
      </c>
      <c r="F19" s="21">
        <v>3.918577708E9</v>
      </c>
    </row>
    <row r="20" spans="8:8" ht="20.25">
      <c r="A20" s="18" t="s">
        <v>55</v>
      </c>
    </row>
    <row r="21" spans="8:8" ht="15.75">
      <c r="A21" t="s">
        <v>56</v>
      </c>
      <c r="B21" s="12">
        <v>2.908747548E9</v>
      </c>
      <c r="C21" s="12">
        <v>6.39922199E8</v>
      </c>
      <c r="D21" s="12">
        <v>9.1229769E8</v>
      </c>
      <c r="E21" s="12">
        <v>1.630301367E9</v>
      </c>
      <c r="F21" s="12">
        <v>2.452753644E9</v>
      </c>
    </row>
    <row r="22" spans="8:8">
      <c r="A22" t="s">
        <v>57</v>
      </c>
      <c r="B22" s="12">
        <v>1.334655775E9</v>
      </c>
      <c r="C22" s="12">
        <v>1.419485538E9</v>
      </c>
      <c r="D22" s="12">
        <v>1.512243838E9</v>
      </c>
      <c r="E22" s="12">
        <v>1.34876636E9</v>
      </c>
      <c r="F22" s="12">
        <v>1.465824064E9</v>
      </c>
    </row>
    <row r="23" spans="8:8" ht="15.75">
      <c r="A23" s="21" t="s">
        <v>151</v>
      </c>
      <c r="B23" s="21">
        <v>4.243403323E9</v>
      </c>
      <c r="C23" s="21">
        <v>2.059407737E9</v>
      </c>
      <c r="D23" s="21">
        <v>2.424541528E9</v>
      </c>
      <c r="E23" s="21">
        <v>2.979067727E9</v>
      </c>
      <c r="F23" s="21">
        <v>3.918577708E9</v>
      </c>
    </row>
    <row r="24" spans="8:8" ht="17.25">
      <c r="A24" s="22" t="s">
        <v>58</v>
      </c>
      <c r="B24" s="28">
        <v>14.53</v>
      </c>
      <c r="C24" s="28">
        <v>3.2</v>
      </c>
      <c r="D24" s="28">
        <v>3.79</v>
      </c>
      <c r="E24" s="28">
        <v>6.85</v>
      </c>
      <c r="F24" s="28">
        <v>10.21</v>
      </c>
    </row>
    <row r="25" spans="8:8" ht="34.5">
      <c r="A25" s="29" t="s">
        <v>88</v>
      </c>
      <c r="B25" s="29"/>
      <c r="C25" s="29"/>
      <c r="D25" s="29"/>
      <c r="E25" s="29"/>
      <c r="F25" s="29"/>
    </row>
    <row r="26" spans="8:8" ht="34.5">
      <c r="A26" s="30" t="s">
        <v>41</v>
      </c>
      <c r="B26" s="30"/>
      <c r="C26" s="30"/>
      <c r="D26" s="30"/>
      <c r="E26" s="30"/>
      <c r="F26" s="30"/>
    </row>
    <row r="28" spans="8:8" ht="20.25">
      <c r="B28" s="4">
        <v>2013.0</v>
      </c>
      <c r="C28" s="4">
        <v>2014.0</v>
      </c>
      <c r="D28" s="4">
        <v>2015.0</v>
      </c>
      <c r="E28" s="4">
        <v>2016.0</v>
      </c>
      <c r="F28" s="4">
        <v>2017.0</v>
      </c>
    </row>
    <row r="29" spans="8:8" ht="16.5">
      <c r="A29" s="7" t="s">
        <v>54</v>
      </c>
      <c r="B29" s="7">
        <v>4.243403323E9</v>
      </c>
      <c r="C29" s="7">
        <v>2.059407737E9</v>
      </c>
      <c r="D29" s="7">
        <v>2.424541528E9</v>
      </c>
      <c r="E29" s="7">
        <v>2.979067727E9</v>
      </c>
      <c r="F29" s="7">
        <v>3.918577708E9</v>
      </c>
    </row>
    <row r="30" spans="8:8" ht="20.25">
      <c r="A30" s="18" t="s">
        <v>89</v>
      </c>
    </row>
    <row r="31" spans="8:8" ht="16.5">
      <c r="A31" t="s">
        <v>90</v>
      </c>
      <c r="B31" s="31" t="s">
        <v>28</v>
      </c>
      <c r="C31" s="31" t="s">
        <v>28</v>
      </c>
      <c r="D31" s="31" t="s">
        <v>28</v>
      </c>
      <c r="E31" s="31" t="s">
        <v>28</v>
      </c>
      <c r="F31" s="31" t="s">
        <v>28</v>
      </c>
    </row>
    <row r="32" spans="8:8">
      <c r="A32" t="s">
        <v>91</v>
      </c>
    </row>
    <row r="33" spans="8:8">
      <c r="A33" t="s">
        <v>92</v>
      </c>
      <c r="B33" s="12">
        <v>56555.0</v>
      </c>
      <c r="C33" s="12">
        <v>-113412.0</v>
      </c>
      <c r="D33" s="12">
        <v>-764083.0</v>
      </c>
      <c r="E33" s="12">
        <v>-162832.0</v>
      </c>
      <c r="F33" s="12">
        <v>-52232.0</v>
      </c>
    </row>
    <row r="34" spans="8:8">
      <c r="A34" t="s">
        <v>93</v>
      </c>
      <c r="B34" s="12">
        <v>56555.0</v>
      </c>
      <c r="C34" s="12">
        <v>-113412.0</v>
      </c>
      <c r="D34" s="12">
        <v>-764083.0</v>
      </c>
      <c r="E34" s="12">
        <v>-162832.0</v>
      </c>
      <c r="F34" s="12">
        <v>-52232.0</v>
      </c>
    </row>
    <row r="35" spans="8:8" ht="15.75">
      <c r="A35" s="21" t="s">
        <v>94</v>
      </c>
      <c r="B35" s="21">
        <v>4.243459878E9</v>
      </c>
      <c r="C35" s="21">
        <v>2.059294325E9</v>
      </c>
      <c r="D35" s="21">
        <v>2.423777445E9</v>
      </c>
      <c r="E35" s="21">
        <v>2.978904895E9</v>
      </c>
      <c r="F35" s="21">
        <v>3.918525476E9</v>
      </c>
    </row>
    <row r="36" spans="8:8" ht="20.25">
      <c r="A36" s="18" t="s">
        <v>95</v>
      </c>
    </row>
    <row r="37" spans="8:8" ht="15.75">
      <c r="A37" t="s">
        <v>56</v>
      </c>
      <c r="B37" s="12">
        <v>2.908804103E9</v>
      </c>
      <c r="C37" s="12">
        <v>6.39808787E8</v>
      </c>
      <c r="D37" s="12">
        <v>9.11533607E8</v>
      </c>
      <c r="E37" s="12">
        <v>1.630138535E9</v>
      </c>
      <c r="F37" s="12">
        <v>2.452701412E9</v>
      </c>
    </row>
    <row r="38" spans="8:8">
      <c r="A38" t="s">
        <v>96</v>
      </c>
      <c r="B38" s="12">
        <v>1.334655775E9</v>
      </c>
      <c r="C38" s="12">
        <v>1.419485538E9</v>
      </c>
      <c r="D38" s="12">
        <v>1.512243838E9</v>
      </c>
      <c r="E38" s="12">
        <v>1.34876636E9</v>
      </c>
      <c r="F38" s="12">
        <v>1.465824064E9</v>
      </c>
    </row>
    <row r="39" spans="8:8" ht="19.5">
      <c r="A39" s="27" t="s">
        <v>158</v>
      </c>
      <c r="B39" s="21">
        <v>4.243459878E9</v>
      </c>
      <c r="C39" s="21">
        <v>2.059294325E9</v>
      </c>
      <c r="D39" s="21">
        <v>2.423777445E9</v>
      </c>
      <c r="E39" s="21">
        <v>2.978904895E9</v>
      </c>
      <c r="F39" s="21">
        <v>3.918525476E9</v>
      </c>
    </row>
    <row r="40" spans="8:8" ht="20.25">
      <c r="A40" s="18" t="s">
        <v>129</v>
      </c>
      <c r="B40" s="32">
        <v>50.84</v>
      </c>
    </row>
    <row r="41" spans="8:8" ht="20.25">
      <c r="A41" s="18" t="s">
        <v>131</v>
      </c>
      <c r="B41" s="32">
        <v>2.0</v>
      </c>
      <c r="C41" s="32">
        <v>1.0</v>
      </c>
      <c r="D41" s="32">
        <v>1.5</v>
      </c>
      <c r="E41" s="32">
        <v>2.5</v>
      </c>
      <c r="F41" s="32">
        <v>2.75</v>
      </c>
    </row>
    <row r="42" spans="8:8" ht="15.75"/>
  </sheetData>
  <mergeCells count="5">
    <mergeCell ref="A1:F1"/>
    <mergeCell ref="A2:F2"/>
    <mergeCell ref="A3:F3"/>
    <mergeCell ref="A25:F25"/>
    <mergeCell ref="A26:F26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G35"/>
  <sheetViews>
    <sheetView workbookViewId="0" zoomScale="30">
      <selection activeCell="A36" sqref="A36"/>
    </sheetView>
  </sheetViews>
  <sheetFormatPr defaultRowHeight="15.0" defaultColWidth="10"/>
  <cols>
    <col min="1" max="1" customWidth="1" bestFit="1" width="56.0" style="0"/>
    <col min="2" max="2" customWidth="1" bestFit="1" width="13.855469" style="0"/>
    <col min="3" max="6" customWidth="1" bestFit="1" width="13.5703125" style="0"/>
  </cols>
  <sheetData>
    <row r="1" spans="8:8" ht="30.0">
      <c r="A1" s="1" t="s">
        <v>97</v>
      </c>
      <c r="B1" s="1"/>
      <c r="C1" s="1"/>
      <c r="D1" s="1"/>
      <c r="E1" s="1"/>
      <c r="F1" s="1"/>
    </row>
    <row r="2" spans="8:8" ht="30.0">
      <c r="A2" s="2" t="s">
        <v>98</v>
      </c>
      <c r="B2" s="2"/>
      <c r="C2" s="2"/>
      <c r="D2" s="2"/>
      <c r="E2" s="2"/>
      <c r="F2" s="2"/>
    </row>
    <row r="3" spans="8:8" ht="30.0">
      <c r="A3" s="3" t="s">
        <v>41</v>
      </c>
      <c r="B3" s="3"/>
      <c r="C3" s="3"/>
      <c r="D3" s="3"/>
      <c r="E3" s="3"/>
      <c r="F3" s="3"/>
    </row>
    <row r="5" spans="8:8" ht="20.25">
      <c r="A5" s="4" t="s">
        <v>157</v>
      </c>
      <c r="B5" s="4">
        <v>2013.0</v>
      </c>
      <c r="C5" s="4">
        <v>2014.0</v>
      </c>
      <c r="D5" s="4">
        <v>2015.0</v>
      </c>
      <c r="E5" s="4">
        <v>2016.0</v>
      </c>
      <c r="F5" s="4">
        <v>2017.0</v>
      </c>
    </row>
    <row r="6" spans="8:8" ht="24.0">
      <c r="A6" s="5" t="s">
        <v>59</v>
      </c>
      <c r="B6" s="5"/>
      <c r="C6" s="5"/>
      <c r="D6" s="5"/>
      <c r="E6" s="5"/>
      <c r="F6" s="5"/>
    </row>
    <row r="7" spans="8:8">
      <c r="A7" s="24" t="s">
        <v>60</v>
      </c>
      <c r="B7" s="33">
        <v>1.2597442869E10</v>
      </c>
      <c r="C7" s="12">
        <v>6.37069874E8</v>
      </c>
      <c r="D7" s="12">
        <v>8.027637742E9</v>
      </c>
      <c r="E7" s="12">
        <v>7.609768082E9</v>
      </c>
      <c r="F7" s="12">
        <v>2.856190481E9</v>
      </c>
    </row>
    <row r="8" spans="8:8" ht="18.75">
      <c r="A8" t="s">
        <v>61</v>
      </c>
      <c r="B8" s="12">
        <v>-244350.0</v>
      </c>
      <c r="C8" s="12">
        <v>-1.8213181E7</v>
      </c>
      <c r="D8" s="12">
        <v>-25000.0</v>
      </c>
      <c r="E8" s="34" t="s">
        <v>28</v>
      </c>
      <c r="F8" s="12">
        <v>-1465000.0</v>
      </c>
    </row>
    <row r="9" spans="8:8">
      <c r="A9" t="s">
        <v>62</v>
      </c>
      <c r="B9" s="12">
        <v>-3.84847652E9</v>
      </c>
      <c r="C9" s="12">
        <v>-3.407517076E9</v>
      </c>
      <c r="D9" s="12">
        <v>-3.451760189E9</v>
      </c>
      <c r="E9" s="12">
        <v>-2.328502719E9</v>
      </c>
      <c r="F9" s="12">
        <v>-2.197629832E9</v>
      </c>
    </row>
    <row r="10" spans="8:8">
      <c r="A10" t="s">
        <v>63</v>
      </c>
      <c r="B10" s="12">
        <v>-2.98577493E8</v>
      </c>
      <c r="C10" s="12">
        <v>-4.57440819E8</v>
      </c>
      <c r="D10" s="12">
        <v>-5.17728154E8</v>
      </c>
      <c r="E10" s="12">
        <v>-4.54802181E8</v>
      </c>
      <c r="F10" s="12">
        <v>-4.31903361E8</v>
      </c>
    </row>
    <row r="11" spans="8:8" ht="15.75">
      <c r="A11" t="s">
        <v>64</v>
      </c>
      <c r="B11" s="15">
        <v>3446069.0</v>
      </c>
      <c r="C11" s="15">
        <v>-1696551.0</v>
      </c>
      <c r="D11" s="15">
        <v>-1.2785434E7</v>
      </c>
      <c r="E11" s="15">
        <v>-8320856.0</v>
      </c>
      <c r="F11" s="15">
        <v>2607230.0</v>
      </c>
    </row>
    <row r="12" spans="8:8" ht="15.75">
      <c r="A12" s="21" t="s">
        <v>65</v>
      </c>
      <c r="B12" s="21">
        <v>8.453590575E9</v>
      </c>
      <c r="C12" s="21">
        <v>-3.247797753E9</v>
      </c>
      <c r="D12" s="21">
        <v>4.045338965E9</v>
      </c>
      <c r="E12" s="21">
        <v>4.818142326E9</v>
      </c>
      <c r="F12" s="21">
        <v>2.27799518E8</v>
      </c>
    </row>
    <row r="13" spans="8:8" ht="24.0">
      <c r="A13" s="5" t="s">
        <v>66</v>
      </c>
      <c r="B13" s="5"/>
      <c r="C13" s="5"/>
      <c r="D13" s="5"/>
      <c r="E13" s="5"/>
      <c r="F13" s="5"/>
    </row>
    <row r="14" spans="8:8">
      <c r="A14" t="s">
        <v>67</v>
      </c>
      <c r="B14" s="12">
        <v>-2.137802602E9</v>
      </c>
      <c r="C14" s="12">
        <v>-2.829783049E9</v>
      </c>
      <c r="D14" s="12">
        <v>-2.714871871E9</v>
      </c>
      <c r="E14" s="12">
        <v>-5.080718915E9</v>
      </c>
      <c r="F14" s="12">
        <v>-4.681996061E9</v>
      </c>
    </row>
    <row r="15" spans="8:8" ht="18.75">
      <c r="A15" s="19" t="s">
        <v>68</v>
      </c>
      <c r="B15" s="31" t="s">
        <v>28</v>
      </c>
      <c r="C15" s="12">
        <v>-9585298.0</v>
      </c>
      <c r="D15" s="34" t="s">
        <v>28</v>
      </c>
      <c r="E15" s="12">
        <v>-5991800.0</v>
      </c>
      <c r="F15" s="12">
        <v>-2.556239E7</v>
      </c>
    </row>
    <row r="16" spans="8:8">
      <c r="A16" t="s">
        <v>69</v>
      </c>
      <c r="B16" s="12">
        <v>7649981.0</v>
      </c>
      <c r="C16" s="12">
        <v>1.9557106E7</v>
      </c>
      <c r="D16" s="12">
        <v>3.1766695E7</v>
      </c>
      <c r="E16" s="12">
        <v>7.2653608E7</v>
      </c>
      <c r="F16" s="12">
        <v>1.10224812E8</v>
      </c>
    </row>
    <row r="17" spans="8:8" ht="18.75">
      <c r="A17" t="s">
        <v>87</v>
      </c>
      <c r="B17" s="34" t="s">
        <v>28</v>
      </c>
      <c r="C17" s="34" t="s">
        <v>28</v>
      </c>
      <c r="D17" s="12">
        <v>-2175089.0</v>
      </c>
      <c r="E17" s="34" t="s">
        <v>28</v>
      </c>
      <c r="F17" s="34" t="s">
        <v>28</v>
      </c>
    </row>
    <row r="18" spans="8:8" ht="18.75">
      <c r="A18" t="s">
        <v>70</v>
      </c>
      <c r="B18" s="34" t="s">
        <v>28</v>
      </c>
      <c r="C18" s="34" t="s">
        <v>28</v>
      </c>
      <c r="D18" s="34" t="s">
        <v>28</v>
      </c>
      <c r="E18" s="34" t="s">
        <v>28</v>
      </c>
      <c r="F18" s="12">
        <v>-1713000.0</v>
      </c>
    </row>
    <row r="19" spans="8:8" ht="15.75">
      <c r="A19" t="s">
        <v>71</v>
      </c>
      <c r="B19" s="12">
        <v>-4.8660226E7</v>
      </c>
      <c r="C19" s="12">
        <v>-5.9503547E7</v>
      </c>
      <c r="D19" s="31" t="s">
        <v>28</v>
      </c>
      <c r="E19" s="12">
        <v>1.0160225E7</v>
      </c>
      <c r="F19" s="12">
        <v>-2.0660226E7</v>
      </c>
    </row>
    <row r="20" spans="8:8" ht="15.75">
      <c r="A20" t="s">
        <v>72</v>
      </c>
      <c r="B20" s="15">
        <v>4349282.0</v>
      </c>
      <c r="C20" s="15">
        <v>6739201.0</v>
      </c>
      <c r="D20" s="15">
        <v>4568325.0</v>
      </c>
      <c r="E20" s="15">
        <v>4705938.0</v>
      </c>
      <c r="F20" s="15">
        <v>2947727.0</v>
      </c>
    </row>
    <row r="21" spans="8:8" ht="15.75">
      <c r="A21" s="21" t="s">
        <v>73</v>
      </c>
      <c r="B21" s="21">
        <v>-2.174463565E9</v>
      </c>
      <c r="C21" s="21">
        <v>-2.753568493E9</v>
      </c>
      <c r="D21" s="21">
        <v>-2.676361762E9</v>
      </c>
      <c r="E21" s="21">
        <v>-4.999190944E9</v>
      </c>
      <c r="F21" s="21">
        <v>-4.616759138E9</v>
      </c>
    </row>
    <row r="22" spans="8:8" ht="24.0">
      <c r="A22" s="5" t="s">
        <v>74</v>
      </c>
      <c r="B22" s="5"/>
      <c r="C22" s="5"/>
      <c r="D22" s="5"/>
      <c r="E22" s="5"/>
      <c r="F22" s="5"/>
    </row>
    <row r="23" spans="8:8">
      <c r="A23" t="s">
        <v>75</v>
      </c>
      <c r="B23" s="12">
        <v>2.242E9</v>
      </c>
      <c r="C23" s="12">
        <v>2.658E9</v>
      </c>
      <c r="D23" s="12">
        <v>8.99091997E8</v>
      </c>
      <c r="E23" s="12">
        <v>3.780045868E9</v>
      </c>
      <c r="F23" s="12">
        <v>4.447684104E9</v>
      </c>
    </row>
    <row r="24" spans="8:8">
      <c r="A24" t="s">
        <v>76</v>
      </c>
      <c r="B24" s="12">
        <v>-2.217813768E9</v>
      </c>
      <c r="C24" s="12">
        <v>-2.76878251E9</v>
      </c>
      <c r="D24" s="12">
        <v>-3.032186124E9</v>
      </c>
      <c r="E24" s="12">
        <v>-3.275338878E9</v>
      </c>
      <c r="F24" s="12">
        <v>-3.4530005E9</v>
      </c>
    </row>
    <row r="25" spans="8:8" ht="15.75">
      <c r="A25" t="s">
        <v>77</v>
      </c>
      <c r="B25" s="31" t="s">
        <v>28</v>
      </c>
      <c r="C25" s="31" t="s">
        <v>28</v>
      </c>
      <c r="D25" s="12">
        <v>9.51794725E8</v>
      </c>
      <c r="E25" s="12">
        <v>4.9128425E7</v>
      </c>
      <c r="F25" s="31" t="s">
        <v>28</v>
      </c>
    </row>
    <row r="26" spans="8:8" ht="15.75">
      <c r="A26" t="s">
        <v>78</v>
      </c>
      <c r="B26" s="12">
        <v>-1.25E8</v>
      </c>
      <c r="C26" s="12">
        <v>-1.25E8</v>
      </c>
      <c r="D26" s="12">
        <v>-1.25E8</v>
      </c>
      <c r="E26" s="12">
        <v>-3.125E7</v>
      </c>
      <c r="F26" s="31" t="s">
        <v>28</v>
      </c>
    </row>
    <row r="27" spans="8:8">
      <c r="A27" t="s">
        <v>79</v>
      </c>
      <c r="B27" s="12">
        <v>-4.681086694E9</v>
      </c>
      <c r="C27" s="12">
        <v>8.38090422E9</v>
      </c>
      <c r="D27" s="12">
        <v>1.422331239E9</v>
      </c>
      <c r="E27" s="12">
        <v>1.59153472E8</v>
      </c>
      <c r="F27" s="12">
        <v>5.014191343E9</v>
      </c>
    </row>
    <row r="28" spans="8:8">
      <c r="A28" t="s">
        <v>80</v>
      </c>
      <c r="B28" s="12">
        <v>-7.17187499E8</v>
      </c>
      <c r="C28" s="12">
        <v>-1.255349512E9</v>
      </c>
      <c r="D28" s="12">
        <v>-1.348208394E9</v>
      </c>
      <c r="E28" s="12">
        <v>-1.078566714E9</v>
      </c>
      <c r="F28" s="12">
        <v>-8.53865314E8</v>
      </c>
    </row>
    <row r="29" spans="8:8" ht="15.75">
      <c r="A29" t="s">
        <v>81</v>
      </c>
      <c r="B29" s="15">
        <v>-3.2716997E8</v>
      </c>
      <c r="C29" s="15">
        <v>-3.61661873E8</v>
      </c>
      <c r="D29" s="15">
        <v>-1.88861504E8</v>
      </c>
      <c r="E29" s="15">
        <v>-3.60372189E8</v>
      </c>
      <c r="F29" s="15">
        <v>-5.95057341E8</v>
      </c>
    </row>
    <row r="30" spans="8:8" ht="15.75">
      <c r="A30" s="21" t="s">
        <v>82</v>
      </c>
      <c r="B30" s="21">
        <v>-5.826257931E9</v>
      </c>
      <c r="C30" s="21">
        <v>6.528110325E9</v>
      </c>
      <c r="D30" s="21">
        <v>-1.421038061E9</v>
      </c>
      <c r="E30" s="21">
        <v>-7.57200016E8</v>
      </c>
      <c r="F30" s="21">
        <v>4.559952292E9</v>
      </c>
    </row>
    <row r="31" spans="8:8" ht="16.5">
      <c r="A31" s="22" t="s">
        <v>83</v>
      </c>
      <c r="B31" s="12">
        <v>4.52869079E8</v>
      </c>
      <c r="C31" s="12">
        <v>5.26744079E8</v>
      </c>
      <c r="D31" s="12">
        <v>-5.2060858E7</v>
      </c>
      <c r="E31" s="12">
        <v>-9.38248634E8</v>
      </c>
      <c r="F31" s="12">
        <v>1.70992672E8</v>
      </c>
    </row>
    <row r="32" spans="8:8" ht="15.75">
      <c r="A32" s="22" t="s">
        <v>84</v>
      </c>
      <c r="B32" s="12">
        <v>56555.0</v>
      </c>
      <c r="C32" s="12">
        <v>-113412.0</v>
      </c>
      <c r="D32" s="12">
        <v>-764083.0</v>
      </c>
      <c r="E32" s="12">
        <v>-162832.0</v>
      </c>
      <c r="F32" s="12">
        <v>-52232.0</v>
      </c>
    </row>
    <row r="33" spans="8:8" ht="15.75">
      <c r="A33" s="22" t="s">
        <v>85</v>
      </c>
      <c r="B33" s="12">
        <v>8.77941E7</v>
      </c>
      <c r="C33" s="12">
        <v>5.40719734E8</v>
      </c>
      <c r="D33" s="12">
        <v>1.067350401E9</v>
      </c>
      <c r="E33" s="12">
        <v>1.01452546E9</v>
      </c>
      <c r="F33" s="12">
        <v>7.6113994E7</v>
      </c>
    </row>
    <row r="34" spans="8:8" ht="15.75">
      <c r="A34" s="21" t="s">
        <v>86</v>
      </c>
      <c r="B34" s="21">
        <v>5.40719734E8</v>
      </c>
      <c r="C34" s="21">
        <v>1.067350401E9</v>
      </c>
      <c r="D34" s="21">
        <v>1.01452546E9</v>
      </c>
      <c r="E34" s="21">
        <v>7.6113994E7</v>
      </c>
      <c r="F34" s="21">
        <v>2.47054434E8</v>
      </c>
    </row>
    <row r="35" spans="8:8" ht="15.75"/>
  </sheetData>
  <mergeCells count="6">
    <mergeCell ref="A22:F22"/>
    <mergeCell ref="A13:F13"/>
    <mergeCell ref="A1:F1"/>
    <mergeCell ref="A2:F2"/>
    <mergeCell ref="A3:F3"/>
    <mergeCell ref="A6:F6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K34"/>
  <sheetViews>
    <sheetView workbookViewId="0" topLeftCell="A13" zoomScale="105">
      <selection activeCell="F21" sqref="F21"/>
    </sheetView>
  </sheetViews>
  <sheetFormatPr defaultRowHeight="15.0" defaultColWidth="10"/>
  <cols>
    <col min="1" max="1" customWidth="1" bestFit="1" width="33.42578" style="0"/>
    <col min="2" max="4" customWidth="1" bestFit="1" width="13.285156" style="0"/>
    <col min="5" max="5" customWidth="1" bestFit="1" width="14.5703125" style="0"/>
    <col min="6" max="6" customWidth="1" bestFit="1" width="13.855469" style="0"/>
  </cols>
  <sheetData>
    <row r="1" spans="8:8" ht="39.0">
      <c r="A1" s="35" t="s">
        <v>128</v>
      </c>
      <c r="B1" s="35"/>
      <c r="C1" s="35"/>
      <c r="D1" s="35"/>
      <c r="E1" s="35"/>
      <c r="F1" s="35"/>
    </row>
    <row r="2" spans="8:8" ht="39.0">
      <c r="A2" s="36" t="s">
        <v>101</v>
      </c>
      <c r="B2" s="36"/>
      <c r="C2" s="36"/>
      <c r="D2" s="36"/>
      <c r="E2" s="36"/>
      <c r="F2" s="36"/>
    </row>
    <row r="3" spans="8:8" ht="34.5">
      <c r="A3" s="29" t="s">
        <v>103</v>
      </c>
      <c r="B3" s="29"/>
      <c r="C3" s="29"/>
      <c r="D3" s="29"/>
      <c r="E3" s="29"/>
      <c r="F3" s="29"/>
    </row>
    <row r="4" spans="8:8" ht="21.0">
      <c r="A4" s="37" t="s">
        <v>126</v>
      </c>
      <c r="B4" s="37">
        <v>2013.0</v>
      </c>
      <c r="C4" s="37">
        <v>2014.0</v>
      </c>
      <c r="D4" s="37">
        <v>2015.0</v>
      </c>
      <c r="E4" s="37">
        <v>2016.0</v>
      </c>
      <c r="F4" s="37">
        <v>2017.0</v>
      </c>
    </row>
    <row r="5" spans="8:8" ht="15.75">
      <c r="A5" s="22" t="s">
        <v>113</v>
      </c>
      <c r="B5" s="38">
        <f>'Balance sheet'!B47/'Balance sheet'!B26</f>
        <v>1.5304668355555582</v>
      </c>
      <c r="C5" s="38">
        <f>'Balance sheet'!C47/'Balance sheet'!C26</f>
        <v>1.236636983736334</v>
      </c>
      <c r="D5" s="38">
        <f>'Balance sheet'!D47/'Balance sheet'!D26</f>
        <v>1.1797192967853842</v>
      </c>
      <c r="E5" s="38">
        <f>'Balance sheet'!E47/'Balance sheet'!E26</f>
        <v>1.1122334613300884</v>
      </c>
      <c r="F5" s="38">
        <f>'Balance sheet'!F47/'Balance sheet'!F26</f>
        <v>1.108967910016121</v>
      </c>
    </row>
    <row r="6" spans="8:8" ht="15.75">
      <c r="A6" s="22" t="s">
        <v>114</v>
      </c>
      <c r="B6" s="38">
        <f>('Balance sheet'!B46+'Balance sheet'!B45+'Balance sheet'!B39)/'Balance sheet'!B26</f>
        <v>0.7606405605183163</v>
      </c>
      <c r="C6" s="38">
        <f>('Balance sheet'!C46+'Balance sheet'!C45+'Balance sheet'!C39)/'Balance sheet'!C26</f>
        <v>0.6855661754713689</v>
      </c>
      <c r="D6" s="38">
        <f>('Balance sheet'!D46+'Balance sheet'!D45+'Balance sheet'!D39)/'Balance sheet'!D26</f>
        <v>0.6166424423862157</v>
      </c>
      <c r="E6" s="38">
        <f>('Balance sheet'!E46+'Balance sheet'!E45+'Balance sheet'!E39)/'Balance sheet'!E26</f>
        <v>0.4951808378618458</v>
      </c>
      <c r="F6" s="38">
        <f>('Balance sheet'!F46+'Balance sheet'!F45+'Balance sheet'!F39)/'Balance sheet'!F26</f>
        <v>0.5008080225511249</v>
      </c>
    </row>
    <row r="7" spans="8:8" ht="15.75">
      <c r="A7" s="22" t="s">
        <v>115</v>
      </c>
      <c r="B7" s="39">
        <f>('Balance sheet'!B46+'Balance sheet'!B45)/'Balance sheet'!B26</f>
        <v>0.0470235695178717</v>
      </c>
      <c r="C7" s="39">
        <f>('Balance sheet'!C46+'Balance sheet'!C45)/'Balance sheet'!C26</f>
        <v>0.0489296089260034</v>
      </c>
      <c r="D7" s="39">
        <f>('Balance sheet'!D46+'Balance sheet'!D45)/'Balance sheet'!D26</f>
        <v>0.0472048333512525</v>
      </c>
      <c r="E7" s="39">
        <f>('Balance sheet'!E46+'Balance sheet'!E45)/'Balance sheet'!E26</f>
        <v>0.003793830990563495</v>
      </c>
      <c r="F7" s="39">
        <f>('Balance sheet'!F46+'Balance sheet'!F45)/'Balance sheet'!F26</f>
        <v>0.009854813864817083</v>
      </c>
      <c r="H7" s="38"/>
    </row>
    <row r="8" spans="8:8" ht="15.75">
      <c r="A8" s="22" t="s">
        <v>127</v>
      </c>
      <c r="B8" s="12">
        <f>'Balance sheet'!B47-'Balance sheet'!B26</f>
        <v>7.026652723E9</v>
      </c>
      <c r="C8" s="12">
        <f>'Balance sheet'!C47-'Balance sheet'!C26</f>
        <v>5.271582955E9</v>
      </c>
      <c r="D8" s="12">
        <f>'Balance sheet'!D47-'Balance sheet'!D26</f>
        <v>3.945869758E9</v>
      </c>
      <c r="E8" s="12">
        <f>'Balance sheet'!E47-'Balance sheet'!E26</f>
        <v>2.56293053E9</v>
      </c>
      <c r="F8" s="12">
        <f>'Balance sheet'!F47-'Balance sheet'!F26</f>
        <v>3.088849051E9</v>
      </c>
    </row>
    <row r="9" spans="8:8" ht="15.75">
      <c r="A9" s="22" t="s">
        <v>116</v>
      </c>
      <c r="B9" s="40">
        <f>B12+B16-B14</f>
        <v>128.98417021876503</v>
      </c>
      <c r="C9" s="40">
        <f t="shared" si="0" ref="C9:F9">C12+C16-C14</f>
        <v>138.1381820684058</v>
      </c>
      <c r="D9" s="40">
        <f t="shared" si="0"/>
        <v>170.36936675985274</v>
      </c>
      <c r="E9" s="40">
        <f t="shared" si="0"/>
        <v>186.83389328923846</v>
      </c>
      <c r="F9" s="40">
        <f t="shared" si="0"/>
        <v>174.2464444340834</v>
      </c>
    </row>
    <row r="10" spans="8:8" ht="34.5">
      <c r="A10" s="29" t="s">
        <v>104</v>
      </c>
      <c r="B10" s="29"/>
      <c r="C10" s="29"/>
      <c r="D10" s="29"/>
      <c r="E10" s="29"/>
      <c r="F10" s="29"/>
    </row>
    <row r="11" spans="8:8" ht="15.75">
      <c r="A11" s="22" t="s">
        <v>132</v>
      </c>
      <c r="B11" s="38">
        <f>'Profit &amp; Loss AC'!B6/'Balance sheet'!B39</f>
        <v>4.877381922196935</v>
      </c>
      <c r="C11" s="38">
        <f>'Profit &amp; Loss AC'!C6/Working!D3</f>
        <v>4.25850683040283</v>
      </c>
      <c r="D11" s="38">
        <f>'Profit &amp; Loss AC'!D6/Working!E3</f>
        <v>3.4858195308029374</v>
      </c>
      <c r="E11" s="38">
        <f>'Profit &amp; Loss AC'!E6/Working!F3</f>
        <v>3.350626540009378</v>
      </c>
      <c r="F11" s="38">
        <f>'Profit &amp; Loss AC'!F6/Working!G3</f>
        <v>3.6988785028071014</v>
      </c>
    </row>
    <row r="12" spans="8:8" ht="15.75">
      <c r="A12" s="22" t="s">
        <v>102</v>
      </c>
      <c r="B12" s="38">
        <f>365/B11</f>
        <v>74.8352304212404</v>
      </c>
      <c r="C12" s="38">
        <f>365/C11</f>
        <v>85.71079360355826</v>
      </c>
      <c r="D12" s="38">
        <f t="shared" si="1" ref="D12:F12">365/D11</f>
        <v>104.70995321892768</v>
      </c>
      <c r="E12" s="38">
        <f t="shared" si="1"/>
        <v>108.93485013670858</v>
      </c>
      <c r="F12" s="38">
        <f t="shared" si="1"/>
        <v>98.67855884506595</v>
      </c>
    </row>
    <row r="13" spans="8:8" ht="15.75">
      <c r="A13" s="22" t="s">
        <v>133</v>
      </c>
      <c r="B13" s="38">
        <f>Working!C9/Working!C10</f>
        <v>48.323166476790426</v>
      </c>
      <c r="C13" s="38">
        <f>Working!D9/Working!D10</f>
        <v>52.77558838027568</v>
      </c>
      <c r="D13" s="38">
        <f>Working!E9/Working!E10</f>
        <v>65.50604150497445</v>
      </c>
      <c r="E13" s="38">
        <f>Working!F9/Working!F10</f>
        <v>47.84515540539573</v>
      </c>
      <c r="F13" s="38">
        <f>Working!G9/Working!G10</f>
        <v>38.130317086377275</v>
      </c>
    </row>
    <row r="14" spans="8:8" ht="15.75">
      <c r="A14" s="22" t="s">
        <v>102</v>
      </c>
      <c r="B14" s="38">
        <f>365/B13</f>
        <v>7.553312967917969</v>
      </c>
      <c r="C14" s="38">
        <f>365/C13</f>
        <v>6.916076375501195</v>
      </c>
      <c r="D14" s="38">
        <f t="shared" si="2" ref="D14:F14">365/D13</f>
        <v>5.572005140507267</v>
      </c>
      <c r="E14" s="38">
        <f t="shared" si="2"/>
        <v>7.628776558615529</v>
      </c>
      <c r="F14" s="38">
        <f t="shared" si="2"/>
        <v>9.5724354762946</v>
      </c>
    </row>
    <row r="15" spans="8:8" ht="15.75">
      <c r="A15" s="22" t="s">
        <v>134</v>
      </c>
      <c r="B15" s="38">
        <f>'Profit &amp; Loss AC'!B7/'Balance sheet'!B38</f>
        <v>5.915505247231809</v>
      </c>
      <c r="C15" s="38">
        <f>'Profit &amp; Loss AC'!C7/Working!D4</f>
        <v>6.150635137027402</v>
      </c>
      <c r="D15" s="38">
        <f>'Profit &amp; Loss AC'!D7/Working!E4</f>
        <v>5.124143345121123</v>
      </c>
      <c r="E15" s="38">
        <f>'Profit &amp; Loss AC'!E7/Working!F4</f>
        <v>4.267617264566336</v>
      </c>
      <c r="F15" s="38">
        <f>'Profit &amp; Loss AC'!F7/Working!G4</f>
        <v>4.2870404460890414</v>
      </c>
    </row>
    <row r="16" spans="8:8" ht="15.75">
      <c r="A16" s="22" t="s">
        <v>102</v>
      </c>
      <c r="B16" s="38">
        <f>365/B15</f>
        <v>61.70225276544276</v>
      </c>
      <c r="C16" s="38">
        <f>365/C15</f>
        <v>59.34346484034887</v>
      </c>
      <c r="D16" s="38">
        <f t="shared" si="3" ref="D16:F16">365/D15</f>
        <v>71.23141868143274</v>
      </c>
      <c r="E16" s="38">
        <f t="shared" si="3"/>
        <v>85.52781971114514</v>
      </c>
      <c r="F16" s="38">
        <f t="shared" si="3"/>
        <v>85.14032106531215</v>
      </c>
    </row>
    <row r="17" spans="8:8" ht="15.75">
      <c r="A17" s="22" t="s">
        <v>111</v>
      </c>
      <c r="B17" s="38">
        <f>'Profit &amp; Loss AC'!B6/Working!C7</f>
        <v>1.0804880391775709</v>
      </c>
      <c r="C17" s="38">
        <f>'Profit &amp; Loss AC'!C6/Working!D7</f>
        <v>0.9919288849050985</v>
      </c>
      <c r="D17" s="38">
        <f>'Profit &amp; Loss AC'!D6/Working!E7</f>
        <v>0.9015093366528745</v>
      </c>
      <c r="E17" s="38">
        <f>'Profit &amp; Loss AC'!E6/Working!F7</f>
        <v>0.6960697424463297</v>
      </c>
      <c r="F17" s="38">
        <f>'Profit &amp; Loss AC'!F6/Working!G7</f>
        <v>1.5161317891147146</v>
      </c>
    </row>
    <row r="18" spans="8:8" ht="15.75">
      <c r="A18" s="22" t="s">
        <v>117</v>
      </c>
      <c r="B18" s="38">
        <f>'Profit &amp; Loss AC'!B6/Working!C5</f>
        <v>2.0590559423096604</v>
      </c>
      <c r="C18" s="38">
        <f>'Profit &amp; Loss AC'!C6/Working!D5</f>
        <v>2.098748351318688</v>
      </c>
      <c r="D18" s="38">
        <f>'Profit &amp; Loss AC'!D6/Working!E5</f>
        <v>1.795786786047396</v>
      </c>
      <c r="E18" s="38">
        <f>'Profit &amp; Loss AC'!E6/Working!F5</f>
        <v>1.3878566618045973</v>
      </c>
      <c r="F18" s="38">
        <f>'Profit &amp; Loss AC'!F6/Working!G5</f>
        <v>3.1149699584776633</v>
      </c>
    </row>
    <row r="19" spans="8:8" ht="15.75">
      <c r="A19" s="22" t="s">
        <v>118</v>
      </c>
      <c r="B19" s="38">
        <f>'Profit &amp; Loss AC'!B6/Ratios!B8</f>
        <v>6.561357615566908</v>
      </c>
      <c r="C19" s="38">
        <f>'Profit &amp; Loss AC'!C6/Working!D6</f>
        <v>8.18411963043208</v>
      </c>
      <c r="D19" s="38">
        <f>'Profit &amp; Loss AC'!D6/Working!E6</f>
        <v>10.091563327773809</v>
      </c>
      <c r="E19" s="38">
        <f>'Profit &amp; Loss AC'!E6/Working!F6</f>
        <v>12.212527139993883</v>
      </c>
      <c r="F19" s="38">
        <f>'Profit &amp; Loss AC'!F6/Working!G6</f>
        <v>16.45183634772044</v>
      </c>
    </row>
    <row r="20" spans="8:8" ht="34.5">
      <c r="A20" s="29" t="s">
        <v>125</v>
      </c>
      <c r="B20" s="29"/>
      <c r="C20" s="29"/>
      <c r="D20" s="29"/>
      <c r="E20" s="29"/>
      <c r="F20" s="29"/>
    </row>
    <row r="21" spans="8:8" ht="15.75">
      <c r="A21" s="22" t="s">
        <v>119</v>
      </c>
      <c r="B21" s="38">
        <f>'Balance sheet'!B27/'Balance sheet'!B48</f>
        <v>0.6862974814761361</v>
      </c>
      <c r="C21" s="38">
        <f>'Balance sheet'!C27/'Balance sheet'!C48</f>
        <v>0.7350676022783</v>
      </c>
      <c r="D21" s="38">
        <f>'Balance sheet'!D27/'Balance sheet'!D48</f>
        <v>0.694307407613343</v>
      </c>
      <c r="E21" s="38">
        <f>'Balance sheet'!E27/'Balance sheet'!E48</f>
        <v>0.6849759073931344</v>
      </c>
      <c r="F21" s="38">
        <f>'Balance sheet'!F27/'Balance sheet'!F48</f>
        <v>0.6831255792034565</v>
      </c>
    </row>
    <row r="22" spans="8:8" ht="15.75">
      <c r="A22" s="22" t="s">
        <v>120</v>
      </c>
      <c r="B22" s="38">
        <f>'Balance sheet'!B27/'Balance sheet'!B14</f>
        <v>2.1877334128700285</v>
      </c>
      <c r="C22" s="38">
        <f>'Balance sheet'!C27/'Balance sheet'!C14</f>
        <v>2.7745478038909255</v>
      </c>
      <c r="D22" s="38">
        <f>'Balance sheet'!D27/'Balance sheet'!D14</f>
        <v>2.271260164312861</v>
      </c>
      <c r="E22" s="38">
        <f>'Balance sheet'!E27/'Balance sheet'!E14</f>
        <v>2.174360385343448</v>
      </c>
      <c r="F22" s="38">
        <f>'Balance sheet'!F27/'Balance sheet'!F14</f>
        <v>2.155824308842123</v>
      </c>
    </row>
    <row r="23" spans="8:8" ht="15.75">
      <c r="A23" s="22" t="s">
        <v>121</v>
      </c>
      <c r="B23" s="38">
        <f>'Profit &amp; Loss AC'!B15/'Profit &amp; Loss AC'!B16</f>
        <v>2.225175089754383</v>
      </c>
      <c r="C23" s="38">
        <f>'Profit &amp; Loss AC'!C15/'Profit &amp; Loss AC'!C16</f>
        <v>1.6749466868963787</v>
      </c>
      <c r="D23" s="38">
        <f>'Profit &amp; Loss AC'!D15/'Profit &amp; Loss AC'!D16</f>
        <v>1.8519507705900389</v>
      </c>
      <c r="E23" s="38">
        <f>'Profit &amp; Loss AC'!E15/'Profit &amp; Loss AC'!E16</f>
        <v>2.4439641188050154</v>
      </c>
      <c r="F23" s="38">
        <f>'Profit &amp; Loss AC'!F15/'Profit &amp; Loss AC'!F16</f>
        <v>2.8289498254361343</v>
      </c>
    </row>
    <row r="24" spans="8:8" ht="15.75">
      <c r="A24" s="22" t="s">
        <v>122</v>
      </c>
      <c r="B24" s="38">
        <f>'Balance sheet'!B48/'Balance sheet'!B14</f>
        <v>3.1877334128700285</v>
      </c>
      <c r="C24" s="38">
        <f>'Balance sheet'!C48/'Balance sheet'!C14</f>
        <v>3.7745478038909255</v>
      </c>
      <c r="D24" s="38">
        <f>'Balance sheet'!D48/'Balance sheet'!D14</f>
        <v>3.271260164312861</v>
      </c>
      <c r="E24" s="38">
        <f>'Balance sheet'!E48/'Balance sheet'!E14</f>
        <v>3.174360385343448</v>
      </c>
      <c r="F24" s="38">
        <f>'Balance sheet'!F48/'Balance sheet'!F14</f>
        <v>3.155824308842123</v>
      </c>
    </row>
    <row r="25" spans="8:8" ht="34.5">
      <c r="A25" s="29" t="s">
        <v>105</v>
      </c>
      <c r="B25" s="29"/>
      <c r="C25" s="29"/>
      <c r="D25" s="29"/>
      <c r="E25" s="29"/>
      <c r="F25" s="29"/>
    </row>
    <row r="26" spans="8:8" ht="15.75">
      <c r="A26" s="22" t="s">
        <v>123</v>
      </c>
      <c r="B26" s="38">
        <f>'Profit &amp; Loss AC'!B19/'Profit &amp; Loss AC'!B6</f>
        <v>0.09203904701017673</v>
      </c>
      <c r="C26" s="38">
        <f>'Profit &amp; Loss AC'!C19/'Profit &amp; Loss AC'!C6</f>
        <v>0.04092206635639443</v>
      </c>
      <c r="D26" s="38">
        <f>'Profit &amp; Loss AC'!D19/'Profit &amp; Loss AC'!D6</f>
        <v>0.052130303657218935</v>
      </c>
      <c r="E26" s="38">
        <f>'Profit &amp; Loss AC'!E19/'Profit &amp; Loss AC'!E6</f>
        <v>0.07495556538783876</v>
      </c>
      <c r="F26" s="38">
        <f>'Profit &amp; Loss AC'!F19/'Profit &amp; Loss AC'!F6</f>
        <v>0.08428666346233704</v>
      </c>
    </row>
    <row r="27" spans="8:8" ht="15.75">
      <c r="A27" s="22" t="s">
        <v>124</v>
      </c>
      <c r="B27" s="38">
        <f>'Profit &amp; Loss AC'!B8/'Profit &amp; Loss AC'!B6</f>
        <v>0.18756485146665158</v>
      </c>
      <c r="C27" s="38">
        <f>'Profit &amp; Loss AC'!C8/'Profit &amp; Loss AC'!C6</f>
        <v>0.127925132630657</v>
      </c>
      <c r="D27" s="38">
        <f>'Profit &amp; Loss AC'!D8/'Profit &amp; Loss AC'!D6</f>
        <v>0.15497130109873955</v>
      </c>
      <c r="E27" s="38">
        <f>'Profit &amp; Loss AC'!E8/'Profit &amp; Loss AC'!E6</f>
        <v>0.17305758045805694</v>
      </c>
      <c r="F27" s="38">
        <f>'Profit &amp; Loss AC'!F8/'Profit &amp; Loss AC'!F6</f>
        <v>0.1661659702502603</v>
      </c>
      <c r="J27" s="41"/>
    </row>
    <row r="28" spans="8:8" ht="15.75">
      <c r="A28" s="22" t="s">
        <v>112</v>
      </c>
      <c r="B28" s="38">
        <f>'Profit &amp; Loss AC'!B15/'Profit &amp; Loss AC'!B6</f>
        <v>0.17623794379235438</v>
      </c>
      <c r="C28" s="38">
        <f>'Profit &amp; Loss AC'!C15/'Profit &amp; Loss AC'!C6</f>
        <v>0.10975291252669847</v>
      </c>
      <c r="D28" s="38">
        <f>'Profit &amp; Loss AC'!D15/'Profit &amp; Loss AC'!D6</f>
        <v>0.12934852183645826</v>
      </c>
      <c r="E28" s="38">
        <f>'Profit &amp; Loss AC'!E15/'Profit &amp; Loss AC'!E6</f>
        <v>0.13906618749177574</v>
      </c>
      <c r="F28" s="38">
        <f>'Profit &amp; Loss AC'!F15/'Profit &amp; Loss AC'!F6</f>
        <v>0.1366445247780784</v>
      </c>
    </row>
    <row r="29" spans="8:8" ht="15.75">
      <c r="A29" s="22" t="s">
        <v>110</v>
      </c>
      <c r="B29" s="38">
        <f>'Profit &amp; Loss AC'!B19/Working!C7</f>
        <v>0.09944708943179813</v>
      </c>
      <c r="C29" s="38">
        <f>'Profit &amp; Loss AC'!C19/Working!D7</f>
        <v>0.04059177964891077</v>
      </c>
      <c r="D29" s="38">
        <f>'Profit &amp; Loss AC'!D19/Working!E7</f>
        <v>0.046995955469532356</v>
      </c>
      <c r="E29" s="38">
        <f>'Profit &amp; Loss AC'!E19/Working!F7</f>
        <v>0.05217430109443195</v>
      </c>
      <c r="F29" s="38">
        <f>'Profit &amp; Loss AC'!F19/Working!G7</f>
        <v>0.1277896898736629</v>
      </c>
    </row>
    <row r="30" spans="8:8" ht="15.75">
      <c r="A30" s="22" t="s">
        <v>109</v>
      </c>
      <c r="B30" s="38">
        <f>'Profit &amp; Loss AC'!B19/Working!C8</f>
        <v>0.3170108097944168</v>
      </c>
      <c r="C30" s="38">
        <f>'Profit &amp; Loss AC'!C19/Working!D8</f>
        <v>0.1528958482463949</v>
      </c>
      <c r="D30" s="38">
        <f>'Profit &amp; Loss AC'!D19/Working!E8</f>
        <v>0.1675956206881451</v>
      </c>
      <c r="E30" s="38">
        <f>'Profit &amp; Loss AC'!E19/Working!F8</f>
        <v>0.18598851757639942</v>
      </c>
      <c r="F30" s="38">
        <f>'Profit &amp; Loss AC'!F19/Working!G8</f>
        <v>0.2171666761436552</v>
      </c>
    </row>
    <row r="31" spans="8:8" ht="34.5">
      <c r="A31" s="29" t="s">
        <v>106</v>
      </c>
      <c r="B31" s="29"/>
      <c r="C31" s="29"/>
      <c r="D31" s="29"/>
      <c r="E31" s="29"/>
      <c r="F31" s="29"/>
    </row>
    <row r="32" spans="8:8" ht="15.75">
      <c r="A32" s="22" t="s">
        <v>108</v>
      </c>
      <c r="B32" s="38">
        <f>'Profit &amp; Loss AC'!B40/'Profit &amp; Loss AC'!B24</f>
        <v>3.4989676531314524</v>
      </c>
      <c r="C32" s="38">
        <f>'Profit &amp; Loss AC'!B40/'Profit &amp; Loss AC'!C24</f>
        <v>15.887500000000001</v>
      </c>
      <c r="D32" s="38">
        <f>'Profit &amp; Loss AC'!B40/'Profit &amp; Loss AC'!D24</f>
        <v>13.41424802110818</v>
      </c>
      <c r="E32" s="38">
        <f>'Profit &amp; Loss AC'!B40/'Profit &amp; Loss AC'!E24</f>
        <v>7.4218978102189785</v>
      </c>
      <c r="F32" s="38">
        <f>'Profit &amp; Loss AC'!B40/'Profit &amp; Loss AC'!F24</f>
        <v>4.979431929480901</v>
      </c>
    </row>
    <row r="33" spans="8:8" ht="15.75">
      <c r="A33" s="22" t="s">
        <v>107</v>
      </c>
      <c r="B33" s="38">
        <f>'Profit &amp; Loss AC'!B41/'Profit &amp; Loss AC'!B40</f>
        <v>0.03933910306845004</v>
      </c>
      <c r="C33" s="38">
        <f>'Profit &amp; Loss AC'!C41/'Profit &amp; Loss AC'!B40</f>
        <v>0.01966955153422502</v>
      </c>
      <c r="D33" s="38">
        <f>'Profit &amp; Loss AC'!D41/'Profit &amp; Loss AC'!B40</f>
        <v>0.029504327301337528</v>
      </c>
      <c r="E33" s="38">
        <f>'Profit &amp; Loss AC'!E41/'Profit &amp; Loss AC'!B40</f>
        <v>0.04917387883556255</v>
      </c>
      <c r="F33" s="38">
        <f>'Profit &amp; Loss AC'!F41/'Profit &amp; Loss AC'!B40</f>
        <v>0.0540912667191188</v>
      </c>
    </row>
    <row r="34" spans="8:8" ht="15.75">
      <c r="A34" s="22" t="s">
        <v>130</v>
      </c>
      <c r="B34" s="38">
        <f>'Profit &amp; Loss AC'!B41/'Profit &amp; Loss AC'!B24</f>
        <v>0.13764624913971094</v>
      </c>
      <c r="C34" s="38">
        <f>'Profit &amp; Loss AC'!C41/'Profit &amp; Loss AC'!C24</f>
        <v>0.3125</v>
      </c>
      <c r="D34" s="38">
        <f>'Profit &amp; Loss AC'!D41/'Profit &amp; Loss AC'!D24</f>
        <v>0.39577836411609496</v>
      </c>
      <c r="E34" s="38">
        <f>'Profit &amp; Loss AC'!E41/'Profit &amp; Loss AC'!E24</f>
        <v>0.36496350364963503</v>
      </c>
      <c r="F34" s="38">
        <f>'Profit &amp; Loss AC'!F41/'Profit &amp; Loss AC'!F24</f>
        <v>0.2693437806072478</v>
      </c>
    </row>
  </sheetData>
  <mergeCells count="7">
    <mergeCell ref="A31:F31"/>
    <mergeCell ref="A20:F20"/>
    <mergeCell ref="A25:F25"/>
    <mergeCell ref="A1:F1"/>
    <mergeCell ref="A3:F3"/>
    <mergeCell ref="A2:F2"/>
    <mergeCell ref="A10:F10"/>
  </mergeCell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H10"/>
  <sheetViews>
    <sheetView tabSelected="1" workbookViewId="0" zoomScale="40">
      <selection activeCell="D6" sqref="D6"/>
    </sheetView>
  </sheetViews>
  <sheetFormatPr defaultRowHeight="15.0" defaultColWidth="10"/>
  <cols>
    <col min="1" max="1" customWidth="1" bestFit="1" width="18.570312" style="0"/>
    <col min="3" max="3" customWidth="1" bestFit="1" width="15.425781" style="0"/>
    <col min="4" max="7" customWidth="1" bestFit="1" width="13.855469" style="0"/>
  </cols>
  <sheetData>
    <row r="1" spans="8:8" ht="30.0">
      <c r="A1" s="2" t="s">
        <v>159</v>
      </c>
      <c r="B1" s="2"/>
      <c r="C1" s="2"/>
      <c r="D1" s="2"/>
      <c r="E1" s="2"/>
      <c r="F1" s="2"/>
      <c r="G1" s="2"/>
    </row>
    <row r="2" spans="8:8" ht="20.25">
      <c r="A2" s="4" t="s">
        <v>157</v>
      </c>
      <c r="B2" s="4"/>
      <c r="C2" s="4">
        <v>2013.0</v>
      </c>
      <c r="D2" s="4">
        <v>2014.0</v>
      </c>
      <c r="E2" s="4">
        <v>2015.0</v>
      </c>
      <c r="F2" s="4">
        <v>2016.0</v>
      </c>
      <c r="G2" s="4">
        <v>2017.0</v>
      </c>
    </row>
    <row r="3" spans="8:8" ht="15.75">
      <c r="A3" s="24" t="s">
        <v>135</v>
      </c>
      <c r="C3" s="12">
        <v>9.452690417E9</v>
      </c>
      <c r="D3" s="12">
        <f>('Balance sheet'!B39+'Balance sheet'!C39)/2</f>
        <v>1.18175496765E10</v>
      </c>
      <c r="E3" s="12">
        <f>('Balance sheet'!C39+'Balance sheet'!D39)/2</f>
        <v>1.3342415887E10</v>
      </c>
      <c r="F3" s="12">
        <f>('Balance sheet'!D39+'Balance sheet'!E39)/2</f>
        <v>1.18617964755E10</v>
      </c>
      <c r="G3" s="12">
        <f>('Balance sheet'!E39+'Balance sheet'!F39)/2</f>
        <v>1.25689655215E10</v>
      </c>
    </row>
    <row r="4" spans="8:8">
      <c r="A4" s="24" t="s">
        <v>136</v>
      </c>
      <c r="C4" s="12">
        <v>6.331973069E9</v>
      </c>
      <c r="D4" s="12">
        <f>('Balance sheet'!B38+'Balance sheet'!C38)/2</f>
        <v>7.1354043765E9</v>
      </c>
      <c r="E4" s="12">
        <f>('Balance sheet'!C38+'Balance sheet'!D38)/2</f>
        <v>7.669897513E9</v>
      </c>
      <c r="F4" s="12">
        <f>('Balance sheet'!D38+'Balance sheet'!E38)/2</f>
        <v>7.70134004E9</v>
      </c>
      <c r="G4" s="12">
        <f>('Balance sheet'!E38+'Balance sheet'!F38)/2</f>
        <v>9.042564922E9</v>
      </c>
    </row>
    <row r="5" spans="8:8">
      <c r="A5" s="24" t="s">
        <v>137</v>
      </c>
      <c r="C5" s="12">
        <v>2.2391029019E10</v>
      </c>
      <c r="D5" s="12">
        <f>('Balance sheet'!C32+'Balance sheet'!D32)/2</f>
        <v>2.3978632781E10</v>
      </c>
      <c r="E5" s="12">
        <f>('Balance sheet'!D32+'Balance sheet'!E32)/2</f>
        <v>2.58990957325E10</v>
      </c>
      <c r="F5" s="12">
        <f>('Balance sheet'!E32+'Balance sheet'!F32)/2</f>
        <v>2.8637287392E10</v>
      </c>
      <c r="G5" s="12">
        <f>('Balance sheet'!F32+'Balance sheet'!G32)/2</f>
        <v>1.4925048071E10</v>
      </c>
    </row>
    <row r="6" spans="8:8">
      <c r="A6" s="24" t="s">
        <v>162</v>
      </c>
      <c r="C6" s="12">
        <f>'Balance sheet'!B47-'Balance sheet'!B26</f>
        <v>7.026652723E9</v>
      </c>
      <c r="D6" s="12">
        <f>(Ratios!B8+Ratios!C8)/2</f>
        <v>6.149117839E9</v>
      </c>
      <c r="E6" s="12">
        <f>(Ratios!C8+Ratios!D8)/2</f>
        <v>4.6087263565E9</v>
      </c>
      <c r="F6" s="12">
        <f>(Ratios!D8+Ratios!E8)/2</f>
        <v>3.254400144E9</v>
      </c>
      <c r="G6" s="12">
        <f>(Ratios!E8+Ratios!F8)/2</f>
        <v>2.8258897905E9</v>
      </c>
    </row>
    <row r="7" spans="8:8">
      <c r="A7" s="24" t="s">
        <v>138</v>
      </c>
      <c r="C7" s="12">
        <v>4.2669959948E10</v>
      </c>
      <c r="D7" s="12">
        <f>('Balance sheet'!C48+'Balance sheet'!D48)/2</f>
        <v>5.07346008185E10</v>
      </c>
      <c r="E7" s="12">
        <f>('Balance sheet'!D48+'Balance sheet'!E48)/2</f>
        <v>5.1590429512E10</v>
      </c>
      <c r="F7" s="12">
        <f>('Balance sheet'!E48+'Balance sheet'!F48)/2</f>
        <v>5.70983734235E10</v>
      </c>
      <c r="G7" s="12">
        <f>('Balance sheet'!F48+'Balance sheet'!G48)/2</f>
        <v>3.0664271209E10</v>
      </c>
    </row>
    <row r="8" spans="8:8">
      <c r="A8" s="24" t="s">
        <v>139</v>
      </c>
      <c r="C8" s="12">
        <v>1.3385673901E10</v>
      </c>
      <c r="D8" s="12">
        <f>('Balance sheet'!B14+'Balance sheet'!C14)/2</f>
        <v>1.3469350284E10</v>
      </c>
      <c r="E8" s="12">
        <f>('Balance sheet'!C14+'Balance sheet'!D14)/2</f>
        <v>1.446661624E10</v>
      </c>
      <c r="F8" s="12">
        <f>('Balance sheet'!D14+'Balance sheet'!E14)/2</f>
        <v>1.60174819705E10</v>
      </c>
      <c r="G8" s="12">
        <f>('Balance sheet'!E14+'Balance sheet'!F14)/2</f>
        <v>1.80441022425E10</v>
      </c>
    </row>
    <row r="9" spans="8:8">
      <c r="A9" s="24" t="s">
        <v>140</v>
      </c>
      <c r="C9" s="12">
        <f>'Profit &amp; Loss AC'!B7+'Balance sheet'!B22</f>
        <v>4.0839627956E10</v>
      </c>
      <c r="D9" s="12">
        <f>'Profit &amp; Loss AC'!C7+'Balance sheet'!C22-'Balance sheet'!B22</f>
        <v>4.4026381279E10</v>
      </c>
      <c r="E9" s="12">
        <f>'Profit &amp; Loss AC'!D7+'Balance sheet'!D22-'Balance sheet'!C22</f>
        <v>3.7659472489E10</v>
      </c>
      <c r="F9" s="12">
        <f>'Profit &amp; Loss AC'!E7+'Balance sheet'!E22-'Balance sheet'!D22</f>
        <v>3.3580013952E10</v>
      </c>
      <c r="G9" s="12">
        <f>'Profit &amp; Loss AC'!F7+'Balance sheet'!F22-'Balance sheet'!E22</f>
        <v>3.836264997E10</v>
      </c>
    </row>
    <row r="10" spans="8:8">
      <c r="A10" s="24" t="s">
        <v>141</v>
      </c>
      <c r="C10" s="25">
        <v>8.45135593E8</v>
      </c>
      <c r="D10" s="25">
        <f>('Balance sheet'!B50+'Balance sheet'!C50)/2</f>
        <v>8.342186725E8</v>
      </c>
      <c r="E10" s="25">
        <f>('Balance sheet'!C50+'Balance sheet'!D50)/2</f>
        <v>5.749007515E8</v>
      </c>
      <c r="F10" s="25">
        <f>('Balance sheet'!D50+'Balance sheet'!E50)/2</f>
        <v>7.01847735E8</v>
      </c>
      <c r="G10" s="25">
        <f>('Balance sheet'!E50+'Balance sheet'!F50)/2</f>
        <v>1.0060931275E9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R1"/>
  <sheetViews>
    <sheetView workbookViewId="0" topLeftCell="B83">
      <selection activeCell="I3" sqref="I3"/>
    </sheetView>
  </sheetViews>
  <sheetFormatPr defaultRowHeight="15.0" defaultColWidth="10"/>
  <sheetData>
    <row r="1" spans="8:8" ht="34.5">
      <c r="A1" s="29" t="s">
        <v>160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</sheetData>
  <mergeCells count="1">
    <mergeCell ref="A1:Q1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M49"/>
  <sheetViews>
    <sheetView workbookViewId="0" topLeftCell="A8">
      <selection activeCell="K51" sqref="K51"/>
    </sheetView>
  </sheetViews>
  <sheetFormatPr defaultRowHeight="15.0" defaultColWidth="10"/>
  <cols>
    <col min="1" max="1" customWidth="1" bestFit="1" width="56.42578" style="0"/>
    <col min="2" max="2" customWidth="1" bestFit="1" width="12.285156" style="0"/>
    <col min="3" max="6" customWidth="1" bestFit="1" width="10.140625" style="0"/>
  </cols>
  <sheetData>
    <row r="1" spans="8:8" ht="30.0">
      <c r="A1" s="1" t="s">
        <v>146</v>
      </c>
      <c r="B1" s="1"/>
      <c r="C1" s="1"/>
      <c r="D1" s="1"/>
      <c r="E1" s="1"/>
      <c r="F1" s="1"/>
    </row>
    <row r="2" spans="8:8" ht="30.0">
      <c r="A2" s="2" t="s">
        <v>0</v>
      </c>
      <c r="B2" s="2"/>
      <c r="C2" s="2"/>
      <c r="D2" s="2"/>
      <c r="E2" s="2"/>
      <c r="F2" s="2"/>
    </row>
    <row r="3" spans="8:8" ht="39.0">
      <c r="A3" s="42" t="s">
        <v>142</v>
      </c>
      <c r="B3" s="42"/>
      <c r="C3" s="42"/>
      <c r="D3" s="42"/>
      <c r="E3" s="42"/>
      <c r="F3" s="42"/>
      <c r="H3" s="43" t="s">
        <v>147</v>
      </c>
      <c r="I3" s="43"/>
      <c r="J3" s="43"/>
      <c r="K3" s="43"/>
      <c r="L3" s="43"/>
    </row>
    <row r="4" spans="8:8" ht="20.25">
      <c r="A4" s="4"/>
      <c r="B4" s="4">
        <v>2013.0</v>
      </c>
      <c r="C4" s="4">
        <v>2014.0</v>
      </c>
      <c r="D4" s="4">
        <v>2015.0</v>
      </c>
      <c r="E4" s="4">
        <v>2016.0</v>
      </c>
      <c r="F4" s="4">
        <v>2017.0</v>
      </c>
      <c r="H4" s="4">
        <v>2013.0</v>
      </c>
      <c r="I4" s="4">
        <v>2014.0</v>
      </c>
      <c r="J4" s="4">
        <v>2015.0</v>
      </c>
      <c r="K4" s="4">
        <v>2016.0</v>
      </c>
      <c r="L4" s="4">
        <v>2017.0</v>
      </c>
    </row>
    <row r="5" spans="8:8" ht="24.0">
      <c r="A5" s="5" t="s">
        <v>5</v>
      </c>
      <c r="B5" s="5"/>
      <c r="C5" s="5"/>
      <c r="D5" s="5"/>
      <c r="E5" s="5"/>
      <c r="F5" s="5"/>
    </row>
    <row r="6" spans="8:8" ht="19.5">
      <c r="A6" s="6" t="s">
        <v>6</v>
      </c>
      <c r="B6" s="6"/>
      <c r="C6" s="6"/>
      <c r="D6" s="6"/>
      <c r="E6" s="6"/>
      <c r="F6" s="6"/>
    </row>
    <row r="7" spans="8:8" ht="16.5">
      <c r="A7" s="7" t="s">
        <v>7</v>
      </c>
      <c r="B7" s="44">
        <f>'Balance sheet'!B8/2500000000</f>
        <v>1.0</v>
      </c>
      <c r="C7" s="44">
        <f>'Balance sheet'!C8/2500000000</f>
        <v>1.0</v>
      </c>
      <c r="D7" s="44">
        <f>'Balance sheet'!D8/2500000000</f>
        <v>1.2</v>
      </c>
      <c r="E7" s="44">
        <f>'Balance sheet'!E8/2500000000</f>
        <v>1.2</v>
      </c>
      <c r="F7" s="44">
        <f>'Balance sheet'!F8/2500000000</f>
        <v>1.2</v>
      </c>
      <c r="H7" s="44">
        <f>'Balance sheet'!B8/42669959948</f>
        <v>0.05858922771539134</v>
      </c>
      <c r="I7" s="44">
        <f>'Balance sheet'!C8/51156547042</f>
        <v>0.04886960016960247</v>
      </c>
      <c r="J7" s="44">
        <f>'Balance sheet'!D8/50312654595</f>
        <v>0.059627145976474394</v>
      </c>
      <c r="K7" s="44">
        <f>'Balance sheet'!E8/52868204429</f>
        <v>0.05674488158622611</v>
      </c>
      <c r="L7" s="44">
        <f>'Balance sheet'!F8/61328542418</f>
        <v>0.04891686450906905</v>
      </c>
    </row>
    <row r="8" spans="8:8" ht="15.75">
      <c r="A8" s="9" t="s">
        <v>8</v>
      </c>
      <c r="B8" s="45">
        <f>'Balance sheet'!B9/1819860280</f>
        <v>1.0</v>
      </c>
      <c r="C8" s="45">
        <f>'Balance sheet'!C9/1819860280</f>
        <v>1.099999995604058</v>
      </c>
      <c r="D8" s="45">
        <f>'Balance sheet'!D9/1819860280</f>
        <v>1.099999995604058</v>
      </c>
      <c r="E8" s="45">
        <f>'Balance sheet'!E9/1819860280</f>
        <v>1.3199999947248697</v>
      </c>
      <c r="F8" s="45">
        <f>'Balance sheet'!F9/1819860280</f>
        <v>1.3199999947248697</v>
      </c>
      <c r="H8" s="45">
        <f>'Balance sheet'!B9/42669959948</f>
        <v>0.042649683342046336</v>
      </c>
      <c r="I8" s="45">
        <f>'Balance sheet'!C9/51156547042</f>
        <v>0.039131771312799234</v>
      </c>
      <c r="J8" s="45">
        <f>'Balance sheet'!D9/50312654595</f>
        <v>0.03978812718418838</v>
      </c>
      <c r="K8" s="45">
        <f>'Balance sheet'!E9/52868204429</f>
        <v>0.045437812498929954</v>
      </c>
      <c r="L8" s="45">
        <f>'Balance sheet'!F9/61328542418</f>
        <v>0.03916961769003248</v>
      </c>
    </row>
    <row r="9" spans="8:8">
      <c r="A9" t="s">
        <v>19</v>
      </c>
      <c r="H9" s="45"/>
      <c r="I9" s="45"/>
      <c r="J9" s="45">
        <f>'Balance sheet'!D10/50312654595</f>
        <v>0.018917601002404433</v>
      </c>
      <c r="K9" s="45"/>
      <c r="L9" s="45"/>
    </row>
    <row r="10" spans="8:8">
      <c r="A10" t="s">
        <v>9</v>
      </c>
      <c r="B10" s="45">
        <f>'Balance sheet'!B11/8013542833</f>
        <v>1.0</v>
      </c>
      <c r="C10" s="45">
        <f>'Balance sheet'!C11/8013542833</f>
        <v>1.0117737457659135</v>
      </c>
      <c r="D10" s="45">
        <f>'Balance sheet'!D11/8013542833</f>
        <v>1.1005420960230112</v>
      </c>
      <c r="E10" s="45">
        <f>'Balance sheet'!E11/8013542833</f>
        <v>1.33394199541555</v>
      </c>
      <c r="F10" s="45">
        <f>'Balance sheet'!F11/8013542833</f>
        <v>1.565069171072839</v>
      </c>
      <c r="H10" s="45">
        <f>'Balance sheet'!B11/42669959948</f>
        <v>0.1878029143398717</v>
      </c>
      <c r="I10" s="45">
        <f>'Balance sheet'!C11/51156547042</f>
        <v>0.1584917809707396</v>
      </c>
      <c r="J10" s="45">
        <f>'Balance sheet'!D11/50312654595</f>
        <v>0.17528872799481432</v>
      </c>
      <c r="K10" s="45">
        <f>'Balance sheet'!E11/52868204429</f>
        <v>0.2021933869790439</v>
      </c>
      <c r="L10" s="45">
        <f>'Balance sheet'!F11/61328542418</f>
        <v>0.20450100955471234</v>
      </c>
    </row>
    <row r="11" spans="8:8">
      <c r="A11" t="s">
        <v>10</v>
      </c>
      <c r="B11" s="45">
        <f>'Balance sheet'!B12/9833403113</f>
        <v>1.0</v>
      </c>
      <c r="C11" s="45">
        <f>'Balance sheet'!C12/9833403113</f>
        <v>1.0281017093293652</v>
      </c>
      <c r="D11" s="45">
        <f>'Balance sheet'!D12/9833403113</f>
        <v>1.1972337669586597</v>
      </c>
      <c r="E11" s="45">
        <f>'Balance sheet'!E12/9833403113</f>
        <v>1.331361760171542</v>
      </c>
      <c r="F11" s="45">
        <f>'Balance sheet'!F12/9833403113</f>
        <v>1.5197144088645886</v>
      </c>
      <c r="H11" s="45">
        <f>'Balance sheet'!B12/42669959948</f>
        <v>0.23045259768191803</v>
      </c>
      <c r="I11" s="45">
        <f>'Balance sheet'!C12/51156547042</f>
        <v>0.1976235522835388</v>
      </c>
      <c r="J11" s="45">
        <f>'Balance sheet'!D12/50312654595</f>
        <v>0.23399445618140713</v>
      </c>
      <c r="K11" s="45">
        <f>'Balance sheet'!E12/52868204429</f>
        <v>0.24763119947797385</v>
      </c>
      <c r="L11" s="45">
        <f>'Balance sheet'!F12/61328542418</f>
        <v>0.24367062724474484</v>
      </c>
    </row>
    <row r="12" spans="8:8" ht="15.75">
      <c r="A12" s="14" t="s">
        <v>11</v>
      </c>
      <c r="B12" s="45">
        <f>'Balance sheet'!B13/3552270788</f>
        <v>1.0</v>
      </c>
      <c r="C12" s="45">
        <f>'Balance sheet'!C13/3552270788</f>
        <v>0.9693202808839471</v>
      </c>
      <c r="D12" s="45">
        <f>'Balance sheet'!D13/3552270788</f>
        <v>1.0154979102905035</v>
      </c>
      <c r="E12" s="45">
        <f>'Balance sheet'!E13/3552270788</f>
        <v>1.003003842791503</v>
      </c>
      <c r="F12" s="45">
        <f>'Balance sheet'!F13/3552270788</f>
        <v>1.2638343825493294</v>
      </c>
      <c r="H12" s="45">
        <f>'Balance sheet'!B13/42669959948</f>
        <v>0.08324992084194585</v>
      </c>
      <c r="I12" s="45">
        <f>'Balance sheet'!C13/51156547042</f>
        <v>0.0673088454381612</v>
      </c>
      <c r="J12" s="45">
        <f>'Balance sheet'!D13/50312654595</f>
        <v>0.07169813620524985</v>
      </c>
      <c r="K12" s="45">
        <f>'Balance sheet'!E13/52868204429</f>
        <v>0.06739289312889178</v>
      </c>
      <c r="L12" s="45">
        <f>'Balance sheet'!F13/61328542418</f>
        <v>0.07320379355179868</v>
      </c>
    </row>
    <row r="13" spans="8:8" ht="16.5">
      <c r="A13" s="46" t="s">
        <v>12</v>
      </c>
      <c r="B13" s="47">
        <f>'Balance sheet'!B14/13385673901</f>
        <v>1.0</v>
      </c>
      <c r="C13" s="47">
        <f>'Balance sheet'!C14/13385673901</f>
        <v>1.0125023788296155</v>
      </c>
      <c r="D13" s="47">
        <f>'Balance sheet'!D14/13385673901</f>
        <v>1.1490049680540175</v>
      </c>
      <c r="E13" s="47">
        <f>'Balance sheet'!E14/13385673901</f>
        <v>1.24422261076865</v>
      </c>
      <c r="F13" s="47">
        <f>'Balance sheet'!F14/13385673901</f>
        <v>1.4518093374102137</v>
      </c>
      <c r="H13" s="47">
        <f>'Balance sheet'!B14/42669959948</f>
        <v>0.3137025185238639</v>
      </c>
      <c r="I13" s="47">
        <f>'Balance sheet'!C14/51156547042</f>
        <v>0.2649323977217</v>
      </c>
      <c r="J13" s="47">
        <f>'Balance sheet'!D14/50312654595</f>
        <v>0.30569259238665697</v>
      </c>
      <c r="K13" s="47">
        <f>'Balance sheet'!E14/52868204429</f>
        <v>0.31502409260686565</v>
      </c>
      <c r="L13" s="47">
        <f>'Balance sheet'!F14/61328542418</f>
        <v>0.3168744207965435</v>
      </c>
    </row>
    <row r="14" spans="8:8" ht="24.0">
      <c r="A14" s="5" t="s">
        <v>20</v>
      </c>
      <c r="B14" s="5"/>
      <c r="C14" s="5"/>
      <c r="D14" s="5"/>
      <c r="E14" s="5"/>
      <c r="F14" s="5"/>
      <c r="H14" s="45"/>
    </row>
    <row r="15" spans="8:8" ht="19.5">
      <c r="A15" s="18" t="s">
        <v>13</v>
      </c>
      <c r="B15" s="45"/>
      <c r="C15" s="45"/>
      <c r="D15" s="45"/>
      <c r="E15" s="45"/>
      <c r="F15" s="45"/>
      <c r="H15" s="45"/>
    </row>
    <row r="16" spans="8:8" ht="15.75">
      <c r="A16" t="s">
        <v>27</v>
      </c>
      <c r="B16" s="45"/>
      <c r="C16" s="45"/>
      <c r="D16" s="45"/>
      <c r="E16" s="45"/>
      <c r="F16" s="45"/>
      <c r="H16" s="45"/>
      <c r="L16" s="48">
        <f>'Balance sheet'!F17/61328542418</f>
        <v>4.8407876381041437E-4</v>
      </c>
    </row>
    <row r="17" spans="8:8">
      <c r="A17" t="s">
        <v>14</v>
      </c>
      <c r="B17" s="45">
        <f>'Balance sheet'!B18/15881868234</f>
        <v>1.0</v>
      </c>
      <c r="C17" s="45">
        <f>'Balance sheet'!C18/15881868234</f>
        <v>0.9630593808388349</v>
      </c>
      <c r="D17" s="45">
        <f>'Balance sheet'!D18/15881868234</f>
        <v>0.8170771089272343</v>
      </c>
      <c r="E17" s="45">
        <f>'Balance sheet'!E18/15881868234</f>
        <v>0.8423277594861829</v>
      </c>
      <c r="F17" s="45">
        <f>'Balance sheet'!F18/15881868234</f>
        <v>0.8512221639050277</v>
      </c>
      <c r="H17" s="45">
        <f>'Balance sheet'!B18/42669959948</f>
        <v>0.37220255780306644</v>
      </c>
      <c r="I17" s="45">
        <f>'Balance sheet'!C18/51156547042</f>
        <v>0.2989877752195142</v>
      </c>
      <c r="J17" s="45">
        <f>'Balance sheet'!D18/50312654595</f>
        <v>0.25792141331953505</v>
      </c>
      <c r="K17" s="45">
        <f>'Balance sheet'!E18/52868204429</f>
        <v>0.25303939542652326</v>
      </c>
      <c r="L17" s="45">
        <f>'Balance sheet'!F18/61328542418</f>
        <v>0.22043566848300242</v>
      </c>
    </row>
    <row r="18" spans="8:8">
      <c r="A18" s="19" t="s">
        <v>21</v>
      </c>
      <c r="B18" s="45">
        <f>'Balance sheet'!B19/156250000</f>
        <v>1.0</v>
      </c>
      <c r="C18" s="45">
        <f>'Balance sheet'!C19/156250000</f>
        <v>0.2</v>
      </c>
      <c r="D18" s="45"/>
      <c r="E18" s="45"/>
      <c r="F18" s="45"/>
      <c r="H18" s="45">
        <f>'Balance sheet'!B19/42669959948</f>
        <v>0.0036618267322119586</v>
      </c>
      <c r="I18" s="49">
        <f>'Balance sheet'!C19/51156547042</f>
        <v>6.108700021200309E-4</v>
      </c>
    </row>
    <row r="19" spans="8:8" ht="19.5">
      <c r="A19" s="18" t="s">
        <v>15</v>
      </c>
      <c r="B19" s="45"/>
      <c r="C19" s="45"/>
      <c r="D19" s="45"/>
      <c r="E19" s="45"/>
      <c r="F19" s="45"/>
      <c r="H19" s="45">
        <f>'Balance sheet'!B20/42669959948</f>
        <v>0.0</v>
      </c>
    </row>
    <row r="20" spans="8:8" ht="15.75">
      <c r="A20" t="s">
        <v>18</v>
      </c>
      <c r="B20" s="45"/>
      <c r="C20" s="45"/>
      <c r="D20" s="45"/>
      <c r="E20" s="45"/>
      <c r="F20" s="45"/>
      <c r="H20" s="45"/>
      <c r="K20" s="50">
        <f>'Balance sheet'!E21/52868204429</f>
        <v>3.240225421880102E-5</v>
      </c>
    </row>
    <row r="21" spans="8:8">
      <c r="A21" t="s">
        <v>16</v>
      </c>
      <c r="B21" s="45">
        <f>'Balance sheet'!B22/3382808041</f>
        <v>1.0</v>
      </c>
      <c r="C21" s="45">
        <f>'Balance sheet'!C22/3382808041</f>
        <v>1.0411233514624367</v>
      </c>
      <c r="D21" s="45">
        <f>'Balance sheet'!D22/3382808041</f>
        <v>0.5556740471872373</v>
      </c>
      <c r="E21" s="45">
        <f>'Balance sheet'!E22/3382808041</f>
        <v>0.7666355408193261</v>
      </c>
      <c r="F21" s="45">
        <f>'Balance sheet'!F22/3382808041</f>
        <v>0.6474471085721296</v>
      </c>
      <c r="H21" s="45">
        <f>'Balance sheet'!B22/42669959948</f>
        <v>0.07927844425264235</v>
      </c>
      <c r="I21" s="45">
        <f>'Balance sheet'!C22/51156547042</f>
        <v>0.06884593759051937</v>
      </c>
      <c r="J21" s="45">
        <f>'Balance sheet'!D22/50312654595</f>
        <v>0.03736114999558791</v>
      </c>
      <c r="K21" s="45">
        <f>'Balance sheet'!E22/52868204429</f>
        <v>0.04905369682987461</v>
      </c>
      <c r="L21" s="45">
        <f>'Balance sheet'!F22/61328542418</f>
        <v>0.035712397501186606</v>
      </c>
    </row>
    <row r="22" spans="8:8">
      <c r="A22" t="s">
        <v>22</v>
      </c>
      <c r="B22" s="45">
        <f>'Balance sheet'!B23/683900614</f>
        <v>1.0</v>
      </c>
      <c r="C22" s="45">
        <f>'Balance sheet'!C23/683900614</f>
        <v>1.0511773396360775</v>
      </c>
      <c r="D22" s="45">
        <f>'Balance sheet'!D23/683900614</f>
        <v>0.7687870463002684</v>
      </c>
      <c r="E22" s="45">
        <f>'Balance sheet'!E23/683900614</f>
        <v>0.6708660507212236</v>
      </c>
      <c r="F22" s="45">
        <f>'Balance sheet'!F23/683900614</f>
        <v>0.741039755814578</v>
      </c>
      <c r="H22" s="45">
        <f>'Balance sheet'!B23/42669959948</f>
        <v>0.01602768352333678</v>
      </c>
      <c r="I22" s="45">
        <f>'Balance sheet'!C23/51156547042</f>
        <v>0.014052958410382463</v>
      </c>
      <c r="J22" s="45">
        <f>'Balance sheet'!D23/50312654595</f>
        <v>0.010450133017872022</v>
      </c>
      <c r="K22" s="45">
        <f>'Balance sheet'!E23/52868204429</f>
        <v>0.008678291781521703</v>
      </c>
      <c r="L22" s="45">
        <f>'Balance sheet'!F23/61328542418</f>
        <v>0.008263648931125654</v>
      </c>
    </row>
    <row r="23" spans="8:8">
      <c r="A23" t="s">
        <v>17</v>
      </c>
      <c r="B23" s="45">
        <f>'Balance sheet'!B24/6498176644</f>
        <v>1.0</v>
      </c>
      <c r="C23" s="45">
        <f>'Balance sheet'!C24/6498176644</f>
        <v>2.289731670766197</v>
      </c>
      <c r="D23" s="45">
        <f>'Balance sheet'!D24/6498176644</f>
        <v>2.5086132612371626</v>
      </c>
      <c r="E23" s="45">
        <f>'Balance sheet'!E24/6498176644</f>
        <v>2.533105281186628</v>
      </c>
      <c r="F23" s="45">
        <f>'Balance sheet'!F24/6498176644</f>
        <v>3.3047357888967848</v>
      </c>
      <c r="H23" s="45">
        <f>'Balance sheet'!B24/42669959948</f>
        <v>0.1522892604520614</v>
      </c>
      <c r="I23" s="45">
        <f>'Balance sheet'!C24/51156547042</f>
        <v>0.29085389308594534</v>
      </c>
      <c r="J23" s="45">
        <f>'Balance sheet'!D24/50312654595</f>
        <v>0.3240022263627491</v>
      </c>
      <c r="K23" s="45">
        <f>'Balance sheet'!E24/52868204429</f>
        <v>0.311350948131895</v>
      </c>
      <c r="L23" s="45">
        <f>'Balance sheet'!F24/61328542418</f>
        <v>0.3501592581743331</v>
      </c>
    </row>
    <row r="24" spans="8:8">
      <c r="A24" t="s">
        <v>23</v>
      </c>
      <c r="B24" s="45">
        <f>'Balance sheet'!B25/2681282514</f>
        <v>1.0</v>
      </c>
      <c r="C24" s="45">
        <f>'Balance sheet'!C25/2681282514</f>
        <v>1.1774910079468037</v>
      </c>
      <c r="D24" s="45">
        <f>'Balance sheet'!D25/2681282514</f>
        <v>1.2116638634820114</v>
      </c>
      <c r="E24" s="45">
        <f>'Balance sheet'!E25/2681282514</f>
        <v>1.238676863649587</v>
      </c>
      <c r="F24" s="45">
        <f>'Balance sheet'!F25/2681282514</f>
        <v>1.5569661914410262</v>
      </c>
      <c r="H24" s="45">
        <f>'Balance sheet'!B25/42669959948</f>
        <v>0.06283770871281719</v>
      </c>
      <c r="I24" s="45">
        <f>'Balance sheet'!C25/51156547042</f>
        <v>0.061716167969818624</v>
      </c>
      <c r="J24" s="45">
        <f>'Balance sheet'!D25/50312654595</f>
        <v>0.06457248491759889</v>
      </c>
      <c r="K24" s="45">
        <f>'Balance sheet'!E25/52868204429</f>
        <v>0.06282117296910099</v>
      </c>
      <c r="L24" s="45">
        <f>'Balance sheet'!F25/61328542418</f>
        <v>0.0680705273499983</v>
      </c>
    </row>
    <row r="25" spans="8:8" ht="15.75">
      <c r="A25" s="47" t="s">
        <v>143</v>
      </c>
      <c r="B25" s="47">
        <f>'Balance sheet'!B26/13246167813</f>
        <v>1.0</v>
      </c>
      <c r="C25" s="47">
        <f>'Balance sheet'!C26/13246167813</f>
        <v>1.6817760805609687</v>
      </c>
      <c r="D25" s="47">
        <f>'Balance sheet'!D26/13246167813</f>
        <v>1.657516204758654</v>
      </c>
      <c r="E25" s="47">
        <f>'Balance sheet'!E26/13246167813</f>
        <v>1.7239482495902454</v>
      </c>
      <c r="F25" s="47">
        <f>'Balance sheet'!F26/13246167813</f>
        <v>2.1399706217809187</v>
      </c>
      <c r="H25" s="47">
        <f>'Balance sheet'!B26/42669959948</f>
        <v>0.3104330969408577</v>
      </c>
      <c r="I25" s="47">
        <f>'Balance sheet'!C26/51156547042</f>
        <v>0.4354689570566658</v>
      </c>
      <c r="J25" s="47">
        <f>'Balance sheet'!D26/50312654595</f>
        <v>0.4363859942938079</v>
      </c>
      <c r="K25" s="47">
        <f>'Balance sheet'!E26/52868204429</f>
        <v>0.4319365119666111</v>
      </c>
      <c r="L25" s="47">
        <f>'Balance sheet'!F26/61328542418</f>
        <v>0.46220583195664366</v>
      </c>
    </row>
    <row r="26" spans="8:8" ht="16.5">
      <c r="A26" s="21" t="s">
        <v>24</v>
      </c>
      <c r="B26" s="47">
        <f>'Balance sheet'!B27/29284286047</f>
        <v>1.0</v>
      </c>
      <c r="C26" s="47">
        <f>'Balance sheet'!C27/29284286047</f>
        <v>1.2840852706686443</v>
      </c>
      <c r="D26" s="47">
        <f>'Balance sheet'!D27/29284286047</f>
        <v>1.1928734996624109</v>
      </c>
      <c r="E26" s="47">
        <f>'Balance sheet'!E27/29284286047</f>
        <v>1.236617011692858</v>
      </c>
      <c r="F26" s="47">
        <f>'Balance sheet'!F27/29284286047</f>
        <v>1.4306340265137487</v>
      </c>
      <c r="H26" s="47">
        <f>'Balance sheet'!B27/42669959948</f>
        <v>0.6862974814761361</v>
      </c>
      <c r="I26" s="47">
        <f>'Balance sheet'!C27/51156547042</f>
        <v>0.7350676022783</v>
      </c>
      <c r="J26" s="47">
        <f>'Balance sheet'!D27/50312654595</f>
        <v>0.694307407613343</v>
      </c>
      <c r="K26" s="47">
        <f>'Balance sheet'!E27/52868204429</f>
        <v>0.6849759073931344</v>
      </c>
      <c r="L26" s="47">
        <f>'Balance sheet'!F27/61328542418</f>
        <v>0.6831255792034565</v>
      </c>
    </row>
    <row r="27" spans="8:8" ht="16.5">
      <c r="A27" s="22" t="s">
        <v>25</v>
      </c>
      <c r="B27" s="45"/>
      <c r="C27" s="45"/>
      <c r="D27" s="45"/>
      <c r="E27" s="45"/>
      <c r="F27" s="45"/>
      <c r="H27" s="45"/>
      <c r="I27" s="45"/>
      <c r="J27" s="45"/>
      <c r="K27" s="45"/>
      <c r="L27" s="45"/>
    </row>
    <row r="28" spans="8:8" ht="16.5">
      <c r="A28" s="46" t="s">
        <v>26</v>
      </c>
      <c r="B28" s="47">
        <f>'Balance sheet'!B29/42669959948</f>
        <v>1.0</v>
      </c>
      <c r="C28" s="47">
        <f>'Balance sheet'!C29/42669959948</f>
        <v>1.198889033510747</v>
      </c>
      <c r="D28" s="47">
        <f>'Balance sheet'!D29/42669959948</f>
        <v>1.1791118308129143</v>
      </c>
      <c r="E28" s="47">
        <f>'Balance sheet'!E29/42669959948</f>
        <v>1.2390029072778168</v>
      </c>
      <c r="F28" s="47">
        <f>'Balance sheet'!F29/42669959948</f>
        <v>1.4372767748724955</v>
      </c>
      <c r="H28" s="47">
        <f>'Balance sheet'!B29/42669959948</f>
        <v>1.0</v>
      </c>
      <c r="I28" s="47">
        <f>'Balance sheet'!C29/51156547042</f>
        <v>1.0</v>
      </c>
      <c r="J28" s="47">
        <f>'Balance sheet'!D29/50312654595</f>
        <v>1.0</v>
      </c>
      <c r="K28" s="47">
        <f>'Balance sheet'!E29/52868204429</f>
        <v>1.0</v>
      </c>
      <c r="L28" s="47">
        <f>'Balance sheet'!F29/61328542418</f>
        <v>1.0</v>
      </c>
    </row>
    <row r="29" spans="8:8" ht="27.0">
      <c r="A29" s="23" t="s">
        <v>29</v>
      </c>
      <c r="B29" s="23"/>
      <c r="C29" s="23"/>
      <c r="D29" s="23"/>
      <c r="E29" s="23"/>
      <c r="F29" s="23"/>
      <c r="H29" s="45"/>
      <c r="I29" s="45"/>
      <c r="J29" s="45"/>
      <c r="K29" s="45"/>
      <c r="L29" s="45"/>
    </row>
    <row r="30" spans="8:8" ht="19.5">
      <c r="A30" s="18" t="s">
        <v>1</v>
      </c>
      <c r="B30" s="45"/>
      <c r="C30" s="45"/>
      <c r="D30" s="45"/>
      <c r="E30" s="45"/>
      <c r="F30" s="45"/>
      <c r="H30" s="45"/>
      <c r="I30" s="45"/>
      <c r="J30" s="45"/>
      <c r="K30" s="45"/>
      <c r="L30" s="45"/>
    </row>
    <row r="31" spans="8:8" ht="15.75">
      <c r="A31" t="s">
        <v>2</v>
      </c>
      <c r="B31" s="45">
        <f>'Balance sheet'!B32/22391029019</f>
        <v>1.0</v>
      </c>
      <c r="C31" s="45">
        <f>'Balance sheet'!C32/22391029019</f>
        <v>1.053258995778536</v>
      </c>
      <c r="D31" s="45">
        <f>'Balance sheet'!D32/22391029019</f>
        <v>1.0885481324827717</v>
      </c>
      <c r="E31" s="45">
        <f>'Balance sheet'!E32/22391029019</f>
        <v>1.2247976016970388</v>
      </c>
      <c r="F31" s="45">
        <f>'Balance sheet'!F32/22391029019</f>
        <v>1.3331274822908128</v>
      </c>
      <c r="H31" s="45">
        <f>'Balance sheet'!B32/42669959948</f>
        <v>0.5247492391904506</v>
      </c>
      <c r="I31" s="45">
        <f>'Balance sheet'!C32/51156547042</f>
        <v>0.4610075171734653</v>
      </c>
      <c r="J31" s="45">
        <f>'Balance sheet'!D32/50312654595</f>
        <v>0.4844449774952289</v>
      </c>
      <c r="K31" s="45">
        <f>'Balance sheet'!E32/52868204429</f>
        <v>0.518732931034759</v>
      </c>
      <c r="L31" s="45">
        <f>'Balance sheet'!F32/61328542418</f>
        <v>0.48672436952029957</v>
      </c>
    </row>
    <row r="32" spans="8:8">
      <c r="A32" t="s">
        <v>3</v>
      </c>
      <c r="B32" s="45">
        <f>'Balance sheet'!B33/3474134</f>
        <v>1.0</v>
      </c>
      <c r="C32" s="45">
        <f>'Balance sheet'!C33/3474134</f>
        <v>0.9998811214535767</v>
      </c>
      <c r="D32" s="45">
        <f>'Balance sheet'!D33/3474134</f>
        <v>4.737806025904585</v>
      </c>
      <c r="E32" s="45">
        <f>'Balance sheet'!E33/3474134</f>
        <v>6.969507221080131</v>
      </c>
      <c r="F32" s="45">
        <f>'Balance sheet'!F33/3474134</f>
        <v>6.000866402965459</v>
      </c>
      <c r="H32" s="45">
        <f>'Balance sheet'!B33/42669959948</f>
        <v>8.141873121591335E-5</v>
      </c>
      <c r="I32" s="49">
        <f>'Balance sheet'!C33/51156547042</f>
        <v>6.790374254830067E-5</v>
      </c>
      <c r="J32" s="49">
        <f>'Balance sheet'!D33/50312654595</f>
        <v>3.271497624702106E-4</v>
      </c>
      <c r="K32" s="49">
        <f>'Balance sheet'!E33/52868204429</f>
        <v>4.57987977112352E-4</v>
      </c>
      <c r="L32" s="49">
        <f>'Balance sheet'!F33/61328542418</f>
        <v>3.399365642494243E-4</v>
      </c>
    </row>
    <row r="33" spans="8:8">
      <c r="A33" t="s">
        <v>4</v>
      </c>
      <c r="B33" s="45">
        <f>'Balance sheet'!B34/2636259</f>
        <v>1.0</v>
      </c>
      <c r="C33" s="45">
        <f>'Balance sheet'!C34/2636259</f>
        <v>7.908722170317863</v>
      </c>
      <c r="D33" s="45">
        <f>'Balance sheet'!D34/2636259</f>
        <v>7.918205305320911</v>
      </c>
      <c r="E33" s="45">
        <f>'Balance sheet'!E34/2636259</f>
        <v>7.918205305320911</v>
      </c>
      <c r="F33" s="45">
        <f>'Balance sheet'!F34/2636259</f>
        <v>8.473917016499517</v>
      </c>
      <c r="H33" s="45">
        <f>'Balance sheet'!B34/42669959948</f>
        <v>6.178255154709994E-5</v>
      </c>
      <c r="I33" s="49">
        <f>'Balance sheet'!C34/51156547042</f>
        <v>4.075615186240466E-4</v>
      </c>
      <c r="J33" s="49">
        <f>'Balance sheet'!D34/50312654595</f>
        <v>4.14894427019052E-4</v>
      </c>
      <c r="K33" s="49">
        <f>'Balance sheet'!E34/52868204429</f>
        <v>3.9483920865959396E-4</v>
      </c>
      <c r="L33" s="49">
        <f>'Balance sheet'!F34/61328542418</f>
        <v>3.642584532294925E-4</v>
      </c>
    </row>
    <row r="34" spans="8:8" ht="16.5">
      <c r="A34" s="46" t="s">
        <v>144</v>
      </c>
      <c r="B34" s="47">
        <f>'Balance sheet'!B35/22397139412</f>
        <v>1.0</v>
      </c>
      <c r="C34" s="47">
        <f>'Balance sheet'!C35/22397139412</f>
        <v>1.0540576394926269</v>
      </c>
      <c r="D34" s="47">
        <f>'Balance sheet'!D35/22397139412</f>
        <v>1.0899180733286404</v>
      </c>
      <c r="E34" s="47">
        <f>'Balance sheet'!E35/22397139412</f>
        <v>1.2264765414319956</v>
      </c>
      <c r="F34" s="47">
        <f>'Balance sheet'!F35/22397139412</f>
        <v>1.3346920267855142</v>
      </c>
      <c r="H34" s="47">
        <f>'Balance sheet'!B35/42669959948</f>
        <v>0.5248924404732136</v>
      </c>
      <c r="I34" s="47">
        <f>'Balance sheet'!C35/51156547042</f>
        <v>0.46148298243463765</v>
      </c>
      <c r="J34" s="47">
        <f>'Balance sheet'!D35/50312654595</f>
        <v>0.48518702168471817</v>
      </c>
      <c r="K34" s="47">
        <f>'Balance sheet'!E35/52868204429</f>
        <v>0.519585758220531</v>
      </c>
      <c r="L34" s="47">
        <f>'Balance sheet'!F35/61328542418</f>
        <v>0.4874285645377785</v>
      </c>
    </row>
    <row r="35" spans="8:8" ht="20.25">
      <c r="A35" s="18" t="s">
        <v>30</v>
      </c>
      <c r="B35" s="45"/>
      <c r="C35" s="45"/>
      <c r="D35" s="45"/>
      <c r="E35" s="45"/>
      <c r="F35" s="45"/>
      <c r="H35" s="45"/>
    </row>
    <row r="36" spans="8:8" ht="15.75">
      <c r="A36" t="s">
        <v>31</v>
      </c>
      <c r="B36" s="45">
        <f>'Balance sheet'!B37/1244305405</f>
        <v>1.0</v>
      </c>
      <c r="C36" s="45">
        <f>'Balance sheet'!C37/1244305405</f>
        <v>1.3513841033263052</v>
      </c>
      <c r="D36" s="45">
        <f>'Balance sheet'!D37/1244305405</f>
        <v>1.2537692022642946</v>
      </c>
      <c r="E36" s="45">
        <f>'Balance sheet'!E37/1244305405</f>
        <v>1.1814684378068743</v>
      </c>
      <c r="F36" s="45">
        <f>'Balance sheet'!F37/1244305405</f>
        <v>0.9827387240192853</v>
      </c>
      <c r="H36" s="45">
        <f>'Balance sheet'!B37/42669959948</f>
        <v>0.029161157088414897</v>
      </c>
      <c r="I36" s="45">
        <f>'Balance sheet'!C37/51156547042</f>
        <v>0.03287036833466193</v>
      </c>
      <c r="J36" s="45">
        <f>'Balance sheet'!D37/50312654595</f>
        <v>0.03100754288474848</v>
      </c>
      <c r="K36" s="45">
        <f>'Balance sheet'!E37/52868204429</f>
        <v>0.02780702652715015</v>
      </c>
      <c r="L36" s="45">
        <f>'Balance sheet'!F37/61328542418</f>
        <v>0.019938955954073006</v>
      </c>
    </row>
    <row r="37" spans="8:8">
      <c r="A37" t="s">
        <v>32</v>
      </c>
      <c r="B37" s="45">
        <f>'Balance sheet'!B38/6331973069</f>
        <v>1.0</v>
      </c>
      <c r="C37" s="45">
        <f>'Balance sheet'!C38/6331973069</f>
        <v>1.253769654022513</v>
      </c>
      <c r="D37" s="45">
        <f>'Balance sheet'!D38/6331973069</f>
        <v>1.1688235659487451</v>
      </c>
      <c r="E37" s="45">
        <f>'Balance sheet'!E38/6331973069</f>
        <v>1.2637010061168346</v>
      </c>
      <c r="F37" s="45">
        <f>'Balance sheet'!F38/6331973069</f>
        <v>1.5924592533986344</v>
      </c>
      <c r="H37" s="45">
        <f>'Balance sheet'!B38/42669959948</f>
        <v>0.14839416481094655</v>
      </c>
      <c r="I37" s="45">
        <f>'Balance sheet'!C38/51156547042</f>
        <v>0.15518709027570102</v>
      </c>
      <c r="J37" s="45">
        <f>'Balance sheet'!D38/50312654595</f>
        <v>0.14709936101712862</v>
      </c>
      <c r="K37" s="45">
        <f>'Balance sheet'!E38/52868204429</f>
        <v>0.1513522319212866</v>
      </c>
      <c r="L37" s="45">
        <f>'Balance sheet'!F38/61328542418</f>
        <v>0.1644162523425717</v>
      </c>
    </row>
    <row r="38" spans="8:8">
      <c r="A38" t="s">
        <v>33</v>
      </c>
      <c r="B38" s="45">
        <f>'Balance sheet'!B39/9452690417</f>
        <v>1.0</v>
      </c>
      <c r="C38" s="45">
        <f>'Balance sheet'!C39/9452690417</f>
        <v>1.500356862475252</v>
      </c>
      <c r="D38" s="45">
        <f>'Balance sheet'!D39/9452690417</f>
        <v>1.3226311543553009</v>
      </c>
      <c r="E38" s="45">
        <f>'Balance sheet'!E39/9452690417</f>
        <v>1.1870874447363169</v>
      </c>
      <c r="F38" s="45">
        <f>'Balance sheet'!F39/9452690417</f>
        <v>1.472253963270783</v>
      </c>
      <c r="H38" s="45">
        <f>'Balance sheet'!B39/42669959948</f>
        <v>0.2215303325458842</v>
      </c>
      <c r="I38" s="45">
        <f>'Balance sheet'!C39/51156547042</f>
        <v>0.2772354616576469</v>
      </c>
      <c r="J38" s="45">
        <f>'Balance sheet'!D39/50312654595</f>
        <v>0.2484945972070111</v>
      </c>
      <c r="K38" s="45">
        <f>'Balance sheet'!E39/52868204429</f>
        <v>0.21224798977369483</v>
      </c>
      <c r="L38" s="45">
        <f>'Balance sheet'!F39/61328542418</f>
        <v>0.2269214362726386</v>
      </c>
    </row>
    <row r="39" spans="8:8">
      <c r="A39" t="s">
        <v>34</v>
      </c>
      <c r="B39" s="45">
        <f>'Balance sheet'!B40/994644550</f>
        <v>1.0</v>
      </c>
      <c r="C39" s="45">
        <f>'Balance sheet'!C40/994644550</f>
        <v>0.7853052178288213</v>
      </c>
      <c r="D39" s="45">
        <f>'Balance sheet'!D40/994644550</f>
        <v>1.0322023490703287</v>
      </c>
      <c r="E39" s="45">
        <f>'Balance sheet'!E40/994644550</f>
        <v>1.3076733723620162</v>
      </c>
      <c r="F39" s="45">
        <f>'Balance sheet'!F40/994644550</f>
        <v>1.3277495030762496</v>
      </c>
      <c r="H39" s="45">
        <f>'Balance sheet'!B40/42669959948</f>
        <v>0.023310182414329177</v>
      </c>
      <c r="I39" s="45">
        <f>'Balance sheet'!C40/51156547042</f>
        <v>0.015268809178201765</v>
      </c>
      <c r="J39" s="45">
        <f>'Balance sheet'!D40/50312654595</f>
        <v>0.020405888921274082</v>
      </c>
      <c r="K39" s="45">
        <f>'Balance sheet'!E40/52868204429</f>
        <v>0.02460212536150629</v>
      </c>
      <c r="L39" s="45">
        <f>'Balance sheet'!F40/61328542418</f>
        <v>0.021533836529145863</v>
      </c>
    </row>
    <row r="40" spans="8:8">
      <c r="A40" t="s">
        <v>35</v>
      </c>
      <c r="B40" s="45">
        <f>'Balance sheet'!B41/2932499</f>
        <v>1.0</v>
      </c>
      <c r="C40" s="45">
        <f>'Balance sheet'!C41/2932499</f>
        <v>2.8180098271133254</v>
      </c>
      <c r="D40" s="45">
        <f>'Balance sheet'!D41/2932499</f>
        <v>6.996335207616439</v>
      </c>
      <c r="E40" s="45">
        <f>'Balance sheet'!E41/2932499</f>
        <v>5.8175747033502825</v>
      </c>
      <c r="F40" s="45">
        <f>'Balance sheet'!F41/2932499</f>
        <v>10.946150024262582</v>
      </c>
      <c r="H40" s="45">
        <f>'Balance sheet'!B41/42669959948</f>
        <v>6.872514067446295E-5</v>
      </c>
      <c r="I40" s="48">
        <f>'Balance sheet'!C41/51156547042</f>
        <v>1.6153965577886512E-4</v>
      </c>
      <c r="J40" s="48">
        <f>'Balance sheet'!D41/50312654595</f>
        <v>4.077850029014157E-4</v>
      </c>
      <c r="K40" s="48">
        <f>'Balance sheet'!E41/52868204429</f>
        <v>3.226898318990761E-4</v>
      </c>
      <c r="L40" s="48">
        <f>'Balance sheet'!F41/61328542418</f>
        <v>5.234035040522785E-4</v>
      </c>
    </row>
    <row r="41" spans="8:8">
      <c r="A41" t="s">
        <v>36</v>
      </c>
      <c r="B41" s="45">
        <f>'Balance sheet'!B42/161854</f>
        <v>1.0</v>
      </c>
      <c r="C41" s="45">
        <f>'Balance sheet'!C42/161854</f>
        <v>2.4837878581931863</v>
      </c>
      <c r="D41" s="45">
        <f>'Balance sheet'!D42/161854</f>
        <v>2.951499499548976</v>
      </c>
      <c r="E41" s="45"/>
      <c r="F41" s="45"/>
      <c r="H41" s="45">
        <f>'Balance sheet'!B42/42669959948</f>
        <v>3.79316034505878E-6</v>
      </c>
      <c r="I41" s="50">
        <f>'Balance sheet'!C42/51156547042</f>
        <v>7.858446733512824E-6</v>
      </c>
      <c r="J41" s="50">
        <f>'Balance sheet'!D42/50312654595</f>
        <v>9.494867719571178E-6</v>
      </c>
      <c r="K41" s="48"/>
      <c r="L41" s="48"/>
    </row>
    <row r="42" spans="8:8">
      <c r="A42" t="s">
        <v>37</v>
      </c>
      <c r="B42" s="45">
        <f>'Balance sheet'!B43/1620867710</f>
        <v>1.0</v>
      </c>
      <c r="C42" s="45">
        <f>'Balance sheet'!C43/1620867710</f>
        <v>1.1513076461989609</v>
      </c>
      <c r="D42" s="45">
        <f>'Balance sheet'!D43/1620867710</f>
        <v>1.4523503222850926</v>
      </c>
      <c r="E42" s="45">
        <f>'Balance sheet'!E43/1620867710</f>
        <v>2.0367330841577442</v>
      </c>
      <c r="F42" s="45">
        <f>'Balance sheet'!F43/1620867710</f>
        <v>2.825754919258648</v>
      </c>
      <c r="H42" s="45">
        <f>'Balance sheet'!B43/42669959948</f>
        <v>0.03798615494308596</v>
      </c>
      <c r="I42" s="45">
        <f>'Balance sheet'!C43/51156547042</f>
        <v>0.03647856424844117</v>
      </c>
      <c r="J42" s="45">
        <f>'Balance sheet'!D43/50312654595</f>
        <v>0.04678878027703877</v>
      </c>
      <c r="K42" s="45">
        <f>'Balance sheet'!E43/52868204429</f>
        <v>0.06244348423887721</v>
      </c>
      <c r="L42" s="45">
        <f>'Balance sheet'!F43/61328542418</f>
        <v>0.0746825984185744</v>
      </c>
    </row>
    <row r="43" spans="8:8">
      <c r="A43" t="s">
        <v>18</v>
      </c>
      <c r="B43" s="45"/>
      <c r="C43" s="45"/>
      <c r="D43" s="45"/>
      <c r="E43" s="45"/>
      <c r="F43" s="45"/>
      <c r="H43" s="45">
        <f>'Balance sheet'!B44/42669959948</f>
        <v>5.537710845943164E-5</v>
      </c>
    </row>
    <row r="44" spans="8:8">
      <c r="A44" t="s">
        <v>38</v>
      </c>
      <c r="B44" s="45">
        <f>'Balance sheet'!B45/82162359</f>
        <v>1.0</v>
      </c>
      <c r="C44" s="45">
        <f>'Balance sheet'!C45/82162359</f>
        <v>0.27578093272614046</v>
      </c>
      <c r="D44" s="45">
        <f>'Balance sheet'!D45/82162359</f>
        <v>0.26644176562652006</v>
      </c>
      <c r="E44" s="45">
        <f>'Balance sheet'!E45/82162359</f>
        <v>0.12804917151904074</v>
      </c>
      <c r="F44" s="45">
        <f>'Balance sheet'!F45/82162359</f>
        <v>0.3930529794062997</v>
      </c>
      <c r="H44" s="45">
        <f>'Balance sheet'!B45/42669959948</f>
        <v>0.0019255316644338932</v>
      </c>
      <c r="I44" s="48">
        <f>'Balance sheet'!C45/51156547042</f>
        <v>4.429308331032762E-4</v>
      </c>
      <c r="J44" s="48">
        <f>'Balance sheet'!D45/50312654595</f>
        <v>4.3510890403655115E-4</v>
      </c>
      <c r="K44" s="48">
        <f>'Balance sheet'!E45/52868204429</f>
        <v>1.9900093285992086E-4</v>
      </c>
      <c r="L44" s="48">
        <f>'Balance sheet'!F45/61328542418</f>
        <v>5.265763497180658E-4</v>
      </c>
    </row>
    <row r="45" spans="8:8">
      <c r="A45" t="s">
        <v>39</v>
      </c>
      <c r="B45" s="45">
        <f>'Balance sheet'!B46/540719734</f>
        <v>1.0</v>
      </c>
      <c r="C45" s="45">
        <f>'Balance sheet'!C46/540719734</f>
        <v>1.9739438638649722</v>
      </c>
      <c r="D45" s="45">
        <f>'Balance sheet'!D46/540719734</f>
        <v>1.8762501092664023</v>
      </c>
      <c r="E45" s="45">
        <f>'Balance sheet'!E46/540719734</f>
        <v>0.14076422444755826</v>
      </c>
      <c r="F45" s="45">
        <f>'Balance sheet'!F46/540719734</f>
        <v>0.45689923719336645</v>
      </c>
      <c r="H45" s="45">
        <f>'Balance sheet'!B46/42669959948</f>
        <v>0.012672140650212733</v>
      </c>
      <c r="I45" s="45">
        <f>'Balance sheet'!C46/51156547042</f>
        <v>0.020864394935093945</v>
      </c>
      <c r="J45" s="45">
        <f>'Balance sheet'!D46/50312654595</f>
        <v>0.020164419233423277</v>
      </c>
      <c r="K45" s="49">
        <f>'Balance sheet'!E46/52868204429</f>
        <v>0.0014396931921949083</v>
      </c>
      <c r="L45" s="49">
        <f>'Balance sheet'!F46/61328542418</f>
        <v>0.004028376091447581</v>
      </c>
    </row>
    <row r="46" spans="8:8" ht="15.75">
      <c r="A46" s="21" t="s">
        <v>145</v>
      </c>
      <c r="B46" s="47">
        <f>'Balance sheet'!B47/20272820536</f>
        <v>1.0</v>
      </c>
      <c r="C46" s="47">
        <f>'Balance sheet'!C47/20272820536</f>
        <v>1.3588968093058247</v>
      </c>
      <c r="D46" s="47">
        <f>'Balance sheet'!D47/20272820536</f>
        <v>1.277651894219876</v>
      </c>
      <c r="E46" s="47">
        <f>'Balance sheet'!E47/20272820536</f>
        <v>1.2528418677557813</v>
      </c>
      <c r="F46" s="47">
        <f>'Balance sheet'!F47/20272820536</f>
        <v>1.5506110245576339</v>
      </c>
      <c r="H46" s="47">
        <f>'Balance sheet'!B47/42669959948</f>
        <v>0.47510755952678635</v>
      </c>
      <c r="I46" s="47">
        <f>'Balance sheet'!C47/51156547042</f>
        <v>0.5385170175653624</v>
      </c>
      <c r="J46" s="47">
        <f>'Balance sheet'!D47/50312654595</f>
        <v>0.5148129783152818</v>
      </c>
      <c r="K46" s="47">
        <f>'Balance sheet'!E47/52868204429</f>
        <v>0.480414241779469</v>
      </c>
      <c r="L46" s="47">
        <f>'Balance sheet'!F47/61328542418</f>
        <v>0.5125714354622215</v>
      </c>
    </row>
    <row r="47" spans="8:8" ht="17.25">
      <c r="A47" s="46" t="s">
        <v>40</v>
      </c>
      <c r="B47" s="47">
        <f>'Balance sheet'!B48/42669959948</f>
        <v>1.0</v>
      </c>
      <c r="C47" s="47">
        <f>'Balance sheet'!C48/42669959948</f>
        <v>1.198889033510747</v>
      </c>
      <c r="D47" s="47">
        <f>'Balance sheet'!D48/42669959948</f>
        <v>1.1791118308129143</v>
      </c>
      <c r="E47" s="47">
        <f>'Balance sheet'!E48/42669959948</f>
        <v>1.2390029072778168</v>
      </c>
      <c r="F47" s="47">
        <f>'Balance sheet'!F48/42669959948</f>
        <v>1.4372767748724955</v>
      </c>
      <c r="H47" s="47">
        <f>'Balance sheet'!B48/42669959948</f>
        <v>1.0</v>
      </c>
      <c r="I47" s="47">
        <f>'Balance sheet'!C48/51156547042</f>
        <v>1.0</v>
      </c>
      <c r="J47" s="47">
        <f>'Balance sheet'!D48/50312654595</f>
        <v>1.0</v>
      </c>
      <c r="K47" s="47">
        <f>'Balance sheet'!E48/52868204429</f>
        <v>1.0</v>
      </c>
      <c r="L47" s="47">
        <f>'Balance sheet'!F48/61328542418</f>
        <v>1.0</v>
      </c>
    </row>
    <row r="48" spans="8:8" ht="15.75"/>
    <row r="49" spans="8:8">
      <c r="A49" s="41"/>
      <c r="B49" s="41"/>
      <c r="C49" s="41"/>
      <c r="D49" s="41"/>
      <c r="E49" s="41"/>
      <c r="F49" s="41"/>
    </row>
  </sheetData>
  <mergeCells count="8">
    <mergeCell ref="A29:F29"/>
    <mergeCell ref="A14:F14"/>
    <mergeCell ref="H3:L3"/>
    <mergeCell ref="A3:F3"/>
    <mergeCell ref="A1:F1"/>
    <mergeCell ref="A2:F2"/>
    <mergeCell ref="A5:F5"/>
    <mergeCell ref="A6:F6"/>
  </mergeCells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:M68"/>
  <sheetViews>
    <sheetView workbookViewId="0">
      <selection activeCell="N10" sqref="N10"/>
    </sheetView>
  </sheetViews>
  <sheetFormatPr defaultRowHeight="15.0" defaultColWidth="10"/>
  <cols>
    <col min="1" max="1" customWidth="1" bestFit="1" width="53.285156" style="0"/>
    <col min="2" max="6" customWidth="1" bestFit="1" width="10.140625" style="0"/>
  </cols>
  <sheetData>
    <row r="1" spans="8:8" ht="30.0">
      <c r="A1" s="1" t="s">
        <v>146</v>
      </c>
      <c r="B1" s="1"/>
      <c r="C1" s="1"/>
      <c r="D1" s="1"/>
      <c r="E1" s="1"/>
      <c r="F1" s="1"/>
    </row>
    <row r="2" spans="8:8" ht="30.0">
      <c r="A2" s="2" t="s">
        <v>100</v>
      </c>
      <c r="B2" s="2"/>
      <c r="C2" s="2"/>
      <c r="D2" s="2"/>
      <c r="E2" s="2"/>
      <c r="F2" s="2"/>
    </row>
    <row r="3" spans="8:8" ht="39.0">
      <c r="A3" s="42" t="s">
        <v>142</v>
      </c>
      <c r="B3" s="42"/>
      <c r="C3" s="42"/>
      <c r="D3" s="42"/>
      <c r="E3" s="42"/>
      <c r="F3" s="42"/>
      <c r="H3" s="43" t="s">
        <v>147</v>
      </c>
      <c r="I3" s="43"/>
      <c r="J3" s="43"/>
      <c r="K3" s="43"/>
      <c r="L3" s="43"/>
    </row>
    <row r="4" spans="8:8" ht="20.25">
      <c r="A4" s="4" t="s">
        <v>157</v>
      </c>
      <c r="B4" s="4">
        <v>2013.0</v>
      </c>
      <c r="C4" s="4">
        <v>2014.0</v>
      </c>
      <c r="D4" s="4">
        <v>2015.0</v>
      </c>
      <c r="E4" s="4">
        <v>2016.0</v>
      </c>
      <c r="F4" s="4">
        <v>2017.0</v>
      </c>
      <c r="H4" s="4">
        <v>2013.0</v>
      </c>
      <c r="I4" s="4">
        <v>2014.0</v>
      </c>
      <c r="J4" s="4">
        <v>2015.0</v>
      </c>
      <c r="K4" s="4">
        <v>2016.0</v>
      </c>
      <c r="L4" s="4">
        <v>2017.0</v>
      </c>
    </row>
    <row r="5" spans="8:8" ht="19.5">
      <c r="A5" s="51" t="s">
        <v>43</v>
      </c>
      <c r="B5" s="45">
        <f>'Profit &amp; Loss AC'!B6/46104381356</f>
        <v>1.0</v>
      </c>
      <c r="C5" s="45">
        <f>'Profit &amp; Loss AC'!C6/46104381356</f>
        <v>1.091547365691975</v>
      </c>
      <c r="D5" s="45">
        <f>'Profit &amp; Loss AC'!D6/46104381356</f>
        <v>1.0087816497931885</v>
      </c>
      <c r="E5" s="45">
        <f>'Profit &amp; Loss AC'!E6/46104381356</f>
        <v>0.8620536468347532</v>
      </c>
      <c r="F5" s="45">
        <f>'Profit &amp; Loss AC'!F6/46104381356</f>
        <v>1.008387381038997</v>
      </c>
      <c r="H5" s="45">
        <f>'Profit &amp; Loss AC'!B6/46104381356</f>
        <v>1.0</v>
      </c>
      <c r="I5" s="45">
        <f>'Profit &amp; Loss AC'!C6/50325116016</f>
        <v>1.0</v>
      </c>
      <c r="J5" s="45">
        <f>'Profit &amp; Loss AC'!D6/46509253887</f>
        <v>1.0</v>
      </c>
      <c r="K5" s="45">
        <f>'Profit &amp; Loss AC'!E6/39744450083</f>
        <v>1.0</v>
      </c>
      <c r="L5" s="45">
        <f>'Profit &amp; Loss AC'!F6/46491076370</f>
        <v>1.0</v>
      </c>
    </row>
    <row r="6" spans="8:8">
      <c r="A6" t="s">
        <v>44</v>
      </c>
      <c r="B6" s="45">
        <f>'Profit &amp; Loss AC'!B7/37456819915</f>
        <v>1.0</v>
      </c>
      <c r="C6" s="45">
        <f>'Profit &amp; Loss AC'!C7/37456819915</f>
        <v>1.171676318881114</v>
      </c>
      <c r="D6" s="45">
        <f>'Profit &amp; Loss AC'!D7/37456819915</f>
        <v>1.0492522960621442</v>
      </c>
      <c r="E6" s="45">
        <f>'Profit &amp; Loss AC'!E7/37456819915</f>
        <v>0.8774469319494551</v>
      </c>
      <c r="F6" s="45">
        <f>'Profit &amp; Loss AC'!F7/37456819915</f>
        <v>1.034947484729631</v>
      </c>
      <c r="H6" s="45">
        <f>'Profit &amp; Loss AC'!B7/46104381356</f>
        <v>0.8124351485333484</v>
      </c>
      <c r="I6" s="45">
        <f>'Profit &amp; Loss AC'!C7/50325116016</f>
        <v>0.872074867369343</v>
      </c>
      <c r="J6" s="45">
        <f>'Profit &amp; Loss AC'!D7/46509253887</f>
        <v>0.8450286989012604</v>
      </c>
      <c r="K6" s="45">
        <f>'Profit &amp; Loss AC'!E7/39744450083</f>
        <v>0.826942419541943</v>
      </c>
      <c r="L6" s="45">
        <f>'Profit &amp; Loss AC'!F7/46491076370</f>
        <v>0.8338340297497397</v>
      </c>
    </row>
    <row r="7" spans="8:8" ht="15.75">
      <c r="A7" s="21" t="s">
        <v>45</v>
      </c>
      <c r="B7" s="47">
        <f>'Profit &amp; Loss AC'!B8/8647561441</f>
        <v>1.0</v>
      </c>
      <c r="C7" s="47">
        <f>'Profit &amp; Loss AC'!C8/8647561441</f>
        <v>0.7444696617565206</v>
      </c>
      <c r="D7" s="47">
        <f>'Profit &amp; Loss AC'!D8/8647561441</f>
        <v>0.8334834782239507</v>
      </c>
      <c r="E7" s="47">
        <f>'Profit &amp; Loss AC'!E8/8647561441</f>
        <v>0.7953777969578233</v>
      </c>
      <c r="F7" s="47">
        <f>'Profit &amp; Loss AC'!F8/8647561441</f>
        <v>0.8933425759050354</v>
      </c>
      <c r="H7" s="47">
        <f>'Profit &amp; Loss AC'!B8/46104381356</f>
        <v>0.18756485146665158</v>
      </c>
      <c r="I7" s="47">
        <f>'Profit &amp; Loss AC'!C8/50325116016</f>
        <v>0.127925132630657</v>
      </c>
      <c r="J7" s="47">
        <f>'Profit &amp; Loss AC'!D8/46509253887</f>
        <v>0.15497130109873955</v>
      </c>
      <c r="K7" s="47">
        <f>'Profit &amp; Loss AC'!E8/39744450083</f>
        <v>0.17305758045805694</v>
      </c>
      <c r="L7" s="47">
        <f>'Profit &amp; Loss AC'!F8/46491076370</f>
        <v>0.1661659702502603</v>
      </c>
    </row>
    <row r="8" spans="8:8" ht="15.75">
      <c r="A8" t="s">
        <v>46</v>
      </c>
      <c r="B8" s="45">
        <f>'Profit &amp; Loss AC'!B9/537730402</f>
        <v>1.0</v>
      </c>
      <c r="C8" s="45">
        <f>'Profit &amp; Loss AC'!C9/537730402</f>
        <v>1.4579696183888073</v>
      </c>
      <c r="D8" s="45">
        <f>'Profit &amp; Loss AC'!D9/537730402</f>
        <v>1.5159865054459019</v>
      </c>
      <c r="E8" s="45">
        <f>'Profit &amp; Loss AC'!E9/537730402</f>
        <v>1.7212794786336072</v>
      </c>
      <c r="F8" s="45">
        <f>'Profit &amp; Loss AC'!F9/537730402</f>
        <v>1.66495598476502</v>
      </c>
      <c r="H8" s="49">
        <f>'Profit &amp; Loss AC'!B9/46104381356</f>
        <v>0.011663325397381567</v>
      </c>
      <c r="I8" s="45">
        <f>'Profit &amp; Loss AC'!C9/50325116016</f>
        <v>0.015578594766691496</v>
      </c>
      <c r="J8" s="45">
        <f>'Profit &amp; Loss AC'!D9/46509253887</f>
        <v>0.017527523339346835</v>
      </c>
      <c r="K8" s="45">
        <f>'Profit &amp; Loss AC'!E9/39744450083</f>
        <v>0.023288391311669012</v>
      </c>
      <c r="L8" s="45">
        <f>'Profit &amp; Loss AC'!F9/46491076370</f>
        <v>0.019257404235487267</v>
      </c>
    </row>
    <row r="9" spans="8:8">
      <c r="A9" t="s">
        <v>47</v>
      </c>
      <c r="B9" s="45">
        <f>'Profit &amp; Loss AC'!B10/226234391</f>
        <v>1.0</v>
      </c>
      <c r="C9" s="45">
        <f>'Profit &amp; Loss AC'!C10/226234391</f>
        <v>1.2474026639035618</v>
      </c>
      <c r="D9" s="45">
        <f>'Profit &amp; Loss AC'!D10/226234391</f>
        <v>1.46530979014592</v>
      </c>
      <c r="E9" s="45">
        <f>'Profit &amp; Loss AC'!E10/226234391</f>
        <v>1.4700756614850834</v>
      </c>
      <c r="F9" s="45">
        <f>'Profit &amp; Loss AC'!F10/226234391</f>
        <v>1.980058049618106</v>
      </c>
      <c r="H9" s="49">
        <f>'Profit &amp; Loss AC'!B10/46104381356</f>
        <v>0.004907004157654921</v>
      </c>
      <c r="I9" s="49">
        <f>'Profit &amp; Loss AC'!C10/50325116016</f>
        <v>0.005607644936382813</v>
      </c>
      <c r="J9" s="49">
        <f>'Profit &amp; Loss AC'!D10/46509253887</f>
        <v>0.007127688369403405</v>
      </c>
      <c r="K9" s="49">
        <f>'Profit &amp; Loss AC'!E10/39744450083</f>
        <v>0.008368002860914058</v>
      </c>
      <c r="L9" s="49">
        <f>'Profit &amp; Loss AC'!F10/46491076370</f>
        <v>0.009635337832037379</v>
      </c>
    </row>
    <row r="10" spans="8:8">
      <c r="A10" t="s">
        <v>48</v>
      </c>
      <c r="B10" s="45">
        <f>'Profit &amp; Loss AC'!B11/148345872</f>
        <v>1.0</v>
      </c>
      <c r="C10" s="45">
        <f>'Profit &amp; Loss AC'!C11/148345872</f>
        <v>1.0475362132085482</v>
      </c>
      <c r="D10" s="45">
        <f>'Profit &amp; Loss AC'!D11/148345872</f>
        <v>0.9677158323623593</v>
      </c>
      <c r="E10" s="45">
        <f>'Profit &amp; Loss AC'!E11/148345872</f>
        <v>1.2725079603158758</v>
      </c>
      <c r="F10" s="45">
        <f>'Profit &amp; Loss AC'!F11/148345872</f>
        <v>1.9189691169835854</v>
      </c>
      <c r="H10" s="49">
        <f>'Profit &amp; Loss AC'!B11/46104381356</f>
        <v>0.003217608991530137</v>
      </c>
      <c r="I10" s="49">
        <f>'Profit &amp; Loss AC'!C11/50325116016</f>
        <v>0.00308787510694648</v>
      </c>
      <c r="J10" s="49">
        <f>'Profit &amp; Loss AC'!D11/46509253887</f>
        <v>0.0030866254992778144</v>
      </c>
      <c r="K10" s="49">
        <f>'Profit &amp; Loss AC'!E11/39744450083</f>
        <v>0.0047496267429988585</v>
      </c>
      <c r="L10" s="49">
        <f>'Profit &amp; Loss AC'!F11/46491076370</f>
        <v>0.006123135217056279</v>
      </c>
    </row>
    <row r="11" spans="8:8" ht="15.75">
      <c r="A11" s="8" t="s">
        <v>149</v>
      </c>
      <c r="B11" s="44">
        <f>'Profit &amp; Loss AC'!B12/912310665</f>
        <v>1.0</v>
      </c>
      <c r="C11" s="44">
        <f>'Profit &amp; Loss AC'!C12/912310665</f>
        <v>1.3390149768774215</v>
      </c>
      <c r="D11" s="44">
        <f>'Profit &amp; Loss AC'!D12/912310665</f>
        <v>1.4142684060368844</v>
      </c>
      <c r="E11" s="44">
        <f>'Profit &amp; Loss AC'!E12/912310665</f>
        <v>1.5860137741566356</v>
      </c>
      <c r="F11" s="44">
        <f>'Profit &amp; Loss AC'!F12/912310665</f>
        <v>1.7843985469576857</v>
      </c>
      <c r="H11" s="52">
        <f>'Profit &amp; Loss AC'!B12/46104381356</f>
        <v>0.019787938546566623</v>
      </c>
      <c r="I11" s="52">
        <f>'Profit &amp; Loss AC'!C12/50325116016</f>
        <v>0.02427411481002079</v>
      </c>
      <c r="J11" s="52">
        <f>'Profit &amp; Loss AC'!D12/46509253887</f>
        <v>0.027741837208028055</v>
      </c>
      <c r="K11" s="52">
        <f>'Profit &amp; Loss AC'!E12/39744450083</f>
        <v>0.036406020915581934</v>
      </c>
      <c r="L11" s="52">
        <f>'Profit &amp; Loss AC'!F12/46491076370</f>
        <v>0.03501587728458092</v>
      </c>
    </row>
    <row r="12" spans="8:8" ht="16.5">
      <c r="A12" s="22" t="s">
        <v>150</v>
      </c>
      <c r="B12" s="45">
        <f>'Profit &amp; Loss AC'!B13/7735250776</f>
        <v>1.0</v>
      </c>
      <c r="C12" s="45">
        <f>'Profit &amp; Loss AC'!C13/7735250776</f>
        <v>0.6743478198773267</v>
      </c>
      <c r="D12" s="45">
        <f>'Profit &amp; Loss AC'!D13/7735250776</f>
        <v>0.7649845634429371</v>
      </c>
      <c r="E12" s="45">
        <f>'Profit &amp; Loss AC'!E13/7735250776</f>
        <v>0.7021286373611942</v>
      </c>
      <c r="F12" s="45">
        <f>'Profit &amp; Loss AC'!F13/7735250776</f>
        <v>0.7882496850545547</v>
      </c>
      <c r="H12" s="45">
        <f>'Profit &amp; Loss AC'!B13/46104381356</f>
        <v>0.16777691292008495</v>
      </c>
      <c r="I12" s="45">
        <f>'Profit &amp; Loss AC'!C13/50325116016</f>
        <v>0.1036510178206362</v>
      </c>
      <c r="J12" s="45">
        <f>'Profit &amp; Loss AC'!D13/46509253887</f>
        <v>0.1272294638907115</v>
      </c>
      <c r="K12" s="45">
        <f>'Profit &amp; Loss AC'!E13/39744450083</f>
        <v>0.136651559542475</v>
      </c>
      <c r="L12" s="45">
        <f>'Profit &amp; Loss AC'!F13/46491076370</f>
        <v>0.1311500929656794</v>
      </c>
    </row>
    <row r="13" spans="8:8">
      <c r="A13" t="s">
        <v>49</v>
      </c>
      <c r="B13" s="45">
        <f>'Profit &amp; Loss AC'!B14/390090594</f>
        <v>1.0</v>
      </c>
      <c r="C13" s="45">
        <f>'Profit &amp; Loss AC'!C14/390090594</f>
        <v>0.7871980604587456</v>
      </c>
      <c r="D13" s="45">
        <f>'Profit &amp; Loss AC'!D14/390090594</f>
        <v>0.2526485014401552</v>
      </c>
      <c r="E13" s="45">
        <f>'Profit &amp; Loss AC'!E14/390090594</f>
        <v>0.24601480137201154</v>
      </c>
      <c r="F13" s="45">
        <f>'Profit &amp; Loss AC'!F14/390090594</f>
        <v>0.6548275014290654</v>
      </c>
      <c r="H13" s="49">
        <f>'Profit &amp; Loss AC'!B14/46104381356</f>
        <v>0.008461030872269449</v>
      </c>
      <c r="I13" s="49">
        <f>'Profit &amp; Loss AC'!C14/50325116016</f>
        <v>0.006101894706062271</v>
      </c>
      <c r="J13" s="49">
        <f>'Profit &amp; Loss AC'!D14/46509253887</f>
        <v>0.002119057945746744</v>
      </c>
      <c r="K13" s="49">
        <f>'Profit &amp; Loss AC'!E14/39744450083</f>
        <v>0.002414627949300742</v>
      </c>
      <c r="L13" s="49">
        <f>'Profit &amp; Loss AC'!F14/46491076370</f>
        <v>0.005494431812399013</v>
      </c>
    </row>
    <row r="14" spans="8:8" ht="15.75">
      <c r="A14" s="21" t="s">
        <v>50</v>
      </c>
      <c r="B14" s="47">
        <f>'Profit &amp; Loss AC'!B15/8125341370</f>
        <v>1.0</v>
      </c>
      <c r="C14" s="47">
        <f>'Profit &amp; Loss AC'!C15/8125341370</f>
        <v>0.6797656620794998</v>
      </c>
      <c r="D14" s="47">
        <f>'Profit &amp; Loss AC'!D15/8125341370</f>
        <v>0.7403877533332486</v>
      </c>
      <c r="E14" s="47">
        <f>'Profit &amp; Loss AC'!E15/8125341370</f>
        <v>0.6802310075742701</v>
      </c>
      <c r="F14" s="47">
        <f>'Profit &amp; Loss AC'!F15/8125341370</f>
        <v>0.7818442017039833</v>
      </c>
      <c r="H14" s="47">
        <f>'Profit &amp; Loss AC'!B15/46104381356</f>
        <v>0.17623794379235438</v>
      </c>
      <c r="I14" s="47">
        <f>'Profit &amp; Loss AC'!C15/50325116016</f>
        <v>0.10975291252669847</v>
      </c>
      <c r="J14" s="47">
        <f>'Profit &amp; Loss AC'!D15/46509253887</f>
        <v>0.12934852183645826</v>
      </c>
      <c r="K14" s="47">
        <f>'Profit &amp; Loss AC'!E15/39744450083</f>
        <v>0.13906618749177574</v>
      </c>
      <c r="L14" s="47">
        <f>'Profit &amp; Loss AC'!F15/46491076370</f>
        <v>0.1366445247780784</v>
      </c>
    </row>
    <row r="15" spans="8:8" ht="15.75">
      <c r="A15" t="s">
        <v>51</v>
      </c>
      <c r="B15" s="45">
        <f>'Profit &amp; Loss AC'!B16/3651551470</f>
        <v>1.0</v>
      </c>
      <c r="C15" s="45">
        <f>'Profit &amp; Loss AC'!C16/3651551470</f>
        <v>0.9030720977349389</v>
      </c>
      <c r="D15" s="45">
        <f>'Profit &amp; Loss AC'!D16/3651551470</f>
        <v>0.8895983692652154</v>
      </c>
      <c r="E15" s="45">
        <f>'Profit &amp; Loss AC'!E16/3651551470</f>
        <v>0.6193352356060313</v>
      </c>
      <c r="F15" s="45">
        <f>'Profit &amp; Loss AC'!F16/3651551470</f>
        <v>0.6149774117794374</v>
      </c>
      <c r="H15" s="53">
        <f>'Profit &amp; Loss AC'!B16/46104381356</f>
        <v>0.0792018320732719</v>
      </c>
      <c r="I15" s="53">
        <f>'Profit &amp; Loss AC'!C16/50325116016</f>
        <v>0.0655262124969882</v>
      </c>
      <c r="J15" s="53">
        <f>'Profit &amp; Loss AC'!D16/46509253887</f>
        <v>0.06984447097114103</v>
      </c>
      <c r="K15" s="53">
        <f>'Profit &amp; Loss AC'!E16/39744450083</f>
        <v>0.05690189410791048</v>
      </c>
      <c r="L15" s="53">
        <f>'Profit &amp; Loss AC'!F16/46491076370</f>
        <v>0.048302208667491</v>
      </c>
    </row>
    <row r="16" spans="8:8" ht="15.75">
      <c r="A16" s="21" t="s">
        <v>52</v>
      </c>
      <c r="B16" s="47">
        <f>'Profit &amp; Loss AC'!B17/4473789900</f>
        <v>1.0</v>
      </c>
      <c r="C16" s="47">
        <f>'Profit &amp; Loss AC'!C17/4473789900</f>
        <v>0.4975007453970961</v>
      </c>
      <c r="D16" s="47">
        <f>'Profit &amp; Loss AC'!D17/4473789900</f>
        <v>0.6186005759903924</v>
      </c>
      <c r="E16" s="47">
        <f>'Profit &amp; Loss AC'!E17/4473789900</f>
        <v>0.7299347376594506</v>
      </c>
      <c r="F16" s="47">
        <f>'Profit &amp; Loss AC'!F17/4473789900</f>
        <v>0.9180425225154181</v>
      </c>
      <c r="G16" s="45"/>
      <c r="H16" s="47">
        <f>'Profit &amp; Loss AC'!B17/46104381356</f>
        <v>0.0970361117190825</v>
      </c>
      <c r="I16" s="47">
        <f>'Profit &amp; Loss AC'!C17/50325116016</f>
        <v>0.04422670002971027</v>
      </c>
      <c r="J16" s="47">
        <f>'Profit &amp; Loss AC'!D17/46509253887</f>
        <v>0.05950405086531721</v>
      </c>
      <c r="K16" s="47">
        <f>'Profit &amp; Loss AC'!E17/39744450083</f>
        <v>0.08216429338386526</v>
      </c>
      <c r="L16" s="47">
        <f>'Profit &amp; Loss AC'!F17/46491076370</f>
        <v>0.08834231611058739</v>
      </c>
    </row>
    <row r="17" spans="8:8" ht="15.75">
      <c r="A17" t="s">
        <v>53</v>
      </c>
      <c r="B17" s="45">
        <f>'Profit &amp; Loss AC'!B18/230386577</f>
        <v>1.0</v>
      </c>
      <c r="C17" s="45">
        <f>'Profit &amp; Loss AC'!C18/230386577</f>
        <v>0.7218566079915324</v>
      </c>
      <c r="D17" s="45">
        <f>'Profit &amp; Loss AC'!D18/230386577</f>
        <v>1.4885740543816492</v>
      </c>
      <c r="E17" s="45">
        <f>'Profit &amp; Loss AC'!E18/230386577</f>
        <v>1.2435921125734681</v>
      </c>
      <c r="F17" s="45">
        <f>'Profit &amp; Loss AC'!F18/230386577</f>
        <v>0.8184142472849015</v>
      </c>
      <c r="H17" s="49">
        <f>'Profit &amp; Loss AC'!B18/46104381356</f>
        <v>0.004997064708905753</v>
      </c>
      <c r="I17" s="49">
        <f>'Profit &amp; Loss AC'!C18/50325116016</f>
        <v>0.0033046336733158423</v>
      </c>
      <c r="J17" s="49">
        <f>'Profit &amp; Loss AC'!D18/46509253887</f>
        <v>0.007373747208098273</v>
      </c>
      <c r="K17" s="49">
        <f>'Profit &amp; Loss AC'!E18/39744450083</f>
        <v>0.007208727996026503</v>
      </c>
      <c r="L17" s="49">
        <f>'Profit &amp; Loss AC'!F18/46491076370</f>
        <v>0.004055652648250355</v>
      </c>
    </row>
    <row r="18" spans="8:8" ht="19.5">
      <c r="A18" s="27" t="s">
        <v>54</v>
      </c>
      <c r="B18" s="47">
        <f>'Profit &amp; Loss AC'!B19/4243403323</f>
        <v>1.0</v>
      </c>
      <c r="C18" s="47">
        <f>'Profit &amp; Loss AC'!C19/4243403323</f>
        <v>0.48531982002220814</v>
      </c>
      <c r="D18" s="47">
        <f>'Profit &amp; Loss AC'!D19/4243403323</f>
        <v>0.5713672124585835</v>
      </c>
      <c r="E18" s="47">
        <f>'Profit &amp; Loss AC'!E19/4243403323</f>
        <v>0.7020468007019092</v>
      </c>
      <c r="F18" s="47">
        <f>'Profit &amp; Loss AC'!F19/4243403323</f>
        <v>0.9234516282627703</v>
      </c>
      <c r="H18" s="54">
        <f>'Profit &amp; Loss AC'!B19/46104381356</f>
        <v>0.09203904701017673</v>
      </c>
      <c r="I18" s="55">
        <f>'Profit &amp; Loss AC'!C19/50325116016</f>
        <v>0.04092206635639443</v>
      </c>
      <c r="J18" s="55">
        <f>'Profit &amp; Loss AC'!D19/46509253887</f>
        <v>0.052130303657218935</v>
      </c>
      <c r="K18" s="55">
        <f>'Profit &amp; Loss AC'!E19/39744450083</f>
        <v>0.07495556538783876</v>
      </c>
      <c r="L18" s="55">
        <f>'Profit &amp; Loss AC'!F19/46491076370</f>
        <v>0.08428666346233704</v>
      </c>
    </row>
    <row r="19" spans="8:8" ht="20.25">
      <c r="A19" s="18" t="s">
        <v>55</v>
      </c>
      <c r="B19" s="45"/>
      <c r="C19" s="45"/>
      <c r="D19" s="45"/>
      <c r="E19" s="45"/>
      <c r="F19" s="45"/>
      <c r="H19" s="45"/>
      <c r="I19" s="45"/>
      <c r="J19" s="45"/>
      <c r="K19" s="45"/>
      <c r="L19" s="45"/>
    </row>
    <row r="20" spans="8:8" ht="15.75">
      <c r="A20" t="s">
        <v>56</v>
      </c>
      <c r="B20" s="45">
        <f>'Profit &amp; Loss AC'!B21/2908747548</f>
        <v>1.0</v>
      </c>
      <c r="C20" s="45">
        <f>'Profit &amp; Loss AC'!C21/2908747548</f>
        <v>0.21999922249698103</v>
      </c>
      <c r="D20" s="45">
        <f>'Profit &amp; Loss AC'!D21/2908747548</f>
        <v>0.31363934990758435</v>
      </c>
      <c r="E20" s="45">
        <f>'Profit &amp; Loss AC'!E21/2908747548</f>
        <v>0.560482248836261</v>
      </c>
      <c r="F20" s="45">
        <f>'Profit &amp; Loss AC'!F21/2908747548</f>
        <v>0.843233592302112</v>
      </c>
      <c r="H20" s="53">
        <f>'Profit &amp; Loss AC'!B21/46104381356</f>
        <v>0.06309047995980661</v>
      </c>
      <c r="I20" s="53">
        <f>'Profit &amp; Loss AC'!C21/50325116016</f>
        <v>0.012715762022218644</v>
      </c>
      <c r="J20" s="53">
        <f>'Profit &amp; Loss AC'!D21/46509253887</f>
        <v>0.019615401533134468</v>
      </c>
      <c r="K20" s="53">
        <f>'Profit &amp; Loss AC'!E21/39744450083</f>
        <v>0.04101959804690651</v>
      </c>
      <c r="L20" s="53">
        <f>'Profit &amp; Loss AC'!F21/46491076370</f>
        <v>0.05275751467829481</v>
      </c>
    </row>
    <row r="21" spans="8:8">
      <c r="A21" t="s">
        <v>57</v>
      </c>
      <c r="B21" s="45">
        <f>'Profit &amp; Loss AC'!B22/1334655775</f>
        <v>1.0</v>
      </c>
      <c r="C21" s="45">
        <f>'Profit &amp; Loss AC'!C22/1334655775</f>
        <v>1.0635592821677184</v>
      </c>
      <c r="D21" s="45">
        <f>'Profit &amp; Loss AC'!D22/1334655775</f>
        <v>1.1330590751012186</v>
      </c>
      <c r="E21" s="45">
        <f>'Profit &amp; Loss AC'!E22/1334655775</f>
        <v>1.0105724526610615</v>
      </c>
      <c r="F21" s="45">
        <f>'Profit &amp; Loss AC'!F22/1334655775</f>
        <v>1.0982787408236405</v>
      </c>
      <c r="H21" s="53">
        <f>'Profit &amp; Loss AC'!B22/46104381356</f>
        <v>0.02894856705037012</v>
      </c>
      <c r="I21" s="53">
        <f>'Profit &amp; Loss AC'!C22/50325116016</f>
        <v>0.028206304334175786</v>
      </c>
      <c r="J21" s="53">
        <f>'Profit &amp; Loss AC'!D22/46509253887</f>
        <v>0.03251490212408446</v>
      </c>
      <c r="K21" s="53">
        <f>'Profit &amp; Loss AC'!E22/39744450083</f>
        <v>0.03393596734093225</v>
      </c>
      <c r="L21" s="53">
        <f>'Profit &amp; Loss AC'!F22/46491076370</f>
        <v>0.031529148784042234</v>
      </c>
    </row>
    <row r="22" spans="8:8" ht="15.75">
      <c r="A22" s="21" t="s">
        <v>151</v>
      </c>
      <c r="B22" s="47">
        <f>'Profit &amp; Loss AC'!B23/4243403323</f>
        <v>1.0</v>
      </c>
      <c r="C22" s="47">
        <f>'Profit &amp; Loss AC'!C23/4243403323</f>
        <v>0.48531982002220814</v>
      </c>
      <c r="D22" s="47">
        <f>'Profit &amp; Loss AC'!D23/4243403323</f>
        <v>0.5713672124585835</v>
      </c>
      <c r="E22" s="47">
        <f>'Profit &amp; Loss AC'!E23/4243403323</f>
        <v>0.7020468007019092</v>
      </c>
      <c r="F22" s="47">
        <f>'Profit &amp; Loss AC'!F23/4243403323</f>
        <v>0.9234516282627703</v>
      </c>
      <c r="H22" s="55">
        <f>'Profit &amp; Loss AC'!B23/46104381356</f>
        <v>0.09203904701017673</v>
      </c>
      <c r="I22" s="55">
        <f>'Profit &amp; Loss AC'!C23/50325116016</f>
        <v>0.04092206635639443</v>
      </c>
      <c r="J22" s="55">
        <f>'Profit &amp; Loss AC'!D23/46509253887</f>
        <v>0.052130303657218935</v>
      </c>
      <c r="K22" s="55">
        <f>'Profit &amp; Loss AC'!E23/39744450083</f>
        <v>0.07495556538783876</v>
      </c>
      <c r="L22" s="55">
        <f>'Profit &amp; Loss AC'!F23/46491076370</f>
        <v>0.08428666346233704</v>
      </c>
    </row>
    <row r="23" spans="8:8" ht="16.5">
      <c r="A23" s="22"/>
      <c r="B23" s="45"/>
      <c r="C23" s="45"/>
      <c r="D23" s="45"/>
      <c r="E23" s="45"/>
      <c r="F23" s="45"/>
    </row>
    <row r="24" spans="8:8">
      <c r="A24" s="41"/>
      <c r="B24" s="41"/>
      <c r="C24" s="41"/>
      <c r="D24" s="41"/>
      <c r="E24" s="41"/>
      <c r="F24" s="41"/>
    </row>
    <row r="45" spans="8:8">
      <c r="A45" s="41"/>
      <c r="B45" s="41"/>
      <c r="C45" s="41"/>
      <c r="D45" s="41"/>
      <c r="E45" s="41"/>
      <c r="F45" s="41"/>
    </row>
    <row r="46" spans="8:8">
      <c r="A46" s="41"/>
      <c r="B46" s="41"/>
      <c r="C46" s="41"/>
      <c r="D46" s="41"/>
      <c r="E46" s="41"/>
      <c r="F46" s="41"/>
    </row>
    <row r="59" spans="8:8">
      <c r="A59" s="41"/>
      <c r="B59" s="41"/>
      <c r="C59" s="41"/>
      <c r="D59" s="41"/>
      <c r="E59" s="41"/>
      <c r="F59" s="41"/>
    </row>
    <row r="61" spans="8:8">
      <c r="A61" s="24"/>
    </row>
    <row r="62" spans="8:8" ht="15.75">
      <c r="A62" s="22"/>
    </row>
    <row r="67" spans="8:8">
      <c r="A67" s="24"/>
    </row>
    <row r="68" spans="8:8" ht="15.75">
      <c r="A68" s="22"/>
    </row>
  </sheetData>
  <mergeCells count="4">
    <mergeCell ref="A1:F1"/>
    <mergeCell ref="A2:F2"/>
    <mergeCell ref="A3:F3"/>
    <mergeCell ref="H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Fariha</dc:creator>
  <cp:lastModifiedBy>Muhammad Ali</cp:lastModifiedBy>
  <dcterms:created xsi:type="dcterms:W3CDTF">2018-02-13T07:09:48Z</dcterms:created>
  <dcterms:modified xsi:type="dcterms:W3CDTF">2024-09-21T19:24:04Z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efdc3f6ca90f4fa2ad8db178f5ec5d44</vt:lpwstr>
  </property>
</Properties>
</file>