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a/iDevelop/itmo-uni/sem2/MCH/lab1.02/"/>
    </mc:Choice>
  </mc:AlternateContent>
  <xr:revisionPtr revIDLastSave="0" documentId="13_ncr:1_{F4B47DF6-6300-AD4A-B19A-A90DD197BBE8}" xr6:coauthVersionLast="47" xr6:coauthVersionMax="47" xr10:uidLastSave="{00000000-0000-0000-0000-000000000000}"/>
  <bookViews>
    <workbookView xWindow="0" yWindow="500" windowWidth="28800" windowHeight="16260" xr2:uid="{4AAE61A7-0FF2-C54B-9335-56428A875E0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Z14" i="1"/>
  <c r="I6" i="1"/>
  <c r="B19" i="1"/>
  <c r="B15" i="1"/>
  <c r="AH4" i="1"/>
  <c r="Z8" i="1"/>
  <c r="Z7" i="1"/>
  <c r="Z6" i="1"/>
  <c r="AD6" i="1" s="1"/>
  <c r="Z5" i="1"/>
  <c r="Z4" i="1"/>
  <c r="AD11" i="1"/>
  <c r="AD12" i="1"/>
  <c r="AD13" i="1"/>
  <c r="AD14" i="1"/>
  <c r="AD10" i="1"/>
  <c r="AD5" i="1"/>
  <c r="AD7" i="1"/>
  <c r="AD8" i="1"/>
  <c r="AD4" i="1"/>
  <c r="AE4" i="1" s="1"/>
  <c r="AJ10" i="1" s="1"/>
  <c r="AA16" i="1"/>
  <c r="AA15" i="1"/>
  <c r="AA17" i="1"/>
  <c r="AA18" i="1"/>
  <c r="AA14" i="1"/>
  <c r="Z18" i="1"/>
  <c r="Z15" i="1"/>
  <c r="Z16" i="1"/>
  <c r="Z17" i="1"/>
  <c r="W4" i="1"/>
  <c r="K6" i="1"/>
  <c r="K7" i="1"/>
  <c r="K8" i="1"/>
  <c r="K9" i="1"/>
  <c r="K5" i="1"/>
  <c r="V24" i="1"/>
  <c r="T52" i="1" s="1"/>
  <c r="V19" i="1"/>
  <c r="T49" i="1" s="1"/>
  <c r="U19" i="1"/>
  <c r="S50" i="1" s="1"/>
  <c r="T44" i="1"/>
  <c r="S45" i="1"/>
  <c r="T45" i="1"/>
  <c r="V14" i="1"/>
  <c r="T42" i="1" s="1"/>
  <c r="U14" i="1"/>
  <c r="S43" i="1" s="1"/>
  <c r="T38" i="1"/>
  <c r="S40" i="1"/>
  <c r="T40" i="1"/>
  <c r="V9" i="1"/>
  <c r="T39" i="1" s="1"/>
  <c r="U9" i="1"/>
  <c r="S39" i="1" s="1"/>
  <c r="T33" i="1"/>
  <c r="T34" i="1"/>
  <c r="V4" i="1"/>
  <c r="T32" i="1" s="1"/>
  <c r="U4" i="1"/>
  <c r="S36" i="1" s="1"/>
  <c r="H94" i="1"/>
  <c r="H95" i="1" s="1"/>
  <c r="G94" i="1"/>
  <c r="G95" i="1" s="1"/>
  <c r="G7" i="1"/>
  <c r="B11" i="1"/>
  <c r="B12" i="1" s="1"/>
  <c r="B13" i="1" s="1"/>
  <c r="B14" i="1" s="1"/>
  <c r="C11" i="1"/>
  <c r="C12" i="1" s="1"/>
  <c r="C13" i="1" s="1"/>
  <c r="C14" i="1" s="1"/>
  <c r="D11" i="1"/>
  <c r="D12" i="1" s="1"/>
  <c r="D13" i="1" s="1"/>
  <c r="D14" i="1" s="1"/>
  <c r="D15" i="1" s="1"/>
  <c r="E11" i="1"/>
  <c r="E12" i="1" s="1"/>
  <c r="E13" i="1" s="1"/>
  <c r="E14" i="1" s="1"/>
  <c r="E15" i="1" s="1"/>
  <c r="F5" i="1"/>
  <c r="G5" i="1"/>
  <c r="F6" i="1"/>
  <c r="G6" i="1"/>
  <c r="F7" i="1"/>
  <c r="I7" i="1" s="1"/>
  <c r="F8" i="1"/>
  <c r="I8" i="1" s="1"/>
  <c r="G8" i="1"/>
  <c r="F9" i="1"/>
  <c r="G9" i="1"/>
  <c r="AF4" i="1" l="1"/>
  <c r="S34" i="1"/>
  <c r="S33" i="1"/>
  <c r="T37" i="1"/>
  <c r="T36" i="1"/>
  <c r="T41" i="1"/>
  <c r="T46" i="1"/>
  <c r="S38" i="1"/>
  <c r="U10" i="1" s="1"/>
  <c r="U11" i="1" s="1"/>
  <c r="U12" i="1" s="1"/>
  <c r="U13" i="1" s="1"/>
  <c r="S37" i="1"/>
  <c r="T35" i="1"/>
  <c r="V5" i="1" s="1"/>
  <c r="V6" i="1" s="1"/>
  <c r="V7" i="1" s="1"/>
  <c r="V8" i="1" s="1"/>
  <c r="S41" i="1"/>
  <c r="S46" i="1"/>
  <c r="T56" i="1"/>
  <c r="V10" i="1"/>
  <c r="T48" i="1"/>
  <c r="S47" i="1"/>
  <c r="S48" i="1"/>
  <c r="T55" i="1"/>
  <c r="T51" i="1"/>
  <c r="T47" i="1"/>
  <c r="V20" i="1" s="1"/>
  <c r="V21" i="1" s="1"/>
  <c r="V22" i="1" s="1"/>
  <c r="V23" i="1" s="1"/>
  <c r="S49" i="1"/>
  <c r="T54" i="1"/>
  <c r="S51" i="1"/>
  <c r="S44" i="1"/>
  <c r="S42" i="1"/>
  <c r="U15" i="1" s="1"/>
  <c r="U16" i="1" s="1"/>
  <c r="U17" i="1" s="1"/>
  <c r="U18" i="1" s="1"/>
  <c r="T43" i="1"/>
  <c r="T53" i="1"/>
  <c r="T50" i="1"/>
  <c r="S35" i="1"/>
  <c r="V11" i="1"/>
  <c r="V12" i="1" s="1"/>
  <c r="V13" i="1" s="1"/>
  <c r="H6" i="1"/>
  <c r="S32" i="1"/>
  <c r="H8" i="1"/>
  <c r="H5" i="1"/>
  <c r="H9" i="1"/>
  <c r="H7" i="1"/>
  <c r="I9" i="1"/>
  <c r="I5" i="1"/>
  <c r="C15" i="1"/>
  <c r="F14" i="1"/>
  <c r="F25" i="1" s="1"/>
  <c r="G11" i="1"/>
  <c r="F11" i="1"/>
  <c r="G14" i="1"/>
  <c r="AM5" i="1" l="1"/>
  <c r="AG5" i="1"/>
  <c r="AG11" i="1" s="1"/>
  <c r="AG6" i="1"/>
  <c r="AG12" i="1" s="1"/>
  <c r="AM7" i="1"/>
  <c r="AG7" i="1"/>
  <c r="AG13" i="1" s="1"/>
  <c r="AM8" i="1"/>
  <c r="AG4" i="1"/>
  <c r="AG10" i="1" s="1"/>
  <c r="AG8" i="1"/>
  <c r="AG14" i="1" s="1"/>
  <c r="AM6" i="1"/>
  <c r="AM4" i="1"/>
  <c r="V15" i="1"/>
  <c r="V16" i="1" s="1"/>
  <c r="V17" i="1" s="1"/>
  <c r="V18" i="1" s="1"/>
  <c r="U20" i="1"/>
  <c r="U21" i="1" s="1"/>
  <c r="U22" i="1" s="1"/>
  <c r="U23" i="1" s="1"/>
  <c r="V25" i="1"/>
  <c r="V26" i="1" s="1"/>
  <c r="V27" i="1" s="1"/>
  <c r="V28" i="1" s="1"/>
  <c r="U5" i="1"/>
  <c r="U6" i="1" s="1"/>
  <c r="U7" i="1" s="1"/>
  <c r="U8" i="1" s="1"/>
  <c r="F18" i="1"/>
  <c r="F20" i="1"/>
  <c r="I11" i="1"/>
  <c r="F22" i="1"/>
  <c r="F16" i="1"/>
  <c r="F21" i="1"/>
  <c r="J5" i="1"/>
  <c r="J9" i="1"/>
  <c r="J6" i="1"/>
  <c r="H104" i="1"/>
  <c r="H96" i="1"/>
  <c r="H105" i="1"/>
  <c r="H101" i="1"/>
  <c r="H97" i="1"/>
  <c r="H100" i="1"/>
  <c r="H103" i="1"/>
  <c r="H99" i="1"/>
  <c r="H102" i="1"/>
  <c r="H98" i="1"/>
  <c r="G24" i="1"/>
  <c r="G16" i="1"/>
  <c r="G102" i="1"/>
  <c r="G98" i="1"/>
  <c r="G105" i="1"/>
  <c r="G97" i="1"/>
  <c r="G101" i="1"/>
  <c r="F17" i="1"/>
  <c r="G99" i="1"/>
  <c r="F23" i="1"/>
  <c r="F19" i="1"/>
  <c r="G104" i="1"/>
  <c r="G96" i="1"/>
  <c r="G103" i="1"/>
  <c r="G100" i="1"/>
  <c r="G19" i="1"/>
  <c r="G25" i="1"/>
  <c r="G22" i="1"/>
  <c r="G18" i="1"/>
  <c r="G17" i="1"/>
  <c r="G23" i="1"/>
  <c r="F24" i="1"/>
  <c r="G20" i="1"/>
  <c r="G21" i="1"/>
  <c r="G15" i="1"/>
  <c r="F15" i="1"/>
  <c r="AI4" i="1" l="1"/>
  <c r="AJ4" i="1" s="1"/>
  <c r="AK4" i="1" s="1"/>
  <c r="I13" i="1"/>
  <c r="J7" i="1"/>
  <c r="J8" i="1"/>
  <c r="I15" i="1"/>
  <c r="I12" i="1"/>
  <c r="I14" i="1"/>
  <c r="B20" i="1"/>
  <c r="B21" i="1" s="1"/>
  <c r="B22" i="1" s="1"/>
  <c r="J101" i="1"/>
  <c r="J98" i="1"/>
  <c r="J103" i="1"/>
  <c r="J104" i="1"/>
  <c r="J96" i="1"/>
  <c r="J102" i="1"/>
  <c r="J99" i="1"/>
  <c r="J100" i="1"/>
  <c r="J105" i="1"/>
  <c r="J97" i="1"/>
  <c r="I101" i="1"/>
  <c r="I97" i="1"/>
  <c r="L97" i="1" s="1"/>
  <c r="I102" i="1"/>
  <c r="L102" i="1" s="1"/>
  <c r="I104" i="1"/>
  <c r="L104" i="1" s="1"/>
  <c r="I105" i="1"/>
  <c r="I103" i="1"/>
  <c r="I96" i="1"/>
  <c r="L96" i="1" s="1"/>
  <c r="I98" i="1"/>
  <c r="L98" i="1" s="1"/>
  <c r="I99" i="1"/>
  <c r="I100" i="1"/>
  <c r="L100" i="1" s="1"/>
  <c r="K96" i="1" l="1"/>
  <c r="K102" i="1"/>
  <c r="K100" i="1"/>
  <c r="L103" i="1"/>
  <c r="K103" i="1"/>
  <c r="L105" i="1"/>
  <c r="K105" i="1"/>
  <c r="K104" i="1"/>
  <c r="L99" i="1"/>
  <c r="K99" i="1"/>
  <c r="L101" i="1"/>
  <c r="K101" i="1"/>
  <c r="K97" i="1"/>
  <c r="K98" i="1"/>
  <c r="M103" i="1" l="1"/>
  <c r="N103" i="1" s="1"/>
  <c r="M101" i="1"/>
  <c r="N101" i="1" s="1"/>
  <c r="M105" i="1"/>
  <c r="N105" i="1" s="1"/>
  <c r="M104" i="1"/>
  <c r="N104" i="1" s="1"/>
  <c r="M97" i="1"/>
  <c r="N97" i="1" s="1"/>
  <c r="M102" i="1"/>
  <c r="N102" i="1" s="1"/>
  <c r="M98" i="1"/>
  <c r="N98" i="1" s="1"/>
  <c r="M99" i="1"/>
  <c r="N99" i="1" s="1"/>
  <c r="M100" i="1"/>
  <c r="N100" i="1" s="1"/>
  <c r="M96" i="1"/>
  <c r="N96" i="1" s="1"/>
  <c r="U24" i="1"/>
  <c r="S55" i="1" s="1"/>
  <c r="S52" i="1" l="1"/>
  <c r="S54" i="1"/>
  <c r="S56" i="1"/>
  <c r="S53" i="1"/>
  <c r="U25" i="1" l="1"/>
  <c r="U26" i="1" s="1"/>
  <c r="U27" i="1" s="1"/>
  <c r="U28" i="1" s="1"/>
</calcChain>
</file>

<file path=xl/sharedStrings.xml><?xml version="1.0" encoding="utf-8"?>
<sst xmlns="http://schemas.openxmlformats.org/spreadsheetml/2006/main" count="121" uniqueCount="87">
  <si>
    <t>№</t>
  </si>
  <si>
    <t>Измеренные величины</t>
  </si>
  <si>
    <t>Рассчитанные величины</t>
  </si>
  <si>
    <r>
      <t>𝑥</t>
    </r>
    <r>
      <rPr>
        <sz val="11"/>
        <color rgb="FF000000"/>
        <rFont val="Calibri"/>
        <family val="2"/>
      </rPr>
      <t>1, м</t>
    </r>
  </si>
  <si>
    <r>
      <t>𝑥</t>
    </r>
    <r>
      <rPr>
        <sz val="11"/>
        <color rgb="FF000000"/>
        <rFont val="Calibri"/>
        <family val="2"/>
      </rPr>
      <t>2, м</t>
    </r>
  </si>
  <si>
    <r>
      <t>𝑡</t>
    </r>
    <r>
      <rPr>
        <sz val="11"/>
        <color rgb="FF000000"/>
        <rFont val="Calibri"/>
        <family val="2"/>
      </rPr>
      <t>1, с</t>
    </r>
  </si>
  <si>
    <r>
      <t>𝑡</t>
    </r>
    <r>
      <rPr>
        <sz val="11"/>
        <color rgb="FF000000"/>
        <rFont val="Calibri"/>
        <family val="2"/>
      </rPr>
      <t>2, с</t>
    </r>
  </si>
  <si>
    <r>
      <t>𝑥</t>
    </r>
    <r>
      <rPr>
        <sz val="11"/>
        <color rgb="FF000000"/>
        <rFont val="Calibri"/>
        <family val="2"/>
      </rPr>
      <t xml:space="preserve">2 − </t>
    </r>
    <r>
      <rPr>
        <sz val="11"/>
        <color rgb="FF000000"/>
        <rFont val="Cambria Math"/>
        <family val="1"/>
      </rPr>
      <t>𝑥</t>
    </r>
    <r>
      <rPr>
        <sz val="11"/>
        <color rgb="FF000000"/>
        <rFont val="Calibri"/>
        <family val="2"/>
      </rPr>
      <t>1, м</t>
    </r>
  </si>
  <si>
    <t>(t2^2-t1^2)/2</t>
  </si>
  <si>
    <t>h, мм</t>
  </si>
  <si>
    <t>h', мм</t>
  </si>
  <si>
    <t>t2, с</t>
  </si>
  <si>
    <t>t1, с</t>
  </si>
  <si>
    <r>
      <rPr>
        <sz val="8"/>
        <color theme="1"/>
        <rFont val="LatinS"/>
      </rPr>
      <t xml:space="preserve">Nпл </t>
    </r>
    <r>
      <rPr>
        <sz val="11"/>
        <color theme="1"/>
        <rFont val="LatinS"/>
      </rPr>
      <t>- количество пластин</t>
    </r>
  </si>
  <si>
    <t>Nпл</t>
  </si>
  <si>
    <r>
      <t xml:space="preserve">h </t>
    </r>
    <r>
      <rPr>
        <sz val="11"/>
        <color theme="1"/>
        <rFont val="LatinS"/>
      </rPr>
      <t xml:space="preserve">- высота на координате </t>
    </r>
    <r>
      <rPr>
        <sz val="11"/>
        <color theme="1"/>
        <rFont val="CMMI10"/>
      </rPr>
      <t xml:space="preserve">𝑥 </t>
    </r>
    <r>
      <rPr>
        <sz val="11"/>
        <color theme="1"/>
        <rFont val="CMR10"/>
      </rPr>
      <t>= 0</t>
    </r>
    <r>
      <rPr>
        <sz val="11"/>
        <color theme="1"/>
        <rFont val="CMMI10"/>
      </rPr>
      <t>,</t>
    </r>
    <r>
      <rPr>
        <sz val="11"/>
        <color theme="1"/>
        <rFont val="CMR10"/>
      </rPr>
      <t xml:space="preserve">22 </t>
    </r>
    <r>
      <rPr>
        <i/>
        <sz val="11"/>
        <color theme="1"/>
        <rFont val="Latin"/>
      </rPr>
      <t xml:space="preserve">м </t>
    </r>
  </si>
  <si>
    <r>
      <t>h</t>
    </r>
    <r>
      <rPr>
        <sz val="8"/>
        <color theme="1"/>
        <rFont val="CMSY8"/>
      </rPr>
      <t xml:space="preserve">′ </t>
    </r>
    <r>
      <rPr>
        <sz val="11"/>
        <color theme="1"/>
        <rFont val="LatinS"/>
      </rPr>
      <t xml:space="preserve">- высота на координате </t>
    </r>
    <r>
      <rPr>
        <sz val="11"/>
        <color theme="1"/>
        <rFont val="CMMI10"/>
      </rPr>
      <t>𝑥</t>
    </r>
    <r>
      <rPr>
        <sz val="8"/>
        <color theme="1"/>
        <rFont val="CMSY8"/>
      </rPr>
      <t xml:space="preserve">′ </t>
    </r>
    <r>
      <rPr>
        <sz val="11"/>
        <color theme="1"/>
        <rFont val="CMR10"/>
      </rPr>
      <t>= 1</t>
    </r>
    <r>
      <rPr>
        <sz val="11"/>
        <color theme="1"/>
        <rFont val="CMMI10"/>
      </rPr>
      <t>,1</t>
    </r>
    <r>
      <rPr>
        <sz val="11"/>
        <color theme="1"/>
        <rFont val="CMR10"/>
      </rPr>
      <t xml:space="preserve">0 </t>
    </r>
    <r>
      <rPr>
        <i/>
        <sz val="11"/>
        <color theme="1"/>
        <rFont val="Latin"/>
      </rPr>
      <t xml:space="preserve">м </t>
    </r>
  </si>
  <si>
    <t>sin 𝛼</t>
  </si>
  <si>
    <r>
      <t>⟨</t>
    </r>
    <r>
      <rPr>
        <sz val="11"/>
        <color theme="1"/>
        <rFont val="CMMI10"/>
      </rPr>
      <t>𝑡</t>
    </r>
    <r>
      <rPr>
        <sz val="8"/>
        <color theme="1"/>
        <rFont val="CMR8"/>
      </rPr>
      <t>1</t>
    </r>
    <r>
      <rPr>
        <sz val="11"/>
        <color theme="1"/>
        <rFont val="CMSY10"/>
      </rPr>
      <t>⟩±</t>
    </r>
    <r>
      <rPr>
        <sz val="11"/>
        <color theme="1"/>
        <rFont val="CMR10"/>
      </rPr>
      <t>∆</t>
    </r>
    <r>
      <rPr>
        <sz val="11"/>
        <color theme="1"/>
        <rFont val="CMMI10"/>
      </rPr>
      <t>𝑡</t>
    </r>
    <r>
      <rPr>
        <sz val="8"/>
        <color theme="1"/>
        <rFont val="CMR8"/>
      </rPr>
      <t>1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 xml:space="preserve">с </t>
    </r>
  </si>
  <si>
    <r>
      <t>⟨</t>
    </r>
    <r>
      <rPr>
        <sz val="11"/>
        <color theme="1"/>
        <rFont val="CMMI10"/>
      </rPr>
      <t>𝑡</t>
    </r>
    <r>
      <rPr>
        <sz val="8"/>
        <color theme="1"/>
        <rFont val="CMR8"/>
      </rPr>
      <t>2</t>
    </r>
    <r>
      <rPr>
        <sz val="11"/>
        <color theme="1"/>
        <rFont val="CMSY10"/>
      </rPr>
      <t>⟩±</t>
    </r>
    <r>
      <rPr>
        <sz val="11"/>
        <color theme="1"/>
        <rFont val="CMR10"/>
      </rPr>
      <t>∆</t>
    </r>
    <r>
      <rPr>
        <sz val="11"/>
        <color theme="1"/>
        <rFont val="CMMI10"/>
      </rPr>
      <t>𝑡</t>
    </r>
    <r>
      <rPr>
        <sz val="8"/>
        <color theme="1"/>
        <rFont val="CMR8"/>
      </rPr>
      <t>2</t>
    </r>
    <r>
      <rPr>
        <sz val="11"/>
        <color theme="1"/>
        <rFont val="LatinS"/>
      </rPr>
      <t xml:space="preserve">, </t>
    </r>
    <r>
      <rPr>
        <i/>
        <sz val="11"/>
        <color theme="1"/>
        <rFont val="Latin"/>
      </rPr>
      <t xml:space="preserve">с </t>
    </r>
  </si>
  <si>
    <r>
      <t>⟨</t>
    </r>
    <r>
      <rPr>
        <sz val="11"/>
        <color theme="1"/>
        <rFont val="CMMI10"/>
      </rPr>
      <t>𝑎</t>
    </r>
    <r>
      <rPr>
        <sz val="11"/>
        <color theme="1"/>
        <rFont val="CMSY10"/>
      </rPr>
      <t>⟩±</t>
    </r>
    <r>
      <rPr>
        <sz val="11"/>
        <color theme="1"/>
        <rFont val="CMR10"/>
      </rPr>
      <t>∆</t>
    </r>
    <r>
      <rPr>
        <sz val="11"/>
        <color theme="1"/>
        <rFont val="CMMI10"/>
      </rPr>
      <t xml:space="preserve">𝑎, </t>
    </r>
    <r>
      <rPr>
        <sz val="8"/>
        <color theme="1"/>
        <rFont val="LatinS"/>
      </rPr>
      <t>м/с^2</t>
    </r>
  </si>
  <si>
    <r>
      <rPr>
        <sz val="8"/>
        <color theme="1"/>
        <rFont val="LatinS"/>
      </rPr>
      <t xml:space="preserve">Nпл </t>
    </r>
    <r>
      <rPr>
        <sz val="11"/>
        <color theme="1"/>
        <rFont val="LatinS"/>
      </rPr>
      <t xml:space="preserve">- количество пластин </t>
    </r>
  </si>
  <si>
    <r>
      <t>⟨𝑡</t>
    </r>
    <r>
      <rPr>
        <sz val="8"/>
        <color rgb="FF000000"/>
        <rFont val="Times New Roman"/>
        <family val="1"/>
      </rPr>
      <t>1,2</t>
    </r>
    <r>
      <rPr>
        <sz val="11"/>
        <color rgb="FF000000"/>
        <rFont val="Cambria Math"/>
        <family val="1"/>
      </rPr>
      <t>⟩</t>
    </r>
    <r>
      <rPr>
        <sz val="11"/>
        <color rgb="FF000000"/>
        <rFont val="Times New Roman"/>
        <family val="1"/>
      </rPr>
      <t xml:space="preserve"> = </t>
    </r>
  </si>
  <si>
    <t>СРЗНАЧ</t>
  </si>
  <si>
    <t>n =</t>
  </si>
  <si>
    <t>Погрешности приборов</t>
  </si>
  <si>
    <t>Лин на рельсе</t>
  </si>
  <si>
    <t>Угольник</t>
  </si>
  <si>
    <t>Секундомер</t>
  </si>
  <si>
    <t>Метод Наименьших квадратов</t>
  </si>
  <si>
    <t>Доп вычисления</t>
  </si>
  <si>
    <t>xi - x</t>
  </si>
  <si>
    <t>yi - y</t>
  </si>
  <si>
    <t>*</t>
  </si>
  <si>
    <t>(xi-x)^2</t>
  </si>
  <si>
    <t>di</t>
  </si>
  <si>
    <t>di^2</t>
  </si>
  <si>
    <t xml:space="preserve">a = </t>
  </si>
  <si>
    <t>zi*yi</t>
  </si>
  <si>
    <t>zi^2</t>
  </si>
  <si>
    <t xml:space="preserve">СКО a = </t>
  </si>
  <si>
    <t>(yi-a*zi)^2</t>
  </si>
  <si>
    <t>АБСПОГ a</t>
  </si>
  <si>
    <t>ОТНПОГ</t>
  </si>
  <si>
    <t>x, м</t>
  </si>
  <si>
    <t>x', м</t>
  </si>
  <si>
    <t>h0', мм</t>
  </si>
  <si>
    <t>h0, мм</t>
  </si>
  <si>
    <t>ДОП ВЫЧИСЛЕНИя</t>
  </si>
  <si>
    <t>&lt;a&gt;</t>
  </si>
  <si>
    <t>t1</t>
  </si>
  <si>
    <t>t2</t>
  </si>
  <si>
    <t>delta a</t>
  </si>
  <si>
    <t>ai*sin ai</t>
  </si>
  <si>
    <t>sin a^2</t>
  </si>
  <si>
    <t>A</t>
  </si>
  <si>
    <t>D</t>
  </si>
  <si>
    <t>СКО для B=g</t>
  </si>
  <si>
    <t>B=g</t>
  </si>
  <si>
    <t>АБСПОГР g</t>
  </si>
  <si>
    <t>ОТНПОГР g</t>
  </si>
  <si>
    <t>g СПБ</t>
  </si>
  <si>
    <t>АБСОТКЛ</t>
  </si>
  <si>
    <t>a = A + B * sin a</t>
  </si>
  <si>
    <t>1,62±0,09</t>
  </si>
  <si>
    <t>4,10±0,11</t>
  </si>
  <si>
    <t>1,20±0,11</t>
  </si>
  <si>
    <t>2,98±0,12</t>
  </si>
  <si>
    <t>0,96±0,10</t>
  </si>
  <si>
    <t>2,36±0,10</t>
  </si>
  <si>
    <t>0,82±0,09</t>
  </si>
  <si>
    <t>2,08±0,09</t>
  </si>
  <si>
    <t>0,76±0,10</t>
  </si>
  <si>
    <t>1,86±0,10</t>
  </si>
  <si>
    <t>0,11±0,01</t>
  </si>
  <si>
    <t>0,21±0,02</t>
  </si>
  <si>
    <t>0,34±0,04</t>
  </si>
  <si>
    <t>0,43±0,05</t>
  </si>
  <si>
    <t>0,54±0,07</t>
  </si>
  <si>
    <t>⟨𝑡1,2⟩=</t>
  </si>
  <si>
    <r>
      <t>S</t>
    </r>
    <r>
      <rPr>
        <sz val="9"/>
        <color theme="1"/>
        <rFont val="Calibri (Основной текст)"/>
        <charset val="204"/>
      </rPr>
      <t>t</t>
    </r>
  </si>
  <si>
    <r>
      <t>∆</t>
    </r>
    <r>
      <rPr>
        <sz val="9"/>
        <color rgb="FF000000"/>
        <rFont val="Helvetica Neue"/>
        <family val="2"/>
      </rPr>
      <t>t</t>
    </r>
  </si>
  <si>
    <t xml:space="preserve">∆t </t>
  </si>
  <si>
    <t>ᶓ</t>
  </si>
  <si>
    <t>⟨x/t⟩=</t>
  </si>
  <si>
    <t>Sx/t</t>
  </si>
  <si>
    <t>∆x/t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</si>
</sst>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9">
    <font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mbria Math"/>
      <family val="1"/>
    </font>
    <font>
      <sz val="11"/>
      <color theme="1"/>
      <name val="CMMI10"/>
    </font>
    <font>
      <sz val="8"/>
      <color theme="1"/>
      <name val="CMR8"/>
    </font>
    <font>
      <sz val="11"/>
      <color theme="1"/>
      <name val="LatinS"/>
    </font>
    <font>
      <i/>
      <sz val="11"/>
      <color theme="1"/>
      <name val="Latin"/>
    </font>
    <font>
      <sz val="11"/>
      <color theme="1"/>
      <name val="CMSY10"/>
    </font>
    <font>
      <sz val="11"/>
      <color theme="1"/>
      <name val="CMR10"/>
    </font>
    <font>
      <sz val="8"/>
      <color theme="1"/>
      <name val="LatinS"/>
    </font>
    <font>
      <sz val="8"/>
      <color theme="1"/>
      <name val="CMSY8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9"/>
      <color theme="1"/>
      <name val="Calibri (Основной текст)"/>
      <charset val="204"/>
    </font>
    <font>
      <sz val="13"/>
      <color rgb="FF000000"/>
      <name val="Helvetica Neue"/>
      <family val="2"/>
    </font>
    <font>
      <sz val="9"/>
      <color rgb="FF000000"/>
      <name val="Helvetica Neue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5">
    <xf numFmtId="0" fontId="0" fillId="0" borderId="0" xfId="0"/>
    <xf numFmtId="0" fontId="2" fillId="0" borderId="5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9" fontId="0" fillId="0" borderId="0" xfId="1" applyFont="1"/>
    <xf numFmtId="2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0" xfId="0" applyFont="1"/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эксперементальной</a:t>
            </a:r>
            <a:r>
              <a:rPr lang="ru-RU" baseline="0"/>
              <a:t> зависимости</a:t>
            </a:r>
            <a:endParaRPr lang="ru-RU"/>
          </a:p>
        </c:rich>
      </c:tx>
      <c:layout>
        <c:manualLayout>
          <c:xMode val="edge"/>
          <c:yMode val="edge"/>
          <c:x val="0.28331150081510587"/>
          <c:y val="3.9669573711162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Лист1!$F$16:$F$25</c:f>
              <c:numCache>
                <c:formatCode>0.00</c:formatCode>
                <c:ptCount val="10"/>
                <c:pt idx="0">
                  <c:v>0.60604491601794042</c:v>
                </c:pt>
                <c:pt idx="1">
                  <c:v>0.70604491601794039</c:v>
                </c:pt>
                <c:pt idx="2">
                  <c:v>0.90604491601794035</c:v>
                </c:pt>
                <c:pt idx="3">
                  <c:v>1.1060449160179404</c:v>
                </c:pt>
                <c:pt idx="4">
                  <c:v>1.3060449160179406</c:v>
                </c:pt>
                <c:pt idx="5">
                  <c:v>-0.10604491601794042</c:v>
                </c:pt>
                <c:pt idx="6">
                  <c:v>-6.0449160179404382E-3</c:v>
                </c:pt>
                <c:pt idx="7">
                  <c:v>0.19395508398205952</c:v>
                </c:pt>
                <c:pt idx="8">
                  <c:v>0.39395508398205958</c:v>
                </c:pt>
                <c:pt idx="9">
                  <c:v>0.59395508398205965</c:v>
                </c:pt>
              </c:numCache>
            </c:numRef>
          </c:xVal>
          <c:yVal>
            <c:numRef>
              <c:f>Лист1!$G$16:$G$25</c:f>
              <c:numCache>
                <c:formatCode>0.00</c:formatCode>
                <c:ptCount val="10"/>
                <c:pt idx="0">
                  <c:v>6.144220689279992</c:v>
                </c:pt>
                <c:pt idx="1">
                  <c:v>6.7892206892799933</c:v>
                </c:pt>
                <c:pt idx="2">
                  <c:v>8.0642206892799919</c:v>
                </c:pt>
                <c:pt idx="3">
                  <c:v>11.289220689279992</c:v>
                </c:pt>
                <c:pt idx="4">
                  <c:v>13.46422068927999</c:v>
                </c:pt>
                <c:pt idx="5">
                  <c:v>-1.5842206892799924</c:v>
                </c:pt>
                <c:pt idx="6">
                  <c:v>-0.93922068927999147</c:v>
                </c:pt>
                <c:pt idx="7">
                  <c:v>0.335779310720008</c:v>
                </c:pt>
                <c:pt idx="8">
                  <c:v>3.5607793107200076</c:v>
                </c:pt>
                <c:pt idx="9">
                  <c:v>5.7357793107200052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8-1644-A73D-4347156A1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489872"/>
        <c:axId val="393468912"/>
      </c:scatterChart>
      <c:valAx>
        <c:axId val="3934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  <a:r>
                  <a:rPr lang="en-US" baseline="0"/>
                  <a:t> - x1, </a:t>
                </a:r>
                <a:r>
                  <a:rPr lang="ru-RU" baseline="0"/>
                  <a:t>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68912"/>
        <c:crosses val="autoZero"/>
        <c:crossBetween val="midCat"/>
      </c:valAx>
      <c:valAx>
        <c:axId val="3934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sz="1000" b="0" i="0" u="none" strike="noStrike" baseline="0">
                    <a:effectLst/>
                  </a:rPr>
                  <a:t>(t2^2-t1^2)/2</a:t>
                </a:r>
                <a:r>
                  <a:rPr lang="en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4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Y(Z)</a:t>
            </a:r>
            <a:r>
              <a:rPr lang="en-US" baseline="0"/>
              <a:t> = a*Z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Лист1!$I$11:$I$15</c:f>
              <c:numCache>
                <c:formatCode>General</c:formatCode>
                <c:ptCount val="5"/>
                <c:pt idx="0">
                  <c:v>2.380601792573624</c:v>
                </c:pt>
                <c:pt idx="1">
                  <c:v>3.3328425096030734</c:v>
                </c:pt>
                <c:pt idx="2">
                  <c:v>5.2373239436619725</c:v>
                </c:pt>
                <c:pt idx="3">
                  <c:v>7.1418053777208721</c:v>
                </c:pt>
                <c:pt idx="4">
                  <c:v>9.0462868117797726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1-354B-9406-333E5ABF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55584"/>
        <c:axId val="395035008"/>
      </c:lineChart>
      <c:catAx>
        <c:axId val="3949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035008"/>
        <c:crosses val="autoZero"/>
        <c:auto val="1"/>
        <c:lblAlgn val="ctr"/>
        <c:lblOffset val="100"/>
        <c:noMultiLvlLbl val="0"/>
      </c:catAx>
      <c:valAx>
        <c:axId val="3950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9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Аппромиксирующая</a:t>
            </a:r>
            <a:r>
              <a:rPr lang="ru-RU" baseline="0"/>
              <a:t> линейная зависимость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Лист1!$AL$4:$AL$8</c:f>
              <c:numCache>
                <c:formatCode>General</c:formatCode>
                <c:ptCount val="5"/>
                <c:pt idx="0">
                  <c:v>8.9743589743589737E-3</c:v>
                </c:pt>
                <c:pt idx="1">
                  <c:v>2.1794871794871797E-2</c:v>
                </c:pt>
                <c:pt idx="2">
                  <c:v>3.3333333333333333E-2</c:v>
                </c:pt>
                <c:pt idx="3">
                  <c:v>4.3589743589743594E-2</c:v>
                </c:pt>
                <c:pt idx="4">
                  <c:v>5.6410256410256404E-2</c:v>
                </c:pt>
              </c:numCache>
            </c:numRef>
          </c:xVal>
          <c:yVal>
            <c:numRef>
              <c:f>Лист1!$AM$4:$AM$8</c:f>
              <c:numCache>
                <c:formatCode>General</c:formatCode>
                <c:ptCount val="5"/>
                <c:pt idx="0">
                  <c:v>0.10416131616416435</c:v>
                </c:pt>
                <c:pt idx="1">
                  <c:v>0.22272891085092322</c:v>
                </c:pt>
                <c:pt idx="2">
                  <c:v>0.32943974606900617</c:v>
                </c:pt>
                <c:pt idx="3">
                  <c:v>0.4242938218184133</c:v>
                </c:pt>
                <c:pt idx="4">
                  <c:v>0.54286141650517206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8F46-A580-1E5B9FF5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89632"/>
        <c:axId val="368391632"/>
      </c:scatterChart>
      <c:valAx>
        <c:axId val="3683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391632"/>
        <c:crosses val="autoZero"/>
        <c:crossBetween val="midCat"/>
      </c:valAx>
      <c:valAx>
        <c:axId val="368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3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= a(sin 𝛼)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Лист1!$Z$4:$Z$8</c:f>
              <c:numCache>
                <c:formatCode>0.00</c:formatCode>
                <c:ptCount val="5"/>
                <c:pt idx="0">
                  <c:v>8.9743589743589737E-3</c:v>
                </c:pt>
                <c:pt idx="1">
                  <c:v>2.1794871794871797E-2</c:v>
                </c:pt>
                <c:pt idx="2">
                  <c:v>3.3333333333333333E-2</c:v>
                </c:pt>
                <c:pt idx="3">
                  <c:v>4.3589743589743594E-2</c:v>
                </c:pt>
                <c:pt idx="4">
                  <c:v>5.6410256410256404E-2</c:v>
                </c:pt>
              </c:numCache>
            </c:numRef>
          </c:xVal>
          <c:yVal>
            <c:numRef>
              <c:f>Лист1!$AC$4:$AC$8</c:f>
              <c:numCache>
                <c:formatCode>0.00</c:formatCode>
                <c:ptCount val="5"/>
                <c:pt idx="0">
                  <c:v>0.109970674486804</c:v>
                </c:pt>
                <c:pt idx="1">
                  <c:v>0.20966614698134509</c:v>
                </c:pt>
                <c:pt idx="2">
                  <c:v>0.33562822719449215</c:v>
                </c:pt>
                <c:pt idx="3">
                  <c:v>0.42692939244663403</c:v>
                </c:pt>
                <c:pt idx="4">
                  <c:v>0.541290770298404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5-384E-AF47-F904258B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6512"/>
        <c:axId val="227098240"/>
      </c:scatterChart>
      <c:valAx>
        <c:axId val="2270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98240"/>
        <c:crosses val="autoZero"/>
        <c:crossBetween val="midCat"/>
      </c:valAx>
      <c:valAx>
        <c:axId val="2270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9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409937</xdr:colOff>
      <xdr:row>9</xdr:row>
      <xdr:rowOff>48228</xdr:rowOff>
    </xdr:from>
    <xdr:to>
      <xdr:col>25</xdr:col>
      <xdr:colOff>242425</xdr:colOff>
      <xdr:row>11</xdr:row>
      <xdr:rowOff>60929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759087C-2D93-D96D-2B1F-C383DB08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5253" y="1784431"/>
          <a:ext cx="660400" cy="41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261715</xdr:colOff>
      <xdr:row>25</xdr:row>
      <xdr:rowOff>124267</xdr:rowOff>
    </xdr:from>
    <xdr:to>
      <xdr:col>8</xdr:col>
      <xdr:colOff>646734</xdr:colOff>
      <xdr:row>44</xdr:row>
      <xdr:rowOff>96455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C1ED5BE-FD3B-C2F9-DC81-0E9EFE5FE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681567</xdr:colOff>
      <xdr:row>15</xdr:row>
      <xdr:rowOff>76200</xdr:rowOff>
    </xdr:from>
    <xdr:to>
      <xdr:col>12</xdr:col>
      <xdr:colOff>546100</xdr:colOff>
      <xdr:row>25</xdr:row>
      <xdr:rowOff>141101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DFB2342-571B-7BD0-7DB6-1084BC7F2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781050</xdr:colOff>
      <xdr:row>10</xdr:row>
      <xdr:rowOff>177800</xdr:rowOff>
    </xdr:from>
    <xdr:to>
      <xdr:col>33</xdr:col>
      <xdr:colOff>95250</xdr:colOff>
      <xdr:row>24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BEA50F-F4B0-6D53-EB7E-19358E8B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355600</xdr:colOff>
      <xdr:row>10</xdr:row>
      <xdr:rowOff>190500</xdr:rowOff>
    </xdr:from>
    <xdr:to>
      <xdr:col>38</xdr:col>
      <xdr:colOff>800100</xdr:colOff>
      <xdr:row>24</xdr:row>
      <xdr:rowOff>88900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EA0922E-61F6-DFC6-9834-31D2A1B68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8DD0-596B-3341-91E4-14AB8D2C3883}">
  <dimension ref="A1:AM105"/>
  <sheetViews>
    <sheetView tabSelected="1" topLeftCell="W1" zoomScale="124" workbookViewId="0">
      <selection activeCell="C21" sqref="C21"/>
    </sheetView>
  </sheetViews>
  <sheetFormatPr baseColWidth="10" defaultRowHeight="16"/>
  <cols>
    <col min="7" max="7" width="12.6640625" bestFit="1" customWidth="1"/>
    <col min="8" max="13" width="9.5" customWidth="1"/>
    <col min="30" max="30" width="12.83203125" bestFit="1" customWidth="1"/>
    <col min="33" max="33" width="12.83203125" bestFit="1" customWidth="1"/>
  </cols>
  <sheetData>
    <row r="1" spans="1:39">
      <c r="A1" s="9" t="s">
        <v>24</v>
      </c>
      <c r="B1" s="10">
        <v>5</v>
      </c>
      <c r="D1" t="s">
        <v>26</v>
      </c>
      <c r="E1" t="s">
        <v>27</v>
      </c>
      <c r="F1" t="s">
        <v>28</v>
      </c>
    </row>
    <row r="2" spans="1:39" ht="17" thickBot="1">
      <c r="C2" s="9" t="s">
        <v>25</v>
      </c>
      <c r="D2" s="11">
        <v>5.0000000000000001E-3</v>
      </c>
      <c r="E2" s="12">
        <v>5.0000000000000001E-4</v>
      </c>
      <c r="F2" s="8">
        <v>0.1</v>
      </c>
      <c r="G2" s="8"/>
      <c r="H2" s="8"/>
    </row>
    <row r="3" spans="1:39" ht="17" thickBot="1">
      <c r="A3" s="17" t="s">
        <v>0</v>
      </c>
      <c r="B3" s="19" t="s">
        <v>1</v>
      </c>
      <c r="C3" s="20"/>
      <c r="D3" s="20"/>
      <c r="E3" s="21"/>
      <c r="F3" s="19" t="s">
        <v>2</v>
      </c>
      <c r="G3" s="21"/>
      <c r="H3" s="15"/>
      <c r="N3" t="s">
        <v>14</v>
      </c>
      <c r="O3" t="s">
        <v>9</v>
      </c>
      <c r="P3" t="s">
        <v>10</v>
      </c>
      <c r="Q3" t="s">
        <v>0</v>
      </c>
      <c r="R3" t="s">
        <v>12</v>
      </c>
      <c r="S3" t="s">
        <v>11</v>
      </c>
      <c r="Y3" t="s">
        <v>14</v>
      </c>
      <c r="Z3" t="s">
        <v>17</v>
      </c>
      <c r="AA3" s="6" t="s">
        <v>18</v>
      </c>
      <c r="AB3" s="6" t="s">
        <v>19</v>
      </c>
      <c r="AC3" s="6" t="s">
        <v>20</v>
      </c>
      <c r="AD3" s="6" t="s">
        <v>53</v>
      </c>
      <c r="AE3" s="6" t="s">
        <v>58</v>
      </c>
      <c r="AF3" s="6" t="s">
        <v>55</v>
      </c>
      <c r="AG3" s="6" t="s">
        <v>35</v>
      </c>
      <c r="AH3" s="6" t="s">
        <v>56</v>
      </c>
      <c r="AI3" s="6" t="s">
        <v>57</v>
      </c>
      <c r="AJ3" s="6" t="s">
        <v>59</v>
      </c>
      <c r="AK3" s="6" t="s">
        <v>60</v>
      </c>
      <c r="AM3" s="6" t="s">
        <v>63</v>
      </c>
    </row>
    <row r="4" spans="1:39" ht="17" thickBot="1">
      <c r="A4" s="18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7" t="s">
        <v>38</v>
      </c>
      <c r="I4" s="7" t="s">
        <v>39</v>
      </c>
      <c r="J4" s="7" t="s">
        <v>41</v>
      </c>
      <c r="K4" s="7" t="s">
        <v>49</v>
      </c>
      <c r="N4" s="16">
        <v>1</v>
      </c>
      <c r="O4" s="16">
        <v>186</v>
      </c>
      <c r="P4" s="16">
        <v>177</v>
      </c>
      <c r="Q4">
        <v>1</v>
      </c>
      <c r="R4">
        <v>1.6</v>
      </c>
      <c r="S4">
        <v>4.0999999999999996</v>
      </c>
      <c r="T4" s="9" t="s">
        <v>79</v>
      </c>
      <c r="U4">
        <f>AVERAGE(R4:R8)</f>
        <v>1.6199999999999999</v>
      </c>
      <c r="V4">
        <f>AVERAGE(S4:S8)</f>
        <v>4.0999999999999996</v>
      </c>
      <c r="W4">
        <f>2*(O34-N34)/(V4^2-U4^2)</f>
        <v>0.10997067448680353</v>
      </c>
      <c r="Y4">
        <v>1</v>
      </c>
      <c r="Z4" s="8">
        <f>-(($P$34-O4)-($Q$34-P4))/1000/($O$34-$N$34)</f>
        <v>8.9743589743589737E-3</v>
      </c>
      <c r="AA4" t="s">
        <v>64</v>
      </c>
      <c r="AB4" s="8" t="s">
        <v>65</v>
      </c>
      <c r="AC4" s="8">
        <v>0.109970674486804</v>
      </c>
      <c r="AD4">
        <f>Z4*AC4</f>
        <v>9.8691630949695889E-4</v>
      </c>
      <c r="AE4">
        <f>(SUM(AD4:AD8)-1/5*SUM(AC4:AC8)*SUM(Z4:Z8))/(SUM(AD10:AD14)-1/5*(SUM(Z4:Z8)^2))</f>
        <v>9.2482723855671907</v>
      </c>
      <c r="AF4">
        <f>1/5*(SUM(AC4:AC8)-AE4*SUM(Z4:Z8))</f>
        <v>2.1163999883433163E-2</v>
      </c>
      <c r="AG4">
        <f>AC4-($AF$4+$AE$4*Z4)</f>
        <v>5.8093583226396517E-3</v>
      </c>
      <c r="AH4">
        <f>SUM(AD10:AD14)-1/5*(SUM(Z4:Z8)^2)</f>
        <v>1.3629191321499002E-3</v>
      </c>
      <c r="AI4">
        <f>SQRT(SUM(AG10:AG14)/AH4/3)</f>
        <v>0.2483055132823424</v>
      </c>
      <c r="AJ4">
        <f>AI4*2</f>
        <v>0.49661102656468481</v>
      </c>
      <c r="AK4" s="13">
        <f>AJ4/AE4</f>
        <v>5.3697707621554659E-2</v>
      </c>
      <c r="AL4">
        <v>8.9743589743589737E-3</v>
      </c>
      <c r="AM4">
        <f>$AF$4+$AE$4*Z4</f>
        <v>0.10416131616416435</v>
      </c>
    </row>
    <row r="5" spans="1:39" ht="17" thickBot="1">
      <c r="A5" s="2">
        <v>1</v>
      </c>
      <c r="B5" s="3">
        <v>0.15</v>
      </c>
      <c r="C5" s="3">
        <v>0.4</v>
      </c>
      <c r="D5" s="3">
        <v>1.3</v>
      </c>
      <c r="E5" s="3">
        <v>2.5</v>
      </c>
      <c r="F5" s="3">
        <f>C5-B5</f>
        <v>0.25</v>
      </c>
      <c r="G5" s="3">
        <f>(E5*E5-D5*D5)/2</f>
        <v>2.2799999999999998</v>
      </c>
      <c r="H5" s="14">
        <f>F5*G5</f>
        <v>0.56999999999999995</v>
      </c>
      <c r="I5" s="8">
        <f>F5^2</f>
        <v>6.25E-2</v>
      </c>
      <c r="J5">
        <f>(G5-$B$19*F5)^2</f>
        <v>1.0120720669026514E-2</v>
      </c>
      <c r="K5">
        <f>F5/G5</f>
        <v>0.10964912280701755</v>
      </c>
      <c r="N5" s="16"/>
      <c r="O5" s="16"/>
      <c r="P5" s="16"/>
      <c r="Q5">
        <v>2</v>
      </c>
      <c r="R5">
        <v>1.6</v>
      </c>
      <c r="S5">
        <v>4.0999999999999996</v>
      </c>
      <c r="T5" s="9" t="s">
        <v>80</v>
      </c>
      <c r="U5" s="8">
        <f>SQRT(SUM(S32:S36)/20)</f>
        <v>1.9999999999999976E-2</v>
      </c>
      <c r="V5" s="8">
        <f>SQRT(SUM(T32:T36)/20)</f>
        <v>3.1622776601683819E-2</v>
      </c>
      <c r="Y5">
        <v>2</v>
      </c>
      <c r="Z5" s="8">
        <f>-(($P$34-O9)-($Q$34-P9))/1000/($O$34-$N$34)</f>
        <v>2.1794871794871797E-2</v>
      </c>
      <c r="AA5" s="8" t="s">
        <v>66</v>
      </c>
      <c r="AB5" s="8" t="s">
        <v>67</v>
      </c>
      <c r="AC5" s="8">
        <v>0.20966614698134509</v>
      </c>
      <c r="AD5">
        <f t="shared" ref="AD5:AD8" si="0">Z5*AC5</f>
        <v>4.5696467931831625E-3</v>
      </c>
      <c r="AG5">
        <f t="shared" ref="AG5:AG7" si="1">AC5-($AF$4+$AE$4*Z5)</f>
        <v>-1.3062763869578137E-2</v>
      </c>
      <c r="AL5">
        <v>2.1794871794871797E-2</v>
      </c>
      <c r="AM5">
        <f t="shared" ref="AM5:AM8" si="2">$AF$4+$AE$4*Z5</f>
        <v>0.22272891085092322</v>
      </c>
    </row>
    <row r="6" spans="1:39" ht="18" thickBot="1">
      <c r="A6" s="2">
        <v>2</v>
      </c>
      <c r="B6" s="3">
        <v>0.15</v>
      </c>
      <c r="C6" s="3">
        <v>0.5</v>
      </c>
      <c r="D6" s="3">
        <v>1.2</v>
      </c>
      <c r="E6" s="3">
        <v>2.7</v>
      </c>
      <c r="F6" s="3">
        <f t="shared" ref="F6:F9" si="3">C6-B6</f>
        <v>0.35</v>
      </c>
      <c r="G6" s="3">
        <f t="shared" ref="G6:G9" si="4">(E6*E6-D6*D6)/2</f>
        <v>2.9250000000000007</v>
      </c>
      <c r="H6" s="14">
        <f t="shared" ref="H6:H9" si="5">F6*G6</f>
        <v>1.0237500000000002</v>
      </c>
      <c r="I6" s="8">
        <f>F6^2</f>
        <v>0.12249999999999998</v>
      </c>
      <c r="J6">
        <f t="shared" ref="J6:J9" si="6">(G6-$B$19*F6)^2</f>
        <v>0.16633551263933241</v>
      </c>
      <c r="K6">
        <f t="shared" ref="K6:K9" si="7">F6/G6</f>
        <v>0.11965811965811962</v>
      </c>
      <c r="N6" s="16"/>
      <c r="O6" s="16"/>
      <c r="P6" s="16"/>
      <c r="Q6">
        <v>3</v>
      </c>
      <c r="R6">
        <v>1.6</v>
      </c>
      <c r="S6">
        <v>4.0999999999999996</v>
      </c>
      <c r="T6" s="23" t="s">
        <v>81</v>
      </c>
      <c r="U6" s="8">
        <f>2.78*U5</f>
        <v>5.5599999999999927E-2</v>
      </c>
      <c r="V6" s="8">
        <f>2.78*V5</f>
        <v>8.7911318952681006E-2</v>
      </c>
      <c r="Y6">
        <v>3</v>
      </c>
      <c r="Z6" s="8">
        <f>-(($P$34-O14)-($Q$34-P14))/1000/($O$34-$N$34)</f>
        <v>3.3333333333333333E-2</v>
      </c>
      <c r="AA6" s="8" t="s">
        <v>68</v>
      </c>
      <c r="AB6" s="8" t="s">
        <v>69</v>
      </c>
      <c r="AC6" s="8">
        <v>0.33562822719449215</v>
      </c>
      <c r="AD6">
        <f t="shared" si="0"/>
        <v>1.1187607573149738E-2</v>
      </c>
      <c r="AG6">
        <f t="shared" si="1"/>
        <v>6.1884811254859784E-3</v>
      </c>
      <c r="AL6">
        <v>3.3333333333333333E-2</v>
      </c>
      <c r="AM6">
        <f t="shared" si="2"/>
        <v>0.32943974606900617</v>
      </c>
    </row>
    <row r="7" spans="1:39" ht="17" thickBot="1">
      <c r="A7" s="2">
        <v>3</v>
      </c>
      <c r="B7" s="3">
        <v>0.15</v>
      </c>
      <c r="C7" s="3">
        <v>0.7</v>
      </c>
      <c r="D7" s="3">
        <v>1.1000000000000001</v>
      </c>
      <c r="E7" s="3">
        <v>3.1</v>
      </c>
      <c r="F7" s="3">
        <f t="shared" si="3"/>
        <v>0.54999999999999993</v>
      </c>
      <c r="G7" s="3">
        <f>(E7*E7-D7*D7)/2</f>
        <v>4.2</v>
      </c>
      <c r="H7" s="14">
        <f t="shared" si="5"/>
        <v>2.3099999999999996</v>
      </c>
      <c r="I7" s="8">
        <f t="shared" ref="I6:I9" si="8">F7^2</f>
        <v>0.30249999999999994</v>
      </c>
      <c r="J7">
        <f>(G7-$B$19*F7)^2</f>
        <v>1.0760409640944268</v>
      </c>
      <c r="K7">
        <f t="shared" si="7"/>
        <v>0.13095238095238093</v>
      </c>
      <c r="N7" s="16"/>
      <c r="O7" s="16"/>
      <c r="P7" s="16"/>
      <c r="Q7">
        <v>4</v>
      </c>
      <c r="R7">
        <v>1.6</v>
      </c>
      <c r="S7">
        <v>4</v>
      </c>
      <c r="T7" s="24" t="s">
        <v>82</v>
      </c>
      <c r="U7" s="8">
        <f>SQRT(U6^2+(2/3*$F$2)^2)</f>
        <v>8.6809011308990477E-2</v>
      </c>
      <c r="V7" s="8">
        <f>SQRT(V6^2+(2/3*$F$2)^2)</f>
        <v>0.11033061426659627</v>
      </c>
      <c r="Y7">
        <v>4</v>
      </c>
      <c r="Z7" s="8">
        <f>-(($P$34-O19)-($Q$34-P19))/1000/($O$34-$N$34)</f>
        <v>4.3589743589743594E-2</v>
      </c>
      <c r="AA7" s="8" t="s">
        <v>70</v>
      </c>
      <c r="AB7" s="8" t="s">
        <v>71</v>
      </c>
      <c r="AC7" s="8">
        <v>0.42692939244663403</v>
      </c>
      <c r="AD7">
        <f t="shared" si="0"/>
        <v>1.8609742747673793E-2</v>
      </c>
      <c r="AG7">
        <f t="shared" si="1"/>
        <v>2.6355706282207292E-3</v>
      </c>
      <c r="AL7">
        <v>4.3589743589743594E-2</v>
      </c>
      <c r="AM7">
        <f t="shared" si="2"/>
        <v>0.4242938218184133</v>
      </c>
    </row>
    <row r="8" spans="1:39" ht="17" thickBot="1">
      <c r="A8" s="2">
        <v>4</v>
      </c>
      <c r="B8" s="3">
        <v>0.15</v>
      </c>
      <c r="C8" s="3">
        <v>0.9</v>
      </c>
      <c r="D8" s="3">
        <v>1.4</v>
      </c>
      <c r="E8" s="3">
        <v>4.0999999999999996</v>
      </c>
      <c r="F8" s="3">
        <f t="shared" si="3"/>
        <v>0.75</v>
      </c>
      <c r="G8" s="3">
        <f t="shared" si="4"/>
        <v>7.4249999999999998</v>
      </c>
      <c r="H8" s="14">
        <f t="shared" si="5"/>
        <v>5.5687499999999996</v>
      </c>
      <c r="I8" s="8">
        <f t="shared" si="8"/>
        <v>0.5625</v>
      </c>
      <c r="J8">
        <f t="shared" si="6"/>
        <v>8.0199194087817824E-2</v>
      </c>
      <c r="K8">
        <f t="shared" si="7"/>
        <v>0.10101010101010101</v>
      </c>
      <c r="N8" s="16"/>
      <c r="O8" s="16"/>
      <c r="P8" s="16"/>
      <c r="Q8">
        <v>5</v>
      </c>
      <c r="R8">
        <v>1.7</v>
      </c>
      <c r="S8">
        <v>4.2</v>
      </c>
      <c r="T8" s="24" t="s">
        <v>83</v>
      </c>
      <c r="U8" s="13">
        <f>U7/U4</f>
        <v>5.3585809449994123E-2</v>
      </c>
      <c r="V8" s="13">
        <f>V7/V4</f>
        <v>2.6909905918682017E-2</v>
      </c>
      <c r="W8" s="13"/>
      <c r="X8" s="13"/>
      <c r="Y8">
        <v>5</v>
      </c>
      <c r="Z8" s="8">
        <f>-(($P$34-O24)-($Q$34-P24))/1000/($O$34-$N$34)</f>
        <v>5.6410256410256404E-2</v>
      </c>
      <c r="AA8" s="8" t="s">
        <v>72</v>
      </c>
      <c r="AB8" s="8" t="s">
        <v>73</v>
      </c>
      <c r="AC8" s="8">
        <v>0.541290770298404</v>
      </c>
      <c r="AD8">
        <f t="shared" si="0"/>
        <v>3.053435114503817E-2</v>
      </c>
      <c r="AG8">
        <f>AC8-($AF$4+$AE$4*Z8)</f>
        <v>-1.570646206768056E-3</v>
      </c>
      <c r="AL8">
        <v>5.6410256410256404E-2</v>
      </c>
      <c r="AM8">
        <f t="shared" si="2"/>
        <v>0.54286141650517206</v>
      </c>
    </row>
    <row r="9" spans="1:39" ht="17" thickBot="1">
      <c r="A9" s="2">
        <v>5</v>
      </c>
      <c r="B9" s="3">
        <v>0.15</v>
      </c>
      <c r="C9" s="3">
        <v>1.1000000000000001</v>
      </c>
      <c r="D9" s="3">
        <v>1.4</v>
      </c>
      <c r="E9" s="3">
        <v>4.5999999999999996</v>
      </c>
      <c r="F9" s="3">
        <f t="shared" si="3"/>
        <v>0.95000000000000007</v>
      </c>
      <c r="G9" s="3">
        <f t="shared" si="4"/>
        <v>9.5999999999999979</v>
      </c>
      <c r="H9" s="14">
        <f t="shared" si="5"/>
        <v>9.1199999999999992</v>
      </c>
      <c r="I9" s="8">
        <f t="shared" si="8"/>
        <v>0.90250000000000008</v>
      </c>
      <c r="J9">
        <f t="shared" si="6"/>
        <v>0.30659829480900663</v>
      </c>
      <c r="K9">
        <f t="shared" si="7"/>
        <v>9.8958333333333356E-2</v>
      </c>
      <c r="N9" s="16">
        <v>2</v>
      </c>
      <c r="O9" s="16">
        <v>196</v>
      </c>
      <c r="P9" s="16">
        <v>177</v>
      </c>
      <c r="Q9">
        <v>1</v>
      </c>
      <c r="R9">
        <v>1.2</v>
      </c>
      <c r="S9">
        <v>2.9</v>
      </c>
      <c r="T9" s="9" t="s">
        <v>79</v>
      </c>
      <c r="U9">
        <f>AVERAGE(R9:R13)</f>
        <v>1.2</v>
      </c>
      <c r="V9">
        <f>AVERAGE(S9:S13)</f>
        <v>2.98</v>
      </c>
      <c r="W9" t="s">
        <v>44</v>
      </c>
      <c r="X9" t="s">
        <v>45</v>
      </c>
      <c r="Y9" s="5" t="s">
        <v>21</v>
      </c>
      <c r="AD9" t="s">
        <v>54</v>
      </c>
      <c r="AG9" t="s">
        <v>36</v>
      </c>
      <c r="AI9" t="s">
        <v>61</v>
      </c>
      <c r="AJ9">
        <v>9.8194999999999997</v>
      </c>
    </row>
    <row r="10" spans="1:39" ht="17" thickBot="1">
      <c r="B10" s="1" t="s">
        <v>3</v>
      </c>
      <c r="C10" s="1" t="s">
        <v>4</v>
      </c>
      <c r="D10" s="1" t="s">
        <v>5</v>
      </c>
      <c r="E10" s="1" t="s">
        <v>6</v>
      </c>
      <c r="F10" s="8"/>
      <c r="G10" s="8"/>
      <c r="H10" s="8"/>
      <c r="N10" s="16"/>
      <c r="O10" s="16"/>
      <c r="P10" s="16"/>
      <c r="Q10">
        <v>2</v>
      </c>
      <c r="R10">
        <v>1.1000000000000001</v>
      </c>
      <c r="S10">
        <v>2.9</v>
      </c>
      <c r="T10" s="9" t="s">
        <v>80</v>
      </c>
      <c r="U10" s="8">
        <f>SQRT(SUM(S37:S41)/20)</f>
        <v>3.1622776601683784E-2</v>
      </c>
      <c r="V10" s="8">
        <f>SQRT(SUM(T37:T41)/20)</f>
        <v>3.7416573867739451E-2</v>
      </c>
      <c r="W10">
        <v>0.22</v>
      </c>
      <c r="X10">
        <v>1</v>
      </c>
      <c r="Y10" s="7" t="s">
        <v>22</v>
      </c>
      <c r="AD10">
        <f>Z4^2</f>
        <v>8.0539119000657455E-5</v>
      </c>
      <c r="AG10">
        <f>AG4^2</f>
        <v>3.3748644120822587E-5</v>
      </c>
      <c r="AI10" t="s">
        <v>62</v>
      </c>
      <c r="AJ10">
        <f>ABS(AJ9-AE4)</f>
        <v>0.57122761443280901</v>
      </c>
    </row>
    <row r="11" spans="1:39" ht="17">
      <c r="A11" s="9" t="s">
        <v>84</v>
      </c>
      <c r="B11" s="8">
        <f>AVERAGE(B5:B9)</f>
        <v>0.15</v>
      </c>
      <c r="C11" s="8">
        <f t="shared" ref="C11:E11" si="9">AVERAGE(C5:C9)</f>
        <v>0.72</v>
      </c>
      <c r="D11" s="8">
        <f t="shared" si="9"/>
        <v>1.28</v>
      </c>
      <c r="E11" s="8">
        <f t="shared" si="9"/>
        <v>3.4</v>
      </c>
      <c r="F11" s="8">
        <f>C11-B11</f>
        <v>0.56999999999999995</v>
      </c>
      <c r="G11" s="14">
        <f>(E11^2-D11^2)/2</f>
        <v>4.960799999999999</v>
      </c>
      <c r="H11" s="14"/>
      <c r="I11">
        <f>$B$19*F5</f>
        <v>2.380601792573624</v>
      </c>
      <c r="N11" s="16"/>
      <c r="O11" s="16"/>
      <c r="P11" s="16"/>
      <c r="Q11">
        <v>3</v>
      </c>
      <c r="R11">
        <v>1.3</v>
      </c>
      <c r="S11">
        <v>3.1</v>
      </c>
      <c r="T11" s="23" t="s">
        <v>81</v>
      </c>
      <c r="U11" s="8">
        <f>2.78*U10</f>
        <v>8.7911318952680909E-2</v>
      </c>
      <c r="V11" s="8">
        <f>2.78*V10</f>
        <v>0.10401807535231566</v>
      </c>
      <c r="AD11">
        <f t="shared" ref="AD11:AD14" si="10">Z5^2</f>
        <v>4.7501643655489822E-4</v>
      </c>
      <c r="AG11">
        <f t="shared" ref="AG11:AG14" si="11">AG5^2</f>
        <v>1.7063579991235598E-4</v>
      </c>
    </row>
    <row r="12" spans="1:39">
      <c r="A12" s="9" t="s">
        <v>85</v>
      </c>
      <c r="B12" s="8">
        <f>SQRT(SUM((B5-B11)^2,(B6-B11)^2,(B7-B11)^2,(B8-B11)^2,(B9-B11)^2)/$B$1/($B$1-1))</f>
        <v>0</v>
      </c>
      <c r="C12" s="8">
        <f>SQRT(SUM((C5-C11)^2,(C6-C11)^2,(C7-C11)^2,(C8-C11)^2,(C9-C11)^2)/$B$1/($B$1-1))</f>
        <v>0.128062484748657</v>
      </c>
      <c r="D12" s="8">
        <f>SQRT(SUM((D5-D11)^2,(D6-D11)^2,(D7-D11)^2,(D8-D11)^2,(D9-D11)^2)/$B$1/($B$1-1))</f>
        <v>5.8309518948452981E-2</v>
      </c>
      <c r="E12" s="8">
        <f>SQRT(SUM((E5-E11)^2,(E6-E11)^2,(E7-E11)^2,(E8-E11)^2,(E9-E11)^2)/$B$1/($B$1-1))</f>
        <v>0.40743097574926712</v>
      </c>
      <c r="F12" s="8"/>
      <c r="G12" s="8"/>
      <c r="H12" s="8"/>
      <c r="I12">
        <f t="shared" ref="I12:I15" si="12">$B$19*F6</f>
        <v>3.3328425096030734</v>
      </c>
      <c r="N12" s="16"/>
      <c r="O12" s="16"/>
      <c r="P12" s="16"/>
      <c r="Q12">
        <v>4</v>
      </c>
      <c r="R12">
        <v>1.2</v>
      </c>
      <c r="S12">
        <v>3</v>
      </c>
      <c r="T12" s="24" t="s">
        <v>82</v>
      </c>
      <c r="U12" s="8">
        <f>SQRT(U11^2+(2/3*$F$2)^2)</f>
        <v>0.11033061426659618</v>
      </c>
      <c r="V12" s="8">
        <f>SQRT(V11^2+(2/3*$F$2)^2)</f>
        <v>0.12354838908073412</v>
      </c>
      <c r="AD12">
        <f t="shared" si="10"/>
        <v>1.1111111111111111E-3</v>
      </c>
      <c r="AG12">
        <f t="shared" si="11"/>
        <v>3.8297298640496199E-5</v>
      </c>
    </row>
    <row r="13" spans="1:39" ht="17">
      <c r="A13" s="23" t="s">
        <v>86</v>
      </c>
      <c r="B13" s="8">
        <f>2.78*B12</f>
        <v>0</v>
      </c>
      <c r="C13" s="8">
        <f>2.78*C12</f>
        <v>0.35601370760126644</v>
      </c>
      <c r="D13" s="8">
        <f>2.78*D12</f>
        <v>0.16210046267669928</v>
      </c>
      <c r="E13" s="8">
        <f>2.78*E12</f>
        <v>1.1326581125829625</v>
      </c>
      <c r="F13" s="8"/>
      <c r="G13" s="8"/>
      <c r="H13" s="8"/>
      <c r="I13">
        <f t="shared" si="12"/>
        <v>5.2373239436619725</v>
      </c>
      <c r="N13" s="16"/>
      <c r="O13" s="16"/>
      <c r="P13" s="16"/>
      <c r="Q13">
        <v>5</v>
      </c>
      <c r="R13">
        <v>1.2</v>
      </c>
      <c r="S13">
        <v>3</v>
      </c>
      <c r="T13" s="24" t="s">
        <v>83</v>
      </c>
      <c r="U13" s="13">
        <f>U12/U9</f>
        <v>9.1942178555496828E-2</v>
      </c>
      <c r="V13" s="13">
        <f>V12/V9</f>
        <v>4.1459190966689305E-2</v>
      </c>
      <c r="W13" s="13"/>
      <c r="X13" s="13" t="s">
        <v>50</v>
      </c>
      <c r="Y13" t="s">
        <v>51</v>
      </c>
      <c r="Z13" t="s">
        <v>49</v>
      </c>
      <c r="AA13" s="13" t="s">
        <v>52</v>
      </c>
      <c r="AD13">
        <f t="shared" si="10"/>
        <v>1.9000657462195929E-3</v>
      </c>
      <c r="AG13">
        <f t="shared" si="11"/>
        <v>6.9462325363398092E-6</v>
      </c>
    </row>
    <row r="14" spans="1:39">
      <c r="A14" s="24" t="s">
        <v>86</v>
      </c>
      <c r="B14" s="8">
        <f>SQRT(B13^2+(2/3*$D$2)^2)</f>
        <v>3.3333333333333331E-3</v>
      </c>
      <c r="C14" s="8">
        <f>SQRT(C13^2+(2/3*$D$2)^2)</f>
        <v>0.35602931215155748</v>
      </c>
      <c r="D14" s="8">
        <f>SQRT(D13^2+(2/3*$F$2)^2)</f>
        <v>0.17527408377864773</v>
      </c>
      <c r="E14" s="8">
        <f>SQRT(E13^2+(2/3*$F$2)^2)</f>
        <v>1.1346183695165715</v>
      </c>
      <c r="F14" s="8">
        <f>SQRT(C14^2+B14^2)</f>
        <v>0.35604491601794042</v>
      </c>
      <c r="G14" s="8">
        <f>SQRT((E11*E14)^2+(D11*D14)^2)</f>
        <v>3.8642206892799922</v>
      </c>
      <c r="H14" s="13"/>
      <c r="I14">
        <f t="shared" si="12"/>
        <v>7.1418053777208721</v>
      </c>
      <c r="N14" s="16">
        <v>3</v>
      </c>
      <c r="O14" s="16">
        <v>205</v>
      </c>
      <c r="P14" s="16">
        <v>177</v>
      </c>
      <c r="Q14">
        <v>1</v>
      </c>
      <c r="R14">
        <v>1</v>
      </c>
      <c r="S14">
        <v>2.4</v>
      </c>
      <c r="T14" s="9" t="s">
        <v>79</v>
      </c>
      <c r="U14">
        <f>AVERAGE(R14:R18)</f>
        <v>0.96</v>
      </c>
      <c r="V14">
        <f>AVERAGE(S14:S18)</f>
        <v>2.3600000000000003</v>
      </c>
      <c r="X14">
        <v>1.6199999999999999</v>
      </c>
      <c r="Y14">
        <v>4.0999999999999996</v>
      </c>
      <c r="Z14" s="8">
        <f>2*($X$10-$W$10)/(Y14^2-X14^2)</f>
        <v>0.10997067448680353</v>
      </c>
      <c r="AA14" s="8">
        <f>Z14*SQRT(($D$2^2+$D$2^2)/($X$10-$W$10)^2+4*((X14*X20)^2+(Y14*Y20)^2)/(Y14^2-X14^2)^2)</f>
        <v>7.4120331988778779E-3</v>
      </c>
      <c r="AD14">
        <f t="shared" si="10"/>
        <v>3.1821170282708739E-3</v>
      </c>
      <c r="AG14">
        <f t="shared" si="11"/>
        <v>2.4669295068348828E-6</v>
      </c>
    </row>
    <row r="15" spans="1:39">
      <c r="A15" s="24" t="s">
        <v>83</v>
      </c>
      <c r="B15" s="13">
        <f>B14/B11</f>
        <v>2.2222222222222223E-2</v>
      </c>
      <c r="C15" s="13">
        <f>C14/C11</f>
        <v>0.49448515576605206</v>
      </c>
      <c r="D15" s="13">
        <f t="shared" ref="D15:E15" si="13">D14/D11</f>
        <v>0.13693287795206854</v>
      </c>
      <c r="E15" s="13">
        <f t="shared" si="13"/>
        <v>0.33371128515193277</v>
      </c>
      <c r="F15" s="13">
        <f>F14/F11</f>
        <v>0.62464020354024641</v>
      </c>
      <c r="G15" s="13">
        <f>G14/G11</f>
        <v>0.77895111459441879</v>
      </c>
      <c r="I15">
        <f t="shared" si="12"/>
        <v>9.0462868117797726</v>
      </c>
      <c r="N15" s="16"/>
      <c r="O15" s="16"/>
      <c r="P15" s="16"/>
      <c r="Q15">
        <v>2</v>
      </c>
      <c r="R15">
        <v>1</v>
      </c>
      <c r="S15">
        <v>2.4</v>
      </c>
      <c r="T15" s="9" t="s">
        <v>80</v>
      </c>
      <c r="U15" s="8">
        <f>SQRT(SUM(S42:S46)/20)</f>
        <v>2.4494897427831772E-2</v>
      </c>
      <c r="V15" s="8">
        <f>SQRT(SUM(T42:T46)/20)</f>
        <v>2.4494897427831803E-2</v>
      </c>
      <c r="X15">
        <v>1.2</v>
      </c>
      <c r="Y15">
        <v>2.98</v>
      </c>
      <c r="Z15" s="8">
        <f t="shared" ref="Z15:Z17" si="14">2*($X$10-$W$10)/(Y15^2-X15^2)</f>
        <v>0.20966614698134509</v>
      </c>
      <c r="AA15" s="8">
        <f t="shared" ref="AA15:AA18" si="15">Z15*SQRT(($D$2^2+$D$2^2)/($X$10-$W$10)^2+4*((X15*X21)^2+(Y15*Y21)^2)/(Y15^2-X15^2)^2)</f>
        <v>2.2132492006957775E-2</v>
      </c>
    </row>
    <row r="16" spans="1:39" ht="17">
      <c r="B16" s="8"/>
      <c r="C16" s="8"/>
      <c r="D16" s="8"/>
      <c r="E16" s="8"/>
      <c r="F16" s="8">
        <f>F5+$F$14</f>
        <v>0.60604491601794042</v>
      </c>
      <c r="G16" s="8">
        <f>G5+$G$14</f>
        <v>6.144220689279992</v>
      </c>
      <c r="H16" s="8"/>
      <c r="I16" s="8"/>
      <c r="J16" s="8"/>
      <c r="K16" s="8"/>
      <c r="L16" s="8"/>
      <c r="M16" s="8"/>
      <c r="N16" s="16"/>
      <c r="O16" s="16"/>
      <c r="P16" s="16"/>
      <c r="Q16">
        <v>3</v>
      </c>
      <c r="R16">
        <v>0.9</v>
      </c>
      <c r="S16">
        <v>2.2999999999999998</v>
      </c>
      <c r="T16" s="23" t="s">
        <v>81</v>
      </c>
      <c r="U16" s="8">
        <f>2.78*U15</f>
        <v>6.8095814849372327E-2</v>
      </c>
      <c r="V16" s="8">
        <f>2.78*V15</f>
        <v>6.809581484937241E-2</v>
      </c>
      <c r="X16">
        <v>0.96</v>
      </c>
      <c r="Y16">
        <v>2.3600000000000003</v>
      </c>
      <c r="Z16" s="8">
        <f t="shared" si="14"/>
        <v>0.33562822719449215</v>
      </c>
      <c r="AA16" s="8">
        <f>Z16*SQRT(($D$2^2+$D$2^2)/($X$10-$W$10)^2+4*((X16*X22)^2+(Y16*Y22)^2)/(Y16^2-X16^2)^2)</f>
        <v>3.519590822283819E-2</v>
      </c>
    </row>
    <row r="17" spans="1:27">
      <c r="A17" t="s">
        <v>29</v>
      </c>
      <c r="B17" s="8"/>
      <c r="C17" s="8"/>
      <c r="D17" s="8"/>
      <c r="E17" s="8"/>
      <c r="F17" s="8">
        <f t="shared" ref="F17:F18" si="16">F6+$F$14</f>
        <v>0.70604491601794039</v>
      </c>
      <c r="G17" s="8">
        <f t="shared" ref="G17:G20" si="17">G6+$G$14</f>
        <v>6.7892206892799933</v>
      </c>
      <c r="H17" s="8"/>
      <c r="I17" s="8"/>
      <c r="J17" s="8"/>
      <c r="K17" s="8"/>
      <c r="L17" s="8"/>
      <c r="M17" s="8"/>
      <c r="N17" s="16"/>
      <c r="O17" s="16"/>
      <c r="P17" s="16"/>
      <c r="Q17">
        <v>4</v>
      </c>
      <c r="R17">
        <v>1</v>
      </c>
      <c r="S17">
        <v>2.4</v>
      </c>
      <c r="T17" s="24" t="s">
        <v>82</v>
      </c>
      <c r="U17" s="8">
        <f>SQRT(U16^2+(2/3*$F$2)^2)</f>
        <v>9.5296822845488613E-2</v>
      </c>
      <c r="V17" s="8">
        <f>SQRT(V16^2+(2/3*$F$2)^2)</f>
        <v>9.5296822845488682E-2</v>
      </c>
      <c r="X17">
        <v>0.82000000000000006</v>
      </c>
      <c r="Y17">
        <v>2.0799999999999996</v>
      </c>
      <c r="Z17" s="8">
        <f t="shared" si="14"/>
        <v>0.42692939244663403</v>
      </c>
      <c r="AA17" s="8">
        <f t="shared" si="15"/>
        <v>4.5518797230258076E-2</v>
      </c>
    </row>
    <row r="18" spans="1:27">
      <c r="A18" t="s">
        <v>23</v>
      </c>
      <c r="B18" s="8"/>
      <c r="C18" s="8"/>
      <c r="D18" s="8"/>
      <c r="E18" s="8"/>
      <c r="F18" s="8">
        <f t="shared" si="16"/>
        <v>0.90604491601794035</v>
      </c>
      <c r="G18" s="8">
        <f t="shared" si="17"/>
        <v>8.0642206892799919</v>
      </c>
      <c r="H18" s="8"/>
      <c r="I18" s="8"/>
      <c r="J18" s="8"/>
      <c r="K18" s="8"/>
      <c r="L18" s="8"/>
      <c r="M18" s="8"/>
      <c r="N18" s="16"/>
      <c r="O18" s="16"/>
      <c r="P18" s="16"/>
      <c r="Q18">
        <v>5</v>
      </c>
      <c r="R18">
        <v>0.9</v>
      </c>
      <c r="S18">
        <v>2.2999999999999998</v>
      </c>
      <c r="T18" s="24" t="s">
        <v>83</v>
      </c>
      <c r="U18" s="13">
        <f>U17/U14</f>
        <v>9.9267523797383975E-2</v>
      </c>
      <c r="V18" s="13">
        <f>V17/V14</f>
        <v>4.038000968029181E-2</v>
      </c>
      <c r="W18" s="13"/>
      <c r="X18">
        <v>0.76</v>
      </c>
      <c r="Y18">
        <v>1.8599999999999999</v>
      </c>
      <c r="Z18" s="8">
        <f>2*($X$10-$W$10)/(Y18^2-X18^2)</f>
        <v>0.541290770298404</v>
      </c>
      <c r="AA18" s="8">
        <f t="shared" si="15"/>
        <v>7.2093076461494529E-2</v>
      </c>
    </row>
    <row r="19" spans="1:27">
      <c r="A19" s="9" t="s">
        <v>37</v>
      </c>
      <c r="B19" s="8">
        <f>SUM(H5:H9)/SUM(I5:I9)</f>
        <v>9.5224071702944961</v>
      </c>
      <c r="C19" s="8"/>
      <c r="D19" s="8"/>
      <c r="E19" s="8"/>
      <c r="F19" s="8">
        <f>F8+$F$14</f>
        <v>1.1060449160179404</v>
      </c>
      <c r="G19" s="8">
        <f t="shared" si="17"/>
        <v>11.289220689279992</v>
      </c>
      <c r="H19" s="8"/>
      <c r="I19" s="8"/>
      <c r="J19" s="8"/>
      <c r="K19" s="8"/>
      <c r="L19" s="8"/>
      <c r="M19" s="8"/>
      <c r="N19" s="16">
        <v>4</v>
      </c>
      <c r="O19" s="16">
        <v>214</v>
      </c>
      <c r="P19" s="16">
        <v>178</v>
      </c>
      <c r="Q19">
        <v>1</v>
      </c>
      <c r="R19">
        <v>0.8</v>
      </c>
      <c r="S19">
        <v>2.1</v>
      </c>
      <c r="T19" s="9" t="s">
        <v>79</v>
      </c>
      <c r="U19">
        <f>AVERAGE(R19:R23)</f>
        <v>0.82000000000000006</v>
      </c>
      <c r="V19">
        <f>AVERAGE(S19:S23)</f>
        <v>2.0799999999999996</v>
      </c>
    </row>
    <row r="20" spans="1:27">
      <c r="A20" s="9" t="s">
        <v>40</v>
      </c>
      <c r="B20" s="8">
        <f>SQRT(SUM(J5:J9)/(B1-1)/SUM(I5:I9))</f>
        <v>0.45814505001161165</v>
      </c>
      <c r="C20" s="8">
        <f>2.78*B20</f>
        <v>1.2736432390322803</v>
      </c>
      <c r="D20" s="8"/>
      <c r="E20" s="8"/>
      <c r="F20" s="8">
        <f>F9+$F$14</f>
        <v>1.3060449160179406</v>
      </c>
      <c r="G20" s="8">
        <f t="shared" si="17"/>
        <v>13.46422068927999</v>
      </c>
      <c r="H20" s="8"/>
      <c r="I20" s="8"/>
      <c r="J20" s="8"/>
      <c r="K20" s="8"/>
      <c r="L20" s="8"/>
      <c r="M20" s="8"/>
      <c r="N20" s="16"/>
      <c r="O20" s="16"/>
      <c r="P20" s="16"/>
      <c r="Q20">
        <v>2</v>
      </c>
      <c r="R20">
        <v>0.8</v>
      </c>
      <c r="S20">
        <v>2</v>
      </c>
      <c r="T20" s="9" t="s">
        <v>80</v>
      </c>
      <c r="U20">
        <f>SQRT(SUM(S47:S51)/20)</f>
        <v>1.9999999999999997E-2</v>
      </c>
      <c r="V20">
        <f>SQRT(SUM(T47:T51)/20)</f>
        <v>2.0000000000000018E-2</v>
      </c>
      <c r="X20">
        <v>8.6809011308990477E-2</v>
      </c>
      <c r="Y20">
        <v>0.11033061426659627</v>
      </c>
      <c r="Z20" s="6" t="s">
        <v>20</v>
      </c>
    </row>
    <row r="21" spans="1:27" ht="17">
      <c r="A21" t="s">
        <v>42</v>
      </c>
      <c r="B21" s="8">
        <f>2*B20</f>
        <v>0.91629010002322331</v>
      </c>
      <c r="C21" s="8"/>
      <c r="D21" s="8"/>
      <c r="E21" s="8"/>
      <c r="F21" s="8">
        <f>F5-$F$14</f>
        <v>-0.10604491601794042</v>
      </c>
      <c r="G21" s="8">
        <f>G5-$G$14</f>
        <v>-1.5842206892799924</v>
      </c>
      <c r="H21" s="8"/>
      <c r="I21" s="8"/>
      <c r="J21" s="8"/>
      <c r="K21" s="8"/>
      <c r="L21" s="8"/>
      <c r="M21" s="8"/>
      <c r="N21" s="16"/>
      <c r="O21" s="16"/>
      <c r="P21" s="16"/>
      <c r="Q21">
        <v>3</v>
      </c>
      <c r="R21">
        <v>0.8</v>
      </c>
      <c r="S21">
        <v>2.1</v>
      </c>
      <c r="T21" s="23" t="s">
        <v>81</v>
      </c>
      <c r="U21" s="8">
        <f>2.78*U20</f>
        <v>5.559999999999999E-2</v>
      </c>
      <c r="V21" s="8">
        <f>2.78*V20</f>
        <v>5.5600000000000045E-2</v>
      </c>
      <c r="X21">
        <v>0.11033061426659618</v>
      </c>
      <c r="Y21">
        <v>0.12354838908073412</v>
      </c>
      <c r="Z21" t="s">
        <v>74</v>
      </c>
    </row>
    <row r="22" spans="1:27">
      <c r="A22" t="s">
        <v>43</v>
      </c>
      <c r="B22" s="13">
        <f>B21/B19</f>
        <v>9.6224629301887493E-2</v>
      </c>
      <c r="C22" s="8"/>
      <c r="D22" s="8"/>
      <c r="E22" s="8"/>
      <c r="F22" s="8">
        <f t="shared" ref="F22:F24" si="18">F6-$F$14</f>
        <v>-6.0449160179404382E-3</v>
      </c>
      <c r="G22" s="8">
        <f t="shared" ref="G22:G25" si="19">G6-$G$14</f>
        <v>-0.93922068927999147</v>
      </c>
      <c r="H22" s="8"/>
      <c r="I22" s="8"/>
      <c r="J22" s="8"/>
      <c r="K22" s="8"/>
      <c r="L22" s="8"/>
      <c r="M22" s="8"/>
      <c r="N22" s="16"/>
      <c r="O22" s="16"/>
      <c r="P22" s="16"/>
      <c r="Q22">
        <v>4</v>
      </c>
      <c r="R22">
        <v>0.9</v>
      </c>
      <c r="S22">
        <v>2.1</v>
      </c>
      <c r="T22" s="24" t="s">
        <v>82</v>
      </c>
      <c r="U22" s="8">
        <f>SQRT(U21^2+(2/3*$F$2)^2)</f>
        <v>8.6809011308990519E-2</v>
      </c>
      <c r="V22" s="8">
        <f>SQRT(V21^2+(2/3*$F$2)^2)</f>
        <v>8.6809011308990561E-2</v>
      </c>
      <c r="X22">
        <v>9.5296822845488613E-2</v>
      </c>
      <c r="Y22">
        <v>9.5296822845488682E-2</v>
      </c>
      <c r="Z22" s="22" t="s">
        <v>75</v>
      </c>
    </row>
    <row r="23" spans="1:27">
      <c r="B23" s="8"/>
      <c r="C23" s="8"/>
      <c r="D23" s="8"/>
      <c r="E23" s="8"/>
      <c r="F23" s="8">
        <f t="shared" si="18"/>
        <v>0.19395508398205952</v>
      </c>
      <c r="G23" s="8">
        <f t="shared" si="19"/>
        <v>0.335779310720008</v>
      </c>
      <c r="H23" s="8"/>
      <c r="I23" s="8"/>
      <c r="J23" s="8"/>
      <c r="K23" s="8"/>
      <c r="L23" s="8"/>
      <c r="M23" s="8"/>
      <c r="N23" s="16"/>
      <c r="O23" s="16"/>
      <c r="P23" s="16"/>
      <c r="Q23">
        <v>5</v>
      </c>
      <c r="R23">
        <v>0.8</v>
      </c>
      <c r="S23">
        <v>2.1</v>
      </c>
      <c r="T23" s="24" t="s">
        <v>83</v>
      </c>
      <c r="U23" s="13">
        <f>U22/U19</f>
        <v>0.10586464793779331</v>
      </c>
      <c r="V23" s="13">
        <f>V22/V19</f>
        <v>4.1735101590860857E-2</v>
      </c>
      <c r="W23" s="13"/>
      <c r="X23" s="13">
        <v>8.6809011308990519E-2</v>
      </c>
      <c r="Y23">
        <v>8.6809011308990561E-2</v>
      </c>
      <c r="Z23" s="22" t="s">
        <v>76</v>
      </c>
    </row>
    <row r="24" spans="1:27">
      <c r="F24" s="8">
        <f t="shared" si="18"/>
        <v>0.39395508398205958</v>
      </c>
      <c r="G24" s="8">
        <f>G8-$G$14</f>
        <v>3.5607793107200076</v>
      </c>
      <c r="H24" s="8"/>
      <c r="I24" s="8"/>
      <c r="J24" s="8"/>
      <c r="K24" s="8"/>
      <c r="L24" s="8"/>
      <c r="M24" s="8"/>
      <c r="N24" s="16">
        <v>5</v>
      </c>
      <c r="O24" s="16">
        <v>224</v>
      </c>
      <c r="P24" s="16">
        <v>178</v>
      </c>
      <c r="Q24">
        <v>1</v>
      </c>
      <c r="R24">
        <v>0.7</v>
      </c>
      <c r="S24">
        <v>1.8</v>
      </c>
      <c r="T24" s="9" t="s">
        <v>79</v>
      </c>
      <c r="U24">
        <f>AVERAGE(R24:R28)</f>
        <v>0.76</v>
      </c>
      <c r="V24">
        <f>AVERAGE(S24:S28)</f>
        <v>1.8599999999999999</v>
      </c>
      <c r="X24">
        <v>9.5296822845488682E-2</v>
      </c>
      <c r="Y24">
        <v>9.5296822845488571E-2</v>
      </c>
      <c r="Z24" t="s">
        <v>77</v>
      </c>
    </row>
    <row r="25" spans="1:27">
      <c r="F25" s="8">
        <f>F9-$F$14</f>
        <v>0.59395508398205965</v>
      </c>
      <c r="G25" s="8">
        <f t="shared" si="19"/>
        <v>5.7357793107200052</v>
      </c>
      <c r="H25" s="8"/>
      <c r="I25" s="8"/>
      <c r="J25" s="8"/>
      <c r="K25" s="8"/>
      <c r="L25" s="8"/>
      <c r="M25" s="8"/>
      <c r="N25" s="16"/>
      <c r="O25" s="16"/>
      <c r="P25" s="16"/>
      <c r="Q25">
        <v>2</v>
      </c>
      <c r="R25">
        <v>0.8</v>
      </c>
      <c r="S25">
        <v>1.9</v>
      </c>
      <c r="T25" s="9" t="s">
        <v>80</v>
      </c>
      <c r="U25" s="8">
        <f>SQRT(SUM(S52:S56)/20)</f>
        <v>2.4494897427831803E-2</v>
      </c>
      <c r="V25" s="8">
        <f>SQRT(SUM(T52:T56)/20)</f>
        <v>2.4494897427831747E-2</v>
      </c>
      <c r="Z25" s="22" t="s">
        <v>78</v>
      </c>
    </row>
    <row r="26" spans="1:27" ht="17">
      <c r="N26" s="16"/>
      <c r="O26" s="16"/>
      <c r="P26" s="16"/>
      <c r="Q26">
        <v>3</v>
      </c>
      <c r="R26">
        <v>0.8</v>
      </c>
      <c r="S26">
        <v>1.9</v>
      </c>
      <c r="T26" s="23" t="s">
        <v>81</v>
      </c>
      <c r="U26" s="8">
        <f>2.78*U25</f>
        <v>6.809581484937241E-2</v>
      </c>
      <c r="V26" s="8">
        <f>2.78*V25</f>
        <v>6.8095814849372258E-2</v>
      </c>
    </row>
    <row r="27" spans="1:27">
      <c r="N27" s="16"/>
      <c r="O27" s="16"/>
      <c r="P27" s="16"/>
      <c r="Q27">
        <v>4</v>
      </c>
      <c r="R27">
        <v>0.7</v>
      </c>
      <c r="S27">
        <v>1.8</v>
      </c>
      <c r="T27" s="24" t="s">
        <v>82</v>
      </c>
      <c r="U27" s="8">
        <f>SQRT(U26^2+(2/3*$F$2)^2)</f>
        <v>9.5296822845488682E-2</v>
      </c>
      <c r="V27" s="8">
        <f>SQRT(V26^2+(2/3*$F$2)^2)</f>
        <v>9.5296822845488571E-2</v>
      </c>
    </row>
    <row r="28" spans="1:27">
      <c r="N28" s="16"/>
      <c r="O28" s="16"/>
      <c r="P28" s="16"/>
      <c r="Q28">
        <v>5</v>
      </c>
      <c r="R28">
        <v>0.8</v>
      </c>
      <c r="S28">
        <v>1.9</v>
      </c>
      <c r="T28" s="24" t="s">
        <v>83</v>
      </c>
      <c r="U28" s="13">
        <f>U27/U24</f>
        <v>0.125390556375643</v>
      </c>
      <c r="V28" s="13">
        <f>V27/V24</f>
        <v>5.1234850992198162E-2</v>
      </c>
      <c r="W28" s="13"/>
      <c r="X28" s="13"/>
    </row>
    <row r="29" spans="1:27">
      <c r="N29" s="5" t="s">
        <v>13</v>
      </c>
    </row>
    <row r="30" spans="1:27">
      <c r="N30" s="4" t="s">
        <v>15</v>
      </c>
    </row>
    <row r="31" spans="1:27">
      <c r="N31" s="4" t="s">
        <v>16</v>
      </c>
      <c r="S31" t="s">
        <v>48</v>
      </c>
    </row>
    <row r="32" spans="1:27">
      <c r="S32">
        <f>(R4-$U$4)^2</f>
        <v>3.9999999999999183E-4</v>
      </c>
      <c r="T32">
        <f>(S4-$V$4)^2</f>
        <v>0</v>
      </c>
    </row>
    <row r="33" spans="14:20">
      <c r="N33" t="s">
        <v>44</v>
      </c>
      <c r="O33" t="s">
        <v>45</v>
      </c>
      <c r="P33" t="s">
        <v>47</v>
      </c>
      <c r="Q33" t="s">
        <v>46</v>
      </c>
      <c r="S33">
        <f>(R5-$U$4)^2</f>
        <v>3.9999999999999183E-4</v>
      </c>
      <c r="T33">
        <f t="shared" ref="T33:T36" si="20">(S5-$V$4)^2</f>
        <v>0</v>
      </c>
    </row>
    <row r="34" spans="14:20">
      <c r="N34">
        <v>0.22</v>
      </c>
      <c r="O34">
        <v>1</v>
      </c>
      <c r="P34">
        <v>178</v>
      </c>
      <c r="Q34">
        <v>176</v>
      </c>
      <c r="S34">
        <f t="shared" ref="S34:S36" si="21">(R6-$U$4)^2</f>
        <v>3.9999999999999183E-4</v>
      </c>
      <c r="T34">
        <f t="shared" si="20"/>
        <v>0</v>
      </c>
    </row>
    <row r="35" spans="14:20">
      <c r="S35">
        <f t="shared" si="21"/>
        <v>3.9999999999999183E-4</v>
      </c>
      <c r="T35">
        <f t="shared" si="20"/>
        <v>9.9999999999999291E-3</v>
      </c>
    </row>
    <row r="36" spans="14:20">
      <c r="S36">
        <f t="shared" si="21"/>
        <v>6.4000000000000116E-3</v>
      </c>
      <c r="T36">
        <f t="shared" si="20"/>
        <v>1.0000000000000106E-2</v>
      </c>
    </row>
    <row r="37" spans="14:20">
      <c r="S37">
        <f>(R9-U$9)^2</f>
        <v>0</v>
      </c>
      <c r="T37">
        <f>(S9-V$9)^2</f>
        <v>6.4000000000000116E-3</v>
      </c>
    </row>
    <row r="38" spans="14:20">
      <c r="S38">
        <f t="shared" ref="S38:T38" si="22">(R10-U$9)^2</f>
        <v>9.9999999999999742E-3</v>
      </c>
      <c r="T38">
        <f t="shared" si="22"/>
        <v>6.4000000000000116E-3</v>
      </c>
    </row>
    <row r="39" spans="14:20">
      <c r="S39">
        <f t="shared" ref="S39:T39" si="23">(R11-U$9)^2</f>
        <v>1.0000000000000018E-2</v>
      </c>
      <c r="T39">
        <f t="shared" si="23"/>
        <v>1.4400000000000026E-2</v>
      </c>
    </row>
    <row r="40" spans="14:20">
      <c r="S40">
        <f t="shared" ref="S40:T40" si="24">(R12-U$9)^2</f>
        <v>0</v>
      </c>
      <c r="T40">
        <f t="shared" si="24"/>
        <v>4.0000000000000072E-4</v>
      </c>
    </row>
    <row r="41" spans="14:20">
      <c r="S41">
        <f t="shared" ref="S41:T41" si="25">(R13-U$9)^2</f>
        <v>0</v>
      </c>
      <c r="T41">
        <f t="shared" si="25"/>
        <v>4.0000000000000072E-4</v>
      </c>
    </row>
    <row r="42" spans="14:20">
      <c r="S42">
        <f>(R14-U$14)^2</f>
        <v>1.6000000000000029E-3</v>
      </c>
      <c r="T42">
        <f>(S14-V$14)^2</f>
        <v>1.5999999999999673E-3</v>
      </c>
    </row>
    <row r="43" spans="14:20">
      <c r="S43">
        <f t="shared" ref="S43:T43" si="26">(R15-U$14)^2</f>
        <v>1.6000000000000029E-3</v>
      </c>
      <c r="T43">
        <f t="shared" si="26"/>
        <v>1.5999999999999673E-3</v>
      </c>
    </row>
    <row r="44" spans="14:20">
      <c r="S44">
        <f t="shared" ref="S44:T44" si="27">(R16-U$14)^2</f>
        <v>3.599999999999993E-3</v>
      </c>
      <c r="T44">
        <f t="shared" si="27"/>
        <v>3.6000000000000597E-3</v>
      </c>
    </row>
    <row r="45" spans="14:20">
      <c r="S45">
        <f t="shared" ref="S45:T45" si="28">(R17-U$14)^2</f>
        <v>1.6000000000000029E-3</v>
      </c>
      <c r="T45">
        <f t="shared" si="28"/>
        <v>1.5999999999999673E-3</v>
      </c>
    </row>
    <row r="46" spans="14:20">
      <c r="S46">
        <f t="shared" ref="S46:T46" si="29">(R18-U$14)^2</f>
        <v>3.599999999999993E-3</v>
      </c>
      <c r="T46">
        <f t="shared" si="29"/>
        <v>3.6000000000000597E-3</v>
      </c>
    </row>
    <row r="47" spans="14:20">
      <c r="S47">
        <f>(R19-U$19)^2</f>
        <v>4.0000000000000072E-4</v>
      </c>
      <c r="T47">
        <f>(S19-V$19)^2</f>
        <v>4.0000000000001845E-4</v>
      </c>
    </row>
    <row r="48" spans="14:20">
      <c r="S48">
        <f t="shared" ref="S48:T48" si="30">(R20-U$19)^2</f>
        <v>4.0000000000000072E-4</v>
      </c>
      <c r="T48">
        <f t="shared" si="30"/>
        <v>6.3999999999999405E-3</v>
      </c>
    </row>
    <row r="49" spans="19:20">
      <c r="S49">
        <f t="shared" ref="S49:T49" si="31">(R21-U$19)^2</f>
        <v>4.0000000000000072E-4</v>
      </c>
      <c r="T49">
        <f t="shared" si="31"/>
        <v>4.0000000000001845E-4</v>
      </c>
    </row>
    <row r="50" spans="19:20">
      <c r="S50">
        <f t="shared" ref="S50:T50" si="32">(R22-U$19)^2</f>
        <v>6.3999999999999934E-3</v>
      </c>
      <c r="T50">
        <f t="shared" si="32"/>
        <v>4.0000000000001845E-4</v>
      </c>
    </row>
    <row r="51" spans="19:20">
      <c r="S51">
        <f t="shared" ref="S51:T51" si="33">(R23-U$19)^2</f>
        <v>4.0000000000000072E-4</v>
      </c>
      <c r="T51">
        <f t="shared" si="33"/>
        <v>4.0000000000001845E-4</v>
      </c>
    </row>
    <row r="52" spans="19:20">
      <c r="S52">
        <f>(R24-U$24)^2</f>
        <v>3.6000000000000064E-3</v>
      </c>
      <c r="T52">
        <f>(S24-V$24)^2</f>
        <v>3.59999999999998E-3</v>
      </c>
    </row>
    <row r="53" spans="19:20">
      <c r="S53">
        <f t="shared" ref="S53:T53" si="34">(R25-U$24)^2</f>
        <v>1.6000000000000029E-3</v>
      </c>
      <c r="T53">
        <f t="shared" si="34"/>
        <v>1.6000000000000029E-3</v>
      </c>
    </row>
    <row r="54" spans="19:20">
      <c r="S54">
        <f t="shared" ref="S54:T54" si="35">(R26-U$24)^2</f>
        <v>1.6000000000000029E-3</v>
      </c>
      <c r="T54">
        <f t="shared" si="35"/>
        <v>1.6000000000000029E-3</v>
      </c>
    </row>
    <row r="55" spans="19:20">
      <c r="S55">
        <f t="shared" ref="S55:T55" si="36">(R27-U$24)^2</f>
        <v>3.6000000000000064E-3</v>
      </c>
      <c r="T55">
        <f t="shared" si="36"/>
        <v>3.59999999999998E-3</v>
      </c>
    </row>
    <row r="56" spans="19:20">
      <c r="S56">
        <f t="shared" ref="S56:T56" si="37">(R28-U$24)^2</f>
        <v>1.6000000000000029E-3</v>
      </c>
      <c r="T56">
        <f t="shared" si="37"/>
        <v>1.6000000000000029E-3</v>
      </c>
    </row>
    <row r="94" spans="7:14">
      <c r="G94" s="8">
        <f>SQRT(D94^2+C94^2)</f>
        <v>0</v>
      </c>
      <c r="H94" s="8">
        <f>SQRT((F91*F94)^2+(E91*E94)^2)</f>
        <v>0</v>
      </c>
      <c r="I94" s="13" t="s">
        <v>30</v>
      </c>
    </row>
    <row r="95" spans="7:14">
      <c r="G95" s="13" t="e">
        <f>G94/G91</f>
        <v>#DIV/0!</v>
      </c>
      <c r="H95" s="13" t="e">
        <f>H94/H91</f>
        <v>#DIV/0!</v>
      </c>
      <c r="I95" t="s">
        <v>31</v>
      </c>
      <c r="J95" t="s">
        <v>32</v>
      </c>
      <c r="K95" t="s">
        <v>33</v>
      </c>
      <c r="L95" t="s">
        <v>34</v>
      </c>
      <c r="M95" t="s">
        <v>35</v>
      </c>
      <c r="N95" t="s">
        <v>36</v>
      </c>
    </row>
    <row r="96" spans="7:14">
      <c r="G96" s="8">
        <f>G85+$F$14</f>
        <v>0.35604491601794042</v>
      </c>
      <c r="H96" s="8">
        <f>H85+$G$14</f>
        <v>3.8642206892799922</v>
      </c>
      <c r="I96" s="8">
        <f>G96-$B$18</f>
        <v>0.35604491601794042</v>
      </c>
      <c r="J96" s="8">
        <f>H96-$C$18</f>
        <v>3.8642206892799922</v>
      </c>
      <c r="K96" s="8">
        <f>I96*J96</f>
        <v>1.3758361307894826</v>
      </c>
      <c r="L96" s="8">
        <f>I96^2</f>
        <v>0.12676798222222224</v>
      </c>
      <c r="M96" s="8">
        <f>H96-$B$19*G96</f>
        <v>0.47381602804385459</v>
      </c>
      <c r="N96" s="8">
        <f>M96^2</f>
        <v>0.22450162843125479</v>
      </c>
    </row>
    <row r="97" spans="7:14">
      <c r="G97" s="8">
        <f t="shared" ref="G97:G98" si="38">G86+$F$14</f>
        <v>0.35604491601794042</v>
      </c>
      <c r="H97" s="8">
        <f t="shared" ref="H97:H100" si="39">H86+$G$14</f>
        <v>3.8642206892799922</v>
      </c>
      <c r="I97" s="8">
        <f t="shared" ref="I97:I104" si="40">G97-$B$18</f>
        <v>0.35604491601794042</v>
      </c>
      <c r="J97" s="8">
        <f t="shared" ref="J97:J105" si="41">H97-$C$18</f>
        <v>3.8642206892799922</v>
      </c>
      <c r="K97" s="8">
        <f t="shared" ref="K97:K104" si="42">I97*J97</f>
        <v>1.3758361307894826</v>
      </c>
      <c r="L97" s="8">
        <f t="shared" ref="L97" si="43">I97^2</f>
        <v>0.12676798222222224</v>
      </c>
      <c r="M97" s="8">
        <f t="shared" ref="M97:M98" si="44">H97-$B$19*G97</f>
        <v>0.47381602804385459</v>
      </c>
      <c r="N97" s="8">
        <f t="shared" ref="N97:N105" si="45">M97^2</f>
        <v>0.22450162843125479</v>
      </c>
    </row>
    <row r="98" spans="7:14">
      <c r="G98" s="8">
        <f t="shared" si="38"/>
        <v>0.35604491601794042</v>
      </c>
      <c r="H98" s="8">
        <f t="shared" si="39"/>
        <v>3.8642206892799922</v>
      </c>
      <c r="I98" s="8">
        <f t="shared" si="40"/>
        <v>0.35604491601794042</v>
      </c>
      <c r="J98" s="8">
        <f t="shared" si="41"/>
        <v>3.8642206892799922</v>
      </c>
      <c r="K98" s="8">
        <f t="shared" si="42"/>
        <v>1.3758361307894826</v>
      </c>
      <c r="L98" s="8">
        <f>I98^2</f>
        <v>0.12676798222222224</v>
      </c>
      <c r="M98" s="8">
        <f t="shared" si="44"/>
        <v>0.47381602804385459</v>
      </c>
      <c r="N98" s="8">
        <f t="shared" si="45"/>
        <v>0.22450162843125479</v>
      </c>
    </row>
    <row r="99" spans="7:14">
      <c r="G99" s="8">
        <f>G88+$F$14</f>
        <v>0.35604491601794042</v>
      </c>
      <c r="H99" s="8">
        <f t="shared" si="39"/>
        <v>3.8642206892799922</v>
      </c>
      <c r="I99" s="8">
        <f t="shared" si="40"/>
        <v>0.35604491601794042</v>
      </c>
      <c r="J99" s="8">
        <f t="shared" si="41"/>
        <v>3.8642206892799922</v>
      </c>
      <c r="K99" s="8">
        <f t="shared" si="42"/>
        <v>1.3758361307894826</v>
      </c>
      <c r="L99" s="8">
        <f t="shared" ref="L99:L105" si="46">I99^2</f>
        <v>0.12676798222222224</v>
      </c>
      <c r="M99" s="8">
        <f>H99-$B$19*G99</f>
        <v>0.47381602804385459</v>
      </c>
      <c r="N99" s="8">
        <f t="shared" si="45"/>
        <v>0.22450162843125479</v>
      </c>
    </row>
    <row r="100" spans="7:14">
      <c r="G100" s="8">
        <f>G89+$F$14</f>
        <v>0.35604491601794042</v>
      </c>
      <c r="H100" s="8">
        <f t="shared" si="39"/>
        <v>3.8642206892799922</v>
      </c>
      <c r="I100" s="8">
        <f t="shared" si="40"/>
        <v>0.35604491601794042</v>
      </c>
      <c r="J100" s="8">
        <f t="shared" si="41"/>
        <v>3.8642206892799922</v>
      </c>
      <c r="K100" s="8">
        <f t="shared" si="42"/>
        <v>1.3758361307894826</v>
      </c>
      <c r="L100" s="8">
        <f t="shared" si="46"/>
        <v>0.12676798222222224</v>
      </c>
      <c r="M100" s="8">
        <f>H100-$B$19*G100</f>
        <v>0.47381602804385459</v>
      </c>
      <c r="N100" s="8">
        <f t="shared" si="45"/>
        <v>0.22450162843125479</v>
      </c>
    </row>
    <row r="101" spans="7:14">
      <c r="G101" s="8">
        <f>G85-$F$14</f>
        <v>-0.35604491601794042</v>
      </c>
      <c r="H101" s="8">
        <f>H85-$G$14</f>
        <v>-3.8642206892799922</v>
      </c>
      <c r="I101" s="8">
        <f t="shared" si="40"/>
        <v>-0.35604491601794042</v>
      </c>
      <c r="J101" s="8">
        <f t="shared" si="41"/>
        <v>-3.8642206892799922</v>
      </c>
      <c r="K101" s="8">
        <f t="shared" si="42"/>
        <v>1.3758361307894826</v>
      </c>
      <c r="L101" s="8">
        <f t="shared" si="46"/>
        <v>0.12676798222222224</v>
      </c>
      <c r="M101" s="8">
        <f t="shared" ref="M101:M105" si="47">H101-$B$19*G101</f>
        <v>-0.47381602804385459</v>
      </c>
      <c r="N101" s="8">
        <f t="shared" si="45"/>
        <v>0.22450162843125479</v>
      </c>
    </row>
    <row r="102" spans="7:14">
      <c r="G102" s="8">
        <f t="shared" ref="G102:G104" si="48">G86-$F$14</f>
        <v>-0.35604491601794042</v>
      </c>
      <c r="H102" s="8">
        <f t="shared" ref="H102:H105" si="49">H86-$G$14</f>
        <v>-3.8642206892799922</v>
      </c>
      <c r="I102" s="8">
        <f t="shared" si="40"/>
        <v>-0.35604491601794042</v>
      </c>
      <c r="J102" s="8">
        <f t="shared" si="41"/>
        <v>-3.8642206892799922</v>
      </c>
      <c r="K102" s="8">
        <f t="shared" si="42"/>
        <v>1.3758361307894826</v>
      </c>
      <c r="L102" s="8">
        <f t="shared" si="46"/>
        <v>0.12676798222222224</v>
      </c>
      <c r="M102" s="8">
        <f t="shared" si="47"/>
        <v>-0.47381602804385459</v>
      </c>
      <c r="N102" s="8">
        <f t="shared" si="45"/>
        <v>0.22450162843125479</v>
      </c>
    </row>
    <row r="103" spans="7:14">
      <c r="G103" s="8">
        <f t="shared" si="48"/>
        <v>-0.35604491601794042</v>
      </c>
      <c r="H103" s="8">
        <f t="shared" si="49"/>
        <v>-3.8642206892799922</v>
      </c>
      <c r="I103" s="8">
        <f t="shared" si="40"/>
        <v>-0.35604491601794042</v>
      </c>
      <c r="J103" s="8">
        <f t="shared" si="41"/>
        <v>-3.8642206892799922</v>
      </c>
      <c r="K103" s="8">
        <f t="shared" si="42"/>
        <v>1.3758361307894826</v>
      </c>
      <c r="L103" s="8">
        <f t="shared" si="46"/>
        <v>0.12676798222222224</v>
      </c>
      <c r="M103" s="8">
        <f t="shared" si="47"/>
        <v>-0.47381602804385459</v>
      </c>
      <c r="N103" s="8">
        <f t="shared" si="45"/>
        <v>0.22450162843125479</v>
      </c>
    </row>
    <row r="104" spans="7:14">
      <c r="G104" s="8">
        <f t="shared" si="48"/>
        <v>-0.35604491601794042</v>
      </c>
      <c r="H104" s="8">
        <f>H88-$G$14</f>
        <v>-3.8642206892799922</v>
      </c>
      <c r="I104" s="8">
        <f t="shared" si="40"/>
        <v>-0.35604491601794042</v>
      </c>
      <c r="J104" s="8">
        <f t="shared" si="41"/>
        <v>-3.8642206892799922</v>
      </c>
      <c r="K104" s="8">
        <f t="shared" si="42"/>
        <v>1.3758361307894826</v>
      </c>
      <c r="L104" s="8">
        <f t="shared" si="46"/>
        <v>0.12676798222222224</v>
      </c>
      <c r="M104" s="8">
        <f t="shared" si="47"/>
        <v>-0.47381602804385459</v>
      </c>
      <c r="N104" s="8">
        <f t="shared" si="45"/>
        <v>0.22450162843125479</v>
      </c>
    </row>
    <row r="105" spans="7:14">
      <c r="G105" s="8">
        <f>G89-$F$14</f>
        <v>-0.35604491601794042</v>
      </c>
      <c r="H105" s="8">
        <f t="shared" si="49"/>
        <v>-3.8642206892799922</v>
      </c>
      <c r="I105" s="8">
        <f>G105-$B$18</f>
        <v>-0.35604491601794042</v>
      </c>
      <c r="J105" s="8">
        <f t="shared" si="41"/>
        <v>-3.8642206892799922</v>
      </c>
      <c r="K105" s="8">
        <f>I105*J105</f>
        <v>1.3758361307894826</v>
      </c>
      <c r="L105" s="8">
        <f t="shared" si="46"/>
        <v>0.12676798222222224</v>
      </c>
      <c r="M105" s="8">
        <f t="shared" si="47"/>
        <v>-0.47381602804385459</v>
      </c>
      <c r="N105" s="8">
        <f t="shared" si="45"/>
        <v>0.22450162843125479</v>
      </c>
    </row>
  </sheetData>
  <mergeCells count="18">
    <mergeCell ref="N4:N8"/>
    <mergeCell ref="O4:O8"/>
    <mergeCell ref="P4:P8"/>
    <mergeCell ref="A3:A4"/>
    <mergeCell ref="B3:E3"/>
    <mergeCell ref="F3:G3"/>
    <mergeCell ref="N9:N13"/>
    <mergeCell ref="O9:O13"/>
    <mergeCell ref="P9:P13"/>
    <mergeCell ref="N14:N18"/>
    <mergeCell ref="O14:O18"/>
    <mergeCell ref="P14:P18"/>
    <mergeCell ref="N19:N23"/>
    <mergeCell ref="O19:O23"/>
    <mergeCell ref="P19:P23"/>
    <mergeCell ref="N24:N28"/>
    <mergeCell ref="O24:O28"/>
    <mergeCell ref="P24:P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2023-03-10T09:29:29Z</dcterms:created>
  <dcterms:modified xsi:type="dcterms:W3CDTF">2023-03-31T12:08:28Z</dcterms:modified>
</cp:coreProperties>
</file>