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ilyaa/dev/itmo-uni/sem2/MCH/lab1.04/"/>
    </mc:Choice>
  </mc:AlternateContent>
  <xr:revisionPtr revIDLastSave="0" documentId="13_ncr:1_{385B1713-1DAB-EB44-8471-6BF0CC878E4A}" xr6:coauthVersionLast="47" xr6:coauthVersionMax="47" xr10:uidLastSave="{00000000-0000-0000-0000-000000000000}"/>
  <bookViews>
    <workbookView xWindow="0" yWindow="480" windowWidth="14120" windowHeight="20520" xr2:uid="{00000000-000D-0000-FFFF-FFFF00000000}"/>
  </bookViews>
  <sheets>
    <sheet name="Лист1" sheetId="1" r:id="rId1"/>
  </sheets>
  <definedNames>
    <definedName name="_xlchart.v2.0" hidden="1">Лист1!$AB$3</definedName>
    <definedName name="_xlchart.v2.1" hidden="1">Лист1!$AB$4:$AB$8</definedName>
    <definedName name="_xlchart.v2.2" hidden="1">Лист1!$AC$3</definedName>
    <definedName name="_xlchart.v2.3" hidden="1">Лист1!$AC$4:$AC$8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uj8+Ffv8HLYHcoNu6WKg8A/2+lw=="/>
    </ext>
  </extLst>
</workbook>
</file>

<file path=xl/calcChain.xml><?xml version="1.0" encoding="utf-8"?>
<calcChain xmlns="http://schemas.openxmlformats.org/spreadsheetml/2006/main">
  <c r="S58" i="1" l="1"/>
  <c r="T63" i="1" s="1"/>
  <c r="P37" i="1" s="1"/>
  <c r="AC5" i="1"/>
  <c r="AC6" i="1"/>
  <c r="AC7" i="1"/>
  <c r="AC8" i="1"/>
  <c r="AC4" i="1"/>
  <c r="L24" i="1"/>
  <c r="L25" i="1" s="1"/>
  <c r="T24" i="1"/>
  <c r="K25" i="1"/>
  <c r="K24" i="1"/>
  <c r="O25" i="1"/>
  <c r="N25" i="1"/>
  <c r="M25" i="1"/>
  <c r="L26" i="1"/>
  <c r="K26" i="1"/>
  <c r="K27" i="1"/>
  <c r="J8" i="1"/>
  <c r="M5" i="1" s="1"/>
  <c r="M8" i="1"/>
  <c r="M7" i="1"/>
  <c r="M6" i="1"/>
  <c r="M4" i="1"/>
  <c r="M3" i="1"/>
  <c r="J2" i="1"/>
  <c r="M18" i="1"/>
  <c r="K18" i="1"/>
  <c r="J18" i="1"/>
  <c r="U29" i="1"/>
  <c r="T29" i="1"/>
  <c r="U28" i="1"/>
  <c r="T28" i="1"/>
  <c r="U27" i="1"/>
  <c r="T27" i="1"/>
  <c r="U26" i="1"/>
  <c r="T26" i="1"/>
  <c r="U25" i="1"/>
  <c r="T25" i="1"/>
  <c r="U24" i="1"/>
  <c r="P23" i="1"/>
  <c r="O23" i="1"/>
  <c r="N23" i="1"/>
  <c r="M23" i="1"/>
  <c r="L23" i="1"/>
  <c r="K23" i="1"/>
  <c r="H18" i="1"/>
  <c r="R12" i="1" s="1"/>
  <c r="G18" i="1"/>
  <c r="Q12" i="1" s="1"/>
  <c r="Q13" i="1" s="1"/>
  <c r="F18" i="1"/>
  <c r="P12" i="1" s="1"/>
  <c r="E18" i="1"/>
  <c r="O12" i="1" s="1"/>
  <c r="D18" i="1"/>
  <c r="N12" i="1" s="1"/>
  <c r="C18" i="1"/>
  <c r="M12" i="1" s="1"/>
  <c r="B18" i="1"/>
  <c r="B17" i="1"/>
  <c r="B16" i="1"/>
  <c r="B15" i="1"/>
  <c r="H14" i="1"/>
  <c r="R9" i="1" s="1"/>
  <c r="R10" i="1" s="1"/>
  <c r="G14" i="1"/>
  <c r="Q9" i="1" s="1"/>
  <c r="F14" i="1"/>
  <c r="P9" i="1" s="1"/>
  <c r="E14" i="1"/>
  <c r="O9" i="1" s="1"/>
  <c r="D14" i="1"/>
  <c r="N9" i="1" s="1"/>
  <c r="C14" i="1"/>
  <c r="M9" i="1" s="1"/>
  <c r="B14" i="1"/>
  <c r="B13" i="1"/>
  <c r="B12" i="1"/>
  <c r="B11" i="1"/>
  <c r="H10" i="1"/>
  <c r="R6" i="1" s="1"/>
  <c r="G10" i="1"/>
  <c r="Q6" i="1" s="1"/>
  <c r="F10" i="1"/>
  <c r="P6" i="1" s="1"/>
  <c r="P8" i="1" s="1"/>
  <c r="D65" i="1" s="1"/>
  <c r="E10" i="1"/>
  <c r="O6" i="1" s="1"/>
  <c r="D10" i="1"/>
  <c r="N6" i="1" s="1"/>
  <c r="C10" i="1"/>
  <c r="B10" i="1"/>
  <c r="B9" i="1"/>
  <c r="B8" i="1"/>
  <c r="B7" i="1"/>
  <c r="J6" i="1"/>
  <c r="H6" i="1"/>
  <c r="R3" i="1" s="1"/>
  <c r="G6" i="1"/>
  <c r="Q3" i="1" s="1"/>
  <c r="Q4" i="1" s="1"/>
  <c r="F6" i="1"/>
  <c r="P3" i="1" s="1"/>
  <c r="E6" i="1"/>
  <c r="O3" i="1" s="1"/>
  <c r="D6" i="1"/>
  <c r="N3" i="1" s="1"/>
  <c r="C6" i="1"/>
  <c r="J19" i="1" s="1"/>
  <c r="M14" i="1" l="1"/>
  <c r="R14" i="1"/>
  <c r="F68" i="1" s="1"/>
  <c r="R13" i="1"/>
  <c r="F67" i="1" s="1"/>
  <c r="F70" i="1"/>
  <c r="Q14" i="1"/>
  <c r="F71" i="1" s="1"/>
  <c r="P14" i="1"/>
  <c r="F65" i="1" s="1"/>
  <c r="P13" i="1"/>
  <c r="F64" i="1" s="1"/>
  <c r="O14" i="1"/>
  <c r="F62" i="1" s="1"/>
  <c r="O13" i="1"/>
  <c r="F61" i="1" s="1"/>
  <c r="N14" i="1"/>
  <c r="F59" i="1" s="1"/>
  <c r="N13" i="1"/>
  <c r="F58" i="1" s="1"/>
  <c r="F56" i="1"/>
  <c r="M13" i="1"/>
  <c r="F55" i="1" s="1"/>
  <c r="Q10" i="1"/>
  <c r="E70" i="1" s="1"/>
  <c r="Q11" i="1"/>
  <c r="E71" i="1" s="1"/>
  <c r="P10" i="1"/>
  <c r="E64" i="1" s="1"/>
  <c r="P11" i="1"/>
  <c r="E65" i="1" s="1"/>
  <c r="O10" i="1"/>
  <c r="E61" i="1" s="1"/>
  <c r="O11" i="1"/>
  <c r="E62" i="1" s="1"/>
  <c r="N11" i="1"/>
  <c r="E59" i="1" s="1"/>
  <c r="N10" i="1"/>
  <c r="E58" i="1" s="1"/>
  <c r="M10" i="1"/>
  <c r="E55" i="1" s="1"/>
  <c r="M11" i="1"/>
  <c r="E56" i="1" s="1"/>
  <c r="R8" i="1"/>
  <c r="D68" i="1" s="1"/>
  <c r="R7" i="1"/>
  <c r="D67" i="1" s="1"/>
  <c r="Q8" i="1"/>
  <c r="D71" i="1" s="1"/>
  <c r="Q7" i="1"/>
  <c r="D70" i="1" s="1"/>
  <c r="O7" i="1"/>
  <c r="D61" i="1" s="1"/>
  <c r="O8" i="1"/>
  <c r="D62" i="1" s="1"/>
  <c r="N8" i="1"/>
  <c r="D59" i="1" s="1"/>
  <c r="N7" i="1"/>
  <c r="D58" i="1" s="1"/>
  <c r="D56" i="1"/>
  <c r="D55" i="1"/>
  <c r="R4" i="1"/>
  <c r="C67" i="1" s="1"/>
  <c r="R5" i="1"/>
  <c r="C68" i="1" s="1"/>
  <c r="P5" i="1"/>
  <c r="C65" i="1" s="1"/>
  <c r="P4" i="1"/>
  <c r="C64" i="1" s="1"/>
  <c r="O5" i="1"/>
  <c r="C62" i="1" s="1"/>
  <c r="O4" i="1"/>
  <c r="C61" i="1" s="1"/>
  <c r="N5" i="1"/>
  <c r="C59" i="1" s="1"/>
  <c r="N4" i="1"/>
  <c r="C58" i="1" s="1"/>
  <c r="P57" i="1"/>
  <c r="J20" i="1"/>
  <c r="C70" i="1"/>
  <c r="E67" i="1"/>
  <c r="Q5" i="1"/>
  <c r="R11" i="1"/>
  <c r="E68" i="1" s="1"/>
  <c r="U30" i="1"/>
  <c r="P7" i="1"/>
  <c r="D64" i="1" s="1"/>
  <c r="N26" i="1" l="1"/>
  <c r="M27" i="1"/>
  <c r="O27" i="1"/>
  <c r="M26" i="1"/>
  <c r="P27" i="1"/>
  <c r="L27" i="1"/>
  <c r="P59" i="1"/>
  <c r="C56" i="1"/>
  <c r="C55" i="1"/>
  <c r="P26" i="1"/>
  <c r="N27" i="1"/>
  <c r="O26" i="1"/>
  <c r="C71" i="1"/>
  <c r="N24" i="1" l="1"/>
  <c r="V27" i="1" s="1"/>
  <c r="M24" i="1"/>
  <c r="O24" i="1"/>
  <c r="M57" i="1" s="1"/>
  <c r="P24" i="1"/>
  <c r="P25" i="1" s="1"/>
  <c r="L58" i="1" l="1"/>
  <c r="K57" i="1"/>
  <c r="V26" i="1"/>
  <c r="K58" i="1"/>
  <c r="V28" i="1"/>
  <c r="J57" i="1"/>
  <c r="J58" i="1"/>
  <c r="V25" i="1"/>
  <c r="M58" i="1"/>
  <c r="N58" i="1"/>
  <c r="V29" i="1"/>
  <c r="N57" i="1"/>
  <c r="L57" i="1" l="1"/>
  <c r="V24" i="1"/>
  <c r="V30" i="1" s="1"/>
  <c r="I58" i="1"/>
  <c r="I57" i="1" l="1"/>
  <c r="S56" i="1"/>
  <c r="O38" i="1" l="1"/>
  <c r="S57" i="1"/>
  <c r="O37" i="1" l="1"/>
  <c r="W24" i="1"/>
  <c r="W26" i="1"/>
  <c r="W25" i="1"/>
  <c r="W27" i="1"/>
  <c r="W28" i="1"/>
  <c r="W29" i="1"/>
  <c r="T59" i="1"/>
  <c r="T60" i="1"/>
  <c r="T64" i="1" l="1"/>
  <c r="P38" i="1" s="1"/>
</calcChain>
</file>

<file path=xl/sharedStrings.xml><?xml version="1.0" encoding="utf-8"?>
<sst xmlns="http://schemas.openxmlformats.org/spreadsheetml/2006/main" count="74" uniqueCount="51">
  <si>
    <t>Масса груза, гр</t>
  </si>
  <si>
    <t>Положение утяжелителей</t>
  </si>
  <si>
    <t>dt1</t>
  </si>
  <si>
    <t>1 риска</t>
  </si>
  <si>
    <t>2 риска</t>
  </si>
  <si>
    <t>3 риска</t>
  </si>
  <si>
    <t>4 риска</t>
  </si>
  <si>
    <t>5 риска</t>
  </si>
  <si>
    <t>6 риска</t>
  </si>
  <si>
    <t xml:space="preserve">        m1</t>
  </si>
  <si>
    <t>t1</t>
  </si>
  <si>
    <t>h</t>
  </si>
  <si>
    <t>m1</t>
  </si>
  <si>
    <t>a</t>
  </si>
  <si>
    <t>t2</t>
  </si>
  <si>
    <t>ε</t>
  </si>
  <si>
    <t>t3</t>
  </si>
  <si>
    <t>d</t>
  </si>
  <si>
    <t>M</t>
  </si>
  <si>
    <t>tср</t>
  </si>
  <si>
    <t>m2</t>
  </si>
  <si>
    <t>m</t>
  </si>
  <si>
    <t>g</t>
  </si>
  <si>
    <t>m3</t>
  </si>
  <si>
    <t>m4</t>
  </si>
  <si>
    <t>(ti-tср)^2</t>
  </si>
  <si>
    <t>СКО</t>
  </si>
  <si>
    <t>dt_cp</t>
  </si>
  <si>
    <t>М = Мтр + Iε</t>
  </si>
  <si>
    <t>R</t>
  </si>
  <si>
    <t>R^2</t>
  </si>
  <si>
    <t>I</t>
  </si>
  <si>
    <t>d_i^2</t>
  </si>
  <si>
    <t>Mтр</t>
  </si>
  <si>
    <t>Mcр</t>
  </si>
  <si>
    <t>εcp</t>
  </si>
  <si>
    <t>Средние:</t>
  </si>
  <si>
    <t>В вывод:</t>
  </si>
  <si>
    <t>Погрешность:</t>
  </si>
  <si>
    <t>i_0</t>
  </si>
  <si>
    <t>mут</t>
  </si>
  <si>
    <t>dh</t>
  </si>
  <si>
    <t>da</t>
  </si>
  <si>
    <t>4*mут</t>
  </si>
  <si>
    <t>I0</t>
  </si>
  <si>
    <t>dd</t>
  </si>
  <si>
    <t>dε</t>
  </si>
  <si>
    <t>D</t>
  </si>
  <si>
    <t>S_I_0</t>
  </si>
  <si>
    <t>S_4mут</t>
  </si>
  <si>
    <t>Риска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</si>
</sst>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6" formatCode="0.00000"/>
    <numFmt numFmtId="167" formatCode="0.0000000000"/>
    <numFmt numFmtId="168" formatCode="0.0E+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i/>
      <sz val="11"/>
      <color rgb="FF7F7F7F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A5A5A5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6" xfId="0" applyFont="1" applyFill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0" borderId="13" xfId="0" applyFont="1" applyBorder="1" applyAlignment="1">
      <alignment horizontal="right"/>
    </xf>
    <xf numFmtId="164" fontId="1" fillId="2" borderId="12" xfId="0" applyNumberFormat="1" applyFont="1" applyFill="1" applyBorder="1"/>
    <xf numFmtId="0" fontId="3" fillId="0" borderId="10" xfId="0" applyFont="1" applyBorder="1"/>
    <xf numFmtId="0" fontId="1" fillId="0" borderId="12" xfId="0" applyFont="1" applyBorder="1"/>
    <xf numFmtId="0" fontId="1" fillId="2" borderId="12" xfId="0" applyFont="1" applyFill="1" applyBorder="1" applyAlignment="1">
      <alignment horizontal="right"/>
    </xf>
    <xf numFmtId="164" fontId="3" fillId="0" borderId="12" xfId="0" applyNumberFormat="1" applyFont="1" applyBorder="1" applyAlignment="1">
      <alignment horizontal="right"/>
    </xf>
    <xf numFmtId="0" fontId="3" fillId="0" borderId="12" xfId="0" applyFont="1" applyBorder="1"/>
    <xf numFmtId="0" fontId="1" fillId="0" borderId="12" xfId="0" applyFont="1" applyBorder="1" applyAlignment="1">
      <alignment horizontal="right"/>
    </xf>
    <xf numFmtId="165" fontId="1" fillId="0" borderId="12" xfId="0" applyNumberFormat="1" applyFont="1" applyBorder="1"/>
    <xf numFmtId="165" fontId="4" fillId="0" borderId="0" xfId="0" applyNumberFormat="1" applyFont="1"/>
    <xf numFmtId="0" fontId="1" fillId="0" borderId="16" xfId="0" applyFont="1" applyBorder="1"/>
    <xf numFmtId="0" fontId="1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5" fontId="1" fillId="2" borderId="12" xfId="0" applyNumberFormat="1" applyFont="1" applyFill="1" applyBorder="1"/>
    <xf numFmtId="165" fontId="1" fillId="2" borderId="12" xfId="0" applyNumberFormat="1" applyFont="1" applyFill="1" applyBorder="1" applyAlignment="1">
      <alignment horizontal="center"/>
    </xf>
    <xf numFmtId="2" fontId="1" fillId="0" borderId="0" xfId="0" applyNumberFormat="1" applyFont="1"/>
    <xf numFmtId="167" fontId="4" fillId="3" borderId="12" xfId="0" applyNumberFormat="1" applyFont="1" applyFill="1" applyBorder="1"/>
    <xf numFmtId="0" fontId="1" fillId="4" borderId="0" xfId="0" applyFont="1" applyFill="1" applyAlignment="1">
      <alignment horizontal="center"/>
    </xf>
    <xf numFmtId="166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8" fillId="0" borderId="0" xfId="0" applyFont="1"/>
    <xf numFmtId="2" fontId="1" fillId="0" borderId="12" xfId="0" applyNumberFormat="1" applyFont="1" applyBorder="1"/>
    <xf numFmtId="166" fontId="1" fillId="0" borderId="12" xfId="0" applyNumberFormat="1" applyFont="1" applyBorder="1"/>
    <xf numFmtId="168" fontId="1" fillId="0" borderId="12" xfId="0" applyNumberFormat="1" applyFont="1" applyBorder="1"/>
    <xf numFmtId="2" fontId="1" fillId="2" borderId="12" xfId="0" applyNumberFormat="1" applyFont="1" applyFill="1" applyBorder="1"/>
    <xf numFmtId="164" fontId="1" fillId="2" borderId="16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10" xfId="0" applyFont="1" applyBorder="1"/>
    <xf numFmtId="0" fontId="7" fillId="3" borderId="13" xfId="0" applyFont="1" applyFill="1" applyBorder="1" applyAlignment="1">
      <alignment horizontal="center"/>
    </xf>
    <xf numFmtId="0" fontId="2" fillId="0" borderId="5" xfId="0" applyFont="1" applyBorder="1"/>
    <xf numFmtId="167" fontId="4" fillId="2" borderId="13" xfId="0" applyNumberFormat="1" applyFont="1" applyFill="1" applyBorder="1"/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4" xfId="0" applyFont="1" applyBorder="1"/>
    <xf numFmtId="0" fontId="2" fillId="0" borderId="15" xfId="0" applyFont="1" applyBorder="1"/>
    <xf numFmtId="165" fontId="1" fillId="2" borderId="13" xfId="0" applyNumberFormat="1" applyFont="1" applyFill="1" applyBorder="1" applyAlignment="1">
      <alignment horizontal="center"/>
    </xf>
    <xf numFmtId="0" fontId="2" fillId="0" borderId="4" xfId="0" applyFont="1" applyBorder="1"/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9" xfId="0" applyFont="1" applyBorder="1"/>
    <xf numFmtId="0" fontId="9" fillId="0" borderId="0" xfId="0" applyFont="1"/>
    <xf numFmtId="0" fontId="9" fillId="0" borderId="0" xfId="0" applyFont="1" applyFill="1" applyBorder="1"/>
    <xf numFmtId="168" fontId="8" fillId="0" borderId="0" xfId="0" applyNumberFormat="1" applyFont="1"/>
    <xf numFmtId="164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I(R^2)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Лист1!$U$24:$U$29</c:f>
              <c:numCache>
                <c:formatCode>0.00</c:formatCode>
                <c:ptCount val="6"/>
                <c:pt idx="0">
                  <c:v>5.9290000000000002E-3</c:v>
                </c:pt>
                <c:pt idx="1">
                  <c:v>1.0403999999999998E-2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4.0804000000000007E-2</c:v>
                </c:pt>
              </c:numCache>
            </c:numRef>
          </c:xVal>
          <c:yVal>
            <c:numRef>
              <c:f>Лист1!$V$24:$V$29</c:f>
              <c:numCache>
                <c:formatCode>0.00</c:formatCode>
                <c:ptCount val="6"/>
                <c:pt idx="0">
                  <c:v>1.2228932240009706E-2</c:v>
                </c:pt>
                <c:pt idx="1">
                  <c:v>2.6005943666299935E-2</c:v>
                </c:pt>
                <c:pt idx="2">
                  <c:v>3.3322792547826489E-2</c:v>
                </c:pt>
                <c:pt idx="3">
                  <c:v>4.5972570098317886E-2</c:v>
                </c:pt>
                <c:pt idx="4">
                  <c:v>5.5570568719610504E-2</c:v>
                </c:pt>
                <c:pt idx="5">
                  <c:v>5.661904387997161E-2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F-4FC9-B85C-C784DE38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17832"/>
        <c:axId val="367130482"/>
      </c:scatterChart>
      <c:valAx>
        <c:axId val="1873217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67130482"/>
        <c:crosses val="autoZero"/>
        <c:crossBetween val="midCat"/>
      </c:valAx>
      <c:valAx>
        <c:axId val="367130482"/>
        <c:scaling>
          <c:orientation val="minMax"/>
        </c:scaling>
        <c:delete val="0"/>
        <c:axPos val="l"/>
        <c:majorGridlines>
          <c:spPr>
            <a:ln cmpd="sng">
              <a:solidFill>
                <a:srgbClr val="B7B7B7">
                  <a:alpha val="76000"/>
                </a:srgbClr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732178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Зависимость </a:t>
            </a:r>
            <a:r>
              <a:rPr lang="en-US" sz="1400" b="0" i="0">
                <a:solidFill>
                  <a:srgbClr val="757575"/>
                </a:solidFill>
                <a:latin typeface="+mn-lt"/>
              </a:rPr>
              <a:t>M(</a:t>
            </a:r>
            <a:r>
              <a:rPr lang="el-GR" sz="1400" b="0" i="0">
                <a:solidFill>
                  <a:srgbClr val="757575"/>
                </a:solidFill>
                <a:latin typeface="+mn-lt"/>
              </a:rPr>
              <a:t>ε)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1313995152016"/>
          <c:y val="0.24288604785707435"/>
          <c:w val="0.87083438742547858"/>
          <c:h val="0.63794152497888479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Лист1!$C$55:$F$55</c:f>
              <c:numCache>
                <c:formatCode>0.00000</c:formatCode>
                <c:ptCount val="4"/>
                <c:pt idx="0">
                  <c:v>3.2266649956297888</c:v>
                </c:pt>
                <c:pt idx="1">
                  <c:v>5.7392293681650504</c:v>
                </c:pt>
                <c:pt idx="2">
                  <c:v>10.480116598782962</c:v>
                </c:pt>
                <c:pt idx="3">
                  <c:v>11.309000672077755</c:v>
                </c:pt>
              </c:numCache>
            </c:numRef>
          </c:xVal>
          <c:yVal>
            <c:numRef>
              <c:f>Лист1!$C$56:$F$56</c:f>
              <c:numCache>
                <c:formatCode>0.00000</c:formatCode>
                <c:ptCount val="4"/>
                <c:pt idx="0">
                  <c:v>4.9309025527808602E-2</c:v>
                </c:pt>
                <c:pt idx="1">
                  <c:v>8.7561495552046578E-2</c:v>
                </c:pt>
                <c:pt idx="2">
                  <c:v>0.12468688980869198</c:v>
                </c:pt>
                <c:pt idx="3">
                  <c:v>0.16247386381826395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F-4CB6-AD0A-D659BE65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94634"/>
        <c:axId val="622460932"/>
      </c:scatterChart>
      <c:valAx>
        <c:axId val="467894634"/>
        <c:scaling>
          <c:orientation val="minMax"/>
          <c:max val="1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22460932"/>
        <c:crosses val="autoZero"/>
        <c:crossBetween val="midCat"/>
      </c:valAx>
      <c:valAx>
        <c:axId val="622460932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678946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</a:t>
            </a:r>
            <a:r>
              <a:rPr lang="el-GR"/>
              <a:t>ε</a:t>
            </a:r>
            <a:r>
              <a:rPr lang="en-US"/>
              <a:t>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Лист1!$Y$3:$Z$3</c:f>
              <c:strCache>
                <c:ptCount val="1"/>
                <c:pt idx="0">
                  <c:v>M 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Лист1!$Z$4:$Z$7</c:f>
              <c:numCache>
                <c:formatCode>0.00</c:formatCode>
                <c:ptCount val="4"/>
                <c:pt idx="0">
                  <c:v>3.2266649956297888</c:v>
                </c:pt>
                <c:pt idx="1">
                  <c:v>5.7392293681650504</c:v>
                </c:pt>
                <c:pt idx="2">
                  <c:v>10.480116598782962</c:v>
                </c:pt>
                <c:pt idx="3">
                  <c:v>11.309000672077755</c:v>
                </c:pt>
              </c:numCache>
            </c:numRef>
          </c:xVal>
          <c:yVal>
            <c:numRef>
              <c:f>Лист1!$Y$4:$Y$7</c:f>
              <c:numCache>
                <c:formatCode>0.00</c:formatCode>
                <c:ptCount val="4"/>
                <c:pt idx="0">
                  <c:v>4.9309025527808602E-2</c:v>
                </c:pt>
                <c:pt idx="1">
                  <c:v>8.7561495552046578E-2</c:v>
                </c:pt>
                <c:pt idx="2">
                  <c:v>0.12468688980869198</c:v>
                </c:pt>
                <c:pt idx="3">
                  <c:v>0.16247386381826395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C749-8917-CA6ABE7C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70144"/>
        <c:axId val="252972144"/>
      </c:scatterChart>
      <c:valAx>
        <c:axId val="2529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972144"/>
        <c:crosses val="autoZero"/>
        <c:crossBetween val="midCat"/>
      </c:valAx>
      <c:valAx>
        <c:axId val="252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9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I(R^2)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Лист1!$AC$3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Лист1!$AB$4:$AB$8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3.4000000000000002E-2</c:v>
                </c:pt>
                <c:pt idx="4">
                  <c:v>4.1000000000000002E-2</c:v>
                </c:pt>
              </c:numCache>
            </c:numRef>
          </c:xVal>
          <c:yVal>
            <c:numRef>
              <c:f>Лист1!$AC$4:$AC$8</c:f>
              <c:numCache>
                <c:formatCode>General</c:formatCode>
                <c:ptCount val="5"/>
                <c:pt idx="0">
                  <c:v>2.3800000000000002E-2</c:v>
                </c:pt>
                <c:pt idx="1">
                  <c:v>3.6600000000000001E-2</c:v>
                </c:pt>
                <c:pt idx="2">
                  <c:v>4.2999999999999997E-2</c:v>
                </c:pt>
                <c:pt idx="3">
                  <c:v>5.4519999999999999E-2</c:v>
                </c:pt>
                <c:pt idx="4">
                  <c:v>6.3480000000000009E-2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8-EC47-B320-A6146C2A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61168"/>
        <c:axId val="253162896"/>
      </c:scatterChart>
      <c:valAx>
        <c:axId val="2531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62896"/>
        <c:crosses val="autoZero"/>
        <c:crossBetween val="midCat"/>
      </c:valAx>
      <c:valAx>
        <c:axId val="25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66675</xdr:colOff>
      <xdr:row>0</xdr:row>
      <xdr:rowOff>47625</xdr:rowOff>
    </xdr:from>
    <xdr:ext cx="4105275" cy="2762250"/>
    <xdr:graphicFrame macro="">
      <xdr:nvGraphicFramePr>
        <xdr:cNvPr id="192207683" name="Chart 1" title="Диаграмма">
          <a:extLst>
            <a:ext uri="{FF2B5EF4-FFF2-40B4-BE49-F238E27FC236}">
              <a16:creationId xmlns:a16="http://schemas.microsoft.com/office/drawing/2014/main" id="{00000000-0008-0000-0000-000043DB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5419725" cy="2895600"/>
    <xdr:graphicFrame macro="">
      <xdr:nvGraphicFramePr>
        <xdr:cNvPr id="278851133" name="Chart 2" title="Диаграмма">
          <a:extLst>
            <a:ext uri="{FF2B5EF4-FFF2-40B4-BE49-F238E27FC236}">
              <a16:creationId xmlns:a16="http://schemas.microsoft.com/office/drawing/2014/main" id="{00000000-0008-0000-0000-00003DEE9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23</xdr:col>
      <xdr:colOff>91372</xdr:colOff>
      <xdr:row>30</xdr:row>
      <xdr:rowOff>161053</xdr:rowOff>
    </xdr:from>
    <xdr:to>
      <xdr:col>30</xdr:col>
      <xdr:colOff>358635</xdr:colOff>
      <xdr:row>48</xdr:row>
      <xdr:rowOff>99689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9F9EF8-9901-60A1-84BD-3D2F024DF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377628</xdr:colOff>
      <xdr:row>10</xdr:row>
      <xdr:rowOff>50125</xdr:rowOff>
    </xdr:from>
    <xdr:to>
      <xdr:col>31</xdr:col>
      <xdr:colOff>516991</xdr:colOff>
      <xdr:row>28</xdr:row>
      <xdr:rowOff>191061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EB7BD9-7C9E-8532-F041-54167795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J18" zoomScale="125" zoomScaleNormal="140" workbookViewId="0">
      <selection activeCell="P38" sqref="P38:Q38"/>
    </sheetView>
  </sheetViews>
  <sheetFormatPr baseColWidth="10" defaultColWidth="12.6640625" defaultRowHeight="15" customHeight="1" x14ac:dyDescent="0.15"/>
  <cols>
    <col min="1" max="1" width="12.6640625" customWidth="1"/>
    <col min="2" max="2" width="3" customWidth="1"/>
    <col min="3" max="8" width="8" customWidth="1"/>
    <col min="9" max="9" width="7.6640625" customWidth="1"/>
    <col min="10" max="10" width="9.83203125" customWidth="1"/>
    <col min="11" max="11" width="9.83203125" bestFit="1" customWidth="1"/>
    <col min="12" max="12" width="9.5" customWidth="1"/>
    <col min="13" max="13" width="10.6640625" bestFit="1" customWidth="1"/>
    <col min="14" max="14" width="9.83203125" bestFit="1" customWidth="1"/>
    <col min="15" max="15" width="10.1640625" customWidth="1"/>
    <col min="16" max="16" width="12.1640625" bestFit="1" customWidth="1"/>
    <col min="17" max="18" width="9.6640625" bestFit="1" customWidth="1"/>
    <col min="19" max="19" width="10.33203125" customWidth="1"/>
    <col min="20" max="20" width="11.83203125" customWidth="1"/>
    <col min="21" max="21" width="10.33203125" customWidth="1"/>
    <col min="22" max="22" width="8.1640625" customWidth="1"/>
    <col min="23" max="23" width="10.33203125" customWidth="1"/>
    <col min="24" max="26" width="7.6640625" customWidth="1"/>
  </cols>
  <sheetData>
    <row r="1" spans="1:29" x14ac:dyDescent="0.2">
      <c r="A1" s="57" t="s">
        <v>0</v>
      </c>
      <c r="B1" s="52"/>
      <c r="C1" s="53" t="s">
        <v>1</v>
      </c>
      <c r="D1" s="51"/>
      <c r="E1" s="51"/>
      <c r="F1" s="51"/>
      <c r="G1" s="51"/>
      <c r="H1" s="40"/>
      <c r="J1" s="1" t="s">
        <v>2</v>
      </c>
      <c r="K1" s="2"/>
      <c r="L1" s="3"/>
      <c r="M1" s="54"/>
      <c r="N1" s="51"/>
      <c r="O1" s="51"/>
      <c r="P1" s="51"/>
      <c r="Q1" s="51"/>
      <c r="R1" s="40"/>
    </row>
    <row r="2" spans="1:29" x14ac:dyDescent="0.2">
      <c r="A2" s="58"/>
      <c r="B2" s="38"/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6">
        <f>M18</f>
        <v>0.10033333333333339</v>
      </c>
      <c r="K2" s="55"/>
      <c r="L2" s="49"/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</row>
    <row r="3" spans="1:29" x14ac:dyDescent="0.2">
      <c r="A3" s="56" t="s">
        <v>9</v>
      </c>
      <c r="B3" s="8" t="s">
        <v>10</v>
      </c>
      <c r="C3" s="9">
        <v>4.38</v>
      </c>
      <c r="D3" s="9">
        <v>4.6399999999999997</v>
      </c>
      <c r="E3" s="9">
        <v>6.04</v>
      </c>
      <c r="F3" s="9">
        <v>6.45</v>
      </c>
      <c r="G3" s="9">
        <v>7.82</v>
      </c>
      <c r="H3" s="9">
        <v>9.6199999999999992</v>
      </c>
      <c r="J3" s="10" t="s">
        <v>11</v>
      </c>
      <c r="K3" s="36" t="s">
        <v>12</v>
      </c>
      <c r="L3" s="11" t="s">
        <v>13</v>
      </c>
      <c r="M3" s="33">
        <f>(2*$J$4)/(C6*C6)</f>
        <v>7.4213294899485138E-2</v>
      </c>
      <c r="N3" s="32">
        <f>(2*$J$4)/(D6*D6)</f>
        <v>6.4747369638108468E-2</v>
      </c>
      <c r="O3" s="32">
        <f t="shared" ref="O3:R3" si="0">(2*$J$4)/(E6*E6)</f>
        <v>3.8417902010567363E-2</v>
      </c>
      <c r="P3" s="32">
        <f t="shared" si="0"/>
        <v>3.253271861986913E-2</v>
      </c>
      <c r="Q3" s="32">
        <f t="shared" si="0"/>
        <v>2.262280953748922E-2</v>
      </c>
      <c r="R3" s="32">
        <f t="shared" si="0"/>
        <v>1.5350456401962666E-2</v>
      </c>
      <c r="Y3" s="11" t="s">
        <v>18</v>
      </c>
      <c r="Z3" s="11" t="s">
        <v>15</v>
      </c>
      <c r="AB3" s="59" t="s">
        <v>30</v>
      </c>
      <c r="AC3" s="60" t="s">
        <v>31</v>
      </c>
    </row>
    <row r="4" spans="1:29" x14ac:dyDescent="0.2">
      <c r="A4" s="37"/>
      <c r="B4" s="12" t="s">
        <v>14</v>
      </c>
      <c r="C4" s="9">
        <v>4.3499999999999996</v>
      </c>
      <c r="D4" s="9">
        <v>4.58</v>
      </c>
      <c r="E4" s="9">
        <v>6.02</v>
      </c>
      <c r="F4" s="9">
        <v>6.54</v>
      </c>
      <c r="G4" s="9">
        <v>7.91</v>
      </c>
      <c r="H4" s="9">
        <v>9.64</v>
      </c>
      <c r="J4" s="13">
        <v>0.7</v>
      </c>
      <c r="K4" s="37"/>
      <c r="L4" s="11" t="s">
        <v>15</v>
      </c>
      <c r="M4" s="32">
        <f>(2*M3)/$J$6</f>
        <v>3.2266649956297888</v>
      </c>
      <c r="N4" s="32">
        <f t="shared" ref="N4:R4" si="1">(2*N3)/$J$6</f>
        <v>2.8151030277438465</v>
      </c>
      <c r="O4" s="32">
        <f t="shared" si="1"/>
        <v>1.6703435656768419</v>
      </c>
      <c r="P4" s="32">
        <f t="shared" si="1"/>
        <v>1.4144660269508318</v>
      </c>
      <c r="Q4" s="32">
        <f t="shared" si="1"/>
        <v>0.98360041467344439</v>
      </c>
      <c r="R4" s="32">
        <f t="shared" si="1"/>
        <v>0.66741114791142031</v>
      </c>
      <c r="Y4" s="32">
        <v>4.9309025527808602E-2</v>
      </c>
      <c r="Z4" s="32">
        <v>3.2266649956297888</v>
      </c>
      <c r="AB4">
        <v>0.01</v>
      </c>
      <c r="AC4">
        <f>0.011+AB4*1.28</f>
        <v>2.3800000000000002E-2</v>
      </c>
    </row>
    <row r="5" spans="1:29" x14ac:dyDescent="0.2">
      <c r="A5" s="37"/>
      <c r="B5" s="12" t="s">
        <v>16</v>
      </c>
      <c r="C5" s="9">
        <v>4.3</v>
      </c>
      <c r="D5" s="9">
        <v>4.7300000000000004</v>
      </c>
      <c r="E5" s="9">
        <v>6.05</v>
      </c>
      <c r="F5" s="9">
        <v>6.69</v>
      </c>
      <c r="G5" s="9">
        <v>7.87</v>
      </c>
      <c r="H5" s="9">
        <v>9.39</v>
      </c>
      <c r="J5" s="10" t="s">
        <v>17</v>
      </c>
      <c r="K5" s="38"/>
      <c r="L5" s="11" t="s">
        <v>18</v>
      </c>
      <c r="M5" s="32">
        <f>(($J$6*($J$8+0.047))*(9.81908-M3))/2</f>
        <v>4.9309025527808602E-2</v>
      </c>
      <c r="N5" s="32">
        <f t="shared" ref="N5:R5" si="2">(($J$6*($J$8+0.047))*(9.81908-N3))/2</f>
        <v>4.9356923109631162E-2</v>
      </c>
      <c r="O5" s="32">
        <f t="shared" si="2"/>
        <v>4.9490150215826527E-2</v>
      </c>
      <c r="P5" s="32">
        <f t="shared" si="2"/>
        <v>4.9519929243783456E-2</v>
      </c>
      <c r="Q5" s="32">
        <f t="shared" si="2"/>
        <v>4.9570073383740296E-2</v>
      </c>
      <c r="R5" s="32">
        <f t="shared" si="2"/>
        <v>4.960687149060606E-2</v>
      </c>
      <c r="Y5" s="32">
        <v>8.7561495552046578E-2</v>
      </c>
      <c r="Z5" s="32">
        <v>5.7392293681650504</v>
      </c>
      <c r="AB5">
        <v>0.02</v>
      </c>
      <c r="AC5">
        <f t="shared" ref="AC5:AC8" si="3">0.011+AB5*1.28</f>
        <v>3.6600000000000001E-2</v>
      </c>
    </row>
    <row r="6" spans="1:29" x14ac:dyDescent="0.2">
      <c r="A6" s="38"/>
      <c r="B6" s="12" t="s">
        <v>19</v>
      </c>
      <c r="C6" s="32">
        <f t="shared" ref="C6:H6" si="4">AVERAGE(C3:C5)</f>
        <v>4.3433333333333337</v>
      </c>
      <c r="D6" s="32">
        <f t="shared" si="4"/>
        <v>4.6499999999999995</v>
      </c>
      <c r="E6" s="32">
        <f t="shared" si="4"/>
        <v>6.0366666666666662</v>
      </c>
      <c r="F6" s="32">
        <f t="shared" si="4"/>
        <v>6.56</v>
      </c>
      <c r="G6" s="32">
        <f t="shared" si="4"/>
        <v>7.8666666666666671</v>
      </c>
      <c r="H6" s="32">
        <f t="shared" si="4"/>
        <v>9.5499999999999989</v>
      </c>
      <c r="J6" s="13">
        <f>0.046</f>
        <v>4.5999999999999999E-2</v>
      </c>
      <c r="K6" s="36" t="s">
        <v>20</v>
      </c>
      <c r="L6" s="11" t="s">
        <v>13</v>
      </c>
      <c r="M6" s="32">
        <f>(2*$J$4)/(C10*C10)</f>
        <v>0.13200227546779617</v>
      </c>
      <c r="N6" s="32">
        <f t="shared" ref="N6:R6" si="5">(2*$J$4)/(D10*D10)</f>
        <v>0.10208041506220829</v>
      </c>
      <c r="O6" s="32">
        <f t="shared" si="5"/>
        <v>7.1016962908854786E-2</v>
      </c>
      <c r="P6" s="32">
        <f t="shared" si="5"/>
        <v>5.7993000336911717E-2</v>
      </c>
      <c r="Q6" s="32">
        <f t="shared" si="5"/>
        <v>4.6506203041653302E-2</v>
      </c>
      <c r="R6" s="32">
        <f t="shared" si="5"/>
        <v>3.0099500348294211E-2</v>
      </c>
      <c r="Y6" s="32">
        <v>0.12468688980869198</v>
      </c>
      <c r="Z6" s="32">
        <v>10.480116598782962</v>
      </c>
      <c r="AB6">
        <v>2.5000000000000001E-2</v>
      </c>
      <c r="AC6">
        <f t="shared" si="3"/>
        <v>4.2999999999999997E-2</v>
      </c>
    </row>
    <row r="7" spans="1:29" x14ac:dyDescent="0.2">
      <c r="A7" s="56" t="s">
        <v>20</v>
      </c>
      <c r="B7" s="12" t="str">
        <f t="shared" ref="B7:B10" si="6">B3</f>
        <v>t1</v>
      </c>
      <c r="C7" s="9">
        <v>3.26</v>
      </c>
      <c r="D7" s="9">
        <v>3.73</v>
      </c>
      <c r="E7" s="9">
        <v>4.42</v>
      </c>
      <c r="F7" s="9">
        <v>4.99</v>
      </c>
      <c r="G7" s="9">
        <v>5.58</v>
      </c>
      <c r="H7" s="9">
        <v>6.71</v>
      </c>
      <c r="J7" s="10" t="s">
        <v>21</v>
      </c>
      <c r="K7" s="37"/>
      <c r="L7" s="11" t="s">
        <v>15</v>
      </c>
      <c r="M7" s="32">
        <f>(2*M6)/$J$6</f>
        <v>5.7392293681650504</v>
      </c>
      <c r="N7" s="32">
        <f t="shared" ref="N7:R7" si="7">(2*N6)/$J$6</f>
        <v>4.4382789157481861</v>
      </c>
      <c r="O7" s="32">
        <f t="shared" si="7"/>
        <v>3.0876940395154255</v>
      </c>
      <c r="P7" s="32">
        <f t="shared" si="7"/>
        <v>2.5214347972570312</v>
      </c>
      <c r="Q7" s="32">
        <f t="shared" si="7"/>
        <v>2.0220088278979698</v>
      </c>
      <c r="R7" s="32">
        <f t="shared" si="7"/>
        <v>1.3086739281867048</v>
      </c>
      <c r="Y7" s="32">
        <v>0.16247386381826395</v>
      </c>
      <c r="Z7" s="32">
        <v>11.309000672077755</v>
      </c>
      <c r="AB7">
        <v>3.4000000000000002E-2</v>
      </c>
      <c r="AC7">
        <f t="shared" si="3"/>
        <v>5.4519999999999999E-2</v>
      </c>
    </row>
    <row r="8" spans="1:29" x14ac:dyDescent="0.2">
      <c r="A8" s="37"/>
      <c r="B8" s="12" t="str">
        <f t="shared" si="6"/>
        <v>t2</v>
      </c>
      <c r="C8" s="9">
        <v>3.23</v>
      </c>
      <c r="D8" s="9">
        <v>3.71</v>
      </c>
      <c r="E8" s="9">
        <v>4.49</v>
      </c>
      <c r="F8" s="9">
        <v>4.8</v>
      </c>
      <c r="G8" s="9">
        <v>5.42</v>
      </c>
      <c r="H8" s="9">
        <v>6.93</v>
      </c>
      <c r="J8" s="13">
        <f>0.22-0.047</f>
        <v>0.17299999999999999</v>
      </c>
      <c r="K8" s="38"/>
      <c r="L8" s="11" t="s">
        <v>18</v>
      </c>
      <c r="M8" s="32">
        <f>(($J$6*($J$8*2+0.047))*(9.81908-M6))/2</f>
        <v>8.7561495552046578E-2</v>
      </c>
      <c r="N8" s="32">
        <f t="shared" ref="N8:R8" si="8">(($J$6*($J$8*2+0.047))*(9.81908-N6))/2</f>
        <v>8.7831959248252683E-2</v>
      </c>
      <c r="O8" s="32">
        <f t="shared" si="8"/>
        <v>8.8112741792266844E-2</v>
      </c>
      <c r="P8" s="32">
        <f t="shared" si="8"/>
        <v>8.8230465389954632E-2</v>
      </c>
      <c r="Q8" s="32">
        <f t="shared" si="8"/>
        <v>8.8334294550706474E-2</v>
      </c>
      <c r="R8" s="32">
        <f t="shared" si="8"/>
        <v>8.8482594736351755E-2</v>
      </c>
      <c r="AB8">
        <v>4.1000000000000002E-2</v>
      </c>
      <c r="AC8">
        <f t="shared" si="3"/>
        <v>6.3480000000000009E-2</v>
      </c>
    </row>
    <row r="9" spans="1:29" x14ac:dyDescent="0.2">
      <c r="A9" s="37"/>
      <c r="B9" s="12" t="str">
        <f t="shared" si="6"/>
        <v>t3</v>
      </c>
      <c r="C9" s="9">
        <v>3.28</v>
      </c>
      <c r="D9" s="9">
        <v>3.67</v>
      </c>
      <c r="E9" s="9">
        <v>4.41</v>
      </c>
      <c r="F9" s="9">
        <v>4.95</v>
      </c>
      <c r="G9" s="9">
        <v>5.46</v>
      </c>
      <c r="H9" s="9">
        <v>6.82</v>
      </c>
      <c r="J9" s="10" t="s">
        <v>22</v>
      </c>
      <c r="K9" s="36" t="s">
        <v>23</v>
      </c>
      <c r="L9" s="11" t="s">
        <v>13</v>
      </c>
      <c r="M9" s="32">
        <f t="shared" ref="M9:R9" si="9">(2*$J$4)/(C14*C14)</f>
        <v>0.2410426817720081</v>
      </c>
      <c r="N9" s="32">
        <f t="shared" si="9"/>
        <v>0.13558650849675452</v>
      </c>
      <c r="O9" s="32">
        <f t="shared" si="9"/>
        <v>9.6444637333719108E-2</v>
      </c>
      <c r="P9" s="32">
        <f t="shared" si="9"/>
        <v>7.3087161080042651E-2</v>
      </c>
      <c r="Q9" s="32">
        <f t="shared" si="9"/>
        <v>5.8787960225745763E-2</v>
      </c>
      <c r="R9" s="32">
        <f t="shared" si="9"/>
        <v>4.7657303141297083E-2</v>
      </c>
    </row>
    <row r="10" spans="1:29" x14ac:dyDescent="0.2">
      <c r="A10" s="38"/>
      <c r="B10" s="12" t="str">
        <f t="shared" si="6"/>
        <v>tср</v>
      </c>
      <c r="C10" s="32">
        <f t="shared" ref="C10:H10" si="10">AVERAGE(C7:C9)</f>
        <v>3.2566666666666664</v>
      </c>
      <c r="D10" s="32">
        <f t="shared" si="10"/>
        <v>3.7033333333333331</v>
      </c>
      <c r="E10" s="32">
        <f t="shared" si="10"/>
        <v>4.4400000000000004</v>
      </c>
      <c r="F10" s="32">
        <f t="shared" si="10"/>
        <v>4.9133333333333331</v>
      </c>
      <c r="G10" s="32">
        <f t="shared" si="10"/>
        <v>5.4866666666666672</v>
      </c>
      <c r="H10" s="32">
        <f t="shared" si="10"/>
        <v>6.82</v>
      </c>
      <c r="J10" s="13">
        <v>9.8190799999999996</v>
      </c>
      <c r="K10" s="37"/>
      <c r="L10" s="11" t="s">
        <v>15</v>
      </c>
      <c r="M10" s="32">
        <f t="shared" ref="M10:R10" si="11">(2*M9)/$J$6</f>
        <v>10.480116598782962</v>
      </c>
      <c r="N10" s="32">
        <f t="shared" si="11"/>
        <v>5.8950655868154138</v>
      </c>
      <c r="O10" s="32">
        <f t="shared" si="11"/>
        <v>4.1932451014660481</v>
      </c>
      <c r="P10" s="32">
        <f t="shared" si="11"/>
        <v>3.1777026556540284</v>
      </c>
      <c r="Q10" s="32">
        <f t="shared" si="11"/>
        <v>2.5559982706845985</v>
      </c>
      <c r="R10" s="32">
        <f t="shared" si="11"/>
        <v>2.0720566583172646</v>
      </c>
    </row>
    <row r="11" spans="1:29" x14ac:dyDescent="0.2">
      <c r="A11" s="56" t="s">
        <v>23</v>
      </c>
      <c r="B11" s="12" t="str">
        <f t="shared" ref="B11:B14" si="12">B3</f>
        <v>t1</v>
      </c>
      <c r="C11" s="9">
        <v>2.5299999999999998</v>
      </c>
      <c r="D11" s="9">
        <v>3.15</v>
      </c>
      <c r="E11" s="9">
        <v>3.72</v>
      </c>
      <c r="F11" s="9">
        <v>4.3</v>
      </c>
      <c r="G11" s="9">
        <v>4.84</v>
      </c>
      <c r="H11" s="9">
        <v>5.46</v>
      </c>
      <c r="K11" s="38"/>
      <c r="L11" s="11" t="s">
        <v>18</v>
      </c>
      <c r="M11" s="32">
        <f t="shared" ref="M11:R11" si="13">(($J$6*($J$8*3+0.047))*(9.81908-M9))/2</f>
        <v>0.12468688980869198</v>
      </c>
      <c r="N11" s="32">
        <f t="shared" si="13"/>
        <v>0.12605971827238924</v>
      </c>
      <c r="O11" s="32">
        <f t="shared" si="13"/>
        <v>0.12656926715118963</v>
      </c>
      <c r="P11" s="32">
        <f t="shared" si="13"/>
        <v>0.12687333477705998</v>
      </c>
      <c r="Q11" s="32">
        <f t="shared" si="13"/>
        <v>0.12705948177378121</v>
      </c>
      <c r="R11" s="32">
        <f t="shared" si="13"/>
        <v>0.12720438066770656</v>
      </c>
    </row>
    <row r="12" spans="1:29" x14ac:dyDescent="0.2">
      <c r="A12" s="37"/>
      <c r="B12" s="12" t="str">
        <f t="shared" si="12"/>
        <v>t2</v>
      </c>
      <c r="C12" s="9">
        <v>2.3199999999999998</v>
      </c>
      <c r="D12" s="9">
        <v>3.28</v>
      </c>
      <c r="E12" s="9">
        <v>3.84</v>
      </c>
      <c r="F12" s="9">
        <v>4.45</v>
      </c>
      <c r="G12" s="9">
        <v>4.93</v>
      </c>
      <c r="H12" s="9">
        <v>5.48</v>
      </c>
      <c r="K12" s="36" t="s">
        <v>24</v>
      </c>
      <c r="L12" s="11" t="s">
        <v>13</v>
      </c>
      <c r="M12" s="32">
        <f t="shared" ref="M12:R12" si="14">(2*$J$4)/(C18*C18)</f>
        <v>0.26010701545778836</v>
      </c>
      <c r="N12" s="32">
        <f t="shared" si="14"/>
        <v>0.16608646250334475</v>
      </c>
      <c r="O12" s="32">
        <f t="shared" si="14"/>
        <v>0.11762234824616673</v>
      </c>
      <c r="P12" s="32">
        <f t="shared" si="14"/>
        <v>9.1107871720116598E-2</v>
      </c>
      <c r="Q12" s="32">
        <f t="shared" si="14"/>
        <v>6.996253117774702E-2</v>
      </c>
      <c r="R12" s="32">
        <f t="shared" si="14"/>
        <v>6.1876052445356315E-2</v>
      </c>
    </row>
    <row r="13" spans="1:29" x14ac:dyDescent="0.2">
      <c r="A13" s="37"/>
      <c r="B13" s="12" t="str">
        <f t="shared" si="12"/>
        <v>t3</v>
      </c>
      <c r="C13" s="9">
        <v>2.38</v>
      </c>
      <c r="D13" s="32">
        <v>3.21</v>
      </c>
      <c r="E13" s="9">
        <v>3.87</v>
      </c>
      <c r="F13" s="9">
        <v>4.38</v>
      </c>
      <c r="G13" s="9">
        <v>4.87</v>
      </c>
      <c r="H13" s="9">
        <v>5.32</v>
      </c>
      <c r="K13" s="37"/>
      <c r="L13" s="11" t="s">
        <v>15</v>
      </c>
      <c r="M13" s="32">
        <f t="shared" ref="M13:R13" si="15">(2*M12)/$J$6</f>
        <v>11.309000672077755</v>
      </c>
      <c r="N13" s="32">
        <f t="shared" si="15"/>
        <v>7.2211505436236845</v>
      </c>
      <c r="O13" s="32">
        <f t="shared" si="15"/>
        <v>5.114015141137684</v>
      </c>
      <c r="P13" s="32">
        <f t="shared" si="15"/>
        <v>3.9612118139181129</v>
      </c>
      <c r="Q13" s="32">
        <f>(2*Q12)/$J$6</f>
        <v>3.041849181641175</v>
      </c>
      <c r="R13" s="32">
        <f t="shared" si="15"/>
        <v>2.6902631497981009</v>
      </c>
    </row>
    <row r="14" spans="1:29" x14ac:dyDescent="0.2">
      <c r="A14" s="38"/>
      <c r="B14" s="12" t="str">
        <f t="shared" si="12"/>
        <v>tср</v>
      </c>
      <c r="C14" s="32">
        <f t="shared" ref="C14:H14" si="16">AVERAGE(C11:C13)</f>
        <v>2.4099999999999997</v>
      </c>
      <c r="D14" s="32">
        <f t="shared" si="16"/>
        <v>3.2133333333333334</v>
      </c>
      <c r="E14" s="32">
        <f t="shared" si="16"/>
        <v>3.81</v>
      </c>
      <c r="F14" s="32">
        <f t="shared" si="16"/>
        <v>4.376666666666666</v>
      </c>
      <c r="G14" s="32">
        <f t="shared" si="16"/>
        <v>4.88</v>
      </c>
      <c r="H14" s="32">
        <f t="shared" si="16"/>
        <v>5.4200000000000008</v>
      </c>
      <c r="K14" s="38"/>
      <c r="L14" s="11" t="s">
        <v>18</v>
      </c>
      <c r="M14" s="32">
        <f>(($J$6*($J$8*4+0.047)) *(9.81908-M12))/2</f>
        <v>0.16247386381826395</v>
      </c>
      <c r="N14" s="32">
        <f t="shared" ref="N14:R14" si="17">(($J$6*($J$8*4+0.047))*(9.81908-N12))/2</f>
        <v>0.16407193115683064</v>
      </c>
      <c r="O14" s="32">
        <f t="shared" si="17"/>
        <v>0.16489567570685987</v>
      </c>
      <c r="P14" s="32">
        <f t="shared" si="17"/>
        <v>0.16534634226437314</v>
      </c>
      <c r="Q14" s="32">
        <f t="shared" si="17"/>
        <v>0.16570574961757181</v>
      </c>
      <c r="R14" s="32">
        <f t="shared" si="17"/>
        <v>0.16584319549658624</v>
      </c>
    </row>
    <row r="15" spans="1:29" x14ac:dyDescent="0.2">
      <c r="A15" s="56" t="s">
        <v>24</v>
      </c>
      <c r="B15" s="12" t="str">
        <f t="shared" ref="B15:B18" si="18">B3</f>
        <v>t1</v>
      </c>
      <c r="C15" s="9">
        <v>2.6</v>
      </c>
      <c r="D15" s="9">
        <v>2.84</v>
      </c>
      <c r="E15" s="9">
        <v>3.4</v>
      </c>
      <c r="F15" s="9">
        <v>3.93</v>
      </c>
      <c r="G15" s="9">
        <v>4.4000000000000004</v>
      </c>
      <c r="H15" s="9">
        <v>4.71</v>
      </c>
    </row>
    <row r="16" spans="1:29" x14ac:dyDescent="0.2">
      <c r="A16" s="37"/>
      <c r="B16" s="12" t="str">
        <f t="shared" si="18"/>
        <v>t2</v>
      </c>
      <c r="C16" s="9">
        <v>2.2400000000000002</v>
      </c>
      <c r="D16" s="9">
        <v>2.96</v>
      </c>
      <c r="E16" s="9">
        <v>3.49</v>
      </c>
      <c r="F16" s="9">
        <v>3.95</v>
      </c>
      <c r="G16" s="9">
        <v>4.42</v>
      </c>
      <c r="H16" s="9">
        <v>4.84</v>
      </c>
    </row>
    <row r="17" spans="1:23" x14ac:dyDescent="0.2">
      <c r="A17" s="37"/>
      <c r="B17" s="12" t="str">
        <f t="shared" si="18"/>
        <v>t3</v>
      </c>
      <c r="C17" s="9">
        <v>2.12</v>
      </c>
      <c r="D17" s="9">
        <v>2.91</v>
      </c>
      <c r="E17" s="9">
        <v>3.46</v>
      </c>
      <c r="F17" s="9">
        <v>3.88</v>
      </c>
      <c r="G17" s="9">
        <v>4.5999999999999996</v>
      </c>
      <c r="H17" s="9">
        <v>4.72</v>
      </c>
      <c r="J17" s="5" t="s">
        <v>25</v>
      </c>
      <c r="K17" s="42" t="s">
        <v>26</v>
      </c>
      <c r="L17" s="40"/>
      <c r="M17" s="43" t="s">
        <v>27</v>
      </c>
      <c r="N17" s="40"/>
    </row>
    <row r="18" spans="1:23" x14ac:dyDescent="0.2">
      <c r="A18" s="38"/>
      <c r="B18" s="12" t="str">
        <f t="shared" si="18"/>
        <v>tср</v>
      </c>
      <c r="C18" s="32">
        <f t="shared" ref="C18:H18" si="19">AVERAGE(C15:C17)</f>
        <v>2.3199999999999998</v>
      </c>
      <c r="D18" s="32">
        <f t="shared" si="19"/>
        <v>2.9033333333333338</v>
      </c>
      <c r="E18" s="32">
        <f t="shared" si="19"/>
        <v>3.4500000000000006</v>
      </c>
      <c r="F18" s="32">
        <f t="shared" si="19"/>
        <v>3.9200000000000004</v>
      </c>
      <c r="G18" s="32">
        <f t="shared" si="19"/>
        <v>4.4733333333333336</v>
      </c>
      <c r="H18" s="32">
        <f t="shared" si="19"/>
        <v>4.7566666666666668</v>
      </c>
      <c r="I18" s="15"/>
      <c r="J18" s="9">
        <f>POWER(C3-$C$6,2)</f>
        <v>1.3444444444444088E-3</v>
      </c>
      <c r="K18" s="44">
        <f>SQRT(SUM(J18:J20)/6)</f>
        <v>2.3333333333333345E-2</v>
      </c>
      <c r="L18" s="45"/>
      <c r="M18" s="44">
        <f>4.3*K18</f>
        <v>0.10033333333333339</v>
      </c>
      <c r="N18" s="45"/>
    </row>
    <row r="19" spans="1:23" x14ac:dyDescent="0.2">
      <c r="J19" s="9">
        <f t="shared" ref="J19:J20" si="20">POWER(C4-$C$6,2)</f>
        <v>4.4444444444434655E-5</v>
      </c>
      <c r="K19" s="46"/>
      <c r="L19" s="47"/>
      <c r="M19" s="46"/>
      <c r="N19" s="47"/>
    </row>
    <row r="20" spans="1:23" x14ac:dyDescent="0.2">
      <c r="J20" s="16">
        <f t="shared" si="20"/>
        <v>1.877777777777826E-3</v>
      </c>
      <c r="K20" s="48"/>
      <c r="L20" s="49"/>
      <c r="M20" s="48"/>
      <c r="N20" s="49"/>
    </row>
    <row r="21" spans="1:23" ht="15.75" customHeight="1" x14ac:dyDescent="0.2">
      <c r="J21" s="3"/>
      <c r="K21" s="17"/>
      <c r="L21" s="17"/>
      <c r="N21" s="18"/>
      <c r="O21" s="19"/>
    </row>
    <row r="22" spans="1:23" ht="15.75" customHeight="1" x14ac:dyDescent="0.2">
      <c r="J22" s="15"/>
      <c r="K22" s="50" t="s">
        <v>28</v>
      </c>
      <c r="L22" s="51"/>
      <c r="M22" s="51"/>
      <c r="N22" s="51"/>
      <c r="O22" s="51"/>
      <c r="P22" s="40"/>
      <c r="T22" s="20"/>
    </row>
    <row r="23" spans="1:23" ht="15.75" customHeight="1" x14ac:dyDescent="0.2">
      <c r="J23" s="15"/>
      <c r="K23" s="21" t="str">
        <f t="shared" ref="K23:P23" si="21">M2</f>
        <v>1 риска</v>
      </c>
      <c r="L23" s="21" t="str">
        <f t="shared" si="21"/>
        <v>2 риска</v>
      </c>
      <c r="M23" s="21" t="str">
        <f t="shared" si="21"/>
        <v>3 риска</v>
      </c>
      <c r="N23" s="21" t="str">
        <f t="shared" si="21"/>
        <v>4 риска</v>
      </c>
      <c r="O23" s="21" t="str">
        <f t="shared" si="21"/>
        <v>5 риска</v>
      </c>
      <c r="P23" s="21" t="str">
        <f t="shared" si="21"/>
        <v>6 риска</v>
      </c>
      <c r="S23" s="5" t="s">
        <v>50</v>
      </c>
      <c r="T23" s="5" t="s">
        <v>29</v>
      </c>
      <c r="U23" s="5" t="s">
        <v>30</v>
      </c>
      <c r="V23" s="5" t="s">
        <v>31</v>
      </c>
      <c r="W23" s="5" t="s">
        <v>32</v>
      </c>
    </row>
    <row r="24" spans="1:23" ht="15.75" customHeight="1" x14ac:dyDescent="0.2">
      <c r="J24" s="22" t="s">
        <v>31</v>
      </c>
      <c r="K24" s="14">
        <f>((M5-K26)*(M4-K27) + (M8-K26)*(M7-K27) + (M11-K26)*(M10-K27) + (M14-K26)*(M13-K27))/(POWER(M4-K27, 2)+POWER(M7-K27, 2)+POWER(M10-K27, 2)+POWER(M13-K27, 2))</f>
        <v>1.2228932240009706E-2</v>
      </c>
      <c r="L24" s="14">
        <f>((N5-L26)*(N4-L27) + (N8-L26)*(N7-L27) + (N11-L26)*(N10-L27) + (N14-L26)*(N13-L27))/(POWER(N4-L27, 2)+POWER(N7-L27, 2)+POWER(N10-L27, 2)+POWER(N13-L27, 2))</f>
        <v>2.6005943666299935E-2</v>
      </c>
      <c r="M24" s="14">
        <f t="shared" ref="M24:P24" si="22">((O5-M26)*(O4-M27) + (O8-M26)*(O7-M27) + (O11-M26)*(O10-M27) + (O14-M26)*(O13-M27))/(POWER(O4-M27, 2)+POWER(O7-M27, 2)+POWER(O10-M27, 2)+POWER(O13-M27, 2))</f>
        <v>3.3322792547826489E-2</v>
      </c>
      <c r="N24" s="14">
        <f t="shared" si="22"/>
        <v>4.5972570098317886E-2</v>
      </c>
      <c r="O24" s="14">
        <f t="shared" si="22"/>
        <v>5.5570568719610504E-2</v>
      </c>
      <c r="P24" s="14">
        <f t="shared" si="22"/>
        <v>5.661904387997161E-2</v>
      </c>
      <c r="S24" s="9">
        <v>1</v>
      </c>
      <c r="T24" s="32">
        <f>(57+(S24-1)*25+20)/1000</f>
        <v>7.6999999999999999E-2</v>
      </c>
      <c r="U24" s="32">
        <f t="shared" ref="U24:U29" si="23">T24*T24</f>
        <v>5.9290000000000002E-3</v>
      </c>
      <c r="V24" s="32">
        <f>K24</f>
        <v>1.2228932240009706E-2</v>
      </c>
      <c r="W24" s="34">
        <f>POWER(V24-($S$57+$S$56*U24),2)</f>
        <v>4.1853287893485704E-5</v>
      </c>
    </row>
    <row r="25" spans="1:23" ht="15.75" customHeight="1" x14ac:dyDescent="0.2">
      <c r="J25" s="22" t="s">
        <v>33</v>
      </c>
      <c r="K25" s="14">
        <f>K26-K24*K27</f>
        <v>1.198258034647455E-2</v>
      </c>
      <c r="L25" s="14">
        <f>ABS(L26-L24*L27)</f>
        <v>2.5602522057180221E-2</v>
      </c>
      <c r="M25" s="14">
        <f>ABS(M26-M24*M27)</f>
        <v>9.9067918598384069E-3</v>
      </c>
      <c r="N25" s="14">
        <f>ABS(N26-N24*N27)</f>
        <v>1.9791912686013269E-2</v>
      </c>
      <c r="O25" s="14">
        <f>ABS(O26-O24*O27)</f>
        <v>1.1857345541044353E-2</v>
      </c>
      <c r="P25" s="14">
        <f t="shared" ref="P25" si="24">P26-P24*P27</f>
        <v>1.2403750142737993E-2</v>
      </c>
      <c r="S25" s="9">
        <v>2</v>
      </c>
      <c r="T25" s="32">
        <f t="shared" ref="T25:T29" si="25">(57+(S25-1)*25+20)/1000</f>
        <v>0.10199999999999999</v>
      </c>
      <c r="U25" s="32">
        <f t="shared" si="23"/>
        <v>1.0403999999999998E-2</v>
      </c>
      <c r="V25" s="32">
        <f>L24</f>
        <v>2.6005943666299935E-2</v>
      </c>
      <c r="W25" s="34">
        <f t="shared" ref="W25:W29" si="26">POWER(V25-($S$57+$S$56*U25),2)</f>
        <v>2.5553761980339766E-6</v>
      </c>
    </row>
    <row r="26" spans="1:23" ht="15.75" customHeight="1" x14ac:dyDescent="0.2">
      <c r="J26" s="22" t="s">
        <v>34</v>
      </c>
      <c r="K26" s="14">
        <f>AVERAGE(M5, M8, M11, M14)</f>
        <v>0.10600781867670278</v>
      </c>
      <c r="L26" s="14">
        <f t="shared" ref="L26:P26" si="27">AVERAGE(N5, N8, N11, N14)</f>
        <v>0.10683013294677593</v>
      </c>
      <c r="M26" s="14">
        <f t="shared" si="27"/>
        <v>0.10726695871653572</v>
      </c>
      <c r="N26" s="14">
        <f t="shared" si="27"/>
        <v>0.1074925179187928</v>
      </c>
      <c r="O26" s="14">
        <f t="shared" si="27"/>
        <v>0.10766739983144993</v>
      </c>
      <c r="P26" s="14">
        <f t="shared" si="27"/>
        <v>0.10778426059781265</v>
      </c>
      <c r="S26" s="9">
        <v>3</v>
      </c>
      <c r="T26" s="32">
        <f t="shared" si="25"/>
        <v>0.127</v>
      </c>
      <c r="U26" s="32">
        <f t="shared" si="23"/>
        <v>1.6129000000000001E-2</v>
      </c>
      <c r="V26" s="32">
        <f>M24</f>
        <v>3.3322792547826489E-2</v>
      </c>
      <c r="W26" s="34">
        <f t="shared" si="26"/>
        <v>2.597424076526838E-6</v>
      </c>
    </row>
    <row r="27" spans="1:23" ht="15.75" customHeight="1" x14ac:dyDescent="0.2">
      <c r="J27" s="22" t="s">
        <v>35</v>
      </c>
      <c r="K27" s="14">
        <f>AVERAGE(M4, M7, M10, M13)</f>
        <v>7.6887529086638891</v>
      </c>
      <c r="L27" s="14">
        <f t="shared" ref="L27:P27" si="28">AVERAGE(N4, N7, N10, N13)</f>
        <v>5.0923995184827824</v>
      </c>
      <c r="M27" s="14">
        <f t="shared" si="28"/>
        <v>3.5163244619489999</v>
      </c>
      <c r="N27" s="14">
        <f t="shared" si="28"/>
        <v>2.7687038234450014</v>
      </c>
      <c r="O27" s="14">
        <f t="shared" si="28"/>
        <v>2.1508641737242966</v>
      </c>
      <c r="P27" s="14">
        <f t="shared" si="28"/>
        <v>1.6846012210533727</v>
      </c>
      <c r="S27" s="9">
        <v>4</v>
      </c>
      <c r="T27" s="32">
        <f t="shared" si="25"/>
        <v>0.152</v>
      </c>
      <c r="U27" s="32">
        <f t="shared" si="23"/>
        <v>2.3104E-2</v>
      </c>
      <c r="V27" s="32">
        <f>N24</f>
        <v>4.5972570098317886E-2</v>
      </c>
      <c r="W27" s="34">
        <f t="shared" si="26"/>
        <v>2.8761490670963896E-5</v>
      </c>
    </row>
    <row r="28" spans="1:23" ht="15.75" customHeight="1" x14ac:dyDescent="0.2">
      <c r="S28" s="9">
        <v>5</v>
      </c>
      <c r="T28" s="32">
        <f t="shared" si="25"/>
        <v>0.17699999999999999</v>
      </c>
      <c r="U28" s="32">
        <f t="shared" si="23"/>
        <v>3.1328999999999996E-2</v>
      </c>
      <c r="V28" s="32">
        <f>O24</f>
        <v>5.5570568719610504E-2</v>
      </c>
      <c r="W28" s="34">
        <f t="shared" si="26"/>
        <v>1.9961336813354931E-5</v>
      </c>
    </row>
    <row r="29" spans="1:23" ht="15.75" customHeight="1" x14ac:dyDescent="0.2">
      <c r="S29" s="9">
        <v>6</v>
      </c>
      <c r="T29" s="32">
        <f t="shared" si="25"/>
        <v>0.20200000000000001</v>
      </c>
      <c r="U29" s="32">
        <f t="shared" si="23"/>
        <v>4.0804000000000007E-2</v>
      </c>
      <c r="V29" s="32">
        <f>P24</f>
        <v>5.661904387997161E-2</v>
      </c>
      <c r="W29" s="34">
        <f t="shared" si="26"/>
        <v>4.3185670638405602E-5</v>
      </c>
    </row>
    <row r="30" spans="1:23" ht="15.75" customHeight="1" x14ac:dyDescent="0.2">
      <c r="T30" s="35" t="s">
        <v>36</v>
      </c>
      <c r="U30" s="32">
        <f t="shared" ref="U30:V30" si="29">AVERAGE(U24:U29)</f>
        <v>2.1283166666666669E-2</v>
      </c>
      <c r="V30" s="32">
        <f t="shared" si="29"/>
        <v>3.8286641858672692E-2</v>
      </c>
      <c r="W30" s="9"/>
    </row>
    <row r="31" spans="1:23" ht="15.75" customHeight="1" x14ac:dyDescent="0.15"/>
    <row r="32" spans="1:23" ht="15.75" customHeight="1" x14ac:dyDescent="0.2">
      <c r="J32" s="23"/>
    </row>
    <row r="33" spans="10:17" ht="15.75" customHeight="1" x14ac:dyDescent="0.15"/>
    <row r="34" spans="10:17" ht="15.75" customHeight="1" x14ac:dyDescent="0.15"/>
    <row r="35" spans="10:17" ht="15.75" customHeight="1" x14ac:dyDescent="0.15"/>
    <row r="36" spans="10:17" ht="15.75" customHeight="1" x14ac:dyDescent="0.2">
      <c r="N36" s="39" t="s">
        <v>37</v>
      </c>
      <c r="O36" s="40"/>
      <c r="P36" s="24" t="s">
        <v>38</v>
      </c>
      <c r="Q36" s="24"/>
    </row>
    <row r="37" spans="10:17" ht="15.75" customHeight="1" x14ac:dyDescent="0.2">
      <c r="N37" s="5" t="s">
        <v>39</v>
      </c>
      <c r="O37" s="21">
        <f>S57</f>
        <v>1.1134337332854943E-2</v>
      </c>
      <c r="P37" s="41">
        <f>2.57*T63</f>
        <v>0.10306673076970889</v>
      </c>
      <c r="Q37" s="40"/>
    </row>
    <row r="38" spans="10:17" ht="15.75" customHeight="1" x14ac:dyDescent="0.2">
      <c r="N38" s="5" t="s">
        <v>40</v>
      </c>
      <c r="O38" s="5">
        <f>S56/4</f>
        <v>0.31894107854193549</v>
      </c>
      <c r="P38" s="41">
        <f t="shared" ref="P38" si="30">2.57*T64</f>
        <v>6.1561902084014355E-5</v>
      </c>
      <c r="Q38" s="40"/>
    </row>
    <row r="39" spans="10:17" ht="15.75" customHeight="1" x14ac:dyDescent="0.2">
      <c r="J39" s="25"/>
      <c r="K39" s="25"/>
    </row>
    <row r="40" spans="10:17" ht="15.75" customHeight="1" x14ac:dyDescent="0.2">
      <c r="J40" s="25"/>
      <c r="K40" s="25"/>
    </row>
    <row r="41" spans="10:17" ht="15.75" customHeight="1" x14ac:dyDescent="0.2">
      <c r="J41" s="25"/>
      <c r="K41" s="25"/>
    </row>
    <row r="42" spans="10:17" ht="15.75" customHeight="1" x14ac:dyDescent="0.2">
      <c r="J42" s="25"/>
      <c r="K42" s="25"/>
    </row>
    <row r="43" spans="10:17" ht="15.75" customHeight="1" x14ac:dyDescent="0.2">
      <c r="J43" s="25"/>
      <c r="K43" s="25"/>
    </row>
    <row r="44" spans="10:17" ht="15.75" customHeight="1" x14ac:dyDescent="0.2">
      <c r="J44" s="25"/>
      <c r="K44" s="25"/>
    </row>
    <row r="45" spans="10:17" ht="15.75" customHeight="1" x14ac:dyDescent="0.2">
      <c r="J45" s="25"/>
      <c r="K45" s="25"/>
    </row>
    <row r="46" spans="10:17" ht="15.75" customHeight="1" x14ac:dyDescent="0.15"/>
    <row r="47" spans="10:17" ht="15.75" customHeight="1" x14ac:dyDescent="0.15"/>
    <row r="48" spans="10:17" ht="15.75" customHeight="1" x14ac:dyDescent="0.15"/>
    <row r="49" spans="3:20" ht="15.75" customHeight="1" x14ac:dyDescent="0.15"/>
    <row r="50" spans="3:20" ht="15.75" customHeight="1" x14ac:dyDescent="0.15"/>
    <row r="51" spans="3:20" ht="15.75" customHeight="1" x14ac:dyDescent="0.15"/>
    <row r="52" spans="3:20" ht="15.75" customHeight="1" x14ac:dyDescent="0.15"/>
    <row r="53" spans="3:20" ht="15.75" customHeight="1" x14ac:dyDescent="0.15"/>
    <row r="54" spans="3:20" ht="15.75" customHeight="1" x14ac:dyDescent="0.15"/>
    <row r="55" spans="3:20" ht="15.75" customHeight="1" x14ac:dyDescent="0.2">
      <c r="C55" s="26">
        <f>M4</f>
        <v>3.2266649956297888</v>
      </c>
      <c r="D55" s="26">
        <f>M7</f>
        <v>5.7392293681650504</v>
      </c>
      <c r="E55" s="26">
        <f>M10</f>
        <v>10.480116598782962</v>
      </c>
      <c r="F55" s="26">
        <f>M13</f>
        <v>11.309000672077755</v>
      </c>
    </row>
    <row r="56" spans="3:20" ht="15.75" customHeight="1" x14ac:dyDescent="0.2">
      <c r="C56" s="26">
        <f>M5</f>
        <v>4.9309025527808602E-2</v>
      </c>
      <c r="D56" s="26">
        <f>M8</f>
        <v>8.7561495552046578E-2</v>
      </c>
      <c r="E56" s="26">
        <f>M11</f>
        <v>0.12468688980869198</v>
      </c>
      <c r="F56" s="26">
        <f>M14</f>
        <v>0.16247386381826395</v>
      </c>
      <c r="O56" s="5" t="s">
        <v>41</v>
      </c>
      <c r="P56" s="5" t="s">
        <v>42</v>
      </c>
      <c r="R56" s="27" t="s">
        <v>43</v>
      </c>
      <c r="S56" s="27">
        <f>((U24-U30)*(V24-V30)+(U25-U30)*(V25-V30)+(U26-U30)*(V26-V30)+(U27-U30)*(V27-V30)+(U28-U30)*(V28-V30)+(U29-U30)*(V29-V30))/(POWER(U24-U30,2)+POWER(U25-U30,2)+POWER(U26-U30,2)+POWER(U27-U30,2)+POWER(U28-U30,2)+POWER(U29-U30,2))</f>
        <v>1.2757643141677419</v>
      </c>
      <c r="T56" s="27"/>
    </row>
    <row r="57" spans="3:20" ht="15.75" customHeight="1" x14ac:dyDescent="0.2">
      <c r="C57" s="27"/>
      <c r="D57" s="27"/>
      <c r="E57" s="27"/>
      <c r="F57" s="27"/>
      <c r="H57" s="27">
        <v>-1</v>
      </c>
      <c r="I57" s="28">
        <f t="shared" ref="I57:N57" si="31">$H$57*K24+K25</f>
        <v>-2.4635189353515614E-4</v>
      </c>
      <c r="J57" s="28">
        <f t="shared" si="31"/>
        <v>-4.0342160911971403E-4</v>
      </c>
      <c r="K57" s="28">
        <f t="shared" si="31"/>
        <v>-2.3416000687988082E-2</v>
      </c>
      <c r="L57" s="28">
        <f t="shared" si="31"/>
        <v>-2.6180657412304617E-2</v>
      </c>
      <c r="M57" s="28">
        <f t="shared" si="31"/>
        <v>-4.371322317856615E-2</v>
      </c>
      <c r="N57" s="28">
        <f t="shared" si="31"/>
        <v>-4.4215293737233617E-2</v>
      </c>
      <c r="O57" s="9">
        <v>1E-3</v>
      </c>
      <c r="P57" s="9">
        <f>SQRT(POWER((2/POWER(C6,2))*O57,2)+POWER((4*J4/POWER(C6,3))*L18,2))</f>
        <v>1.0601899271355021E-4</v>
      </c>
      <c r="R57" s="27" t="s">
        <v>44</v>
      </c>
      <c r="S57" s="28">
        <f>V30-S56*U30</f>
        <v>1.1134337332854943E-2</v>
      </c>
      <c r="T57" s="27"/>
    </row>
    <row r="58" spans="3:20" ht="15.75" customHeight="1" x14ac:dyDescent="0.2">
      <c r="C58" s="29">
        <f t="shared" ref="C58:C59" si="32">N4</f>
        <v>2.8151030277438465</v>
      </c>
      <c r="D58" s="29">
        <f t="shared" ref="D58:D59" si="33">N7</f>
        <v>4.4382789157481861</v>
      </c>
      <c r="E58" s="29">
        <f t="shared" ref="E58:E59" si="34">N10</f>
        <v>5.8950655868154138</v>
      </c>
      <c r="F58" s="29">
        <f t="shared" ref="F58:F59" si="35">N13</f>
        <v>7.2211505436236845</v>
      </c>
      <c r="H58" s="27">
        <v>11</v>
      </c>
      <c r="I58" s="28">
        <f t="shared" ref="I58:N58" si="36">$H$58*K24+K25</f>
        <v>0.14650083498658134</v>
      </c>
      <c r="J58" s="28">
        <f t="shared" si="36"/>
        <v>0.31166790238647951</v>
      </c>
      <c r="K58" s="28">
        <f t="shared" si="36"/>
        <v>0.3764575098859298</v>
      </c>
      <c r="L58" s="28">
        <f t="shared" si="36"/>
        <v>0.52549018376751011</v>
      </c>
      <c r="M58" s="28">
        <f t="shared" si="36"/>
        <v>0.62313360145675989</v>
      </c>
      <c r="N58" s="28">
        <f t="shared" si="36"/>
        <v>0.6352132328224257</v>
      </c>
      <c r="O58" s="5" t="s">
        <v>45</v>
      </c>
      <c r="P58" s="5" t="s">
        <v>46</v>
      </c>
      <c r="R58" s="27" t="s">
        <v>47</v>
      </c>
      <c r="S58" s="28">
        <f>POWER(U24-U30,2)+POWER(U25-U30,2)+POWER(U26-U30,2)+POWER(U27-U30,2)+POWER(U28-U30,2)+POWER(U29-U30,2)</f>
        <v>8.6596927083333359E-4</v>
      </c>
      <c r="T58" s="27"/>
    </row>
    <row r="59" spans="3:20" ht="15.75" customHeight="1" x14ac:dyDescent="0.2">
      <c r="C59" s="29">
        <f t="shared" si="32"/>
        <v>4.9356923109631162E-2</v>
      </c>
      <c r="D59" s="29">
        <f t="shared" si="33"/>
        <v>8.7831959248252683E-2</v>
      </c>
      <c r="E59" s="29">
        <f t="shared" si="34"/>
        <v>0.12605971827238924</v>
      </c>
      <c r="F59" s="29">
        <f t="shared" si="35"/>
        <v>0.16407193115683064</v>
      </c>
      <c r="O59" s="9">
        <v>5.0000000000000001E-4</v>
      </c>
      <c r="P59" s="9">
        <f>SQRT(POWER((2/POWER(M3,2))*O59,2)+POWER((4*J6/POWER(M3,3))*P57,2))</f>
        <v>0.18773467443014785</v>
      </c>
      <c r="R59" s="27"/>
      <c r="S59" s="27">
        <v>0</v>
      </c>
      <c r="T59" s="28">
        <f t="shared" ref="T59:T60" si="37">S59*$S$56+$S$57</f>
        <v>1.1134337332854943E-2</v>
      </c>
    </row>
    <row r="60" spans="3:20" ht="15.75" customHeight="1" x14ac:dyDescent="0.2">
      <c r="R60" s="27"/>
      <c r="S60" s="27">
        <v>0.1</v>
      </c>
      <c r="T60" s="28">
        <f t="shared" si="37"/>
        <v>0.13871076874962912</v>
      </c>
    </row>
    <row r="61" spans="3:20" ht="15.75" customHeight="1" x14ac:dyDescent="0.2">
      <c r="C61" s="30">
        <f t="shared" ref="C61:C62" si="38">O4</f>
        <v>1.6703435656768419</v>
      </c>
      <c r="D61" s="30">
        <f t="shared" ref="D61:D62" si="39">O7</f>
        <v>3.0876940395154255</v>
      </c>
      <c r="E61" s="30">
        <f t="shared" ref="E61:E62" si="40">O10</f>
        <v>4.1932451014660481</v>
      </c>
      <c r="F61" s="30">
        <f t="shared" ref="F61:F62" si="41">O13</f>
        <v>5.114015141137684</v>
      </c>
    </row>
    <row r="62" spans="3:20" ht="15.75" customHeight="1" x14ac:dyDescent="0.2">
      <c r="C62" s="30">
        <f t="shared" si="38"/>
        <v>4.9490150215826527E-2</v>
      </c>
      <c r="D62" s="30">
        <f t="shared" si="39"/>
        <v>8.8112741792266844E-2</v>
      </c>
      <c r="E62" s="30">
        <f t="shared" si="40"/>
        <v>0.12656926715118963</v>
      </c>
      <c r="F62" s="30">
        <f t="shared" si="41"/>
        <v>0.16489567570685987</v>
      </c>
    </row>
    <row r="63" spans="3:20" ht="15.75" customHeight="1" x14ac:dyDescent="0.2">
      <c r="S63" s="31" t="s">
        <v>48</v>
      </c>
      <c r="T63" s="61">
        <f>(1/S58)*(SUM(W24:W29)/(6-2))</f>
        <v>4.0103786291715522E-2</v>
      </c>
    </row>
    <row r="64" spans="3:20" ht="15.75" customHeight="1" x14ac:dyDescent="0.2">
      <c r="C64" s="30">
        <f t="shared" ref="C64:C65" si="42">P4</f>
        <v>1.4144660269508318</v>
      </c>
      <c r="D64" s="30">
        <f t="shared" ref="D64:D65" si="43">P7</f>
        <v>2.5214347972570312</v>
      </c>
      <c r="E64" s="30">
        <f t="shared" ref="E64:E65" si="44">P10</f>
        <v>3.1777026556540284</v>
      </c>
      <c r="F64" s="30">
        <f t="shared" ref="F64:F65" si="45">P13</f>
        <v>3.9612118139181129</v>
      </c>
      <c r="S64" s="31" t="s">
        <v>49</v>
      </c>
      <c r="T64" s="62">
        <f>((1/6)+(U30*U30)/S58)*(SUM(W24:W29)/4)</f>
        <v>2.3954047503507531E-5</v>
      </c>
    </row>
    <row r="65" spans="3:6" ht="15.75" customHeight="1" x14ac:dyDescent="0.2">
      <c r="C65" s="30">
        <f t="shared" si="42"/>
        <v>4.9519929243783456E-2</v>
      </c>
      <c r="D65" s="30">
        <f t="shared" si="43"/>
        <v>8.8230465389954632E-2</v>
      </c>
      <c r="E65" s="30">
        <f t="shared" si="44"/>
        <v>0.12687333477705998</v>
      </c>
      <c r="F65" s="30">
        <f t="shared" si="45"/>
        <v>0.16534634226437314</v>
      </c>
    </row>
    <row r="66" spans="3:6" ht="15.75" customHeight="1" x14ac:dyDescent="0.15"/>
    <row r="67" spans="3:6" ht="15.75" customHeight="1" x14ac:dyDescent="0.2">
      <c r="C67" s="30">
        <f t="shared" ref="C67:C68" si="46">R4</f>
        <v>0.66741114791142031</v>
      </c>
      <c r="D67" s="30">
        <f t="shared" ref="D67:D68" si="47">R7</f>
        <v>1.3086739281867048</v>
      </c>
      <c r="E67" s="30">
        <f t="shared" ref="E67:E68" si="48">R10</f>
        <v>2.0720566583172646</v>
      </c>
      <c r="F67" s="30">
        <f t="shared" ref="F67:F68" si="49">R13</f>
        <v>2.6902631497981009</v>
      </c>
    </row>
    <row r="68" spans="3:6" ht="15.75" customHeight="1" x14ac:dyDescent="0.2">
      <c r="C68" s="30">
        <f t="shared" si="46"/>
        <v>4.960687149060606E-2</v>
      </c>
      <c r="D68" s="30">
        <f t="shared" si="47"/>
        <v>8.8482594736351755E-2</v>
      </c>
      <c r="E68" s="30">
        <f t="shared" si="48"/>
        <v>0.12720438066770656</v>
      </c>
      <c r="F68" s="30">
        <f t="shared" si="49"/>
        <v>0.16584319549658624</v>
      </c>
    </row>
    <row r="69" spans="3:6" ht="15.75" customHeight="1" x14ac:dyDescent="0.15"/>
    <row r="70" spans="3:6" ht="15.75" customHeight="1" x14ac:dyDescent="0.2">
      <c r="C70" s="30">
        <f t="shared" ref="C70:C71" si="50">Q4</f>
        <v>0.98360041467344439</v>
      </c>
      <c r="D70" s="30">
        <f t="shared" ref="D70:D71" si="51">Q7</f>
        <v>2.0220088278979698</v>
      </c>
      <c r="E70" s="30">
        <f t="shared" ref="E70:E71" si="52">Q10</f>
        <v>2.5559982706845985</v>
      </c>
      <c r="F70" s="30">
        <f t="shared" ref="F70:F71" si="53">Q13</f>
        <v>3.041849181641175</v>
      </c>
    </row>
    <row r="71" spans="3:6" ht="15.75" customHeight="1" x14ac:dyDescent="0.2">
      <c r="C71" s="30">
        <f t="shared" si="50"/>
        <v>4.9570073383740296E-2</v>
      </c>
      <c r="D71" s="30">
        <f t="shared" si="51"/>
        <v>8.8334294550706474E-2</v>
      </c>
      <c r="E71" s="30">
        <f t="shared" si="52"/>
        <v>0.12705948177378121</v>
      </c>
      <c r="F71" s="30">
        <f t="shared" si="53"/>
        <v>0.16570574961757181</v>
      </c>
    </row>
    <row r="72" spans="3:6" ht="15.75" customHeight="1" x14ac:dyDescent="0.15"/>
    <row r="73" spans="3:6" ht="15.75" customHeight="1" x14ac:dyDescent="0.15"/>
    <row r="74" spans="3:6" ht="15.75" customHeight="1" x14ac:dyDescent="0.15"/>
    <row r="75" spans="3:6" ht="15.75" customHeight="1" x14ac:dyDescent="0.15"/>
    <row r="76" spans="3:6" ht="15.75" customHeight="1" x14ac:dyDescent="0.15"/>
    <row r="77" spans="3:6" ht="15.75" customHeight="1" x14ac:dyDescent="0.15"/>
    <row r="78" spans="3:6" ht="15.75" customHeight="1" x14ac:dyDescent="0.15"/>
    <row r="79" spans="3:6" ht="15.75" customHeight="1" x14ac:dyDescent="0.15"/>
    <row r="80" spans="3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A3:A6"/>
    <mergeCell ref="A7:A10"/>
    <mergeCell ref="A11:A14"/>
    <mergeCell ref="A15:A18"/>
    <mergeCell ref="A1:A2"/>
    <mergeCell ref="B1:B2"/>
    <mergeCell ref="C1:H1"/>
    <mergeCell ref="M1:R1"/>
    <mergeCell ref="K2:L2"/>
    <mergeCell ref="K3:K5"/>
    <mergeCell ref="K6:K8"/>
    <mergeCell ref="N36:O36"/>
    <mergeCell ref="P37:Q37"/>
    <mergeCell ref="P38:Q38"/>
    <mergeCell ref="K9:K11"/>
    <mergeCell ref="K12:K14"/>
    <mergeCell ref="K17:L17"/>
    <mergeCell ref="M17:N17"/>
    <mergeCell ref="K18:L20"/>
    <mergeCell ref="M18:N20"/>
    <mergeCell ref="K22:P2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 Office User</cp:lastModifiedBy>
  <dcterms:created xsi:type="dcterms:W3CDTF">2020-10-19T16:15:41Z</dcterms:created>
  <dcterms:modified xsi:type="dcterms:W3CDTF">2023-05-12T10:20:18Z</dcterms:modified>
</cp:coreProperties>
</file>