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5540" tabRatio="875"/>
  </bookViews>
  <sheets>
    <sheet name="Rates" sheetId="1" r:id="rId1"/>
    <sheet name="Categories" sheetId="2" r:id="rId2"/>
    <sheet name="Teams" sheetId="3" r:id="rId3"/>
    <sheet name="Accounts" sheetId="4" r:id="rId4"/>
    <sheet name="MinorBugsRetention" sheetId="5" r:id="rId5"/>
    <sheet name="MintCodeRetention" sheetId="6" r:id="rId6"/>
    <sheet name="AlphaRaysFlagStar" sheetId="7" r:id="rId7"/>
    <sheet name="GloriousWise" sheetId="8" r:id="rId8"/>
    <sheet name="Counter" sheetId="9" r:id="rId9"/>
    <sheet name="MinorBugsBAHLCurrent" sheetId="10" r:id="rId10"/>
    <sheet name="MinorBugsBAHLSaving" sheetId="11" r:id="rId11"/>
    <sheet name="MinorBugsMeezanCurrent" sheetId="12" r:id="rId12"/>
    <sheet name="MintCodeCurrent" sheetId="13" r:id="rId13"/>
    <sheet name="GamesGeeksBAHL" sheetId="14" r:id="rId14"/>
    <sheet name="GamingUniverse" sheetId="15" r:id="rId15"/>
    <sheet name="KashifMeezan" sheetId="16" r:id="rId16"/>
    <sheet name="SaadMeezan" sheetId="17" r:id="rId17"/>
    <sheet name="GameHippoMeezan" sheetId="18" r:id="rId18"/>
    <sheet name="AbdullahMeezan" sheetId="19" r:id="rId19"/>
    <sheet name="GameSol" sheetId="20" r:id="rId20"/>
    <sheet name="CipherWaveWise" sheetId="21" r:id="rId21"/>
    <sheet name="AstroVerse" sheetId="22" r:id="rId22"/>
    <sheet name="Summary" sheetId="23" r:id="rId23"/>
    <sheet name="TeamWiseExpense" sheetId="24" r:id="rId24"/>
  </sheets>
  <definedNames>
    <definedName name="CategoryList">Categories!$A$2:$A$19</definedName>
    <definedName name="TeamList">Teams!$A$2:$A$8</definedName>
    <definedName name="AccountsList">Accounts!$A$2:$A$19</definedName>
    <definedName name="CurrencyList">Rates!$A$2:$A$3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<sst xmlns="http://schemas.openxmlformats.org/spreadsheetml/2006/main" count="1114" uniqueCount="168">
  <si>
    <t>Currency</t>
  </si>
  <si>
    <t>RateToPKR</t>
  </si>
  <si>
    <t>USD</t>
  </si>
  <si>
    <t>PKR</t>
  </si>
  <si>
    <t>Category</t>
  </si>
  <si>
    <t>SaadPersonal</t>
  </si>
  <si>
    <t>KashifPersonal</t>
  </si>
  <si>
    <t>NasirPersonal</t>
  </si>
  <si>
    <t>OfficeRent</t>
  </si>
  <si>
    <t>Equipments</t>
  </si>
  <si>
    <t>CompanyExpense</t>
  </si>
  <si>
    <t>Donation</t>
  </si>
  <si>
    <t>Marketing</t>
  </si>
  <si>
    <t>HomeExpense</t>
  </si>
  <si>
    <t>Investments</t>
  </si>
  <si>
    <t>Repairing</t>
  </si>
  <si>
    <t>ProfitTax</t>
  </si>
  <si>
    <t>TransferEntry</t>
  </si>
  <si>
    <t>Zakat</t>
  </si>
  <si>
    <t>Income</t>
  </si>
  <si>
    <t>A/C Receivable</t>
  </si>
  <si>
    <t>FED</t>
  </si>
  <si>
    <t>AdwordUA</t>
  </si>
  <si>
    <t>TikTokUA</t>
  </si>
  <si>
    <t>ApplovinUA</t>
  </si>
  <si>
    <t>UnityUA</t>
  </si>
  <si>
    <t>Salaries</t>
  </si>
  <si>
    <t>TransferCredit</t>
  </si>
  <si>
    <t>Team</t>
  </si>
  <si>
    <t>MinorBugs</t>
  </si>
  <si>
    <t>BraveJackals</t>
  </si>
  <si>
    <t>GoJins</t>
  </si>
  <si>
    <t>BuggiesKids</t>
  </si>
  <si>
    <t>GameHippo</t>
  </si>
  <si>
    <t>Frentech</t>
  </si>
  <si>
    <t>DevBoat</t>
  </si>
  <si>
    <t>Account</t>
  </si>
  <si>
    <t>DefaultCurrency</t>
  </si>
  <si>
    <t>MinorBugsRetention</t>
  </si>
  <si>
    <t>MintCodeRetention</t>
  </si>
  <si>
    <t>AlphaRaysFlagStar</t>
  </si>
  <si>
    <t>GloriousWise</t>
  </si>
  <si>
    <t>Counter</t>
  </si>
  <si>
    <t>MinorBugsBAHLCurrent</t>
  </si>
  <si>
    <t>MinorBugsBAHLSaving</t>
  </si>
  <si>
    <t>MinorBugsMeezanCurrent</t>
  </si>
  <si>
    <t>MintCodeCurrent</t>
  </si>
  <si>
    <t>GamesGeeksBAHL</t>
  </si>
  <si>
    <t>GamingUniverse</t>
  </si>
  <si>
    <t>KashifMeezan</t>
  </si>
  <si>
    <t>SaadMeezan</t>
  </si>
  <si>
    <t>GameHippoMeezan</t>
  </si>
  <si>
    <t>AbdullahMeezan</t>
  </si>
  <si>
    <t>GameSol</t>
  </si>
  <si>
    <t>CipherWaveWise</t>
  </si>
  <si>
    <t>AstroVerse</t>
  </si>
  <si>
    <t>Date</t>
  </si>
  <si>
    <t>Counterparty Account</t>
  </si>
  <si>
    <t>Description</t>
  </si>
  <si>
    <t>Amount</t>
  </si>
  <si>
    <t>Rate</t>
  </si>
  <si>
    <t>Amount (PKR)</t>
  </si>
  <si>
    <t>Balance (PKR)</t>
  </si>
  <si>
    <t>Last Updated</t>
  </si>
  <si>
    <t>Opening Balance</t>
  </si>
  <si>
    <t>Mintcode</t>
  </si>
  <si>
    <t>usd</t>
  </si>
  <si>
    <t>Invoice</t>
  </si>
  <si>
    <t>tax</t>
  </si>
  <si>
    <t>Tictok</t>
  </si>
  <si>
    <t>2839 adword</t>
  </si>
  <si>
    <t>Tax</t>
  </si>
  <si>
    <t>IOS</t>
  </si>
  <si>
    <t>8299 adword</t>
  </si>
  <si>
    <t>Card transaction of 134.15 USD issued by Google Ads3164405270 Singapore</t>
  </si>
  <si>
    <t>Card Cashback</t>
  </si>
  <si>
    <t>Sent money to ADLOGIC TECHNOLOGY PTE. LTD</t>
  </si>
  <si>
    <t>01/07/2025</t>
  </si>
  <si>
    <t>Owners Drawings:Kashif Drawings</t>
  </si>
  <si>
    <t>Stationery and printing</t>
  </si>
  <si>
    <t>Owners Drawings:Nasir Drawings</t>
  </si>
  <si>
    <t>Meals and entertainment</t>
  </si>
  <si>
    <t>Openinig Balance</t>
  </si>
  <si>
    <t>Salary</t>
  </si>
  <si>
    <t>Admob IOS</t>
  </si>
  <si>
    <t>tras</t>
  </si>
  <si>
    <t>income</t>
  </si>
  <si>
    <t>credit</t>
  </si>
  <si>
    <t>2025-08-01</t>
  </si>
  <si>
    <t>2025-08-02</t>
  </si>
  <si>
    <t>2025-08-03</t>
  </si>
  <si>
    <t>CatList_LOCAL</t>
  </si>
  <si>
    <t>Shahid Ullah</t>
  </si>
  <si>
    <t>SaadMezn</t>
  </si>
  <si>
    <t>AllahRakha</t>
  </si>
  <si>
    <t>Nasir Ada</t>
  </si>
  <si>
    <t>Ali Raza</t>
  </si>
  <si>
    <t>Admob</t>
  </si>
  <si>
    <t>Retention</t>
  </si>
  <si>
    <t>Unity Credit</t>
  </si>
  <si>
    <t>02/07/2025</t>
  </si>
  <si>
    <t>03/07/2025</t>
  </si>
  <si>
    <t>04/07/2025</t>
  </si>
  <si>
    <t>07/07/2025</t>
  </si>
  <si>
    <t>08/07/2025</t>
  </si>
  <si>
    <t>09/07/2025</t>
  </si>
  <si>
    <t>10/07/2025</t>
  </si>
  <si>
    <t>11/07/2025</t>
  </si>
  <si>
    <t>12/07/2025</t>
  </si>
  <si>
    <t>13/07/2025</t>
  </si>
  <si>
    <t>14/07/2025</t>
  </si>
  <si>
    <t>15/07/2025</t>
  </si>
  <si>
    <t>16/07/2025</t>
  </si>
  <si>
    <t>17/07/2025</t>
  </si>
  <si>
    <t>18/07/2025</t>
  </si>
  <si>
    <t>19/07/2025</t>
  </si>
  <si>
    <t>21/07/2025</t>
  </si>
  <si>
    <t>22/07/2025</t>
  </si>
  <si>
    <t>23/07/2025</t>
  </si>
  <si>
    <t>24/07/2025</t>
  </si>
  <si>
    <t>25/07/2025</t>
  </si>
  <si>
    <t>28/07/2025</t>
  </si>
  <si>
    <t>29/07/2025</t>
  </si>
  <si>
    <t>31/07/2025</t>
  </si>
  <si>
    <t>Inward RTGS Payment</t>
  </si>
  <si>
    <t>Charges Taxes Plus FED - STAN(314016)</t>
  </si>
  <si>
    <t>Money Transferred to MUHAMMAD SAAD SALMAN-XXXX3019 STAN(314016)</t>
  </si>
  <si>
    <t>Charges Taxes Plus FED - STAN(464463)</t>
  </si>
  <si>
    <t>Money Transferred to HAMID JAMAL MCB ASAAN ACC-XXXX1532 STAN(464463)</t>
  </si>
  <si>
    <t>Charges Taxes Plus FED - STAN(936013)</t>
  </si>
  <si>
    <t>Money Transferred to HAMID JAMAL MCB ASAAN ACC-XXXX1532 STAN(936013)</t>
  </si>
  <si>
    <t>Bill Paid LESCO 15112731828209 FROM IB STAN(191352)</t>
  </si>
  <si>
    <t>Bill Paid LESCO 14112731828100 FROM IB STAN(367396)</t>
  </si>
  <si>
    <t>Charges Taxes Plus FED - STAN(325728)</t>
  </si>
  <si>
    <t>Money Transferred to ABDUR RAHMAN-XXXX8001 STAN(325728)</t>
  </si>
  <si>
    <t>Money Received from GAME SOL A/C 0214-XXXX9254 STAN (223048)</t>
  </si>
  <si>
    <t>Charges Taxes Plus FED - STAN(504473)</t>
  </si>
  <si>
    <t>Money Transferred to MUHAMMAD WAQAR ANWAR-XXXXLAMI STAN(504473)</t>
  </si>
  <si>
    <t>Money Received from MUHAMMAD WAQAR ANWAR-XXXX0501 STAN(767557)</t>
  </si>
  <si>
    <t>Charges Taxes Plus FED - STAN(770396)</t>
  </si>
  <si>
    <t>RTGS</t>
  </si>
  <si>
    <t>Ayesha Amjad</t>
  </si>
  <si>
    <t>Saad Meezan</t>
  </si>
  <si>
    <t>17/7/2025</t>
  </si>
  <si>
    <t>Inapps</t>
  </si>
  <si>
    <t>Sent money to ADLOGIC TECHNOLOGY PTELTD</t>
  </si>
  <si>
    <t>Wise Charges for: TRANSFER-1607380760</t>
  </si>
  <si>
    <t>Received money from Jahanzab Farooq with reference 544866</t>
  </si>
  <si>
    <t>Wise Charges for: TRANSFER-1613273049</t>
  </si>
  <si>
    <t>Received money from Ahmad Amjad with reference 015109</t>
  </si>
  <si>
    <t xml:space="preserve">Received money from Ahmad Amjad with reference </t>
  </si>
  <si>
    <t>Sent money to GLORIOUS PVT LIMITED</t>
  </si>
  <si>
    <t>Seed</t>
  </si>
  <si>
    <t>Rent</t>
  </si>
  <si>
    <t>2025-08-07</t>
  </si>
  <si>
    <t>FED fee</t>
  </si>
  <si>
    <t>Sheet</t>
  </si>
  <si>
    <t>Income (PKR)</t>
  </si>
  <si>
    <t>Expense (PKR)</t>
  </si>
  <si>
    <t>Net Profit (PKR)</t>
  </si>
  <si>
    <t>Total Cash (PKR)</t>
  </si>
  <si>
    <t>Total Expense (PKR)</t>
  </si>
  <si>
    <t>Company Rollup</t>
  </si>
  <si>
    <t>Total (Team)</t>
  </si>
  <si>
    <t>MarketingMintegral</t>
  </si>
  <si>
    <t>Welfare</t>
  </si>
  <si>
    <t>Training</t>
  </si>
  <si>
    <t>Total (Category)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</si>
</sst>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8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3" borderId="2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3">
      <alignment vertical="center"/>
    </xf>
    <xf numFmtId="0" fontId="9" fillId="0" borderId="3">
      <alignment vertical="center"/>
    </xf>
    <xf numFmtId="0" fontId="10" fillId="0" borderId="4">
      <alignment vertical="center"/>
    </xf>
    <xf numFmtId="0" fontId="10" fillId="0" borderId="0">
      <alignment vertical="center"/>
    </xf>
    <xf numFmtId="0" fontId="11" fillId="4" borderId="5">
      <alignment vertical="center"/>
    </xf>
    <xf numFmtId="0" fontId="12" fillId="5" borderId="6">
      <alignment vertical="center"/>
    </xf>
    <xf numFmtId="0" fontId="13" fillId="5" borderId="5">
      <alignment vertical="center"/>
    </xf>
    <xf numFmtId="0" fontId="14" fillId="6" borderId="7">
      <alignment vertical="center"/>
    </xf>
    <xf numFmtId="0" fontId="15" fillId="0" borderId="8">
      <alignment vertical="center"/>
    </xf>
    <xf numFmtId="0" fontId="16" fillId="0" borderId="9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1" fillId="15" borderId="0">
      <alignment vertical="center"/>
    </xf>
    <xf numFmtId="0" fontId="21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</cellStyleXfs>
  <cellXfs count="12">
    <xf numFmtId="0" fontId="0" fillId="0" borderId="0" xfId="0"/>
    <xf numFmtId="4" fontId="0" fillId="0" borderId="0" xfId="0" applyNumberFormat="1"/>
    <xf numFmtId="178" fontId="1" fillId="0" borderId="0" xfId="0" applyNumberFormat="1" applyFont="1"/>
    <xf numFmtId="0" fontId="1" fillId="0" borderId="0" xfId="0" applyFont="1" applyAlignment="1">
      <alignment vertical="center"/>
    </xf>
    <xf numFmtId="58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wrapText="1"/>
    </xf>
    <xf numFmtId="58" fontId="0" fillId="0" borderId="0" xfId="0" applyNumberFormat="1"/>
    <xf numFmtId="58" fontId="0" fillId="2" borderId="1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alignment horizontal="center" vertic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www.wps.cn/officeDocument/2021/sharedlinks" Target="sharedlinks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Rates" displayName="Rates" ref="A1:B3">
  <autoFilter xmlns:etc="http://www.wps.cn/officeDocument/2017/etCustomData" ref="A1:B3" etc:filterBottomFollowUsedRange="0"/>
  <tableColumns count="2">
    <tableColumn id="1" name="Currency"/>
    <tableColumn id="2" name="RateToPKR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x_MinorBugsBAHLCurrent" displayName="tx_MinorBugsBAHLCurrent" ref="A1:L301">
  <autoFilter xmlns:etc="http://www.wps.cn/officeDocument/2017/etCustomData" ref="A1:L301" etc:filterBottomFollowUsedRange="0"/>
  <tableColumns count="12">
    <tableColumn id="1" name="Account"/>
    <tableColumn id="2" name="Date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x_MinorBugsBAHLSaving" displayName="tx_MinorBugsBAHLSaving" ref="A1:L301">
  <autoFilter xmlns:etc="http://www.wps.cn/officeDocument/2017/etCustomData" ref="A1:L301" etc:filterBottomFollowUsedRange="0"/>
  <tableColumns count="12">
    <tableColumn id="1" name="Account"/>
    <tableColumn id="2" name="Date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x_MinorBugsMeezanCurrent" displayName="tx_MinorBugsMeezanCurrent" ref="A1:L301">
  <autoFilter xmlns:etc="http://www.wps.cn/officeDocument/2017/etCustomData" ref="A1:L301" etc:filterBottomFollowUsedRange="0"/>
  <tableColumns count="12">
    <tableColumn id="1" name="Account"/>
    <tableColumn id="2" name="Date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x_MintCodeCurrent" displayName="tx_MintCodeCurrent" ref="A1:L301">
  <autoFilter xmlns:etc="http://www.wps.cn/officeDocument/2017/etCustomData" ref="A1:L301" etc:filterBottomFollowUsedRange="0"/>
  <tableColumns count="12">
    <tableColumn id="1" name="Account"/>
    <tableColumn id="2" name="Date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x_GamesGeeksBAHL" displayName="tx_GamesGeeksBAHL" ref="A1:L301">
  <autoFilter xmlns:etc="http://www.wps.cn/officeDocument/2017/etCustomData" ref="A1:L301" etc:filterBottomFollowUsedRange="0"/>
  <tableColumns count="12">
    <tableColumn id="1" name="Account"/>
    <tableColumn id="2" name="Date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x_GamingUniverse" displayName="tx_GamingUniverse" ref="A1:L301">
  <autoFilter xmlns:etc="http://www.wps.cn/officeDocument/2017/etCustomData" ref="A1:L301" etc:filterBottomFollowUsedRange="0"/>
  <tableColumns count="12">
    <tableColumn id="1" name="Account"/>
    <tableColumn id="2" name="Date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x_KashifMeezan" displayName="tx_KashifMeezan" ref="A1:L301">
  <autoFilter xmlns:etc="http://www.wps.cn/officeDocument/2017/etCustomData" ref="A1:L301" etc:filterBottomFollowUsedRange="0"/>
  <tableColumns count="12">
    <tableColumn id="1" name="Account"/>
    <tableColumn id="2" name="Date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x_SaadMeezan" displayName="tx_SaadMeezan" ref="A1:L296">
  <autoFilter xmlns:etc="http://www.wps.cn/officeDocument/2017/etCustomData" ref="A1:L296" etc:filterBottomFollowUsedRange="0"/>
  <tableColumns count="12">
    <tableColumn id="1" name="Account"/>
    <tableColumn id="2" name="Date" dataDxfId="1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x_GameHippoMeezan" displayName="tx_GameHippoMeezan" ref="A1:L301">
  <autoFilter xmlns:etc="http://www.wps.cn/officeDocument/2017/etCustomData" ref="A1:L301" etc:filterBottomFollowUsedRange="0"/>
  <tableColumns count="12">
    <tableColumn id="1" name="Account"/>
    <tableColumn id="2" name="Date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x_AbdullahMeezan" displayName="tx_AbdullahMeezan" ref="A1:L301">
  <autoFilter xmlns:etc="http://www.wps.cn/officeDocument/2017/etCustomData" ref="A1:L301" etc:filterBottomFollowUsedRange="0"/>
  <tableColumns count="12">
    <tableColumn id="1" name="Account"/>
    <tableColumn id="2" name="Date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ategories" displayName="Categories" ref="A1:A19">
  <autoFilter xmlns:etc="http://www.wps.cn/officeDocument/2017/etCustomData" ref="A1:A19" etc:filterBottomFollowUsedRange="0"/>
  <tableColumns count="1">
    <tableColumn id="1" name="Category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0" name="tx_GameSol" displayName="tx_GameSol" ref="A1:L301">
  <autoFilter xmlns:etc="http://www.wps.cn/officeDocument/2017/etCustomData" ref="A1:L301" etc:filterBottomFollowUsedRange="0"/>
  <tableColumns count="12">
    <tableColumn id="1" name="Account"/>
    <tableColumn id="2" name="Date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x_CipherWaveWise" displayName="tx_CipherWaveWise" ref="A1:L301">
  <autoFilter xmlns:etc="http://www.wps.cn/officeDocument/2017/etCustomData" ref="A1:L301" etc:filterBottomFollowUsedRange="0"/>
  <sortState ref="A1:L301">
    <sortCondition ref="B1"/>
  </sortState>
  <tableColumns count="12">
    <tableColumn id="1" name="Account"/>
    <tableColumn id="2" name="Date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x_AstroVerse" displayName="tx_AstroVerse" ref="A1:L301">
  <autoFilter xmlns:etc="http://www.wps.cn/officeDocument/2017/etCustomData" ref="A1:L301" etc:filterBottomFollowUsedRange="0"/>
  <tableColumns count="12">
    <tableColumn id="1" name="Account"/>
    <tableColumn id="2" name="Date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eams" displayName="Teams" ref="A1:A8">
  <autoFilter xmlns:etc="http://www.wps.cn/officeDocument/2017/etCustomData" ref="A1:A8" etc:filterBottomFollowUsedRange="0"/>
  <tableColumns count="1">
    <tableColumn id="1" name="Team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Accounts" displayName="Accounts" ref="A1:B17">
  <autoFilter xmlns:etc="http://www.wps.cn/officeDocument/2017/etCustomData" ref="A1:B17" etc:filterBottomFollowUsedRange="0"/>
  <tableColumns count="2">
    <tableColumn id="1" name="Account"/>
    <tableColumn id="2" name="DefaultCurrency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x_MinorBugsRetention" displayName="tx_MinorBugsRetention" ref="A1:L301">
  <autoFilter xmlns:etc="http://www.wps.cn/officeDocument/2017/etCustomData" ref="A1:L301" etc:filterBottomFollowUsedRange="0"/>
  <tableColumns count="12">
    <tableColumn id="1" name="Account"/>
    <tableColumn id="2" name="Date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x_MintCodeRetention" displayName="tx_MintCodeRetention" ref="A1:L301">
  <autoFilter xmlns:etc="http://www.wps.cn/officeDocument/2017/etCustomData" ref="A1:L301" etc:filterBottomFollowUsedRange="0"/>
  <tableColumns count="12">
    <tableColumn id="1" name="Account"/>
    <tableColumn id="2" name="Date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x_AlphaRaysFlagStar" displayName="tx_AlphaRaysFlagStar" ref="A1:L301">
  <autoFilter xmlns:etc="http://www.wps.cn/officeDocument/2017/etCustomData" ref="A1:L301" etc:filterBottomFollowUsedRange="0"/>
  <tableColumns count="12">
    <tableColumn id="1" name="Account"/>
    <tableColumn id="2" name="Date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x_GloriousWise" displayName="tx_GloriousWise" ref="A1:L295">
  <autoFilter xmlns:etc="http://www.wps.cn/officeDocument/2017/etCustomData" ref="A1:L295" etc:filterBottomFollowUsedRange="0"/>
  <sortState ref="A1:L295">
    <sortCondition ref="B1"/>
  </sortState>
  <tableColumns count="12">
    <tableColumn id="1" name="Account"/>
    <tableColumn id="2" name="Date" dataDxfId="0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x_Counter" displayName="tx_Counter" ref="A1:L301">
  <autoFilter xmlns:etc="http://www.wps.cn/officeDocument/2017/etCustomData" ref="A1:L301" etc:filterBottomFollowUsedRange="0"/>
  <tableColumns count="12">
    <tableColumn id="1" name="Account"/>
    <tableColumn id="2" name="Date"/>
    <tableColumn id="3" name="Category"/>
    <tableColumn id="4" name="Team"/>
    <tableColumn id="5" name="Counterparty Account"/>
    <tableColumn id="6" name="Description"/>
    <tableColumn id="7" name="Amount"/>
    <tableColumn id="8" name="Currency"/>
    <tableColumn id="9" name="Rate"/>
    <tableColumn id="10" name="Amount (PKR)"/>
    <tableColumn id="11" name="Balance (PKR)"/>
    <tableColumn id="12" name="Last Upd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B3" sqref="B3"/>
    </sheetView>
  </sheetViews>
  <sheetFormatPr defaultColWidth="9" defaultRowHeight="16.8" outlineLevelRow="2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v>283</v>
      </c>
    </row>
    <row r="3" spans="1:2">
      <c r="A3" t="s">
        <v>3</v>
      </c>
      <c r="B3">
        <v>1</v>
      </c>
    </row>
  </sheetData>
  <pageMargins left="0.75" right="0.75" top="1" bottom="1" header="0.5" footer="0.5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workbookViewId="0">
      <pane ySplit="1" topLeftCell="A2" activePane="bottomLeft" state="frozen"/>
      <selection/>
      <selection pane="bottomLeft" activeCell="F24" sqref="F24"/>
    </sheetView>
  </sheetViews>
  <sheetFormatPr defaultColWidth="9" defaultRowHeight="16.8"/>
  <cols>
    <col min="1" max="1" width="22" customWidth="1"/>
    <col min="2" max="2" width="12" customWidth="1"/>
    <col min="3" max="4" width="16" customWidth="1"/>
    <col min="5" max="5" width="26" customWidth="1"/>
    <col min="6" max="6" width="36" customWidth="1"/>
    <col min="7" max="7" width="12" customWidth="1"/>
    <col min="8" max="9" width="10" customWidth="1"/>
    <col min="10" max="10" width="14" customWidth="1"/>
    <col min="11" max="11" width="16" customWidth="1"/>
    <col min="12" max="12" width="14" customWidth="1"/>
    <col min="14" max="14" width="2" customWidth="1"/>
    <col min="16" max="16" width="2" customWidth="1"/>
  </cols>
  <sheetData>
    <row r="1" spans="1:12">
      <c r="A1" t="s">
        <v>36</v>
      </c>
      <c r="B1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</row>
    <row r="2" spans="1:12">
      <c r="A2" t="s">
        <v>43</v>
      </c>
      <c r="B2" s="10">
        <v>45840</v>
      </c>
      <c r="F2" t="s">
        <v>82</v>
      </c>
      <c r="G2" s="5">
        <v>23547</v>
      </c>
      <c r="H2" t="s">
        <v>3</v>
      </c>
      <c r="I2">
        <f>IFERROR(VLOOKUP(H2,Rates!$A$2:$B$3,2,0),1)</f>
        <v>1</v>
      </c>
      <c r="J2">
        <f t="shared" ref="J2:J65" si="0">IF(G2&lt;&gt;"",G2*I2,"")</f>
        <v>23547</v>
      </c>
      <c r="K2">
        <f>IF(J2&lt;&gt;"",J2,"")</f>
        <v>23547</v>
      </c>
      <c r="L2">
        <f ca="1" t="shared" ref="L2:L65" si="1">IF(COUNTA(A2:K2)&gt;0,TODAY(),"")</f>
        <v>45942</v>
      </c>
    </row>
    <row r="3" spans="1:12">
      <c r="A3" t="s">
        <v>43</v>
      </c>
      <c r="B3" s="10">
        <v>45840</v>
      </c>
      <c r="C3" t="s">
        <v>17</v>
      </c>
      <c r="E3" t="s">
        <v>44</v>
      </c>
      <c r="G3" s="5">
        <v>4500000</v>
      </c>
      <c r="H3" t="s">
        <v>3</v>
      </c>
      <c r="I3">
        <f>IFERROR(VLOOKUP(H3,Rates!$A$2:$B$3,2,0),1)</f>
        <v>1</v>
      </c>
      <c r="J3">
        <f t="shared" si="0"/>
        <v>4500000</v>
      </c>
      <c r="K3">
        <f>IF(J3&lt;&gt;"",SUM($J$2:J3),"")</f>
        <v>4523547</v>
      </c>
      <c r="L3">
        <f ca="1" t="shared" si="1"/>
        <v>45942</v>
      </c>
    </row>
    <row r="4" spans="1:12">
      <c r="A4" t="s">
        <v>43</v>
      </c>
      <c r="B4" s="10">
        <v>45842</v>
      </c>
      <c r="C4" t="s">
        <v>26</v>
      </c>
      <c r="D4" t="s">
        <v>29</v>
      </c>
      <c r="F4" t="s">
        <v>26</v>
      </c>
      <c r="G4" s="5">
        <v>-4295887</v>
      </c>
      <c r="H4" t="s">
        <v>3</v>
      </c>
      <c r="I4">
        <f>IFERROR(VLOOKUP(H4,Rates!$A$2:$B$3,2,0),1)</f>
        <v>1</v>
      </c>
      <c r="J4">
        <f t="shared" si="0"/>
        <v>-4295887</v>
      </c>
      <c r="K4">
        <f>IF(J4&lt;&gt;"",SUM($J$2:J4),"")</f>
        <v>227660</v>
      </c>
      <c r="L4">
        <f ca="1" t="shared" si="1"/>
        <v>45942</v>
      </c>
    </row>
    <row r="5" spans="1:12">
      <c r="A5" t="s">
        <v>43</v>
      </c>
      <c r="B5" s="10">
        <v>45842</v>
      </c>
      <c r="C5" t="s">
        <v>26</v>
      </c>
      <c r="D5" t="s">
        <v>29</v>
      </c>
      <c r="F5" t="s">
        <v>83</v>
      </c>
      <c r="G5">
        <v>-56667</v>
      </c>
      <c r="I5">
        <f>IFERROR(VLOOKUP(H5,Rates!$A$2:$B$3,2,0),1)</f>
        <v>1</v>
      </c>
      <c r="J5">
        <f t="shared" si="0"/>
        <v>-56667</v>
      </c>
      <c r="K5">
        <f>IF(J5&lt;&gt;"",SUM($J$2:J5),"")</f>
        <v>170993</v>
      </c>
      <c r="L5">
        <f ca="1" t="shared" si="1"/>
        <v>45942</v>
      </c>
    </row>
    <row r="6" spans="1:12">
      <c r="A6" t="s">
        <v>43</v>
      </c>
      <c r="B6" s="10">
        <v>45842</v>
      </c>
      <c r="C6" t="s">
        <v>26</v>
      </c>
      <c r="D6" t="s">
        <v>29</v>
      </c>
      <c r="F6" t="s">
        <v>83</v>
      </c>
      <c r="G6">
        <v>-68684</v>
      </c>
      <c r="I6">
        <f>IFERROR(VLOOKUP(H6,Rates!$A$2:$B$3,2,0),1)</f>
        <v>1</v>
      </c>
      <c r="J6">
        <f t="shared" si="0"/>
        <v>-68684</v>
      </c>
      <c r="K6">
        <f>IF(J6&lt;&gt;"",SUM($J$2:J6),"")</f>
        <v>102309</v>
      </c>
      <c r="L6">
        <f ca="1" t="shared" si="1"/>
        <v>45942</v>
      </c>
    </row>
    <row r="7" spans="1:12">
      <c r="A7" t="s">
        <v>43</v>
      </c>
      <c r="B7" s="10">
        <v>45845</v>
      </c>
      <c r="C7" t="s">
        <v>26</v>
      </c>
      <c r="D7" t="s">
        <v>29</v>
      </c>
      <c r="F7" t="s">
        <v>83</v>
      </c>
      <c r="G7">
        <v>-42134</v>
      </c>
      <c r="I7">
        <f>IFERROR(VLOOKUP(H7,Rates!$A$2:$B$3,2,0),1)</f>
        <v>1</v>
      </c>
      <c r="J7">
        <f t="shared" si="0"/>
        <v>-42134</v>
      </c>
      <c r="K7">
        <f>IF(J7&lt;&gt;"",SUM($J$2:J7),"")</f>
        <v>60175</v>
      </c>
      <c r="L7">
        <f ca="1" t="shared" si="1"/>
        <v>45942</v>
      </c>
    </row>
    <row r="8" spans="1:12">
      <c r="A8" t="s">
        <v>43</v>
      </c>
      <c r="B8" s="10">
        <v>45861</v>
      </c>
      <c r="C8" t="s">
        <v>26</v>
      </c>
      <c r="D8" t="s">
        <v>29</v>
      </c>
      <c r="F8" t="s">
        <v>83</v>
      </c>
      <c r="G8" s="5">
        <v>-25333</v>
      </c>
      <c r="I8">
        <f>IFERROR(VLOOKUP(H8,Rates!$A$2:$B$3,2,0),1)</f>
        <v>1</v>
      </c>
      <c r="J8">
        <f t="shared" si="0"/>
        <v>-25333</v>
      </c>
      <c r="K8">
        <f>IF(J8&lt;&gt;"",SUM($J$2:J8),"")</f>
        <v>34842</v>
      </c>
      <c r="L8">
        <f ca="1" t="shared" si="1"/>
        <v>45942</v>
      </c>
    </row>
    <row r="9" spans="1:12">
      <c r="A9" t="s">
        <v>43</v>
      </c>
      <c r="B9" s="10">
        <v>45861</v>
      </c>
      <c r="C9" t="s">
        <v>19</v>
      </c>
      <c r="D9" t="s">
        <v>29</v>
      </c>
      <c r="F9" t="s">
        <v>84</v>
      </c>
      <c r="G9">
        <v>7315603</v>
      </c>
      <c r="I9">
        <f>IFERROR(VLOOKUP(H9,Rates!$A$2:$B$3,2,0),1)</f>
        <v>1</v>
      </c>
      <c r="J9">
        <f t="shared" si="0"/>
        <v>7315603</v>
      </c>
      <c r="K9">
        <f>IF(J9&lt;&gt;"",SUM($J$2:J9),"")</f>
        <v>7350445</v>
      </c>
      <c r="L9">
        <f ca="1" t="shared" si="1"/>
        <v>45942</v>
      </c>
    </row>
    <row r="10" spans="1:12">
      <c r="A10" t="s">
        <v>43</v>
      </c>
      <c r="B10" s="10">
        <v>45861</v>
      </c>
      <c r="C10" t="s">
        <v>16</v>
      </c>
      <c r="D10" t="s">
        <v>29</v>
      </c>
      <c r="F10" t="s">
        <v>71</v>
      </c>
      <c r="G10" s="5">
        <v>-18290</v>
      </c>
      <c r="I10">
        <f>IFERROR(VLOOKUP(H10,Rates!$A$2:$B$3,2,0),1)</f>
        <v>1</v>
      </c>
      <c r="J10">
        <f t="shared" si="0"/>
        <v>-18290</v>
      </c>
      <c r="K10">
        <f>IF(J10&lt;&gt;"",SUM($J$2:J10),"")</f>
        <v>7332155</v>
      </c>
      <c r="L10">
        <f ca="1" t="shared" si="1"/>
        <v>45942</v>
      </c>
    </row>
    <row r="11" spans="2:7">
      <c r="B11" s="10"/>
      <c r="C11"/>
      <c r="G11" s="5"/>
    </row>
    <row r="12" spans="2:7">
      <c r="B12" s="10"/>
      <c r="C12"/>
      <c r="D12"/>
      <c r="G12" s="5"/>
    </row>
    <row r="13" spans="2:7">
      <c r="B13" s="10"/>
      <c r="C13"/>
      <c r="G13" s="5"/>
    </row>
    <row r="14" spans="2:2">
      <c r="B14" s="10"/>
    </row>
    <row r="15" spans="2:2">
      <c r="B15" s="10"/>
    </row>
    <row r="16" spans="2:7">
      <c r="B16" s="10"/>
      <c r="C16"/>
      <c r="G16" s="5"/>
    </row>
    <row r="17" spans="2:7">
      <c r="B17" s="10"/>
      <c r="C17"/>
      <c r="G17" s="5"/>
    </row>
    <row r="18" spans="2:7">
      <c r="B18" s="10"/>
      <c r="C18"/>
      <c r="D18"/>
      <c r="G18" s="5"/>
    </row>
    <row r="19" spans="2:7">
      <c r="B19" s="10"/>
      <c r="C19"/>
      <c r="D19"/>
      <c r="G19" s="5"/>
    </row>
    <row r="20" spans="2:7">
      <c r="B20" s="10"/>
      <c r="C20"/>
      <c r="G20" s="5"/>
    </row>
    <row r="21" spans="2:2">
      <c r="B21" s="10"/>
    </row>
    <row r="22" spans="2:2">
      <c r="B22" s="10"/>
    </row>
    <row r="27" spans="9:12">
      <c r="I27">
        <f>IFERROR(VLOOKUP(H27,Rates!$A$2:$B$3,2,0),1)</f>
        <v>1</v>
      </c>
      <c r="J27" t="str">
        <f t="shared" si="0"/>
        <v/>
      </c>
      <c r="K27" t="str">
        <f>IF(J27&lt;&gt;"",SUM($J$2:J27),"")</f>
        <v/>
      </c>
      <c r="L27">
        <f ca="1" t="shared" si="1"/>
        <v>45942</v>
      </c>
    </row>
    <row r="28" spans="9:12">
      <c r="I28">
        <f>IFERROR(VLOOKUP(H28,Rates!$A$2:$B$3,2,0),1)</f>
        <v>1</v>
      </c>
      <c r="J28" t="str">
        <f t="shared" si="0"/>
        <v/>
      </c>
      <c r="K28" t="str">
        <f>IF(J28&lt;&gt;"",SUM($J$2:J28),"")</f>
        <v/>
      </c>
      <c r="L28">
        <f ca="1" t="shared" si="1"/>
        <v>45942</v>
      </c>
    </row>
    <row r="29" spans="9:12">
      <c r="I29">
        <f>IFERROR(VLOOKUP(H29,Rates!$A$2:$B$3,2,0),1)</f>
        <v>1</v>
      </c>
      <c r="J29" t="str">
        <f t="shared" si="0"/>
        <v/>
      </c>
      <c r="K29" t="str">
        <f>IF(J29&lt;&gt;"",SUM($J$2:J29),"")</f>
        <v/>
      </c>
      <c r="L29">
        <f ca="1" t="shared" si="1"/>
        <v>45942</v>
      </c>
    </row>
    <row r="30" spans="9:12">
      <c r="I30">
        <f>IFERROR(VLOOKUP(H30,Rates!$A$2:$B$3,2,0),1)</f>
        <v>1</v>
      </c>
      <c r="J30" t="str">
        <f t="shared" si="0"/>
        <v/>
      </c>
      <c r="K30" t="str">
        <f>IF(J30&lt;&gt;"",SUM($J$2:J30),"")</f>
        <v/>
      </c>
      <c r="L30">
        <f ca="1" t="shared" si="1"/>
        <v>45942</v>
      </c>
    </row>
    <row r="31" spans="9:12">
      <c r="I31">
        <f>IFERROR(VLOOKUP(H31,Rates!$A$2:$B$3,2,0),1)</f>
        <v>1</v>
      </c>
      <c r="J31" t="str">
        <f t="shared" si="0"/>
        <v/>
      </c>
      <c r="K31" t="str">
        <f>IF(J31&lt;&gt;"",SUM($J$2:J31),"")</f>
        <v/>
      </c>
      <c r="L31">
        <f ca="1" t="shared" si="1"/>
        <v>45942</v>
      </c>
    </row>
    <row r="32" spans="9:12">
      <c r="I32">
        <f>IFERROR(VLOOKUP(H32,Rates!$A$2:$B$3,2,0),1)</f>
        <v>1</v>
      </c>
      <c r="J32" t="str">
        <f t="shared" si="0"/>
        <v/>
      </c>
      <c r="K32" t="str">
        <f>IF(J32&lt;&gt;"",SUM($J$2:J32),"")</f>
        <v/>
      </c>
      <c r="L32">
        <f ca="1" t="shared" si="1"/>
        <v>45942</v>
      </c>
    </row>
    <row r="33" spans="9:12">
      <c r="I33">
        <f>IFERROR(VLOOKUP(H33,Rates!$A$2:$B$3,2,0),1)</f>
        <v>1</v>
      </c>
      <c r="J33" t="str">
        <f t="shared" si="0"/>
        <v/>
      </c>
      <c r="K33" t="str">
        <f>IF(J33&lt;&gt;"",SUM($J$2:J33),"")</f>
        <v/>
      </c>
      <c r="L33">
        <f ca="1" t="shared" si="1"/>
        <v>45942</v>
      </c>
    </row>
    <row r="34" spans="9:12">
      <c r="I34">
        <f>IFERROR(VLOOKUP(H34,Rates!$A$2:$B$3,2,0),1)</f>
        <v>1</v>
      </c>
      <c r="J34" t="str">
        <f t="shared" si="0"/>
        <v/>
      </c>
      <c r="K34" t="str">
        <f>IF(J34&lt;&gt;"",SUM($J$2:J34),"")</f>
        <v/>
      </c>
      <c r="L34">
        <f ca="1" t="shared" si="1"/>
        <v>45942</v>
      </c>
    </row>
    <row r="35" spans="9:12">
      <c r="I35">
        <f>IFERROR(VLOOKUP(H35,Rates!$A$2:$B$3,2,0),1)</f>
        <v>1</v>
      </c>
      <c r="J35" t="str">
        <f t="shared" si="0"/>
        <v/>
      </c>
      <c r="K35" t="str">
        <f>IF(J35&lt;&gt;"",SUM($J$2:J35),"")</f>
        <v/>
      </c>
      <c r="L35">
        <f ca="1" t="shared" si="1"/>
        <v>45942</v>
      </c>
    </row>
    <row r="36" spans="9:12">
      <c r="I36">
        <f>IFERROR(VLOOKUP(H36,Rates!$A$2:$B$3,2,0),1)</f>
        <v>1</v>
      </c>
      <c r="J36" t="str">
        <f t="shared" si="0"/>
        <v/>
      </c>
      <c r="K36" t="str">
        <f>IF(J36&lt;&gt;"",SUM($J$2:J36),"")</f>
        <v/>
      </c>
      <c r="L36">
        <f ca="1" t="shared" si="1"/>
        <v>45942</v>
      </c>
    </row>
    <row r="37" spans="9:12">
      <c r="I37">
        <f>IFERROR(VLOOKUP(H37,Rates!$A$2:$B$3,2,0),1)</f>
        <v>1</v>
      </c>
      <c r="J37" t="str">
        <f t="shared" si="0"/>
        <v/>
      </c>
      <c r="K37" t="str">
        <f>IF(J37&lt;&gt;"",SUM($J$2:J37),"")</f>
        <v/>
      </c>
      <c r="L37">
        <f ca="1" t="shared" si="1"/>
        <v>45942</v>
      </c>
    </row>
    <row r="38" spans="9:12">
      <c r="I38">
        <f>IFERROR(VLOOKUP(H38,Rates!$A$2:$B$3,2,0),1)</f>
        <v>1</v>
      </c>
      <c r="J38" t="str">
        <f t="shared" si="0"/>
        <v/>
      </c>
      <c r="K38" t="str">
        <f>IF(J38&lt;&gt;"",SUM($J$2:J38),"")</f>
        <v/>
      </c>
      <c r="L38">
        <f ca="1" t="shared" si="1"/>
        <v>45942</v>
      </c>
    </row>
    <row r="39" spans="9:12">
      <c r="I39">
        <f>IFERROR(VLOOKUP(H39,Rates!$A$2:$B$3,2,0),1)</f>
        <v>1</v>
      </c>
      <c r="J39" t="str">
        <f t="shared" si="0"/>
        <v/>
      </c>
      <c r="K39" t="str">
        <f>IF(J39&lt;&gt;"",SUM($J$2:J39),"")</f>
        <v/>
      </c>
      <c r="L39">
        <f ca="1" t="shared" si="1"/>
        <v>45942</v>
      </c>
    </row>
    <row r="40" spans="9:12">
      <c r="I40">
        <f>IFERROR(VLOOKUP(H40,Rates!$A$2:$B$3,2,0),1)</f>
        <v>1</v>
      </c>
      <c r="J40" t="str">
        <f t="shared" si="0"/>
        <v/>
      </c>
      <c r="K40" t="str">
        <f>IF(J40&lt;&gt;"",SUM($J$2:J40),"")</f>
        <v/>
      </c>
      <c r="L40">
        <f ca="1" t="shared" si="1"/>
        <v>45942</v>
      </c>
    </row>
    <row r="41" spans="9:12">
      <c r="I41">
        <f>IFERROR(VLOOKUP(H41,Rates!$A$2:$B$3,2,0),1)</f>
        <v>1</v>
      </c>
      <c r="J41" t="str">
        <f t="shared" si="0"/>
        <v/>
      </c>
      <c r="K41" t="str">
        <f>IF(J41&lt;&gt;"",SUM($J$2:J41),"")</f>
        <v/>
      </c>
      <c r="L41">
        <f ca="1" t="shared" si="1"/>
        <v>45942</v>
      </c>
    </row>
    <row r="42" spans="9:12">
      <c r="I42">
        <f>IFERROR(VLOOKUP(H42,Rates!$A$2:$B$3,2,0),1)</f>
        <v>1</v>
      </c>
      <c r="J42" t="str">
        <f t="shared" si="0"/>
        <v/>
      </c>
      <c r="K42" t="str">
        <f>IF(J42&lt;&gt;"",SUM($J$2:J42),"")</f>
        <v/>
      </c>
      <c r="L42">
        <f ca="1" t="shared" si="1"/>
        <v>45942</v>
      </c>
    </row>
    <row r="43" spans="9:12">
      <c r="I43">
        <f>IFERROR(VLOOKUP(H43,Rates!$A$2:$B$3,2,0),1)</f>
        <v>1</v>
      </c>
      <c r="J43" t="str">
        <f t="shared" si="0"/>
        <v/>
      </c>
      <c r="K43" t="str">
        <f>IF(J43&lt;&gt;"",SUM($J$2:J43),"")</f>
        <v/>
      </c>
      <c r="L43">
        <f ca="1" t="shared" si="1"/>
        <v>45942</v>
      </c>
    </row>
    <row r="44" spans="9:12">
      <c r="I44">
        <f>IFERROR(VLOOKUP(H44,Rates!$A$2:$B$3,2,0),1)</f>
        <v>1</v>
      </c>
      <c r="J44" t="str">
        <f t="shared" si="0"/>
        <v/>
      </c>
      <c r="K44" t="str">
        <f>IF(J44&lt;&gt;"",SUM($J$2:J44),"")</f>
        <v/>
      </c>
      <c r="L44">
        <f ca="1" t="shared" si="1"/>
        <v>45942</v>
      </c>
    </row>
    <row r="45" spans="9:12">
      <c r="I45">
        <f>IFERROR(VLOOKUP(H45,Rates!$A$2:$B$3,2,0),1)</f>
        <v>1</v>
      </c>
      <c r="J45" t="str">
        <f t="shared" si="0"/>
        <v/>
      </c>
      <c r="K45" t="str">
        <f>IF(J45&lt;&gt;"",SUM($J$2:J45),"")</f>
        <v/>
      </c>
      <c r="L45">
        <f ca="1" t="shared" si="1"/>
        <v>45942</v>
      </c>
    </row>
    <row r="46" spans="9:12">
      <c r="I46">
        <f>IFERROR(VLOOKUP(H46,Rates!$A$2:$B$3,2,0),1)</f>
        <v>1</v>
      </c>
      <c r="J46" t="str">
        <f t="shared" si="0"/>
        <v/>
      </c>
      <c r="K46" t="str">
        <f>IF(J46&lt;&gt;"",SUM($J$2:J46),"")</f>
        <v/>
      </c>
      <c r="L46">
        <f ca="1" t="shared" si="1"/>
        <v>45942</v>
      </c>
    </row>
    <row r="47" spans="9:12">
      <c r="I47">
        <f>IFERROR(VLOOKUP(H47,Rates!$A$2:$B$3,2,0),1)</f>
        <v>1</v>
      </c>
      <c r="J47" t="str">
        <f t="shared" si="0"/>
        <v/>
      </c>
      <c r="K47" t="str">
        <f>IF(J47&lt;&gt;"",SUM($J$2:J47),"")</f>
        <v/>
      </c>
      <c r="L47">
        <f ca="1" t="shared" si="1"/>
        <v>45942</v>
      </c>
    </row>
    <row r="48" spans="9:12">
      <c r="I48">
        <f>IFERROR(VLOOKUP(H48,Rates!$A$2:$B$3,2,0),1)</f>
        <v>1</v>
      </c>
      <c r="J48" t="str">
        <f t="shared" si="0"/>
        <v/>
      </c>
      <c r="K48" t="str">
        <f>IF(J48&lt;&gt;"",SUM($J$2:J48),"")</f>
        <v/>
      </c>
      <c r="L48">
        <f ca="1" t="shared" si="1"/>
        <v>45942</v>
      </c>
    </row>
    <row r="49" spans="9:12">
      <c r="I49">
        <f>IFERROR(VLOOKUP(H49,Rates!$A$2:$B$3,2,0),1)</f>
        <v>1</v>
      </c>
      <c r="J49" t="str">
        <f t="shared" si="0"/>
        <v/>
      </c>
      <c r="K49" t="str">
        <f>IF(J49&lt;&gt;"",SUM($J$2:J49),"")</f>
        <v/>
      </c>
      <c r="L49">
        <f ca="1" t="shared" si="1"/>
        <v>45942</v>
      </c>
    </row>
    <row r="50" spans="9:12">
      <c r="I50">
        <f>IFERROR(VLOOKUP(H50,Rates!$A$2:$B$3,2,0),1)</f>
        <v>1</v>
      </c>
      <c r="J50" t="str">
        <f t="shared" si="0"/>
        <v/>
      </c>
      <c r="K50" t="str">
        <f>IF(J50&lt;&gt;"",SUM($J$2:J50),"")</f>
        <v/>
      </c>
      <c r="L50">
        <f ca="1" t="shared" si="1"/>
        <v>45942</v>
      </c>
    </row>
    <row r="51" spans="9:12">
      <c r="I51">
        <f>IFERROR(VLOOKUP(H51,Rates!$A$2:$B$3,2,0),1)</f>
        <v>1</v>
      </c>
      <c r="J51" t="str">
        <f t="shared" si="0"/>
        <v/>
      </c>
      <c r="K51" t="str">
        <f>IF(J51&lt;&gt;"",SUM($J$2:J51),"")</f>
        <v/>
      </c>
      <c r="L51">
        <f ca="1" t="shared" si="1"/>
        <v>45942</v>
      </c>
    </row>
    <row r="52" spans="9:12">
      <c r="I52">
        <f>IFERROR(VLOOKUP(H52,Rates!$A$2:$B$3,2,0),1)</f>
        <v>1</v>
      </c>
      <c r="J52" t="str">
        <f t="shared" si="0"/>
        <v/>
      </c>
      <c r="K52" t="str">
        <f>IF(J52&lt;&gt;"",SUM($J$2:J52),"")</f>
        <v/>
      </c>
      <c r="L52">
        <f ca="1" t="shared" si="1"/>
        <v>45942</v>
      </c>
    </row>
    <row r="53" spans="9:12">
      <c r="I53">
        <f>IFERROR(VLOOKUP(H53,Rates!$A$2:$B$3,2,0),1)</f>
        <v>1</v>
      </c>
      <c r="J53" t="str">
        <f t="shared" si="0"/>
        <v/>
      </c>
      <c r="K53" t="str">
        <f>IF(J53&lt;&gt;"",SUM($J$2:J53),"")</f>
        <v/>
      </c>
      <c r="L53">
        <f ca="1" t="shared" si="1"/>
        <v>45942</v>
      </c>
    </row>
    <row r="54" spans="9:12">
      <c r="I54">
        <f>IFERROR(VLOOKUP(H54,Rates!$A$2:$B$3,2,0),1)</f>
        <v>1</v>
      </c>
      <c r="J54" t="str">
        <f t="shared" si="0"/>
        <v/>
      </c>
      <c r="K54" t="str">
        <f>IF(J54&lt;&gt;"",SUM($J$2:J54),"")</f>
        <v/>
      </c>
      <c r="L54">
        <f ca="1" t="shared" si="1"/>
        <v>45942</v>
      </c>
    </row>
    <row r="55" spans="9:12">
      <c r="I55">
        <f>IFERROR(VLOOKUP(H55,Rates!$A$2:$B$3,2,0),1)</f>
        <v>1</v>
      </c>
      <c r="J55" t="str">
        <f t="shared" si="0"/>
        <v/>
      </c>
      <c r="K55" t="str">
        <f>IF(J55&lt;&gt;"",SUM($J$2:J55),"")</f>
        <v/>
      </c>
      <c r="L55">
        <f ca="1" t="shared" si="1"/>
        <v>45942</v>
      </c>
    </row>
    <row r="56" spans="9:12">
      <c r="I56">
        <f>IFERROR(VLOOKUP(H56,Rates!$A$2:$B$3,2,0),1)</f>
        <v>1</v>
      </c>
      <c r="J56" t="str">
        <f t="shared" si="0"/>
        <v/>
      </c>
      <c r="K56" t="str">
        <f>IF(J56&lt;&gt;"",SUM($J$2:J56),"")</f>
        <v/>
      </c>
      <c r="L56">
        <f ca="1" t="shared" si="1"/>
        <v>45942</v>
      </c>
    </row>
    <row r="57" spans="9:12">
      <c r="I57">
        <f>IFERROR(VLOOKUP(H57,Rates!$A$2:$B$3,2,0),1)</f>
        <v>1</v>
      </c>
      <c r="J57" t="str">
        <f t="shared" si="0"/>
        <v/>
      </c>
      <c r="K57" t="str">
        <f>IF(J57&lt;&gt;"",SUM($J$2:J57),"")</f>
        <v/>
      </c>
      <c r="L57">
        <f ca="1" t="shared" si="1"/>
        <v>45942</v>
      </c>
    </row>
    <row r="58" spans="9:12">
      <c r="I58">
        <f>IFERROR(VLOOKUP(H58,Rates!$A$2:$B$3,2,0),1)</f>
        <v>1</v>
      </c>
      <c r="J58" t="str">
        <f t="shared" si="0"/>
        <v/>
      </c>
      <c r="K58" t="str">
        <f>IF(J58&lt;&gt;"",SUM($J$2:J58),"")</f>
        <v/>
      </c>
      <c r="L58">
        <f ca="1" t="shared" si="1"/>
        <v>45942</v>
      </c>
    </row>
    <row r="59" spans="9:12">
      <c r="I59">
        <f>IFERROR(VLOOKUP(H59,Rates!$A$2:$B$3,2,0),1)</f>
        <v>1</v>
      </c>
      <c r="J59" t="str">
        <f t="shared" si="0"/>
        <v/>
      </c>
      <c r="K59" t="str">
        <f>IF(J59&lt;&gt;"",SUM($J$2:J59),"")</f>
        <v/>
      </c>
      <c r="L59">
        <f ca="1" t="shared" si="1"/>
        <v>45942</v>
      </c>
    </row>
    <row r="60" spans="9:12">
      <c r="I60">
        <f>IFERROR(VLOOKUP(H60,Rates!$A$2:$B$3,2,0),1)</f>
        <v>1</v>
      </c>
      <c r="J60" t="str">
        <f t="shared" si="0"/>
        <v/>
      </c>
      <c r="K60" t="str">
        <f>IF(J60&lt;&gt;"",SUM($J$2:J60),"")</f>
        <v/>
      </c>
      <c r="L60">
        <f ca="1" t="shared" si="1"/>
        <v>45942</v>
      </c>
    </row>
    <row r="61" spans="9:12">
      <c r="I61">
        <f>IFERROR(VLOOKUP(H61,Rates!$A$2:$B$3,2,0),1)</f>
        <v>1</v>
      </c>
      <c r="J61" t="str">
        <f t="shared" si="0"/>
        <v/>
      </c>
      <c r="K61" t="str">
        <f>IF(J61&lt;&gt;"",SUM($J$2:J61),"")</f>
        <v/>
      </c>
      <c r="L61">
        <f ca="1" t="shared" si="1"/>
        <v>45942</v>
      </c>
    </row>
    <row r="62" spans="9:12">
      <c r="I62">
        <f>IFERROR(VLOOKUP(H62,Rates!$A$2:$B$3,2,0),1)</f>
        <v>1</v>
      </c>
      <c r="J62" t="str">
        <f t="shared" si="0"/>
        <v/>
      </c>
      <c r="K62" t="str">
        <f>IF(J62&lt;&gt;"",SUM($J$2:J62),"")</f>
        <v/>
      </c>
      <c r="L62">
        <f ca="1" t="shared" si="1"/>
        <v>45942</v>
      </c>
    </row>
    <row r="63" spans="9:12">
      <c r="I63">
        <f>IFERROR(VLOOKUP(H63,Rates!$A$2:$B$3,2,0),1)</f>
        <v>1</v>
      </c>
      <c r="J63" t="str">
        <f t="shared" si="0"/>
        <v/>
      </c>
      <c r="K63" t="str">
        <f>IF(J63&lt;&gt;"",SUM($J$2:J63),"")</f>
        <v/>
      </c>
      <c r="L63">
        <f ca="1" t="shared" si="1"/>
        <v>45942</v>
      </c>
    </row>
    <row r="64" spans="9:12">
      <c r="I64">
        <f>IFERROR(VLOOKUP(H64,Rates!$A$2:$B$3,2,0),1)</f>
        <v>1</v>
      </c>
      <c r="J64" t="str">
        <f t="shared" si="0"/>
        <v/>
      </c>
      <c r="K64" t="str">
        <f>IF(J64&lt;&gt;"",SUM($J$2:J64),"")</f>
        <v/>
      </c>
      <c r="L64">
        <f ca="1" t="shared" si="1"/>
        <v>45942</v>
      </c>
    </row>
    <row r="65" spans="9:12">
      <c r="I65">
        <f>IFERROR(VLOOKUP(H65,Rates!$A$2:$B$3,2,0),1)</f>
        <v>1</v>
      </c>
      <c r="J65" t="str">
        <f t="shared" si="0"/>
        <v/>
      </c>
      <c r="K65" t="str">
        <f>IF(J65&lt;&gt;"",SUM($J$2:J65),"")</f>
        <v/>
      </c>
      <c r="L65">
        <f ca="1" t="shared" si="1"/>
        <v>45942</v>
      </c>
    </row>
    <row r="66" spans="9:12">
      <c r="I66">
        <f>IFERROR(VLOOKUP(H66,Rates!$A$2:$B$3,2,0),1)</f>
        <v>1</v>
      </c>
      <c r="J66" t="str">
        <f t="shared" ref="J66:J129" si="2">IF(G66&lt;&gt;"",G66*I66,"")</f>
        <v/>
      </c>
      <c r="K66" t="str">
        <f>IF(J66&lt;&gt;"",SUM($J$2:J66),"")</f>
        <v/>
      </c>
      <c r="L66">
        <f ca="1" t="shared" ref="L66:L129" si="3">IF(COUNTA(A66:K66)&gt;0,TODAY(),"")</f>
        <v>45942</v>
      </c>
    </row>
    <row r="67" spans="9:12">
      <c r="I67">
        <f>IFERROR(VLOOKUP(H67,Rates!$A$2:$B$3,2,0),1)</f>
        <v>1</v>
      </c>
      <c r="J67" t="str">
        <f t="shared" si="2"/>
        <v/>
      </c>
      <c r="K67" t="str">
        <f>IF(J67&lt;&gt;"",SUM($J$2:J67),"")</f>
        <v/>
      </c>
      <c r="L67">
        <f ca="1" t="shared" si="3"/>
        <v>45942</v>
      </c>
    </row>
    <row r="68" spans="9:12">
      <c r="I68">
        <f>IFERROR(VLOOKUP(H68,Rates!$A$2:$B$3,2,0),1)</f>
        <v>1</v>
      </c>
      <c r="J68" t="str">
        <f t="shared" si="2"/>
        <v/>
      </c>
      <c r="K68" t="str">
        <f>IF(J68&lt;&gt;"",SUM($J$2:J68),"")</f>
        <v/>
      </c>
      <c r="L68">
        <f ca="1" t="shared" si="3"/>
        <v>45942</v>
      </c>
    </row>
    <row r="69" spans="9:12">
      <c r="I69">
        <f>IFERROR(VLOOKUP(H69,Rates!$A$2:$B$3,2,0),1)</f>
        <v>1</v>
      </c>
      <c r="J69" t="str">
        <f t="shared" si="2"/>
        <v/>
      </c>
      <c r="K69" t="str">
        <f>IF(J69&lt;&gt;"",SUM($J$2:J69),"")</f>
        <v/>
      </c>
      <c r="L69">
        <f ca="1" t="shared" si="3"/>
        <v>45942</v>
      </c>
    </row>
    <row r="70" spans="9:12">
      <c r="I70">
        <f>IFERROR(VLOOKUP(H70,Rates!$A$2:$B$3,2,0),1)</f>
        <v>1</v>
      </c>
      <c r="J70" t="str">
        <f t="shared" si="2"/>
        <v/>
      </c>
      <c r="K70" t="str">
        <f>IF(J70&lt;&gt;"",SUM($J$2:J70),"")</f>
        <v/>
      </c>
      <c r="L70">
        <f ca="1" t="shared" si="3"/>
        <v>45942</v>
      </c>
    </row>
    <row r="71" spans="9:12">
      <c r="I71">
        <f>IFERROR(VLOOKUP(H71,Rates!$A$2:$B$3,2,0),1)</f>
        <v>1</v>
      </c>
      <c r="J71" t="str">
        <f t="shared" si="2"/>
        <v/>
      </c>
      <c r="K71" t="str">
        <f>IF(J71&lt;&gt;"",SUM($J$2:J71),"")</f>
        <v/>
      </c>
      <c r="L71">
        <f ca="1" t="shared" si="3"/>
        <v>45942</v>
      </c>
    </row>
    <row r="72" spans="9:12">
      <c r="I72">
        <f>IFERROR(VLOOKUP(H72,Rates!$A$2:$B$3,2,0),1)</f>
        <v>1</v>
      </c>
      <c r="J72" t="str">
        <f t="shared" si="2"/>
        <v/>
      </c>
      <c r="K72" t="str">
        <f>IF(J72&lt;&gt;"",SUM($J$2:J72),"")</f>
        <v/>
      </c>
      <c r="L72">
        <f ca="1" t="shared" si="3"/>
        <v>45942</v>
      </c>
    </row>
    <row r="73" spans="9:12">
      <c r="I73">
        <f>IFERROR(VLOOKUP(H73,Rates!$A$2:$B$3,2,0),1)</f>
        <v>1</v>
      </c>
      <c r="J73" t="str">
        <f t="shared" si="2"/>
        <v/>
      </c>
      <c r="K73" t="str">
        <f>IF(J73&lt;&gt;"",SUM($J$2:J73),"")</f>
        <v/>
      </c>
      <c r="L73">
        <f ca="1" t="shared" si="3"/>
        <v>45942</v>
      </c>
    </row>
    <row r="74" spans="9:12">
      <c r="I74">
        <f>IFERROR(VLOOKUP(H74,Rates!$A$2:$B$3,2,0),1)</f>
        <v>1</v>
      </c>
      <c r="J74" t="str">
        <f t="shared" si="2"/>
        <v/>
      </c>
      <c r="K74" t="str">
        <f>IF(J74&lt;&gt;"",SUM($J$2:J74),"")</f>
        <v/>
      </c>
      <c r="L74">
        <f ca="1" t="shared" si="3"/>
        <v>45942</v>
      </c>
    </row>
    <row r="75" spans="9:12">
      <c r="I75">
        <f>IFERROR(VLOOKUP(H75,Rates!$A$2:$B$3,2,0),1)</f>
        <v>1</v>
      </c>
      <c r="J75" t="str">
        <f t="shared" si="2"/>
        <v/>
      </c>
      <c r="K75" t="str">
        <f>IF(J75&lt;&gt;"",SUM($J$2:J75),"")</f>
        <v/>
      </c>
      <c r="L75">
        <f ca="1" t="shared" si="3"/>
        <v>45942</v>
      </c>
    </row>
    <row r="76" spans="9:12">
      <c r="I76">
        <f>IFERROR(VLOOKUP(H76,Rates!$A$2:$B$3,2,0),1)</f>
        <v>1</v>
      </c>
      <c r="J76" t="str">
        <f t="shared" si="2"/>
        <v/>
      </c>
      <c r="K76" t="str">
        <f>IF(J76&lt;&gt;"",SUM($J$2:J76),"")</f>
        <v/>
      </c>
      <c r="L76">
        <f ca="1" t="shared" si="3"/>
        <v>45942</v>
      </c>
    </row>
    <row r="77" spans="9:12">
      <c r="I77">
        <f>IFERROR(VLOOKUP(H77,Rates!$A$2:$B$3,2,0),1)</f>
        <v>1</v>
      </c>
      <c r="J77" t="str">
        <f t="shared" si="2"/>
        <v/>
      </c>
      <c r="K77" t="str">
        <f>IF(J77&lt;&gt;"",SUM($J$2:J77),"")</f>
        <v/>
      </c>
      <c r="L77">
        <f ca="1" t="shared" si="3"/>
        <v>45942</v>
      </c>
    </row>
    <row r="78" spans="9:12">
      <c r="I78">
        <f>IFERROR(VLOOKUP(H78,Rates!$A$2:$B$3,2,0),1)</f>
        <v>1</v>
      </c>
      <c r="J78" t="str">
        <f t="shared" si="2"/>
        <v/>
      </c>
      <c r="K78" t="str">
        <f>IF(J78&lt;&gt;"",SUM($J$2:J78),"")</f>
        <v/>
      </c>
      <c r="L78">
        <f ca="1" t="shared" si="3"/>
        <v>45942</v>
      </c>
    </row>
    <row r="79" spans="9:12">
      <c r="I79">
        <f>IFERROR(VLOOKUP(H79,Rates!$A$2:$B$3,2,0),1)</f>
        <v>1</v>
      </c>
      <c r="J79" t="str">
        <f t="shared" si="2"/>
        <v/>
      </c>
      <c r="K79" t="str">
        <f>IF(J79&lt;&gt;"",SUM($J$2:J79),"")</f>
        <v/>
      </c>
      <c r="L79">
        <f ca="1" t="shared" si="3"/>
        <v>45942</v>
      </c>
    </row>
    <row r="80" spans="9:12">
      <c r="I80">
        <f>IFERROR(VLOOKUP(H80,Rates!$A$2:$B$3,2,0),1)</f>
        <v>1</v>
      </c>
      <c r="J80" t="str">
        <f t="shared" si="2"/>
        <v/>
      </c>
      <c r="K80" t="str">
        <f>IF(J80&lt;&gt;"",SUM($J$2:J80),"")</f>
        <v/>
      </c>
      <c r="L80">
        <f ca="1" t="shared" si="3"/>
        <v>45942</v>
      </c>
    </row>
    <row r="81" spans="9:12">
      <c r="I81">
        <f>IFERROR(VLOOKUP(H81,Rates!$A$2:$B$3,2,0),1)</f>
        <v>1</v>
      </c>
      <c r="J81" t="str">
        <f t="shared" si="2"/>
        <v/>
      </c>
      <c r="K81" t="str">
        <f>IF(J81&lt;&gt;"",SUM($J$2:J81),"")</f>
        <v/>
      </c>
      <c r="L81">
        <f ca="1" t="shared" si="3"/>
        <v>45942</v>
      </c>
    </row>
    <row r="82" spans="9:12">
      <c r="I82">
        <f>IFERROR(VLOOKUP(H82,Rates!$A$2:$B$3,2,0),1)</f>
        <v>1</v>
      </c>
      <c r="J82" t="str">
        <f t="shared" si="2"/>
        <v/>
      </c>
      <c r="K82" t="str">
        <f>IF(J82&lt;&gt;"",SUM($J$2:J82),"")</f>
        <v/>
      </c>
      <c r="L82">
        <f ca="1" t="shared" si="3"/>
        <v>45942</v>
      </c>
    </row>
    <row r="83" spans="9:12">
      <c r="I83">
        <f>IFERROR(VLOOKUP(H83,Rates!$A$2:$B$3,2,0),1)</f>
        <v>1</v>
      </c>
      <c r="J83" t="str">
        <f t="shared" si="2"/>
        <v/>
      </c>
      <c r="K83" t="str">
        <f>IF(J83&lt;&gt;"",SUM($J$2:J83),"")</f>
        <v/>
      </c>
      <c r="L83">
        <f ca="1" t="shared" si="3"/>
        <v>45942</v>
      </c>
    </row>
    <row r="84" spans="9:12">
      <c r="I84">
        <f>IFERROR(VLOOKUP(H84,Rates!$A$2:$B$3,2,0),1)</f>
        <v>1</v>
      </c>
      <c r="J84" t="str">
        <f t="shared" si="2"/>
        <v/>
      </c>
      <c r="K84" t="str">
        <f>IF(J84&lt;&gt;"",SUM($J$2:J84),"")</f>
        <v/>
      </c>
      <c r="L84">
        <f ca="1" t="shared" si="3"/>
        <v>45942</v>
      </c>
    </row>
    <row r="85" spans="9:12">
      <c r="I85">
        <f>IFERROR(VLOOKUP(H85,Rates!$A$2:$B$3,2,0),1)</f>
        <v>1</v>
      </c>
      <c r="J85" t="str">
        <f t="shared" si="2"/>
        <v/>
      </c>
      <c r="K85" t="str">
        <f>IF(J85&lt;&gt;"",SUM($J$2:J85),"")</f>
        <v/>
      </c>
      <c r="L85">
        <f ca="1" t="shared" si="3"/>
        <v>45942</v>
      </c>
    </row>
    <row r="86" spans="9:12">
      <c r="I86">
        <f>IFERROR(VLOOKUP(H86,Rates!$A$2:$B$3,2,0),1)</f>
        <v>1</v>
      </c>
      <c r="J86" t="str">
        <f t="shared" si="2"/>
        <v/>
      </c>
      <c r="K86" t="str">
        <f>IF(J86&lt;&gt;"",SUM($J$2:J86),"")</f>
        <v/>
      </c>
      <c r="L86">
        <f ca="1" t="shared" si="3"/>
        <v>45942</v>
      </c>
    </row>
    <row r="87" spans="9:12">
      <c r="I87">
        <f>IFERROR(VLOOKUP(H87,Rates!$A$2:$B$3,2,0),1)</f>
        <v>1</v>
      </c>
      <c r="J87" t="str">
        <f t="shared" si="2"/>
        <v/>
      </c>
      <c r="K87" t="str">
        <f>IF(J87&lt;&gt;"",SUM($J$2:J87),"")</f>
        <v/>
      </c>
      <c r="L87">
        <f ca="1" t="shared" si="3"/>
        <v>45942</v>
      </c>
    </row>
    <row r="88" spans="9:12">
      <c r="I88">
        <f>IFERROR(VLOOKUP(H88,Rates!$A$2:$B$3,2,0),1)</f>
        <v>1</v>
      </c>
      <c r="J88" t="str">
        <f t="shared" si="2"/>
        <v/>
      </c>
      <c r="K88" t="str">
        <f>IF(J88&lt;&gt;"",SUM($J$2:J88),"")</f>
        <v/>
      </c>
      <c r="L88">
        <f ca="1" t="shared" si="3"/>
        <v>45942</v>
      </c>
    </row>
    <row r="89" spans="9:12">
      <c r="I89">
        <f>IFERROR(VLOOKUP(H89,Rates!$A$2:$B$3,2,0),1)</f>
        <v>1</v>
      </c>
      <c r="J89" t="str">
        <f t="shared" si="2"/>
        <v/>
      </c>
      <c r="K89" t="str">
        <f>IF(J89&lt;&gt;"",SUM($J$2:J89),"")</f>
        <v/>
      </c>
      <c r="L89">
        <f ca="1" t="shared" si="3"/>
        <v>45942</v>
      </c>
    </row>
    <row r="90" spans="9:12">
      <c r="I90">
        <f>IFERROR(VLOOKUP(H90,Rates!$A$2:$B$3,2,0),1)</f>
        <v>1</v>
      </c>
      <c r="J90" t="str">
        <f t="shared" si="2"/>
        <v/>
      </c>
      <c r="K90" t="str">
        <f>IF(J90&lt;&gt;"",SUM($J$2:J90),"")</f>
        <v/>
      </c>
      <c r="L90">
        <f ca="1" t="shared" si="3"/>
        <v>45942</v>
      </c>
    </row>
    <row r="91" spans="9:12">
      <c r="I91">
        <f>IFERROR(VLOOKUP(H91,Rates!$A$2:$B$3,2,0),1)</f>
        <v>1</v>
      </c>
      <c r="J91" t="str">
        <f t="shared" si="2"/>
        <v/>
      </c>
      <c r="K91" t="str">
        <f>IF(J91&lt;&gt;"",SUM($J$2:J91),"")</f>
        <v/>
      </c>
      <c r="L91">
        <f ca="1" t="shared" si="3"/>
        <v>45942</v>
      </c>
    </row>
    <row r="92" spans="9:12">
      <c r="I92">
        <f>IFERROR(VLOOKUP(H92,Rates!$A$2:$B$3,2,0),1)</f>
        <v>1</v>
      </c>
      <c r="J92" t="str">
        <f t="shared" si="2"/>
        <v/>
      </c>
      <c r="K92" t="str">
        <f>IF(J92&lt;&gt;"",SUM($J$2:J92),"")</f>
        <v/>
      </c>
      <c r="L92">
        <f ca="1" t="shared" si="3"/>
        <v>45942</v>
      </c>
    </row>
    <row r="93" spans="9:12">
      <c r="I93">
        <f>IFERROR(VLOOKUP(H93,Rates!$A$2:$B$3,2,0),1)</f>
        <v>1</v>
      </c>
      <c r="J93" t="str">
        <f t="shared" si="2"/>
        <v/>
      </c>
      <c r="K93" t="str">
        <f>IF(J93&lt;&gt;"",SUM($J$2:J93),"")</f>
        <v/>
      </c>
      <c r="L93">
        <f ca="1" t="shared" si="3"/>
        <v>45942</v>
      </c>
    </row>
    <row r="94" spans="9:12">
      <c r="I94">
        <f>IFERROR(VLOOKUP(H94,Rates!$A$2:$B$3,2,0),1)</f>
        <v>1</v>
      </c>
      <c r="J94" t="str">
        <f t="shared" si="2"/>
        <v/>
      </c>
      <c r="K94" t="str">
        <f>IF(J94&lt;&gt;"",SUM($J$2:J94),"")</f>
        <v/>
      </c>
      <c r="L94">
        <f ca="1" t="shared" si="3"/>
        <v>45942</v>
      </c>
    </row>
    <row r="95" spans="9:12">
      <c r="I95">
        <f>IFERROR(VLOOKUP(H95,Rates!$A$2:$B$3,2,0),1)</f>
        <v>1</v>
      </c>
      <c r="J95" t="str">
        <f t="shared" si="2"/>
        <v/>
      </c>
      <c r="K95" t="str">
        <f>IF(J95&lt;&gt;"",SUM($J$2:J95),"")</f>
        <v/>
      </c>
      <c r="L95">
        <f ca="1" t="shared" si="3"/>
        <v>45942</v>
      </c>
    </row>
    <row r="96" spans="9:12">
      <c r="I96">
        <f>IFERROR(VLOOKUP(H96,Rates!$A$2:$B$3,2,0),1)</f>
        <v>1</v>
      </c>
      <c r="J96" t="str">
        <f t="shared" si="2"/>
        <v/>
      </c>
      <c r="K96" t="str">
        <f>IF(J96&lt;&gt;"",SUM($J$2:J96),"")</f>
        <v/>
      </c>
      <c r="L96">
        <f ca="1" t="shared" si="3"/>
        <v>45942</v>
      </c>
    </row>
    <row r="97" spans="9:12">
      <c r="I97">
        <f>IFERROR(VLOOKUP(H97,Rates!$A$2:$B$3,2,0),1)</f>
        <v>1</v>
      </c>
      <c r="J97" t="str">
        <f t="shared" si="2"/>
        <v/>
      </c>
      <c r="K97" t="str">
        <f>IF(J97&lt;&gt;"",SUM($J$2:J97),"")</f>
        <v/>
      </c>
      <c r="L97">
        <f ca="1" t="shared" si="3"/>
        <v>45942</v>
      </c>
    </row>
    <row r="98" spans="9:12">
      <c r="I98">
        <f>IFERROR(VLOOKUP(H98,Rates!$A$2:$B$3,2,0),1)</f>
        <v>1</v>
      </c>
      <c r="J98" t="str">
        <f t="shared" si="2"/>
        <v/>
      </c>
      <c r="K98" t="str">
        <f>IF(J98&lt;&gt;"",SUM($J$2:J98),"")</f>
        <v/>
      </c>
      <c r="L98">
        <f ca="1" t="shared" si="3"/>
        <v>45942</v>
      </c>
    </row>
    <row r="99" spans="9:12">
      <c r="I99">
        <f>IFERROR(VLOOKUP(H99,Rates!$A$2:$B$3,2,0),1)</f>
        <v>1</v>
      </c>
      <c r="J99" t="str">
        <f t="shared" si="2"/>
        <v/>
      </c>
      <c r="K99" t="str">
        <f>IF(J99&lt;&gt;"",SUM($J$2:J99),"")</f>
        <v/>
      </c>
      <c r="L99">
        <f ca="1" t="shared" si="3"/>
        <v>45942</v>
      </c>
    </row>
    <row r="100" spans="9:12">
      <c r="I100">
        <f>IFERROR(VLOOKUP(H100,Rates!$A$2:$B$3,2,0),1)</f>
        <v>1</v>
      </c>
      <c r="J100" t="str">
        <f t="shared" si="2"/>
        <v/>
      </c>
      <c r="K100" t="str">
        <f>IF(J100&lt;&gt;"",SUM($J$2:J100),"")</f>
        <v/>
      </c>
      <c r="L100">
        <f ca="1" t="shared" si="3"/>
        <v>45942</v>
      </c>
    </row>
    <row r="101" spans="9:12">
      <c r="I101">
        <f>IFERROR(VLOOKUP(H101,Rates!$A$2:$B$3,2,0),1)</f>
        <v>1</v>
      </c>
      <c r="J101" t="str">
        <f t="shared" si="2"/>
        <v/>
      </c>
      <c r="K101" t="str">
        <f>IF(J101&lt;&gt;"",SUM($J$2:J101),"")</f>
        <v/>
      </c>
      <c r="L101">
        <f ca="1" t="shared" si="3"/>
        <v>45942</v>
      </c>
    </row>
    <row r="102" spans="9:12">
      <c r="I102">
        <f>IFERROR(VLOOKUP(H102,Rates!$A$2:$B$3,2,0),1)</f>
        <v>1</v>
      </c>
      <c r="J102" t="str">
        <f t="shared" si="2"/>
        <v/>
      </c>
      <c r="K102" t="str">
        <f>IF(J102&lt;&gt;"",SUM($J$2:J102),"")</f>
        <v/>
      </c>
      <c r="L102">
        <f ca="1" t="shared" si="3"/>
        <v>45942</v>
      </c>
    </row>
    <row r="103" spans="9:12">
      <c r="I103">
        <f>IFERROR(VLOOKUP(H103,Rates!$A$2:$B$3,2,0),1)</f>
        <v>1</v>
      </c>
      <c r="J103" t="str">
        <f t="shared" si="2"/>
        <v/>
      </c>
      <c r="K103" t="str">
        <f>IF(J103&lt;&gt;"",SUM($J$2:J103),"")</f>
        <v/>
      </c>
      <c r="L103">
        <f ca="1" t="shared" si="3"/>
        <v>45942</v>
      </c>
    </row>
    <row r="104" spans="9:12">
      <c r="I104">
        <f>IFERROR(VLOOKUP(H104,Rates!$A$2:$B$3,2,0),1)</f>
        <v>1</v>
      </c>
      <c r="J104" t="str">
        <f t="shared" si="2"/>
        <v/>
      </c>
      <c r="K104" t="str">
        <f>IF(J104&lt;&gt;"",SUM($J$2:J104),"")</f>
        <v/>
      </c>
      <c r="L104">
        <f ca="1" t="shared" si="3"/>
        <v>45942</v>
      </c>
    </row>
    <row r="105" spans="9:12">
      <c r="I105">
        <f>IFERROR(VLOOKUP(H105,Rates!$A$2:$B$3,2,0),1)</f>
        <v>1</v>
      </c>
      <c r="J105" t="str">
        <f t="shared" si="2"/>
        <v/>
      </c>
      <c r="K105" t="str">
        <f>IF(J105&lt;&gt;"",SUM($J$2:J105),"")</f>
        <v/>
      </c>
      <c r="L105">
        <f ca="1" t="shared" si="3"/>
        <v>45942</v>
      </c>
    </row>
    <row r="106" spans="9:12">
      <c r="I106">
        <f>IFERROR(VLOOKUP(H106,Rates!$A$2:$B$3,2,0),1)</f>
        <v>1</v>
      </c>
      <c r="J106" t="str">
        <f t="shared" si="2"/>
        <v/>
      </c>
      <c r="K106" t="str">
        <f>IF(J106&lt;&gt;"",SUM($J$2:J106),"")</f>
        <v/>
      </c>
      <c r="L106">
        <f ca="1" t="shared" si="3"/>
        <v>45942</v>
      </c>
    </row>
    <row r="107" spans="9:12">
      <c r="I107">
        <f>IFERROR(VLOOKUP(H107,Rates!$A$2:$B$3,2,0),1)</f>
        <v>1</v>
      </c>
      <c r="J107" t="str">
        <f t="shared" si="2"/>
        <v/>
      </c>
      <c r="K107" t="str">
        <f>IF(J107&lt;&gt;"",SUM($J$2:J107),"")</f>
        <v/>
      </c>
      <c r="L107">
        <f ca="1" t="shared" si="3"/>
        <v>45942</v>
      </c>
    </row>
    <row r="108" spans="9:12">
      <c r="I108">
        <f>IFERROR(VLOOKUP(H108,Rates!$A$2:$B$3,2,0),1)</f>
        <v>1</v>
      </c>
      <c r="J108" t="str">
        <f t="shared" si="2"/>
        <v/>
      </c>
      <c r="K108" t="str">
        <f>IF(J108&lt;&gt;"",SUM($J$2:J108),"")</f>
        <v/>
      </c>
      <c r="L108">
        <f ca="1" t="shared" si="3"/>
        <v>45942</v>
      </c>
    </row>
    <row r="109" spans="9:12">
      <c r="I109">
        <f>IFERROR(VLOOKUP(H109,Rates!$A$2:$B$3,2,0),1)</f>
        <v>1</v>
      </c>
      <c r="J109" t="str">
        <f t="shared" si="2"/>
        <v/>
      </c>
      <c r="K109" t="str">
        <f>IF(J109&lt;&gt;"",SUM($J$2:J109),"")</f>
        <v/>
      </c>
      <c r="L109">
        <f ca="1" t="shared" si="3"/>
        <v>45942</v>
      </c>
    </row>
    <row r="110" spans="9:12">
      <c r="I110">
        <f>IFERROR(VLOOKUP(H110,Rates!$A$2:$B$3,2,0),1)</f>
        <v>1</v>
      </c>
      <c r="J110" t="str">
        <f t="shared" si="2"/>
        <v/>
      </c>
      <c r="K110" t="str">
        <f>IF(J110&lt;&gt;"",SUM($J$2:J110),"")</f>
        <v/>
      </c>
      <c r="L110">
        <f ca="1" t="shared" si="3"/>
        <v>45942</v>
      </c>
    </row>
    <row r="111" spans="9:12">
      <c r="I111">
        <f>IFERROR(VLOOKUP(H111,Rates!$A$2:$B$3,2,0),1)</f>
        <v>1</v>
      </c>
      <c r="J111" t="str">
        <f t="shared" si="2"/>
        <v/>
      </c>
      <c r="K111" t="str">
        <f>IF(J111&lt;&gt;"",SUM($J$2:J111),"")</f>
        <v/>
      </c>
      <c r="L111">
        <f ca="1" t="shared" si="3"/>
        <v>45942</v>
      </c>
    </row>
    <row r="112" spans="9:12">
      <c r="I112">
        <f>IFERROR(VLOOKUP(H112,Rates!$A$2:$B$3,2,0),1)</f>
        <v>1</v>
      </c>
      <c r="J112" t="str">
        <f t="shared" si="2"/>
        <v/>
      </c>
      <c r="K112" t="str">
        <f>IF(J112&lt;&gt;"",SUM($J$2:J112),"")</f>
        <v/>
      </c>
      <c r="L112">
        <f ca="1" t="shared" si="3"/>
        <v>45942</v>
      </c>
    </row>
    <row r="113" spans="9:12">
      <c r="I113">
        <f>IFERROR(VLOOKUP(H113,Rates!$A$2:$B$3,2,0),1)</f>
        <v>1</v>
      </c>
      <c r="J113" t="str">
        <f t="shared" si="2"/>
        <v/>
      </c>
      <c r="K113" t="str">
        <f>IF(J113&lt;&gt;"",SUM($J$2:J113),"")</f>
        <v/>
      </c>
      <c r="L113">
        <f ca="1" t="shared" si="3"/>
        <v>45942</v>
      </c>
    </row>
    <row r="114" spans="9:12">
      <c r="I114">
        <f>IFERROR(VLOOKUP(H114,Rates!$A$2:$B$3,2,0),1)</f>
        <v>1</v>
      </c>
      <c r="J114" t="str">
        <f t="shared" si="2"/>
        <v/>
      </c>
      <c r="K114" t="str">
        <f>IF(J114&lt;&gt;"",SUM($J$2:J114),"")</f>
        <v/>
      </c>
      <c r="L114">
        <f ca="1" t="shared" si="3"/>
        <v>45942</v>
      </c>
    </row>
    <row r="115" spans="9:12">
      <c r="I115">
        <f>IFERROR(VLOOKUP(H115,Rates!$A$2:$B$3,2,0),1)</f>
        <v>1</v>
      </c>
      <c r="J115" t="str">
        <f t="shared" si="2"/>
        <v/>
      </c>
      <c r="K115" t="str">
        <f>IF(J115&lt;&gt;"",SUM($J$2:J115),"")</f>
        <v/>
      </c>
      <c r="L115">
        <f ca="1" t="shared" si="3"/>
        <v>45942</v>
      </c>
    </row>
    <row r="116" spans="9:12">
      <c r="I116">
        <f>IFERROR(VLOOKUP(H116,Rates!$A$2:$B$3,2,0),1)</f>
        <v>1</v>
      </c>
      <c r="J116" t="str">
        <f t="shared" si="2"/>
        <v/>
      </c>
      <c r="K116" t="str">
        <f>IF(J116&lt;&gt;"",SUM($J$2:J116),"")</f>
        <v/>
      </c>
      <c r="L116">
        <f ca="1" t="shared" si="3"/>
        <v>45942</v>
      </c>
    </row>
    <row r="117" spans="9:12">
      <c r="I117">
        <f>IFERROR(VLOOKUP(H117,Rates!$A$2:$B$3,2,0),1)</f>
        <v>1</v>
      </c>
      <c r="J117" t="str">
        <f t="shared" si="2"/>
        <v/>
      </c>
      <c r="K117" t="str">
        <f>IF(J117&lt;&gt;"",SUM($J$2:J117),"")</f>
        <v/>
      </c>
      <c r="L117">
        <f ca="1" t="shared" si="3"/>
        <v>45942</v>
      </c>
    </row>
    <row r="118" spans="9:12">
      <c r="I118">
        <f>IFERROR(VLOOKUP(H118,Rates!$A$2:$B$3,2,0),1)</f>
        <v>1</v>
      </c>
      <c r="J118" t="str">
        <f t="shared" si="2"/>
        <v/>
      </c>
      <c r="K118" t="str">
        <f>IF(J118&lt;&gt;"",SUM($J$2:J118),"")</f>
        <v/>
      </c>
      <c r="L118">
        <f ca="1" t="shared" si="3"/>
        <v>45942</v>
      </c>
    </row>
    <row r="119" spans="9:12">
      <c r="I119">
        <f>IFERROR(VLOOKUP(H119,Rates!$A$2:$B$3,2,0),1)</f>
        <v>1</v>
      </c>
      <c r="J119" t="str">
        <f t="shared" si="2"/>
        <v/>
      </c>
      <c r="K119" t="str">
        <f>IF(J119&lt;&gt;"",SUM($J$2:J119),"")</f>
        <v/>
      </c>
      <c r="L119">
        <f ca="1" t="shared" si="3"/>
        <v>45942</v>
      </c>
    </row>
    <row r="120" spans="9:12">
      <c r="I120">
        <f>IFERROR(VLOOKUP(H120,Rates!$A$2:$B$3,2,0),1)</f>
        <v>1</v>
      </c>
      <c r="J120" t="str">
        <f t="shared" si="2"/>
        <v/>
      </c>
      <c r="K120" t="str">
        <f>IF(J120&lt;&gt;"",SUM($J$2:J120),"")</f>
        <v/>
      </c>
      <c r="L120">
        <f ca="1" t="shared" si="3"/>
        <v>45942</v>
      </c>
    </row>
    <row r="121" spans="9:12">
      <c r="I121">
        <f>IFERROR(VLOOKUP(H121,Rates!$A$2:$B$3,2,0),1)</f>
        <v>1</v>
      </c>
      <c r="J121" t="str">
        <f t="shared" si="2"/>
        <v/>
      </c>
      <c r="K121" t="str">
        <f>IF(J121&lt;&gt;"",SUM($J$2:J121),"")</f>
        <v/>
      </c>
      <c r="L121">
        <f ca="1" t="shared" si="3"/>
        <v>45942</v>
      </c>
    </row>
    <row r="122" spans="9:12">
      <c r="I122">
        <f>IFERROR(VLOOKUP(H122,Rates!$A$2:$B$3,2,0),1)</f>
        <v>1</v>
      </c>
      <c r="J122" t="str">
        <f t="shared" si="2"/>
        <v/>
      </c>
      <c r="K122" t="str">
        <f>IF(J122&lt;&gt;"",SUM($J$2:J122),"")</f>
        <v/>
      </c>
      <c r="L122">
        <f ca="1" t="shared" si="3"/>
        <v>45942</v>
      </c>
    </row>
    <row r="123" spans="9:12">
      <c r="I123">
        <f>IFERROR(VLOOKUP(H123,Rates!$A$2:$B$3,2,0),1)</f>
        <v>1</v>
      </c>
      <c r="J123" t="str">
        <f t="shared" si="2"/>
        <v/>
      </c>
      <c r="K123" t="str">
        <f>IF(J123&lt;&gt;"",SUM($J$2:J123),"")</f>
        <v/>
      </c>
      <c r="L123">
        <f ca="1" t="shared" si="3"/>
        <v>45942</v>
      </c>
    </row>
    <row r="124" spans="9:12">
      <c r="I124">
        <f>IFERROR(VLOOKUP(H124,Rates!$A$2:$B$3,2,0),1)</f>
        <v>1</v>
      </c>
      <c r="J124" t="str">
        <f t="shared" si="2"/>
        <v/>
      </c>
      <c r="K124" t="str">
        <f>IF(J124&lt;&gt;"",SUM($J$2:J124),"")</f>
        <v/>
      </c>
      <c r="L124">
        <f ca="1" t="shared" si="3"/>
        <v>45942</v>
      </c>
    </row>
    <row r="125" spans="9:12">
      <c r="I125">
        <f>IFERROR(VLOOKUP(H125,Rates!$A$2:$B$3,2,0),1)</f>
        <v>1</v>
      </c>
      <c r="J125" t="str">
        <f t="shared" si="2"/>
        <v/>
      </c>
      <c r="K125" t="str">
        <f>IF(J125&lt;&gt;"",SUM($J$2:J125),"")</f>
        <v/>
      </c>
      <c r="L125">
        <f ca="1" t="shared" si="3"/>
        <v>45942</v>
      </c>
    </row>
    <row r="126" spans="9:12">
      <c r="I126">
        <f>IFERROR(VLOOKUP(H126,Rates!$A$2:$B$3,2,0),1)</f>
        <v>1</v>
      </c>
      <c r="J126" t="str">
        <f t="shared" si="2"/>
        <v/>
      </c>
      <c r="K126" t="str">
        <f>IF(J126&lt;&gt;"",SUM($J$2:J126),"")</f>
        <v/>
      </c>
      <c r="L126">
        <f ca="1" t="shared" si="3"/>
        <v>45942</v>
      </c>
    </row>
    <row r="127" spans="9:12">
      <c r="I127">
        <f>IFERROR(VLOOKUP(H127,Rates!$A$2:$B$3,2,0),1)</f>
        <v>1</v>
      </c>
      <c r="J127" t="str">
        <f t="shared" si="2"/>
        <v/>
      </c>
      <c r="K127" t="str">
        <f>IF(J127&lt;&gt;"",SUM($J$2:J127),"")</f>
        <v/>
      </c>
      <c r="L127">
        <f ca="1" t="shared" si="3"/>
        <v>45942</v>
      </c>
    </row>
    <row r="128" spans="9:12">
      <c r="I128">
        <f>IFERROR(VLOOKUP(H128,Rates!$A$2:$B$3,2,0),1)</f>
        <v>1</v>
      </c>
      <c r="J128" t="str">
        <f t="shared" si="2"/>
        <v/>
      </c>
      <c r="K128" t="str">
        <f>IF(J128&lt;&gt;"",SUM($J$2:J128),"")</f>
        <v/>
      </c>
      <c r="L128">
        <f ca="1" t="shared" si="3"/>
        <v>45942</v>
      </c>
    </row>
    <row r="129" spans="9:12">
      <c r="I129">
        <f>IFERROR(VLOOKUP(H129,Rates!$A$2:$B$3,2,0),1)</f>
        <v>1</v>
      </c>
      <c r="J129" t="str">
        <f t="shared" si="2"/>
        <v/>
      </c>
      <c r="K129" t="str">
        <f>IF(J129&lt;&gt;"",SUM($J$2:J129),"")</f>
        <v/>
      </c>
      <c r="L129">
        <f ca="1" t="shared" si="3"/>
        <v>45942</v>
      </c>
    </row>
    <row r="130" spans="9:12">
      <c r="I130">
        <f>IFERROR(VLOOKUP(H130,Rates!$A$2:$B$3,2,0),1)</f>
        <v>1</v>
      </c>
      <c r="J130" t="str">
        <f t="shared" ref="J130:J193" si="4">IF(G130&lt;&gt;"",G130*I130,"")</f>
        <v/>
      </c>
      <c r="K130" t="str">
        <f>IF(J130&lt;&gt;"",SUM($J$2:J130),"")</f>
        <v/>
      </c>
      <c r="L130">
        <f ca="1" t="shared" ref="L130:L193" si="5">IF(COUNTA(A130:K130)&gt;0,TODAY(),"")</f>
        <v>45942</v>
      </c>
    </row>
    <row r="131" spans="9:12">
      <c r="I131">
        <f>IFERROR(VLOOKUP(H131,Rates!$A$2:$B$3,2,0),1)</f>
        <v>1</v>
      </c>
      <c r="J131" t="str">
        <f t="shared" si="4"/>
        <v/>
      </c>
      <c r="K131" t="str">
        <f>IF(J131&lt;&gt;"",SUM($J$2:J131),"")</f>
        <v/>
      </c>
      <c r="L131">
        <f ca="1" t="shared" si="5"/>
        <v>45942</v>
      </c>
    </row>
    <row r="132" spans="9:12">
      <c r="I132">
        <f>IFERROR(VLOOKUP(H132,Rates!$A$2:$B$3,2,0),1)</f>
        <v>1</v>
      </c>
      <c r="J132" t="str">
        <f t="shared" si="4"/>
        <v/>
      </c>
      <c r="K132" t="str">
        <f>IF(J132&lt;&gt;"",SUM($J$2:J132),"")</f>
        <v/>
      </c>
      <c r="L132">
        <f ca="1" t="shared" si="5"/>
        <v>45942</v>
      </c>
    </row>
    <row r="133" spans="9:12">
      <c r="I133">
        <f>IFERROR(VLOOKUP(H133,Rates!$A$2:$B$3,2,0),1)</f>
        <v>1</v>
      </c>
      <c r="J133" t="str">
        <f t="shared" si="4"/>
        <v/>
      </c>
      <c r="K133" t="str">
        <f>IF(J133&lt;&gt;"",SUM($J$2:J133),"")</f>
        <v/>
      </c>
      <c r="L133">
        <f ca="1" t="shared" si="5"/>
        <v>45942</v>
      </c>
    </row>
    <row r="134" spans="9:12">
      <c r="I134">
        <f>IFERROR(VLOOKUP(H134,Rates!$A$2:$B$3,2,0),1)</f>
        <v>1</v>
      </c>
      <c r="J134" t="str">
        <f t="shared" si="4"/>
        <v/>
      </c>
      <c r="K134" t="str">
        <f>IF(J134&lt;&gt;"",SUM($J$2:J134),"")</f>
        <v/>
      </c>
      <c r="L134">
        <f ca="1" t="shared" si="5"/>
        <v>45942</v>
      </c>
    </row>
    <row r="135" spans="9:12">
      <c r="I135">
        <f>IFERROR(VLOOKUP(H135,Rates!$A$2:$B$3,2,0),1)</f>
        <v>1</v>
      </c>
      <c r="J135" t="str">
        <f t="shared" si="4"/>
        <v/>
      </c>
      <c r="K135" t="str">
        <f>IF(J135&lt;&gt;"",SUM($J$2:J135),"")</f>
        <v/>
      </c>
      <c r="L135">
        <f ca="1" t="shared" si="5"/>
        <v>45942</v>
      </c>
    </row>
    <row r="136" spans="9:12">
      <c r="I136">
        <f>IFERROR(VLOOKUP(H136,Rates!$A$2:$B$3,2,0),1)</f>
        <v>1</v>
      </c>
      <c r="J136" t="str">
        <f t="shared" si="4"/>
        <v/>
      </c>
      <c r="K136" t="str">
        <f>IF(J136&lt;&gt;"",SUM($J$2:J136),"")</f>
        <v/>
      </c>
      <c r="L136">
        <f ca="1" t="shared" si="5"/>
        <v>45942</v>
      </c>
    </row>
    <row r="137" spans="9:12">
      <c r="I137">
        <f>IFERROR(VLOOKUP(H137,Rates!$A$2:$B$3,2,0),1)</f>
        <v>1</v>
      </c>
      <c r="J137" t="str">
        <f t="shared" si="4"/>
        <v/>
      </c>
      <c r="K137" t="str">
        <f>IF(J137&lt;&gt;"",SUM($J$2:J137),"")</f>
        <v/>
      </c>
      <c r="L137">
        <f ca="1" t="shared" si="5"/>
        <v>45942</v>
      </c>
    </row>
    <row r="138" spans="9:12">
      <c r="I138">
        <f>IFERROR(VLOOKUP(H138,Rates!$A$2:$B$3,2,0),1)</f>
        <v>1</v>
      </c>
      <c r="J138" t="str">
        <f t="shared" si="4"/>
        <v/>
      </c>
      <c r="K138" t="str">
        <f>IF(J138&lt;&gt;"",SUM($J$2:J138),"")</f>
        <v/>
      </c>
      <c r="L138">
        <f ca="1" t="shared" si="5"/>
        <v>45942</v>
      </c>
    </row>
    <row r="139" spans="9:12">
      <c r="I139">
        <f>IFERROR(VLOOKUP(H139,Rates!$A$2:$B$3,2,0),1)</f>
        <v>1</v>
      </c>
      <c r="J139" t="str">
        <f t="shared" si="4"/>
        <v/>
      </c>
      <c r="K139" t="str">
        <f>IF(J139&lt;&gt;"",SUM($J$2:J139),"")</f>
        <v/>
      </c>
      <c r="L139">
        <f ca="1" t="shared" si="5"/>
        <v>45942</v>
      </c>
    </row>
    <row r="140" spans="9:12">
      <c r="I140">
        <f>IFERROR(VLOOKUP(H140,Rates!$A$2:$B$3,2,0),1)</f>
        <v>1</v>
      </c>
      <c r="J140" t="str">
        <f t="shared" si="4"/>
        <v/>
      </c>
      <c r="K140" t="str">
        <f>IF(J140&lt;&gt;"",SUM($J$2:J140),"")</f>
        <v/>
      </c>
      <c r="L140">
        <f ca="1" t="shared" si="5"/>
        <v>45942</v>
      </c>
    </row>
    <row r="141" spans="9:12">
      <c r="I141">
        <f>IFERROR(VLOOKUP(H141,Rates!$A$2:$B$3,2,0),1)</f>
        <v>1</v>
      </c>
      <c r="J141" t="str">
        <f t="shared" si="4"/>
        <v/>
      </c>
      <c r="K141" t="str">
        <f>IF(J141&lt;&gt;"",SUM($J$2:J141),"")</f>
        <v/>
      </c>
      <c r="L141">
        <f ca="1" t="shared" si="5"/>
        <v>45942</v>
      </c>
    </row>
    <row r="142" spans="9:12">
      <c r="I142">
        <f>IFERROR(VLOOKUP(H142,Rates!$A$2:$B$3,2,0),1)</f>
        <v>1</v>
      </c>
      <c r="J142" t="str">
        <f t="shared" si="4"/>
        <v/>
      </c>
      <c r="K142" t="str">
        <f>IF(J142&lt;&gt;"",SUM($J$2:J142),"")</f>
        <v/>
      </c>
      <c r="L142">
        <f ca="1" t="shared" si="5"/>
        <v>45942</v>
      </c>
    </row>
    <row r="143" spans="9:12">
      <c r="I143">
        <f>IFERROR(VLOOKUP(H143,Rates!$A$2:$B$3,2,0),1)</f>
        <v>1</v>
      </c>
      <c r="J143" t="str">
        <f t="shared" si="4"/>
        <v/>
      </c>
      <c r="K143" t="str">
        <f>IF(J143&lt;&gt;"",SUM($J$2:J143),"")</f>
        <v/>
      </c>
      <c r="L143">
        <f ca="1" t="shared" si="5"/>
        <v>45942</v>
      </c>
    </row>
    <row r="144" spans="9:12">
      <c r="I144">
        <f>IFERROR(VLOOKUP(H144,Rates!$A$2:$B$3,2,0),1)</f>
        <v>1</v>
      </c>
      <c r="J144" t="str">
        <f t="shared" si="4"/>
        <v/>
      </c>
      <c r="K144" t="str">
        <f>IF(J144&lt;&gt;"",SUM($J$2:J144),"")</f>
        <v/>
      </c>
      <c r="L144">
        <f ca="1" t="shared" si="5"/>
        <v>45942</v>
      </c>
    </row>
    <row r="145" spans="9:12">
      <c r="I145">
        <f>IFERROR(VLOOKUP(H145,Rates!$A$2:$B$3,2,0),1)</f>
        <v>1</v>
      </c>
      <c r="J145" t="str">
        <f t="shared" si="4"/>
        <v/>
      </c>
      <c r="K145" t="str">
        <f>IF(J145&lt;&gt;"",SUM($J$2:J145),"")</f>
        <v/>
      </c>
      <c r="L145">
        <f ca="1" t="shared" si="5"/>
        <v>45942</v>
      </c>
    </row>
    <row r="146" spans="9:12">
      <c r="I146">
        <f>IFERROR(VLOOKUP(H146,Rates!$A$2:$B$3,2,0),1)</f>
        <v>1</v>
      </c>
      <c r="J146" t="str">
        <f t="shared" si="4"/>
        <v/>
      </c>
      <c r="K146" t="str">
        <f>IF(J146&lt;&gt;"",SUM($J$2:J146),"")</f>
        <v/>
      </c>
      <c r="L146">
        <f ca="1" t="shared" si="5"/>
        <v>45942</v>
      </c>
    </row>
    <row r="147" spans="9:12">
      <c r="I147">
        <f>IFERROR(VLOOKUP(H147,Rates!$A$2:$B$3,2,0),1)</f>
        <v>1</v>
      </c>
      <c r="J147" t="str">
        <f t="shared" si="4"/>
        <v/>
      </c>
      <c r="K147" t="str">
        <f>IF(J147&lt;&gt;"",SUM($J$2:J147),"")</f>
        <v/>
      </c>
      <c r="L147">
        <f ca="1" t="shared" si="5"/>
        <v>45942</v>
      </c>
    </row>
    <row r="148" spans="9:12">
      <c r="I148">
        <f>IFERROR(VLOOKUP(H148,Rates!$A$2:$B$3,2,0),1)</f>
        <v>1</v>
      </c>
      <c r="J148" t="str">
        <f t="shared" si="4"/>
        <v/>
      </c>
      <c r="K148" t="str">
        <f>IF(J148&lt;&gt;"",SUM($J$2:J148),"")</f>
        <v/>
      </c>
      <c r="L148">
        <f ca="1" t="shared" si="5"/>
        <v>45942</v>
      </c>
    </row>
    <row r="149" spans="9:12">
      <c r="I149">
        <f>IFERROR(VLOOKUP(H149,Rates!$A$2:$B$3,2,0),1)</f>
        <v>1</v>
      </c>
      <c r="J149" t="str">
        <f t="shared" si="4"/>
        <v/>
      </c>
      <c r="K149" t="str">
        <f>IF(J149&lt;&gt;"",SUM($J$2:J149),"")</f>
        <v/>
      </c>
      <c r="L149">
        <f ca="1" t="shared" si="5"/>
        <v>45942</v>
      </c>
    </row>
    <row r="150" spans="9:12">
      <c r="I150">
        <f>IFERROR(VLOOKUP(H150,Rates!$A$2:$B$3,2,0),1)</f>
        <v>1</v>
      </c>
      <c r="J150" t="str">
        <f t="shared" si="4"/>
        <v/>
      </c>
      <c r="K150" t="str">
        <f>IF(J150&lt;&gt;"",SUM($J$2:J150),"")</f>
        <v/>
      </c>
      <c r="L150">
        <f ca="1" t="shared" si="5"/>
        <v>45942</v>
      </c>
    </row>
    <row r="151" spans="9:12">
      <c r="I151">
        <f>IFERROR(VLOOKUP(H151,Rates!$A$2:$B$3,2,0),1)</f>
        <v>1</v>
      </c>
      <c r="J151" t="str">
        <f t="shared" si="4"/>
        <v/>
      </c>
      <c r="K151" t="str">
        <f>IF(J151&lt;&gt;"",SUM($J$2:J151),"")</f>
        <v/>
      </c>
      <c r="L151">
        <f ca="1" t="shared" si="5"/>
        <v>45942</v>
      </c>
    </row>
    <row r="152" spans="9:12">
      <c r="I152">
        <f>IFERROR(VLOOKUP(H152,Rates!$A$2:$B$3,2,0),1)</f>
        <v>1</v>
      </c>
      <c r="J152" t="str">
        <f t="shared" si="4"/>
        <v/>
      </c>
      <c r="K152" t="str">
        <f>IF(J152&lt;&gt;"",SUM($J$2:J152),"")</f>
        <v/>
      </c>
      <c r="L152">
        <f ca="1" t="shared" si="5"/>
        <v>45942</v>
      </c>
    </row>
    <row r="153" spans="9:12">
      <c r="I153">
        <f>IFERROR(VLOOKUP(H153,Rates!$A$2:$B$3,2,0),1)</f>
        <v>1</v>
      </c>
      <c r="J153" t="str">
        <f t="shared" si="4"/>
        <v/>
      </c>
      <c r="K153" t="str">
        <f>IF(J153&lt;&gt;"",SUM($J$2:J153),"")</f>
        <v/>
      </c>
      <c r="L153">
        <f ca="1" t="shared" si="5"/>
        <v>45942</v>
      </c>
    </row>
    <row r="154" spans="9:12">
      <c r="I154">
        <f>IFERROR(VLOOKUP(H154,Rates!$A$2:$B$3,2,0),1)</f>
        <v>1</v>
      </c>
      <c r="J154" t="str">
        <f t="shared" si="4"/>
        <v/>
      </c>
      <c r="K154" t="str">
        <f>IF(J154&lt;&gt;"",SUM($J$2:J154),"")</f>
        <v/>
      </c>
      <c r="L154">
        <f ca="1" t="shared" si="5"/>
        <v>45942</v>
      </c>
    </row>
    <row r="155" spans="9:12">
      <c r="I155">
        <f>IFERROR(VLOOKUP(H155,Rates!$A$2:$B$3,2,0),1)</f>
        <v>1</v>
      </c>
      <c r="J155" t="str">
        <f t="shared" si="4"/>
        <v/>
      </c>
      <c r="K155" t="str">
        <f>IF(J155&lt;&gt;"",SUM($J$2:J155),"")</f>
        <v/>
      </c>
      <c r="L155">
        <f ca="1" t="shared" si="5"/>
        <v>45942</v>
      </c>
    </row>
    <row r="156" spans="9:12">
      <c r="I156">
        <f>IFERROR(VLOOKUP(H156,Rates!$A$2:$B$3,2,0),1)</f>
        <v>1</v>
      </c>
      <c r="J156" t="str">
        <f t="shared" si="4"/>
        <v/>
      </c>
      <c r="K156" t="str">
        <f>IF(J156&lt;&gt;"",SUM($J$2:J156),"")</f>
        <v/>
      </c>
      <c r="L156">
        <f ca="1" t="shared" si="5"/>
        <v>45942</v>
      </c>
    </row>
    <row r="157" spans="9:12">
      <c r="I157">
        <f>IFERROR(VLOOKUP(H157,Rates!$A$2:$B$3,2,0),1)</f>
        <v>1</v>
      </c>
      <c r="J157" t="str">
        <f t="shared" si="4"/>
        <v/>
      </c>
      <c r="K157" t="str">
        <f>IF(J157&lt;&gt;"",SUM($J$2:J157),"")</f>
        <v/>
      </c>
      <c r="L157">
        <f ca="1" t="shared" si="5"/>
        <v>45942</v>
      </c>
    </row>
    <row r="158" spans="9:12">
      <c r="I158">
        <f>IFERROR(VLOOKUP(H158,Rates!$A$2:$B$3,2,0),1)</f>
        <v>1</v>
      </c>
      <c r="J158" t="str">
        <f t="shared" si="4"/>
        <v/>
      </c>
      <c r="K158" t="str">
        <f>IF(J158&lt;&gt;"",SUM($J$2:J158),"")</f>
        <v/>
      </c>
      <c r="L158">
        <f ca="1" t="shared" si="5"/>
        <v>45942</v>
      </c>
    </row>
    <row r="159" spans="9:12">
      <c r="I159">
        <f>IFERROR(VLOOKUP(H159,Rates!$A$2:$B$3,2,0),1)</f>
        <v>1</v>
      </c>
      <c r="J159" t="str">
        <f t="shared" si="4"/>
        <v/>
      </c>
      <c r="K159" t="str">
        <f>IF(J159&lt;&gt;"",SUM($J$2:J159),"")</f>
        <v/>
      </c>
      <c r="L159">
        <f ca="1" t="shared" si="5"/>
        <v>45942</v>
      </c>
    </row>
    <row r="160" spans="9:12">
      <c r="I160">
        <f>IFERROR(VLOOKUP(H160,Rates!$A$2:$B$3,2,0),1)</f>
        <v>1</v>
      </c>
      <c r="J160" t="str">
        <f t="shared" si="4"/>
        <v/>
      </c>
      <c r="K160" t="str">
        <f>IF(J160&lt;&gt;"",SUM($J$2:J160),"")</f>
        <v/>
      </c>
      <c r="L160">
        <f ca="1" t="shared" si="5"/>
        <v>45942</v>
      </c>
    </row>
    <row r="161" spans="9:12">
      <c r="I161">
        <f>IFERROR(VLOOKUP(H161,Rates!$A$2:$B$3,2,0),1)</f>
        <v>1</v>
      </c>
      <c r="J161" t="str">
        <f t="shared" si="4"/>
        <v/>
      </c>
      <c r="K161" t="str">
        <f>IF(J161&lt;&gt;"",SUM($J$2:J161),"")</f>
        <v/>
      </c>
      <c r="L161">
        <f ca="1" t="shared" si="5"/>
        <v>45942</v>
      </c>
    </row>
    <row r="162" spans="9:12">
      <c r="I162">
        <f>IFERROR(VLOOKUP(H162,Rates!$A$2:$B$3,2,0),1)</f>
        <v>1</v>
      </c>
      <c r="J162" t="str">
        <f t="shared" si="4"/>
        <v/>
      </c>
      <c r="K162" t="str">
        <f>IF(J162&lt;&gt;"",SUM($J$2:J162),"")</f>
        <v/>
      </c>
      <c r="L162">
        <f ca="1" t="shared" si="5"/>
        <v>45942</v>
      </c>
    </row>
    <row r="163" spans="9:12">
      <c r="I163">
        <f>IFERROR(VLOOKUP(H163,Rates!$A$2:$B$3,2,0),1)</f>
        <v>1</v>
      </c>
      <c r="J163" t="str">
        <f t="shared" si="4"/>
        <v/>
      </c>
      <c r="K163" t="str">
        <f>IF(J163&lt;&gt;"",SUM($J$2:J163),"")</f>
        <v/>
      </c>
      <c r="L163">
        <f ca="1" t="shared" si="5"/>
        <v>45942</v>
      </c>
    </row>
    <row r="164" spans="9:12">
      <c r="I164">
        <f>IFERROR(VLOOKUP(H164,Rates!$A$2:$B$3,2,0),1)</f>
        <v>1</v>
      </c>
      <c r="J164" t="str">
        <f t="shared" si="4"/>
        <v/>
      </c>
      <c r="K164" t="str">
        <f>IF(J164&lt;&gt;"",SUM($J$2:J164),"")</f>
        <v/>
      </c>
      <c r="L164">
        <f ca="1" t="shared" si="5"/>
        <v>45942</v>
      </c>
    </row>
    <row r="165" spans="9:12">
      <c r="I165">
        <f>IFERROR(VLOOKUP(H165,Rates!$A$2:$B$3,2,0),1)</f>
        <v>1</v>
      </c>
      <c r="J165" t="str">
        <f t="shared" si="4"/>
        <v/>
      </c>
      <c r="K165" t="str">
        <f>IF(J165&lt;&gt;"",SUM($J$2:J165),"")</f>
        <v/>
      </c>
      <c r="L165">
        <f ca="1" t="shared" si="5"/>
        <v>45942</v>
      </c>
    </row>
    <row r="166" spans="9:12">
      <c r="I166">
        <f>IFERROR(VLOOKUP(H166,Rates!$A$2:$B$3,2,0),1)</f>
        <v>1</v>
      </c>
      <c r="J166" t="str">
        <f t="shared" si="4"/>
        <v/>
      </c>
      <c r="K166" t="str">
        <f>IF(J166&lt;&gt;"",SUM($J$2:J166),"")</f>
        <v/>
      </c>
      <c r="L166">
        <f ca="1" t="shared" si="5"/>
        <v>45942</v>
      </c>
    </row>
    <row r="167" spans="9:12">
      <c r="I167">
        <f>IFERROR(VLOOKUP(H167,Rates!$A$2:$B$3,2,0),1)</f>
        <v>1</v>
      </c>
      <c r="J167" t="str">
        <f t="shared" si="4"/>
        <v/>
      </c>
      <c r="K167" t="str">
        <f>IF(J167&lt;&gt;"",SUM($J$2:J167),"")</f>
        <v/>
      </c>
      <c r="L167">
        <f ca="1" t="shared" si="5"/>
        <v>45942</v>
      </c>
    </row>
    <row r="168" spans="9:12">
      <c r="I168">
        <f>IFERROR(VLOOKUP(H168,Rates!$A$2:$B$3,2,0),1)</f>
        <v>1</v>
      </c>
      <c r="J168" t="str">
        <f t="shared" si="4"/>
        <v/>
      </c>
      <c r="K168" t="str">
        <f>IF(J168&lt;&gt;"",SUM($J$2:J168),"")</f>
        <v/>
      </c>
      <c r="L168">
        <f ca="1" t="shared" si="5"/>
        <v>45942</v>
      </c>
    </row>
    <row r="169" spans="9:12">
      <c r="I169">
        <f>IFERROR(VLOOKUP(H169,Rates!$A$2:$B$3,2,0),1)</f>
        <v>1</v>
      </c>
      <c r="J169" t="str">
        <f t="shared" si="4"/>
        <v/>
      </c>
      <c r="K169" t="str">
        <f>IF(J169&lt;&gt;"",SUM($J$2:J169),"")</f>
        <v/>
      </c>
      <c r="L169">
        <f ca="1" t="shared" si="5"/>
        <v>45942</v>
      </c>
    </row>
    <row r="170" spans="9:12">
      <c r="I170">
        <f>IFERROR(VLOOKUP(H170,Rates!$A$2:$B$3,2,0),1)</f>
        <v>1</v>
      </c>
      <c r="J170" t="str">
        <f t="shared" si="4"/>
        <v/>
      </c>
      <c r="K170" t="str">
        <f>IF(J170&lt;&gt;"",SUM($J$2:J170),"")</f>
        <v/>
      </c>
      <c r="L170">
        <f ca="1" t="shared" si="5"/>
        <v>45942</v>
      </c>
    </row>
    <row r="171" spans="9:12">
      <c r="I171">
        <f>IFERROR(VLOOKUP(H171,Rates!$A$2:$B$3,2,0),1)</f>
        <v>1</v>
      </c>
      <c r="J171" t="str">
        <f t="shared" si="4"/>
        <v/>
      </c>
      <c r="K171" t="str">
        <f>IF(J171&lt;&gt;"",SUM($J$2:J171),"")</f>
        <v/>
      </c>
      <c r="L171">
        <f ca="1" t="shared" si="5"/>
        <v>45942</v>
      </c>
    </row>
    <row r="172" spans="9:12">
      <c r="I172">
        <f>IFERROR(VLOOKUP(H172,Rates!$A$2:$B$3,2,0),1)</f>
        <v>1</v>
      </c>
      <c r="J172" t="str">
        <f t="shared" si="4"/>
        <v/>
      </c>
      <c r="K172" t="str">
        <f>IF(J172&lt;&gt;"",SUM($J$2:J172),"")</f>
        <v/>
      </c>
      <c r="L172">
        <f ca="1" t="shared" si="5"/>
        <v>45942</v>
      </c>
    </row>
    <row r="173" spans="9:12">
      <c r="I173">
        <f>IFERROR(VLOOKUP(H173,Rates!$A$2:$B$3,2,0),1)</f>
        <v>1</v>
      </c>
      <c r="J173" t="str">
        <f t="shared" si="4"/>
        <v/>
      </c>
      <c r="K173" t="str">
        <f>IF(J173&lt;&gt;"",SUM($J$2:J173),"")</f>
        <v/>
      </c>
      <c r="L173">
        <f ca="1" t="shared" si="5"/>
        <v>45942</v>
      </c>
    </row>
    <row r="174" spans="9:12">
      <c r="I174">
        <f>IFERROR(VLOOKUP(H174,Rates!$A$2:$B$3,2,0),1)</f>
        <v>1</v>
      </c>
      <c r="J174" t="str">
        <f t="shared" si="4"/>
        <v/>
      </c>
      <c r="K174" t="str">
        <f>IF(J174&lt;&gt;"",SUM($J$2:J174),"")</f>
        <v/>
      </c>
      <c r="L174">
        <f ca="1" t="shared" si="5"/>
        <v>45942</v>
      </c>
    </row>
    <row r="175" spans="9:12">
      <c r="I175">
        <f>IFERROR(VLOOKUP(H175,Rates!$A$2:$B$3,2,0),1)</f>
        <v>1</v>
      </c>
      <c r="J175" t="str">
        <f t="shared" si="4"/>
        <v/>
      </c>
      <c r="K175" t="str">
        <f>IF(J175&lt;&gt;"",SUM($J$2:J175),"")</f>
        <v/>
      </c>
      <c r="L175">
        <f ca="1" t="shared" si="5"/>
        <v>45942</v>
      </c>
    </row>
    <row r="176" spans="9:12">
      <c r="I176">
        <f>IFERROR(VLOOKUP(H176,Rates!$A$2:$B$3,2,0),1)</f>
        <v>1</v>
      </c>
      <c r="J176" t="str">
        <f t="shared" si="4"/>
        <v/>
      </c>
      <c r="K176" t="str">
        <f>IF(J176&lt;&gt;"",SUM($J$2:J176),"")</f>
        <v/>
      </c>
      <c r="L176">
        <f ca="1" t="shared" si="5"/>
        <v>45942</v>
      </c>
    </row>
    <row r="177" spans="9:12">
      <c r="I177">
        <f>IFERROR(VLOOKUP(H177,Rates!$A$2:$B$3,2,0),1)</f>
        <v>1</v>
      </c>
      <c r="J177" t="str">
        <f t="shared" si="4"/>
        <v/>
      </c>
      <c r="K177" t="str">
        <f>IF(J177&lt;&gt;"",SUM($J$2:J177),"")</f>
        <v/>
      </c>
      <c r="L177">
        <f ca="1" t="shared" si="5"/>
        <v>45942</v>
      </c>
    </row>
    <row r="178" spans="9:12">
      <c r="I178">
        <f>IFERROR(VLOOKUP(H178,Rates!$A$2:$B$3,2,0),1)</f>
        <v>1</v>
      </c>
      <c r="J178" t="str">
        <f t="shared" si="4"/>
        <v/>
      </c>
      <c r="K178" t="str">
        <f>IF(J178&lt;&gt;"",SUM($J$2:J178),"")</f>
        <v/>
      </c>
      <c r="L178">
        <f ca="1" t="shared" si="5"/>
        <v>45942</v>
      </c>
    </row>
    <row r="179" spans="9:12">
      <c r="I179">
        <f>IFERROR(VLOOKUP(H179,Rates!$A$2:$B$3,2,0),1)</f>
        <v>1</v>
      </c>
      <c r="J179" t="str">
        <f t="shared" si="4"/>
        <v/>
      </c>
      <c r="K179" t="str">
        <f>IF(J179&lt;&gt;"",SUM($J$2:J179),"")</f>
        <v/>
      </c>
      <c r="L179">
        <f ca="1" t="shared" si="5"/>
        <v>45942</v>
      </c>
    </row>
    <row r="180" spans="9:12">
      <c r="I180">
        <f>IFERROR(VLOOKUP(H180,Rates!$A$2:$B$3,2,0),1)</f>
        <v>1</v>
      </c>
      <c r="J180" t="str">
        <f t="shared" si="4"/>
        <v/>
      </c>
      <c r="K180" t="str">
        <f>IF(J180&lt;&gt;"",SUM($J$2:J180),"")</f>
        <v/>
      </c>
      <c r="L180">
        <f ca="1" t="shared" si="5"/>
        <v>45942</v>
      </c>
    </row>
    <row r="181" spans="9:12">
      <c r="I181">
        <f>IFERROR(VLOOKUP(H181,Rates!$A$2:$B$3,2,0),1)</f>
        <v>1</v>
      </c>
      <c r="J181" t="str">
        <f t="shared" si="4"/>
        <v/>
      </c>
      <c r="K181" t="str">
        <f>IF(J181&lt;&gt;"",SUM($J$2:J181),"")</f>
        <v/>
      </c>
      <c r="L181">
        <f ca="1" t="shared" si="5"/>
        <v>45942</v>
      </c>
    </row>
    <row r="182" spans="9:12">
      <c r="I182">
        <f>IFERROR(VLOOKUP(H182,Rates!$A$2:$B$3,2,0),1)</f>
        <v>1</v>
      </c>
      <c r="J182" t="str">
        <f t="shared" si="4"/>
        <v/>
      </c>
      <c r="K182" t="str">
        <f>IF(J182&lt;&gt;"",SUM($J$2:J182),"")</f>
        <v/>
      </c>
      <c r="L182">
        <f ca="1" t="shared" si="5"/>
        <v>45942</v>
      </c>
    </row>
    <row r="183" spans="9:12">
      <c r="I183">
        <f>IFERROR(VLOOKUP(H183,Rates!$A$2:$B$3,2,0),1)</f>
        <v>1</v>
      </c>
      <c r="J183" t="str">
        <f t="shared" si="4"/>
        <v/>
      </c>
      <c r="K183" t="str">
        <f>IF(J183&lt;&gt;"",SUM($J$2:J183),"")</f>
        <v/>
      </c>
      <c r="L183">
        <f ca="1" t="shared" si="5"/>
        <v>45942</v>
      </c>
    </row>
    <row r="184" spans="9:12">
      <c r="I184">
        <f>IFERROR(VLOOKUP(H184,Rates!$A$2:$B$3,2,0),1)</f>
        <v>1</v>
      </c>
      <c r="J184" t="str">
        <f t="shared" si="4"/>
        <v/>
      </c>
      <c r="K184" t="str">
        <f>IF(J184&lt;&gt;"",SUM($J$2:J184),"")</f>
        <v/>
      </c>
      <c r="L184">
        <f ca="1" t="shared" si="5"/>
        <v>45942</v>
      </c>
    </row>
    <row r="185" spans="9:12">
      <c r="I185">
        <f>IFERROR(VLOOKUP(H185,Rates!$A$2:$B$3,2,0),1)</f>
        <v>1</v>
      </c>
      <c r="J185" t="str">
        <f t="shared" si="4"/>
        <v/>
      </c>
      <c r="K185" t="str">
        <f>IF(J185&lt;&gt;"",SUM($J$2:J185),"")</f>
        <v/>
      </c>
      <c r="L185">
        <f ca="1" t="shared" si="5"/>
        <v>45942</v>
      </c>
    </row>
    <row r="186" spans="9:12">
      <c r="I186">
        <f>IFERROR(VLOOKUP(H186,Rates!$A$2:$B$3,2,0),1)</f>
        <v>1</v>
      </c>
      <c r="J186" t="str">
        <f t="shared" si="4"/>
        <v/>
      </c>
      <c r="K186" t="str">
        <f>IF(J186&lt;&gt;"",SUM($J$2:J186),"")</f>
        <v/>
      </c>
      <c r="L186">
        <f ca="1" t="shared" si="5"/>
        <v>45942</v>
      </c>
    </row>
    <row r="187" spans="9:12">
      <c r="I187">
        <f>IFERROR(VLOOKUP(H187,Rates!$A$2:$B$3,2,0),1)</f>
        <v>1</v>
      </c>
      <c r="J187" t="str">
        <f t="shared" si="4"/>
        <v/>
      </c>
      <c r="K187" t="str">
        <f>IF(J187&lt;&gt;"",SUM($J$2:J187),"")</f>
        <v/>
      </c>
      <c r="L187">
        <f ca="1" t="shared" si="5"/>
        <v>45942</v>
      </c>
    </row>
    <row r="188" spans="9:12">
      <c r="I188">
        <f>IFERROR(VLOOKUP(H188,Rates!$A$2:$B$3,2,0),1)</f>
        <v>1</v>
      </c>
      <c r="J188" t="str">
        <f t="shared" si="4"/>
        <v/>
      </c>
      <c r="K188" t="str">
        <f>IF(J188&lt;&gt;"",SUM($J$2:J188),"")</f>
        <v/>
      </c>
      <c r="L188">
        <f ca="1" t="shared" si="5"/>
        <v>45942</v>
      </c>
    </row>
    <row r="189" spans="9:12">
      <c r="I189">
        <f>IFERROR(VLOOKUP(H189,Rates!$A$2:$B$3,2,0),1)</f>
        <v>1</v>
      </c>
      <c r="J189" t="str">
        <f t="shared" si="4"/>
        <v/>
      </c>
      <c r="K189" t="str">
        <f>IF(J189&lt;&gt;"",SUM($J$2:J189),"")</f>
        <v/>
      </c>
      <c r="L189">
        <f ca="1" t="shared" si="5"/>
        <v>45942</v>
      </c>
    </row>
    <row r="190" spans="9:12">
      <c r="I190">
        <f>IFERROR(VLOOKUP(H190,Rates!$A$2:$B$3,2,0),1)</f>
        <v>1</v>
      </c>
      <c r="J190" t="str">
        <f t="shared" si="4"/>
        <v/>
      </c>
      <c r="K190" t="str">
        <f>IF(J190&lt;&gt;"",SUM($J$2:J190),"")</f>
        <v/>
      </c>
      <c r="L190">
        <f ca="1" t="shared" si="5"/>
        <v>45942</v>
      </c>
    </row>
    <row r="191" spans="9:12">
      <c r="I191">
        <f>IFERROR(VLOOKUP(H191,Rates!$A$2:$B$3,2,0),1)</f>
        <v>1</v>
      </c>
      <c r="J191" t="str">
        <f t="shared" si="4"/>
        <v/>
      </c>
      <c r="K191" t="str">
        <f>IF(J191&lt;&gt;"",SUM($J$2:J191),"")</f>
        <v/>
      </c>
      <c r="L191">
        <f ca="1" t="shared" si="5"/>
        <v>45942</v>
      </c>
    </row>
    <row r="192" spans="9:12">
      <c r="I192">
        <f>IFERROR(VLOOKUP(H192,Rates!$A$2:$B$3,2,0),1)</f>
        <v>1</v>
      </c>
      <c r="J192" t="str">
        <f t="shared" si="4"/>
        <v/>
      </c>
      <c r="K192" t="str">
        <f>IF(J192&lt;&gt;"",SUM($J$2:J192),"")</f>
        <v/>
      </c>
      <c r="L192">
        <f ca="1" t="shared" si="5"/>
        <v>45942</v>
      </c>
    </row>
    <row r="193" spans="9:12">
      <c r="I193">
        <f>IFERROR(VLOOKUP(H193,Rates!$A$2:$B$3,2,0),1)</f>
        <v>1</v>
      </c>
      <c r="J193" t="str">
        <f t="shared" si="4"/>
        <v/>
      </c>
      <c r="K193" t="str">
        <f>IF(J193&lt;&gt;"",SUM($J$2:J193),"")</f>
        <v/>
      </c>
      <c r="L193">
        <f ca="1" t="shared" si="5"/>
        <v>45942</v>
      </c>
    </row>
    <row r="194" spans="9:12">
      <c r="I194">
        <f>IFERROR(VLOOKUP(H194,Rates!$A$2:$B$3,2,0),1)</f>
        <v>1</v>
      </c>
      <c r="J194" t="str">
        <f t="shared" ref="J194:J257" si="6">IF(G194&lt;&gt;"",G194*I194,"")</f>
        <v/>
      </c>
      <c r="K194" t="str">
        <f>IF(J194&lt;&gt;"",SUM($J$2:J194),"")</f>
        <v/>
      </c>
      <c r="L194">
        <f ca="1" t="shared" ref="L194:L257" si="7">IF(COUNTA(A194:K194)&gt;0,TODAY(),"")</f>
        <v>45942</v>
      </c>
    </row>
    <row r="195" spans="9:12">
      <c r="I195">
        <f>IFERROR(VLOOKUP(H195,Rates!$A$2:$B$3,2,0),1)</f>
        <v>1</v>
      </c>
      <c r="J195" t="str">
        <f t="shared" si="6"/>
        <v/>
      </c>
      <c r="K195" t="str">
        <f>IF(J195&lt;&gt;"",SUM($J$2:J195),"")</f>
        <v/>
      </c>
      <c r="L195">
        <f ca="1" t="shared" si="7"/>
        <v>45942</v>
      </c>
    </row>
    <row r="196" spans="9:12">
      <c r="I196">
        <f>IFERROR(VLOOKUP(H196,Rates!$A$2:$B$3,2,0),1)</f>
        <v>1</v>
      </c>
      <c r="J196" t="str">
        <f t="shared" si="6"/>
        <v/>
      </c>
      <c r="K196" t="str">
        <f>IF(J196&lt;&gt;"",SUM($J$2:J196),"")</f>
        <v/>
      </c>
      <c r="L196">
        <f ca="1" t="shared" si="7"/>
        <v>45942</v>
      </c>
    </row>
    <row r="197" spans="9:12">
      <c r="I197">
        <f>IFERROR(VLOOKUP(H197,Rates!$A$2:$B$3,2,0),1)</f>
        <v>1</v>
      </c>
      <c r="J197" t="str">
        <f t="shared" si="6"/>
        <v/>
      </c>
      <c r="K197" t="str">
        <f>IF(J197&lt;&gt;"",SUM($J$2:J197),"")</f>
        <v/>
      </c>
      <c r="L197">
        <f ca="1" t="shared" si="7"/>
        <v>45942</v>
      </c>
    </row>
    <row r="198" spans="9:12">
      <c r="I198">
        <f>IFERROR(VLOOKUP(H198,Rates!$A$2:$B$3,2,0),1)</f>
        <v>1</v>
      </c>
      <c r="J198" t="str">
        <f t="shared" si="6"/>
        <v/>
      </c>
      <c r="K198" t="str">
        <f>IF(J198&lt;&gt;"",SUM($J$2:J198),"")</f>
        <v/>
      </c>
      <c r="L198">
        <f ca="1" t="shared" si="7"/>
        <v>45942</v>
      </c>
    </row>
    <row r="199" spans="9:12">
      <c r="I199">
        <f>IFERROR(VLOOKUP(H199,Rates!$A$2:$B$3,2,0),1)</f>
        <v>1</v>
      </c>
      <c r="J199" t="str">
        <f t="shared" si="6"/>
        <v/>
      </c>
      <c r="K199" t="str">
        <f>IF(J199&lt;&gt;"",SUM($J$2:J199),"")</f>
        <v/>
      </c>
      <c r="L199">
        <f ca="1" t="shared" si="7"/>
        <v>45942</v>
      </c>
    </row>
    <row r="200" spans="9:12">
      <c r="I200">
        <f>IFERROR(VLOOKUP(H200,Rates!$A$2:$B$3,2,0),1)</f>
        <v>1</v>
      </c>
      <c r="J200" t="str">
        <f t="shared" si="6"/>
        <v/>
      </c>
      <c r="K200" t="str">
        <f>IF(J200&lt;&gt;"",SUM($J$2:J200),"")</f>
        <v/>
      </c>
      <c r="L200">
        <f ca="1" t="shared" si="7"/>
        <v>45942</v>
      </c>
    </row>
    <row r="201" spans="9:12">
      <c r="I201">
        <f>IFERROR(VLOOKUP(H201,Rates!$A$2:$B$3,2,0),1)</f>
        <v>1</v>
      </c>
      <c r="J201" t="str">
        <f t="shared" si="6"/>
        <v/>
      </c>
      <c r="K201" t="str">
        <f>IF(J201&lt;&gt;"",SUM($J$2:J201),"")</f>
        <v/>
      </c>
      <c r="L201">
        <f ca="1" t="shared" si="7"/>
        <v>45942</v>
      </c>
    </row>
    <row r="202" spans="9:12">
      <c r="I202">
        <f>IFERROR(VLOOKUP(H202,Rates!$A$2:$B$3,2,0),1)</f>
        <v>1</v>
      </c>
      <c r="J202" t="str">
        <f t="shared" si="6"/>
        <v/>
      </c>
      <c r="K202" t="str">
        <f>IF(J202&lt;&gt;"",SUM($J$2:J202),"")</f>
        <v/>
      </c>
      <c r="L202">
        <f ca="1" t="shared" si="7"/>
        <v>45942</v>
      </c>
    </row>
    <row r="203" spans="9:12">
      <c r="I203">
        <f>IFERROR(VLOOKUP(H203,Rates!$A$2:$B$3,2,0),1)</f>
        <v>1</v>
      </c>
      <c r="J203" t="str">
        <f t="shared" si="6"/>
        <v/>
      </c>
      <c r="K203" t="str">
        <f>IF(J203&lt;&gt;"",SUM($J$2:J203),"")</f>
        <v/>
      </c>
      <c r="L203">
        <f ca="1" t="shared" si="7"/>
        <v>45942</v>
      </c>
    </row>
    <row r="204" spans="9:12">
      <c r="I204">
        <f>IFERROR(VLOOKUP(H204,Rates!$A$2:$B$3,2,0),1)</f>
        <v>1</v>
      </c>
      <c r="J204" t="str">
        <f t="shared" si="6"/>
        <v/>
      </c>
      <c r="K204" t="str">
        <f>IF(J204&lt;&gt;"",SUM($J$2:J204),"")</f>
        <v/>
      </c>
      <c r="L204">
        <f ca="1" t="shared" si="7"/>
        <v>45942</v>
      </c>
    </row>
    <row r="205" spans="9:12">
      <c r="I205">
        <f>IFERROR(VLOOKUP(H205,Rates!$A$2:$B$3,2,0),1)</f>
        <v>1</v>
      </c>
      <c r="J205" t="str">
        <f t="shared" si="6"/>
        <v/>
      </c>
      <c r="K205" t="str">
        <f>IF(J205&lt;&gt;"",SUM($J$2:J205),"")</f>
        <v/>
      </c>
      <c r="L205">
        <f ca="1" t="shared" si="7"/>
        <v>45942</v>
      </c>
    </row>
    <row r="206" spans="9:12">
      <c r="I206">
        <f>IFERROR(VLOOKUP(H206,Rates!$A$2:$B$3,2,0),1)</f>
        <v>1</v>
      </c>
      <c r="J206" t="str">
        <f t="shared" si="6"/>
        <v/>
      </c>
      <c r="K206" t="str">
        <f>IF(J206&lt;&gt;"",SUM($J$2:J206),"")</f>
        <v/>
      </c>
      <c r="L206">
        <f ca="1" t="shared" si="7"/>
        <v>45942</v>
      </c>
    </row>
    <row r="207" spans="9:12">
      <c r="I207">
        <f>IFERROR(VLOOKUP(H207,Rates!$A$2:$B$3,2,0),1)</f>
        <v>1</v>
      </c>
      <c r="J207" t="str">
        <f t="shared" si="6"/>
        <v/>
      </c>
      <c r="K207" t="str">
        <f>IF(J207&lt;&gt;"",SUM($J$2:J207),"")</f>
        <v/>
      </c>
      <c r="L207">
        <f ca="1" t="shared" si="7"/>
        <v>45942</v>
      </c>
    </row>
    <row r="208" spans="9:12">
      <c r="I208">
        <f>IFERROR(VLOOKUP(H208,Rates!$A$2:$B$3,2,0),1)</f>
        <v>1</v>
      </c>
      <c r="J208" t="str">
        <f t="shared" si="6"/>
        <v/>
      </c>
      <c r="K208" t="str">
        <f>IF(J208&lt;&gt;"",SUM($J$2:J208),"")</f>
        <v/>
      </c>
      <c r="L208">
        <f ca="1" t="shared" si="7"/>
        <v>45942</v>
      </c>
    </row>
    <row r="209" spans="9:12">
      <c r="I209">
        <f>IFERROR(VLOOKUP(H209,Rates!$A$2:$B$3,2,0),1)</f>
        <v>1</v>
      </c>
      <c r="J209" t="str">
        <f t="shared" si="6"/>
        <v/>
      </c>
      <c r="K209" t="str">
        <f>IF(J209&lt;&gt;"",SUM($J$2:J209),"")</f>
        <v/>
      </c>
      <c r="L209">
        <f ca="1" t="shared" si="7"/>
        <v>45942</v>
      </c>
    </row>
    <row r="210" spans="9:12">
      <c r="I210">
        <f>IFERROR(VLOOKUP(H210,Rates!$A$2:$B$3,2,0),1)</f>
        <v>1</v>
      </c>
      <c r="J210" t="str">
        <f t="shared" si="6"/>
        <v/>
      </c>
      <c r="K210" t="str">
        <f>IF(J210&lt;&gt;"",SUM($J$2:J210),"")</f>
        <v/>
      </c>
      <c r="L210">
        <f ca="1" t="shared" si="7"/>
        <v>45942</v>
      </c>
    </row>
    <row r="211" spans="9:12">
      <c r="I211">
        <f>IFERROR(VLOOKUP(H211,Rates!$A$2:$B$3,2,0),1)</f>
        <v>1</v>
      </c>
      <c r="J211" t="str">
        <f t="shared" si="6"/>
        <v/>
      </c>
      <c r="K211" t="str">
        <f>IF(J211&lt;&gt;"",SUM($J$2:J211),"")</f>
        <v/>
      </c>
      <c r="L211">
        <f ca="1" t="shared" si="7"/>
        <v>45942</v>
      </c>
    </row>
    <row r="212" spans="9:12">
      <c r="I212">
        <f>IFERROR(VLOOKUP(H212,Rates!$A$2:$B$3,2,0),1)</f>
        <v>1</v>
      </c>
      <c r="J212" t="str">
        <f t="shared" si="6"/>
        <v/>
      </c>
      <c r="K212" t="str">
        <f>IF(J212&lt;&gt;"",SUM($J$2:J212),"")</f>
        <v/>
      </c>
      <c r="L212">
        <f ca="1" t="shared" si="7"/>
        <v>45942</v>
      </c>
    </row>
    <row r="213" spans="9:12">
      <c r="I213">
        <f>IFERROR(VLOOKUP(H213,Rates!$A$2:$B$3,2,0),1)</f>
        <v>1</v>
      </c>
      <c r="J213" t="str">
        <f t="shared" si="6"/>
        <v/>
      </c>
      <c r="K213" t="str">
        <f>IF(J213&lt;&gt;"",SUM($J$2:J213),"")</f>
        <v/>
      </c>
      <c r="L213">
        <f ca="1" t="shared" si="7"/>
        <v>45942</v>
      </c>
    </row>
    <row r="214" spans="9:12">
      <c r="I214">
        <f>IFERROR(VLOOKUP(H214,Rates!$A$2:$B$3,2,0),1)</f>
        <v>1</v>
      </c>
      <c r="J214" t="str">
        <f t="shared" si="6"/>
        <v/>
      </c>
      <c r="K214" t="str">
        <f>IF(J214&lt;&gt;"",SUM($J$2:J214),"")</f>
        <v/>
      </c>
      <c r="L214">
        <f ca="1" t="shared" si="7"/>
        <v>45942</v>
      </c>
    </row>
    <row r="215" spans="9:12">
      <c r="I215">
        <f>IFERROR(VLOOKUP(H215,Rates!$A$2:$B$3,2,0),1)</f>
        <v>1</v>
      </c>
      <c r="J215" t="str">
        <f t="shared" si="6"/>
        <v/>
      </c>
      <c r="K215" t="str">
        <f>IF(J215&lt;&gt;"",SUM($J$2:J215),"")</f>
        <v/>
      </c>
      <c r="L215">
        <f ca="1" t="shared" si="7"/>
        <v>45942</v>
      </c>
    </row>
    <row r="216" spans="9:12">
      <c r="I216">
        <f>IFERROR(VLOOKUP(H216,Rates!$A$2:$B$3,2,0),1)</f>
        <v>1</v>
      </c>
      <c r="J216" t="str">
        <f t="shared" si="6"/>
        <v/>
      </c>
      <c r="K216" t="str">
        <f>IF(J216&lt;&gt;"",SUM($J$2:J216),"")</f>
        <v/>
      </c>
      <c r="L216">
        <f ca="1" t="shared" si="7"/>
        <v>45942</v>
      </c>
    </row>
    <row r="217" spans="9:12">
      <c r="I217">
        <f>IFERROR(VLOOKUP(H217,Rates!$A$2:$B$3,2,0),1)</f>
        <v>1</v>
      </c>
      <c r="J217" t="str">
        <f t="shared" si="6"/>
        <v/>
      </c>
      <c r="K217" t="str">
        <f>IF(J217&lt;&gt;"",SUM($J$2:J217),"")</f>
        <v/>
      </c>
      <c r="L217">
        <f ca="1" t="shared" si="7"/>
        <v>45942</v>
      </c>
    </row>
    <row r="218" spans="9:12">
      <c r="I218">
        <f>IFERROR(VLOOKUP(H218,Rates!$A$2:$B$3,2,0),1)</f>
        <v>1</v>
      </c>
      <c r="J218" t="str">
        <f t="shared" si="6"/>
        <v/>
      </c>
      <c r="K218" t="str">
        <f>IF(J218&lt;&gt;"",SUM($J$2:J218),"")</f>
        <v/>
      </c>
      <c r="L218">
        <f ca="1" t="shared" si="7"/>
        <v>45942</v>
      </c>
    </row>
    <row r="219" spans="9:12">
      <c r="I219">
        <f>IFERROR(VLOOKUP(H219,Rates!$A$2:$B$3,2,0),1)</f>
        <v>1</v>
      </c>
      <c r="J219" t="str">
        <f t="shared" si="6"/>
        <v/>
      </c>
      <c r="K219" t="str">
        <f>IF(J219&lt;&gt;"",SUM($J$2:J219),"")</f>
        <v/>
      </c>
      <c r="L219">
        <f ca="1" t="shared" si="7"/>
        <v>45942</v>
      </c>
    </row>
    <row r="220" spans="9:12">
      <c r="I220">
        <f>IFERROR(VLOOKUP(H220,Rates!$A$2:$B$3,2,0),1)</f>
        <v>1</v>
      </c>
      <c r="J220" t="str">
        <f t="shared" si="6"/>
        <v/>
      </c>
      <c r="K220" t="str">
        <f>IF(J220&lt;&gt;"",SUM($J$2:J220),"")</f>
        <v/>
      </c>
      <c r="L220">
        <f ca="1" t="shared" si="7"/>
        <v>45942</v>
      </c>
    </row>
    <row r="221" spans="9:12">
      <c r="I221">
        <f>IFERROR(VLOOKUP(H221,Rates!$A$2:$B$3,2,0),1)</f>
        <v>1</v>
      </c>
      <c r="J221" t="str">
        <f t="shared" si="6"/>
        <v/>
      </c>
      <c r="K221" t="str">
        <f>IF(J221&lt;&gt;"",SUM($J$2:J221),"")</f>
        <v/>
      </c>
      <c r="L221">
        <f ca="1" t="shared" si="7"/>
        <v>45942</v>
      </c>
    </row>
    <row r="222" spans="9:12">
      <c r="I222">
        <f>IFERROR(VLOOKUP(H222,Rates!$A$2:$B$3,2,0),1)</f>
        <v>1</v>
      </c>
      <c r="J222" t="str">
        <f t="shared" si="6"/>
        <v/>
      </c>
      <c r="K222" t="str">
        <f>IF(J222&lt;&gt;"",SUM($J$2:J222),"")</f>
        <v/>
      </c>
      <c r="L222">
        <f ca="1" t="shared" si="7"/>
        <v>45942</v>
      </c>
    </row>
    <row r="223" spans="9:12">
      <c r="I223">
        <f>IFERROR(VLOOKUP(H223,Rates!$A$2:$B$3,2,0),1)</f>
        <v>1</v>
      </c>
      <c r="J223" t="str">
        <f t="shared" si="6"/>
        <v/>
      </c>
      <c r="K223" t="str">
        <f>IF(J223&lt;&gt;"",SUM($J$2:J223),"")</f>
        <v/>
      </c>
      <c r="L223">
        <f ca="1" t="shared" si="7"/>
        <v>45942</v>
      </c>
    </row>
    <row r="224" spans="9:12">
      <c r="I224">
        <f>IFERROR(VLOOKUP(H224,Rates!$A$2:$B$3,2,0),1)</f>
        <v>1</v>
      </c>
      <c r="J224" t="str">
        <f t="shared" si="6"/>
        <v/>
      </c>
      <c r="K224" t="str">
        <f>IF(J224&lt;&gt;"",SUM($J$2:J224),"")</f>
        <v/>
      </c>
      <c r="L224">
        <f ca="1" t="shared" si="7"/>
        <v>45942</v>
      </c>
    </row>
    <row r="225" spans="9:12">
      <c r="I225">
        <f>IFERROR(VLOOKUP(H225,Rates!$A$2:$B$3,2,0),1)</f>
        <v>1</v>
      </c>
      <c r="J225" t="str">
        <f t="shared" si="6"/>
        <v/>
      </c>
      <c r="K225" t="str">
        <f>IF(J225&lt;&gt;"",SUM($J$2:J225),"")</f>
        <v/>
      </c>
      <c r="L225">
        <f ca="1" t="shared" si="7"/>
        <v>45942</v>
      </c>
    </row>
    <row r="226" spans="9:12">
      <c r="I226">
        <f>IFERROR(VLOOKUP(H226,Rates!$A$2:$B$3,2,0),1)</f>
        <v>1</v>
      </c>
      <c r="J226" t="str">
        <f t="shared" si="6"/>
        <v/>
      </c>
      <c r="K226" t="str">
        <f>IF(J226&lt;&gt;"",SUM($J$2:J226),"")</f>
        <v/>
      </c>
      <c r="L226">
        <f ca="1" t="shared" si="7"/>
        <v>45942</v>
      </c>
    </row>
    <row r="227" spans="9:12">
      <c r="I227">
        <f>IFERROR(VLOOKUP(H227,Rates!$A$2:$B$3,2,0),1)</f>
        <v>1</v>
      </c>
      <c r="J227" t="str">
        <f t="shared" si="6"/>
        <v/>
      </c>
      <c r="K227" t="str">
        <f>IF(J227&lt;&gt;"",SUM($J$2:J227),"")</f>
        <v/>
      </c>
      <c r="L227">
        <f ca="1" t="shared" si="7"/>
        <v>45942</v>
      </c>
    </row>
    <row r="228" spans="9:12">
      <c r="I228">
        <f>IFERROR(VLOOKUP(H228,Rates!$A$2:$B$3,2,0),1)</f>
        <v>1</v>
      </c>
      <c r="J228" t="str">
        <f t="shared" si="6"/>
        <v/>
      </c>
      <c r="K228" t="str">
        <f>IF(J228&lt;&gt;"",SUM($J$2:J228),"")</f>
        <v/>
      </c>
      <c r="L228">
        <f ca="1" t="shared" si="7"/>
        <v>45942</v>
      </c>
    </row>
    <row r="229" spans="9:12">
      <c r="I229">
        <f>IFERROR(VLOOKUP(H229,Rates!$A$2:$B$3,2,0),1)</f>
        <v>1</v>
      </c>
      <c r="J229" t="str">
        <f t="shared" si="6"/>
        <v/>
      </c>
      <c r="K229" t="str">
        <f>IF(J229&lt;&gt;"",SUM($J$2:J229),"")</f>
        <v/>
      </c>
      <c r="L229">
        <f ca="1" t="shared" si="7"/>
        <v>45942</v>
      </c>
    </row>
    <row r="230" spans="9:12">
      <c r="I230">
        <f>IFERROR(VLOOKUP(H230,Rates!$A$2:$B$3,2,0),1)</f>
        <v>1</v>
      </c>
      <c r="J230" t="str">
        <f t="shared" si="6"/>
        <v/>
      </c>
      <c r="K230" t="str">
        <f>IF(J230&lt;&gt;"",SUM($J$2:J230),"")</f>
        <v/>
      </c>
      <c r="L230">
        <f ca="1" t="shared" si="7"/>
        <v>45942</v>
      </c>
    </row>
    <row r="231" spans="9:12">
      <c r="I231">
        <f>IFERROR(VLOOKUP(H231,Rates!$A$2:$B$3,2,0),1)</f>
        <v>1</v>
      </c>
      <c r="J231" t="str">
        <f t="shared" si="6"/>
        <v/>
      </c>
      <c r="K231" t="str">
        <f>IF(J231&lt;&gt;"",SUM($J$2:J231),"")</f>
        <v/>
      </c>
      <c r="L231">
        <f ca="1" t="shared" si="7"/>
        <v>45942</v>
      </c>
    </row>
    <row r="232" spans="9:12">
      <c r="I232">
        <f>IFERROR(VLOOKUP(H232,Rates!$A$2:$B$3,2,0),1)</f>
        <v>1</v>
      </c>
      <c r="J232" t="str">
        <f t="shared" si="6"/>
        <v/>
      </c>
      <c r="K232" t="str">
        <f>IF(J232&lt;&gt;"",SUM($J$2:J232),"")</f>
        <v/>
      </c>
      <c r="L232">
        <f ca="1" t="shared" si="7"/>
        <v>45942</v>
      </c>
    </row>
    <row r="233" spans="9:12">
      <c r="I233">
        <f>IFERROR(VLOOKUP(H233,Rates!$A$2:$B$3,2,0),1)</f>
        <v>1</v>
      </c>
      <c r="J233" t="str">
        <f t="shared" si="6"/>
        <v/>
      </c>
      <c r="K233" t="str">
        <f>IF(J233&lt;&gt;"",SUM($J$2:J233),"")</f>
        <v/>
      </c>
      <c r="L233">
        <f ca="1" t="shared" si="7"/>
        <v>45942</v>
      </c>
    </row>
    <row r="234" spans="9:12">
      <c r="I234">
        <f>IFERROR(VLOOKUP(H234,Rates!$A$2:$B$3,2,0),1)</f>
        <v>1</v>
      </c>
      <c r="J234" t="str">
        <f t="shared" si="6"/>
        <v/>
      </c>
      <c r="K234" t="str">
        <f>IF(J234&lt;&gt;"",SUM($J$2:J234),"")</f>
        <v/>
      </c>
      <c r="L234">
        <f ca="1" t="shared" si="7"/>
        <v>45942</v>
      </c>
    </row>
    <row r="235" spans="9:12">
      <c r="I235">
        <f>IFERROR(VLOOKUP(H235,Rates!$A$2:$B$3,2,0),1)</f>
        <v>1</v>
      </c>
      <c r="J235" t="str">
        <f t="shared" si="6"/>
        <v/>
      </c>
      <c r="K235" t="str">
        <f>IF(J235&lt;&gt;"",SUM($J$2:J235),"")</f>
        <v/>
      </c>
      <c r="L235">
        <f ca="1" t="shared" si="7"/>
        <v>45942</v>
      </c>
    </row>
    <row r="236" spans="9:12">
      <c r="I236">
        <f>IFERROR(VLOOKUP(H236,Rates!$A$2:$B$3,2,0),1)</f>
        <v>1</v>
      </c>
      <c r="J236" t="str">
        <f t="shared" si="6"/>
        <v/>
      </c>
      <c r="K236" t="str">
        <f>IF(J236&lt;&gt;"",SUM($J$2:J236),"")</f>
        <v/>
      </c>
      <c r="L236">
        <f ca="1" t="shared" si="7"/>
        <v>45942</v>
      </c>
    </row>
    <row r="237" spans="9:12">
      <c r="I237">
        <f>IFERROR(VLOOKUP(H237,Rates!$A$2:$B$3,2,0),1)</f>
        <v>1</v>
      </c>
      <c r="J237" t="str">
        <f t="shared" si="6"/>
        <v/>
      </c>
      <c r="K237" t="str">
        <f>IF(J237&lt;&gt;"",SUM($J$2:J237),"")</f>
        <v/>
      </c>
      <c r="L237">
        <f ca="1" t="shared" si="7"/>
        <v>45942</v>
      </c>
    </row>
    <row r="238" spans="9:12">
      <c r="I238">
        <f>IFERROR(VLOOKUP(H238,Rates!$A$2:$B$3,2,0),1)</f>
        <v>1</v>
      </c>
      <c r="J238" t="str">
        <f t="shared" si="6"/>
        <v/>
      </c>
      <c r="K238" t="str">
        <f>IF(J238&lt;&gt;"",SUM($J$2:J238),"")</f>
        <v/>
      </c>
      <c r="L238">
        <f ca="1" t="shared" si="7"/>
        <v>45942</v>
      </c>
    </row>
    <row r="239" spans="9:12">
      <c r="I239">
        <f>IFERROR(VLOOKUP(H239,Rates!$A$2:$B$3,2,0),1)</f>
        <v>1</v>
      </c>
      <c r="J239" t="str">
        <f t="shared" si="6"/>
        <v/>
      </c>
      <c r="K239" t="str">
        <f>IF(J239&lt;&gt;"",SUM($J$2:J239),"")</f>
        <v/>
      </c>
      <c r="L239">
        <f ca="1" t="shared" si="7"/>
        <v>45942</v>
      </c>
    </row>
    <row r="240" spans="9:12">
      <c r="I240">
        <f>IFERROR(VLOOKUP(H240,Rates!$A$2:$B$3,2,0),1)</f>
        <v>1</v>
      </c>
      <c r="J240" t="str">
        <f t="shared" si="6"/>
        <v/>
      </c>
      <c r="K240" t="str">
        <f>IF(J240&lt;&gt;"",SUM($J$2:J240),"")</f>
        <v/>
      </c>
      <c r="L240">
        <f ca="1" t="shared" si="7"/>
        <v>45942</v>
      </c>
    </row>
    <row r="241" spans="9:12">
      <c r="I241">
        <f>IFERROR(VLOOKUP(H241,Rates!$A$2:$B$3,2,0),1)</f>
        <v>1</v>
      </c>
      <c r="J241" t="str">
        <f t="shared" si="6"/>
        <v/>
      </c>
      <c r="K241" t="str">
        <f>IF(J241&lt;&gt;"",SUM($J$2:J241),"")</f>
        <v/>
      </c>
      <c r="L241">
        <f ca="1" t="shared" si="7"/>
        <v>45942</v>
      </c>
    </row>
    <row r="242" spans="9:12">
      <c r="I242">
        <f>IFERROR(VLOOKUP(H242,Rates!$A$2:$B$3,2,0),1)</f>
        <v>1</v>
      </c>
      <c r="J242" t="str">
        <f t="shared" si="6"/>
        <v/>
      </c>
      <c r="K242" t="str">
        <f>IF(J242&lt;&gt;"",SUM($J$2:J242),"")</f>
        <v/>
      </c>
      <c r="L242">
        <f ca="1" t="shared" si="7"/>
        <v>45942</v>
      </c>
    </row>
    <row r="243" spans="9:12">
      <c r="I243">
        <f>IFERROR(VLOOKUP(H243,Rates!$A$2:$B$3,2,0),1)</f>
        <v>1</v>
      </c>
      <c r="J243" t="str">
        <f t="shared" si="6"/>
        <v/>
      </c>
      <c r="K243" t="str">
        <f>IF(J243&lt;&gt;"",SUM($J$2:J243),"")</f>
        <v/>
      </c>
      <c r="L243">
        <f ca="1" t="shared" si="7"/>
        <v>45942</v>
      </c>
    </row>
    <row r="244" spans="9:12">
      <c r="I244">
        <f>IFERROR(VLOOKUP(H244,Rates!$A$2:$B$3,2,0),1)</f>
        <v>1</v>
      </c>
      <c r="J244" t="str">
        <f t="shared" si="6"/>
        <v/>
      </c>
      <c r="K244" t="str">
        <f>IF(J244&lt;&gt;"",SUM($J$2:J244),"")</f>
        <v/>
      </c>
      <c r="L244">
        <f ca="1" t="shared" si="7"/>
        <v>45942</v>
      </c>
    </row>
    <row r="245" spans="9:12">
      <c r="I245">
        <f>IFERROR(VLOOKUP(H245,Rates!$A$2:$B$3,2,0),1)</f>
        <v>1</v>
      </c>
      <c r="J245" t="str">
        <f t="shared" si="6"/>
        <v/>
      </c>
      <c r="K245" t="str">
        <f>IF(J245&lt;&gt;"",SUM($J$2:J245),"")</f>
        <v/>
      </c>
      <c r="L245">
        <f ca="1" t="shared" si="7"/>
        <v>45942</v>
      </c>
    </row>
    <row r="246" spans="9:12">
      <c r="I246">
        <f>IFERROR(VLOOKUP(H246,Rates!$A$2:$B$3,2,0),1)</f>
        <v>1</v>
      </c>
      <c r="J246" t="str">
        <f t="shared" si="6"/>
        <v/>
      </c>
      <c r="K246" t="str">
        <f>IF(J246&lt;&gt;"",SUM($J$2:J246),"")</f>
        <v/>
      </c>
      <c r="L246">
        <f ca="1" t="shared" si="7"/>
        <v>45942</v>
      </c>
    </row>
    <row r="247" spans="9:12">
      <c r="I247">
        <f>IFERROR(VLOOKUP(H247,Rates!$A$2:$B$3,2,0),1)</f>
        <v>1</v>
      </c>
      <c r="J247" t="str">
        <f t="shared" si="6"/>
        <v/>
      </c>
      <c r="K247" t="str">
        <f>IF(J247&lt;&gt;"",SUM($J$2:J247),"")</f>
        <v/>
      </c>
      <c r="L247">
        <f ca="1" t="shared" si="7"/>
        <v>45942</v>
      </c>
    </row>
    <row r="248" spans="9:12">
      <c r="I248">
        <f>IFERROR(VLOOKUP(H248,Rates!$A$2:$B$3,2,0),1)</f>
        <v>1</v>
      </c>
      <c r="J248" t="str">
        <f t="shared" si="6"/>
        <v/>
      </c>
      <c r="K248" t="str">
        <f>IF(J248&lt;&gt;"",SUM($J$2:J248),"")</f>
        <v/>
      </c>
      <c r="L248">
        <f ca="1" t="shared" si="7"/>
        <v>45942</v>
      </c>
    </row>
    <row r="249" spans="9:12">
      <c r="I249">
        <f>IFERROR(VLOOKUP(H249,Rates!$A$2:$B$3,2,0),1)</f>
        <v>1</v>
      </c>
      <c r="J249" t="str">
        <f t="shared" si="6"/>
        <v/>
      </c>
      <c r="K249" t="str">
        <f>IF(J249&lt;&gt;"",SUM($J$2:J249),"")</f>
        <v/>
      </c>
      <c r="L249">
        <f ca="1" t="shared" si="7"/>
        <v>45942</v>
      </c>
    </row>
    <row r="250" spans="9:12">
      <c r="I250">
        <f>IFERROR(VLOOKUP(H250,Rates!$A$2:$B$3,2,0),1)</f>
        <v>1</v>
      </c>
      <c r="J250" t="str">
        <f t="shared" si="6"/>
        <v/>
      </c>
      <c r="K250" t="str">
        <f>IF(J250&lt;&gt;"",SUM($J$2:J250),"")</f>
        <v/>
      </c>
      <c r="L250">
        <f ca="1" t="shared" si="7"/>
        <v>45942</v>
      </c>
    </row>
    <row r="251" spans="9:12">
      <c r="I251">
        <f>IFERROR(VLOOKUP(H251,Rates!$A$2:$B$3,2,0),1)</f>
        <v>1</v>
      </c>
      <c r="J251" t="str">
        <f t="shared" si="6"/>
        <v/>
      </c>
      <c r="K251" t="str">
        <f>IF(J251&lt;&gt;"",SUM($J$2:J251),"")</f>
        <v/>
      </c>
      <c r="L251">
        <f ca="1" t="shared" si="7"/>
        <v>45942</v>
      </c>
    </row>
    <row r="252" spans="9:12">
      <c r="I252">
        <f>IFERROR(VLOOKUP(H252,Rates!$A$2:$B$3,2,0),1)</f>
        <v>1</v>
      </c>
      <c r="J252" t="str">
        <f t="shared" si="6"/>
        <v/>
      </c>
      <c r="K252" t="str">
        <f>IF(J252&lt;&gt;"",SUM($J$2:J252),"")</f>
        <v/>
      </c>
      <c r="L252">
        <f ca="1" t="shared" si="7"/>
        <v>45942</v>
      </c>
    </row>
    <row r="253" spans="9:12">
      <c r="I253">
        <f>IFERROR(VLOOKUP(H253,Rates!$A$2:$B$3,2,0),1)</f>
        <v>1</v>
      </c>
      <c r="J253" t="str">
        <f t="shared" si="6"/>
        <v/>
      </c>
      <c r="K253" t="str">
        <f>IF(J253&lt;&gt;"",SUM($J$2:J253),"")</f>
        <v/>
      </c>
      <c r="L253">
        <f ca="1" t="shared" si="7"/>
        <v>45942</v>
      </c>
    </row>
    <row r="254" spans="9:12">
      <c r="I254">
        <f>IFERROR(VLOOKUP(H254,Rates!$A$2:$B$3,2,0),1)</f>
        <v>1</v>
      </c>
      <c r="J254" t="str">
        <f t="shared" si="6"/>
        <v/>
      </c>
      <c r="K254" t="str">
        <f>IF(J254&lt;&gt;"",SUM($J$2:J254),"")</f>
        <v/>
      </c>
      <c r="L254">
        <f ca="1" t="shared" si="7"/>
        <v>45942</v>
      </c>
    </row>
    <row r="255" spans="9:12">
      <c r="I255">
        <f>IFERROR(VLOOKUP(H255,Rates!$A$2:$B$3,2,0),1)</f>
        <v>1</v>
      </c>
      <c r="J255" t="str">
        <f t="shared" si="6"/>
        <v/>
      </c>
      <c r="K255" t="str">
        <f>IF(J255&lt;&gt;"",SUM($J$2:J255),"")</f>
        <v/>
      </c>
      <c r="L255">
        <f ca="1" t="shared" si="7"/>
        <v>45942</v>
      </c>
    </row>
    <row r="256" spans="9:12">
      <c r="I256">
        <f>IFERROR(VLOOKUP(H256,Rates!$A$2:$B$3,2,0),1)</f>
        <v>1</v>
      </c>
      <c r="J256" t="str">
        <f t="shared" si="6"/>
        <v/>
      </c>
      <c r="K256" t="str">
        <f>IF(J256&lt;&gt;"",SUM($J$2:J256),"")</f>
        <v/>
      </c>
      <c r="L256">
        <f ca="1" t="shared" si="7"/>
        <v>45942</v>
      </c>
    </row>
    <row r="257" spans="9:12">
      <c r="I257">
        <f>IFERROR(VLOOKUP(H257,Rates!$A$2:$B$3,2,0),1)</f>
        <v>1</v>
      </c>
      <c r="J257" t="str">
        <f t="shared" si="6"/>
        <v/>
      </c>
      <c r="K257" t="str">
        <f>IF(J257&lt;&gt;"",SUM($J$2:J257),"")</f>
        <v/>
      </c>
      <c r="L257">
        <f ca="1" t="shared" si="7"/>
        <v>45942</v>
      </c>
    </row>
    <row r="258" spans="9:12">
      <c r="I258">
        <f>IFERROR(VLOOKUP(H258,Rates!$A$2:$B$3,2,0),1)</f>
        <v>1</v>
      </c>
      <c r="J258" t="str">
        <f t="shared" ref="J258:J301" si="8">IF(G258&lt;&gt;"",G258*I258,"")</f>
        <v/>
      </c>
      <c r="K258" t="str">
        <f>IF(J258&lt;&gt;"",SUM($J$2:J258),"")</f>
        <v/>
      </c>
      <c r="L258">
        <f ca="1" t="shared" ref="L258:L301" si="9">IF(COUNTA(A258:K258)&gt;0,TODAY(),"")</f>
        <v>45942</v>
      </c>
    </row>
    <row r="259" spans="9:12">
      <c r="I259">
        <f>IFERROR(VLOOKUP(H259,Rates!$A$2:$B$3,2,0),1)</f>
        <v>1</v>
      </c>
      <c r="J259" t="str">
        <f t="shared" si="8"/>
        <v/>
      </c>
      <c r="K259" t="str">
        <f>IF(J259&lt;&gt;"",SUM($J$2:J259),"")</f>
        <v/>
      </c>
      <c r="L259">
        <f ca="1" t="shared" si="9"/>
        <v>45942</v>
      </c>
    </row>
    <row r="260" spans="9:12">
      <c r="I260">
        <f>IFERROR(VLOOKUP(H260,Rates!$A$2:$B$3,2,0),1)</f>
        <v>1</v>
      </c>
      <c r="J260" t="str">
        <f t="shared" si="8"/>
        <v/>
      </c>
      <c r="K260" t="str">
        <f>IF(J260&lt;&gt;"",SUM($J$2:J260),"")</f>
        <v/>
      </c>
      <c r="L260">
        <f ca="1" t="shared" si="9"/>
        <v>45942</v>
      </c>
    </row>
    <row r="261" spans="9:12">
      <c r="I261">
        <f>IFERROR(VLOOKUP(H261,Rates!$A$2:$B$3,2,0),1)</f>
        <v>1</v>
      </c>
      <c r="J261" t="str">
        <f t="shared" si="8"/>
        <v/>
      </c>
      <c r="K261" t="str">
        <f>IF(J261&lt;&gt;"",SUM($J$2:J261),"")</f>
        <v/>
      </c>
      <c r="L261">
        <f ca="1" t="shared" si="9"/>
        <v>45942</v>
      </c>
    </row>
    <row r="262" spans="9:12">
      <c r="I262">
        <f>IFERROR(VLOOKUP(H262,Rates!$A$2:$B$3,2,0),1)</f>
        <v>1</v>
      </c>
      <c r="J262" t="str">
        <f t="shared" si="8"/>
        <v/>
      </c>
      <c r="K262" t="str">
        <f>IF(J262&lt;&gt;"",SUM($J$2:J262),"")</f>
        <v/>
      </c>
      <c r="L262">
        <f ca="1" t="shared" si="9"/>
        <v>45942</v>
      </c>
    </row>
    <row r="263" spans="9:12">
      <c r="I263">
        <f>IFERROR(VLOOKUP(H263,Rates!$A$2:$B$3,2,0),1)</f>
        <v>1</v>
      </c>
      <c r="J263" t="str">
        <f t="shared" si="8"/>
        <v/>
      </c>
      <c r="K263" t="str">
        <f>IF(J263&lt;&gt;"",SUM($J$2:J263),"")</f>
        <v/>
      </c>
      <c r="L263">
        <f ca="1" t="shared" si="9"/>
        <v>45942</v>
      </c>
    </row>
    <row r="264" spans="9:12">
      <c r="I264">
        <f>IFERROR(VLOOKUP(H264,Rates!$A$2:$B$3,2,0),1)</f>
        <v>1</v>
      </c>
      <c r="J264" t="str">
        <f t="shared" si="8"/>
        <v/>
      </c>
      <c r="K264" t="str">
        <f>IF(J264&lt;&gt;"",SUM($J$2:J264),"")</f>
        <v/>
      </c>
      <c r="L264">
        <f ca="1" t="shared" si="9"/>
        <v>45942</v>
      </c>
    </row>
    <row r="265" spans="9:12">
      <c r="I265">
        <f>IFERROR(VLOOKUP(H265,Rates!$A$2:$B$3,2,0),1)</f>
        <v>1</v>
      </c>
      <c r="J265" t="str">
        <f t="shared" si="8"/>
        <v/>
      </c>
      <c r="K265" t="str">
        <f>IF(J265&lt;&gt;"",SUM($J$2:J265),"")</f>
        <v/>
      </c>
      <c r="L265">
        <f ca="1" t="shared" si="9"/>
        <v>45942</v>
      </c>
    </row>
    <row r="266" spans="9:12">
      <c r="I266">
        <f>IFERROR(VLOOKUP(H266,Rates!$A$2:$B$3,2,0),1)</f>
        <v>1</v>
      </c>
      <c r="J266" t="str">
        <f t="shared" si="8"/>
        <v/>
      </c>
      <c r="K266" t="str">
        <f>IF(J266&lt;&gt;"",SUM($J$2:J266),"")</f>
        <v/>
      </c>
      <c r="L266">
        <f ca="1" t="shared" si="9"/>
        <v>45942</v>
      </c>
    </row>
    <row r="267" spans="9:12">
      <c r="I267">
        <f>IFERROR(VLOOKUP(H267,Rates!$A$2:$B$3,2,0),1)</f>
        <v>1</v>
      </c>
      <c r="J267" t="str">
        <f t="shared" si="8"/>
        <v/>
      </c>
      <c r="K267" t="str">
        <f>IF(J267&lt;&gt;"",SUM($J$2:J267),"")</f>
        <v/>
      </c>
      <c r="L267">
        <f ca="1" t="shared" si="9"/>
        <v>45942</v>
      </c>
    </row>
    <row r="268" spans="9:12">
      <c r="I268">
        <f>IFERROR(VLOOKUP(H268,Rates!$A$2:$B$3,2,0),1)</f>
        <v>1</v>
      </c>
      <c r="J268" t="str">
        <f t="shared" si="8"/>
        <v/>
      </c>
      <c r="K268" t="str">
        <f>IF(J268&lt;&gt;"",SUM($J$2:J268),"")</f>
        <v/>
      </c>
      <c r="L268">
        <f ca="1" t="shared" si="9"/>
        <v>45942</v>
      </c>
    </row>
    <row r="269" spans="9:12">
      <c r="I269">
        <f>IFERROR(VLOOKUP(H269,Rates!$A$2:$B$3,2,0),1)</f>
        <v>1</v>
      </c>
      <c r="J269" t="str">
        <f t="shared" si="8"/>
        <v/>
      </c>
      <c r="K269" t="str">
        <f>IF(J269&lt;&gt;"",SUM($J$2:J269),"")</f>
        <v/>
      </c>
      <c r="L269">
        <f ca="1" t="shared" si="9"/>
        <v>45942</v>
      </c>
    </row>
    <row r="270" spans="9:12">
      <c r="I270">
        <f>IFERROR(VLOOKUP(H270,Rates!$A$2:$B$3,2,0),1)</f>
        <v>1</v>
      </c>
      <c r="J270" t="str">
        <f t="shared" si="8"/>
        <v/>
      </c>
      <c r="K270" t="str">
        <f>IF(J270&lt;&gt;"",SUM($J$2:J270),"")</f>
        <v/>
      </c>
      <c r="L270">
        <f ca="1" t="shared" si="9"/>
        <v>45942</v>
      </c>
    </row>
    <row r="271" spans="9:12">
      <c r="I271">
        <f>IFERROR(VLOOKUP(H271,Rates!$A$2:$B$3,2,0),1)</f>
        <v>1</v>
      </c>
      <c r="J271" t="str">
        <f t="shared" si="8"/>
        <v/>
      </c>
      <c r="K271" t="str">
        <f>IF(J271&lt;&gt;"",SUM($J$2:J271),"")</f>
        <v/>
      </c>
      <c r="L271">
        <f ca="1" t="shared" si="9"/>
        <v>45942</v>
      </c>
    </row>
    <row r="272" spans="9:12">
      <c r="I272">
        <f>IFERROR(VLOOKUP(H272,Rates!$A$2:$B$3,2,0),1)</f>
        <v>1</v>
      </c>
      <c r="J272" t="str">
        <f t="shared" si="8"/>
        <v/>
      </c>
      <c r="K272" t="str">
        <f>IF(J272&lt;&gt;"",SUM($J$2:J272),"")</f>
        <v/>
      </c>
      <c r="L272">
        <f ca="1" t="shared" si="9"/>
        <v>45942</v>
      </c>
    </row>
    <row r="273" spans="9:12">
      <c r="I273">
        <f>IFERROR(VLOOKUP(H273,Rates!$A$2:$B$3,2,0),1)</f>
        <v>1</v>
      </c>
      <c r="J273" t="str">
        <f t="shared" si="8"/>
        <v/>
      </c>
      <c r="K273" t="str">
        <f>IF(J273&lt;&gt;"",SUM($J$2:J273),"")</f>
        <v/>
      </c>
      <c r="L273">
        <f ca="1" t="shared" si="9"/>
        <v>45942</v>
      </c>
    </row>
    <row r="274" spans="9:12">
      <c r="I274">
        <f>IFERROR(VLOOKUP(H274,Rates!$A$2:$B$3,2,0),1)</f>
        <v>1</v>
      </c>
      <c r="J274" t="str">
        <f t="shared" si="8"/>
        <v/>
      </c>
      <c r="K274" t="str">
        <f>IF(J274&lt;&gt;"",SUM($J$2:J274),"")</f>
        <v/>
      </c>
      <c r="L274">
        <f ca="1" t="shared" si="9"/>
        <v>45942</v>
      </c>
    </row>
    <row r="275" spans="9:12">
      <c r="I275">
        <f>IFERROR(VLOOKUP(H275,Rates!$A$2:$B$3,2,0),1)</f>
        <v>1</v>
      </c>
      <c r="J275" t="str">
        <f t="shared" si="8"/>
        <v/>
      </c>
      <c r="K275" t="str">
        <f>IF(J275&lt;&gt;"",SUM($J$2:J275),"")</f>
        <v/>
      </c>
      <c r="L275">
        <f ca="1" t="shared" si="9"/>
        <v>45942</v>
      </c>
    </row>
    <row r="276" spans="9:12">
      <c r="I276">
        <f>IFERROR(VLOOKUP(H276,Rates!$A$2:$B$3,2,0),1)</f>
        <v>1</v>
      </c>
      <c r="J276" t="str">
        <f t="shared" si="8"/>
        <v/>
      </c>
      <c r="K276" t="str">
        <f>IF(J276&lt;&gt;"",SUM($J$2:J276),"")</f>
        <v/>
      </c>
      <c r="L276">
        <f ca="1" t="shared" si="9"/>
        <v>45942</v>
      </c>
    </row>
    <row r="277" spans="9:12">
      <c r="I277">
        <f>IFERROR(VLOOKUP(H277,Rates!$A$2:$B$3,2,0),1)</f>
        <v>1</v>
      </c>
      <c r="J277" t="str">
        <f t="shared" si="8"/>
        <v/>
      </c>
      <c r="K277" t="str">
        <f>IF(J277&lt;&gt;"",SUM($J$2:J277),"")</f>
        <v/>
      </c>
      <c r="L277">
        <f ca="1" t="shared" si="9"/>
        <v>45942</v>
      </c>
    </row>
    <row r="278" spans="9:12">
      <c r="I278">
        <f>IFERROR(VLOOKUP(H278,Rates!$A$2:$B$3,2,0),1)</f>
        <v>1</v>
      </c>
      <c r="J278" t="str">
        <f t="shared" si="8"/>
        <v/>
      </c>
      <c r="K278" t="str">
        <f>IF(J278&lt;&gt;"",SUM($J$2:J278),"")</f>
        <v/>
      </c>
      <c r="L278">
        <f ca="1" t="shared" si="9"/>
        <v>45942</v>
      </c>
    </row>
    <row r="279" spans="9:12">
      <c r="I279">
        <f>IFERROR(VLOOKUP(H279,Rates!$A$2:$B$3,2,0),1)</f>
        <v>1</v>
      </c>
      <c r="J279" t="str">
        <f t="shared" si="8"/>
        <v/>
      </c>
      <c r="K279" t="str">
        <f>IF(J279&lt;&gt;"",SUM($J$2:J279),"")</f>
        <v/>
      </c>
      <c r="L279">
        <f ca="1" t="shared" si="9"/>
        <v>45942</v>
      </c>
    </row>
    <row r="280" spans="9:12">
      <c r="I280">
        <f>IFERROR(VLOOKUP(H280,Rates!$A$2:$B$3,2,0),1)</f>
        <v>1</v>
      </c>
      <c r="J280" t="str">
        <f t="shared" si="8"/>
        <v/>
      </c>
      <c r="K280" t="str">
        <f>IF(J280&lt;&gt;"",SUM($J$2:J280),"")</f>
        <v/>
      </c>
      <c r="L280">
        <f ca="1" t="shared" si="9"/>
        <v>45942</v>
      </c>
    </row>
    <row r="281" spans="9:12">
      <c r="I281">
        <f>IFERROR(VLOOKUP(H281,Rates!$A$2:$B$3,2,0),1)</f>
        <v>1</v>
      </c>
      <c r="J281" t="str">
        <f t="shared" si="8"/>
        <v/>
      </c>
      <c r="K281" t="str">
        <f>IF(J281&lt;&gt;"",SUM($J$2:J281),"")</f>
        <v/>
      </c>
      <c r="L281">
        <f ca="1" t="shared" si="9"/>
        <v>45942</v>
      </c>
    </row>
    <row r="282" spans="9:12">
      <c r="I282">
        <f>IFERROR(VLOOKUP(H282,Rates!$A$2:$B$3,2,0),1)</f>
        <v>1</v>
      </c>
      <c r="J282" t="str">
        <f t="shared" si="8"/>
        <v/>
      </c>
      <c r="K282" t="str">
        <f>IF(J282&lt;&gt;"",SUM($J$2:J282),"")</f>
        <v/>
      </c>
      <c r="L282">
        <f ca="1" t="shared" si="9"/>
        <v>45942</v>
      </c>
    </row>
    <row r="283" spans="9:12">
      <c r="I283">
        <f>IFERROR(VLOOKUP(H283,Rates!$A$2:$B$3,2,0),1)</f>
        <v>1</v>
      </c>
      <c r="J283" t="str">
        <f t="shared" si="8"/>
        <v/>
      </c>
      <c r="K283" t="str">
        <f>IF(J283&lt;&gt;"",SUM($J$2:J283),"")</f>
        <v/>
      </c>
      <c r="L283">
        <f ca="1" t="shared" si="9"/>
        <v>45942</v>
      </c>
    </row>
    <row r="284" spans="9:12">
      <c r="I284">
        <f>IFERROR(VLOOKUP(H284,Rates!$A$2:$B$3,2,0),1)</f>
        <v>1</v>
      </c>
      <c r="J284" t="str">
        <f t="shared" si="8"/>
        <v/>
      </c>
      <c r="K284" t="str">
        <f>IF(J284&lt;&gt;"",SUM($J$2:J284),"")</f>
        <v/>
      </c>
      <c r="L284">
        <f ca="1" t="shared" si="9"/>
        <v>45942</v>
      </c>
    </row>
    <row r="285" spans="9:12">
      <c r="I285">
        <f>IFERROR(VLOOKUP(H285,Rates!$A$2:$B$3,2,0),1)</f>
        <v>1</v>
      </c>
      <c r="J285" t="str">
        <f t="shared" si="8"/>
        <v/>
      </c>
      <c r="K285" t="str">
        <f>IF(J285&lt;&gt;"",SUM($J$2:J285),"")</f>
        <v/>
      </c>
      <c r="L285">
        <f ca="1" t="shared" si="9"/>
        <v>45942</v>
      </c>
    </row>
    <row r="286" spans="9:12">
      <c r="I286">
        <f>IFERROR(VLOOKUP(H286,Rates!$A$2:$B$3,2,0),1)</f>
        <v>1</v>
      </c>
      <c r="J286" t="str">
        <f t="shared" si="8"/>
        <v/>
      </c>
      <c r="K286" t="str">
        <f>IF(J286&lt;&gt;"",SUM($J$2:J286),"")</f>
        <v/>
      </c>
      <c r="L286">
        <f ca="1" t="shared" si="9"/>
        <v>45942</v>
      </c>
    </row>
    <row r="287" spans="9:12">
      <c r="I287">
        <f>IFERROR(VLOOKUP(H287,Rates!$A$2:$B$3,2,0),1)</f>
        <v>1</v>
      </c>
      <c r="J287" t="str">
        <f t="shared" si="8"/>
        <v/>
      </c>
      <c r="K287" t="str">
        <f>IF(J287&lt;&gt;"",SUM($J$2:J287),"")</f>
        <v/>
      </c>
      <c r="L287">
        <f ca="1" t="shared" si="9"/>
        <v>45942</v>
      </c>
    </row>
    <row r="288" spans="9:12">
      <c r="I288">
        <f>IFERROR(VLOOKUP(H288,Rates!$A$2:$B$3,2,0),1)</f>
        <v>1</v>
      </c>
      <c r="J288" t="str">
        <f t="shared" si="8"/>
        <v/>
      </c>
      <c r="K288" t="str">
        <f>IF(J288&lt;&gt;"",SUM($J$2:J288),"")</f>
        <v/>
      </c>
      <c r="L288">
        <f ca="1" t="shared" si="9"/>
        <v>45942</v>
      </c>
    </row>
    <row r="289" spans="9:12">
      <c r="I289">
        <f>IFERROR(VLOOKUP(H289,Rates!$A$2:$B$3,2,0),1)</f>
        <v>1</v>
      </c>
      <c r="J289" t="str">
        <f t="shared" si="8"/>
        <v/>
      </c>
      <c r="K289" t="str">
        <f>IF(J289&lt;&gt;"",SUM($J$2:J289),"")</f>
        <v/>
      </c>
      <c r="L289">
        <f ca="1" t="shared" si="9"/>
        <v>45942</v>
      </c>
    </row>
    <row r="290" spans="9:12">
      <c r="I290">
        <f>IFERROR(VLOOKUP(H290,Rates!$A$2:$B$3,2,0),1)</f>
        <v>1</v>
      </c>
      <c r="J290" t="str">
        <f t="shared" si="8"/>
        <v/>
      </c>
      <c r="K290" t="str">
        <f>IF(J290&lt;&gt;"",SUM($J$2:J290),"")</f>
        <v/>
      </c>
      <c r="L290">
        <f ca="1" t="shared" si="9"/>
        <v>45942</v>
      </c>
    </row>
    <row r="291" spans="9:12">
      <c r="I291">
        <f>IFERROR(VLOOKUP(H291,Rates!$A$2:$B$3,2,0),1)</f>
        <v>1</v>
      </c>
      <c r="J291" t="str">
        <f t="shared" si="8"/>
        <v/>
      </c>
      <c r="K291" t="str">
        <f>IF(J291&lt;&gt;"",SUM($J$2:J291),"")</f>
        <v/>
      </c>
      <c r="L291">
        <f ca="1" t="shared" si="9"/>
        <v>45942</v>
      </c>
    </row>
    <row r="292" spans="9:12">
      <c r="I292">
        <f>IFERROR(VLOOKUP(H292,Rates!$A$2:$B$3,2,0),1)</f>
        <v>1</v>
      </c>
      <c r="J292" t="str">
        <f t="shared" si="8"/>
        <v/>
      </c>
      <c r="K292" t="str">
        <f>IF(J292&lt;&gt;"",SUM($J$2:J292),"")</f>
        <v/>
      </c>
      <c r="L292">
        <f ca="1" t="shared" si="9"/>
        <v>45942</v>
      </c>
    </row>
    <row r="293" spans="9:12">
      <c r="I293">
        <f>IFERROR(VLOOKUP(H293,Rates!$A$2:$B$3,2,0),1)</f>
        <v>1</v>
      </c>
      <c r="J293" t="str">
        <f t="shared" si="8"/>
        <v/>
      </c>
      <c r="K293" t="str">
        <f>IF(J293&lt;&gt;"",SUM($J$2:J293),"")</f>
        <v/>
      </c>
      <c r="L293">
        <f ca="1" t="shared" si="9"/>
        <v>45942</v>
      </c>
    </row>
    <row r="294" spans="9:12">
      <c r="I294">
        <f>IFERROR(VLOOKUP(H294,Rates!$A$2:$B$3,2,0),1)</f>
        <v>1</v>
      </c>
      <c r="J294" t="str">
        <f t="shared" si="8"/>
        <v/>
      </c>
      <c r="K294" t="str">
        <f>IF(J294&lt;&gt;"",SUM($J$2:J294),"")</f>
        <v/>
      </c>
      <c r="L294">
        <f ca="1" t="shared" si="9"/>
        <v>45942</v>
      </c>
    </row>
    <row r="295" spans="9:12">
      <c r="I295">
        <f>IFERROR(VLOOKUP(H295,Rates!$A$2:$B$3,2,0),1)</f>
        <v>1</v>
      </c>
      <c r="J295" t="str">
        <f t="shared" si="8"/>
        <v/>
      </c>
      <c r="K295" t="str">
        <f>IF(J295&lt;&gt;"",SUM($J$2:J295),"")</f>
        <v/>
      </c>
      <c r="L295">
        <f ca="1" t="shared" si="9"/>
        <v>45942</v>
      </c>
    </row>
    <row r="296" spans="9:12">
      <c r="I296">
        <f>IFERROR(VLOOKUP(H296,Rates!$A$2:$B$3,2,0),1)</f>
        <v>1</v>
      </c>
      <c r="J296" t="str">
        <f t="shared" si="8"/>
        <v/>
      </c>
      <c r="K296" t="str">
        <f>IF(J296&lt;&gt;"",SUM($J$2:J296),"")</f>
        <v/>
      </c>
      <c r="L296">
        <f ca="1" t="shared" si="9"/>
        <v>45942</v>
      </c>
    </row>
    <row r="297" spans="9:12">
      <c r="I297">
        <f>IFERROR(VLOOKUP(H297,Rates!$A$2:$B$3,2,0),1)</f>
        <v>1</v>
      </c>
      <c r="J297" t="str">
        <f t="shared" si="8"/>
        <v/>
      </c>
      <c r="K297" t="str">
        <f>IF(J297&lt;&gt;"",SUM($J$2:J297),"")</f>
        <v/>
      </c>
      <c r="L297">
        <f ca="1" t="shared" si="9"/>
        <v>45942</v>
      </c>
    </row>
    <row r="298" spans="9:12">
      <c r="I298">
        <f>IFERROR(VLOOKUP(H298,Rates!$A$2:$B$3,2,0),1)</f>
        <v>1</v>
      </c>
      <c r="J298" t="str">
        <f t="shared" si="8"/>
        <v/>
      </c>
      <c r="K298" t="str">
        <f>IF(J298&lt;&gt;"",SUM($J$2:J298),"")</f>
        <v/>
      </c>
      <c r="L298">
        <f ca="1" t="shared" si="9"/>
        <v>45942</v>
      </c>
    </row>
    <row r="299" spans="9:12">
      <c r="I299">
        <f>IFERROR(VLOOKUP(H299,Rates!$A$2:$B$3,2,0),1)</f>
        <v>1</v>
      </c>
      <c r="J299" t="str">
        <f t="shared" si="8"/>
        <v/>
      </c>
      <c r="K299" t="str">
        <f>IF(J299&lt;&gt;"",SUM($J$2:J299),"")</f>
        <v/>
      </c>
      <c r="L299">
        <f ca="1" t="shared" si="9"/>
        <v>45942</v>
      </c>
    </row>
    <row r="300" spans="9:12">
      <c r="I300">
        <f>IFERROR(VLOOKUP(H300,Rates!$A$2:$B$3,2,0),1)</f>
        <v>1</v>
      </c>
      <c r="J300" t="str">
        <f t="shared" si="8"/>
        <v/>
      </c>
      <c r="K300" t="str">
        <f>IF(J300&lt;&gt;"",SUM($J$2:J300),"")</f>
        <v/>
      </c>
      <c r="L300">
        <f ca="1" t="shared" si="9"/>
        <v>45942</v>
      </c>
    </row>
    <row r="301" spans="9:12">
      <c r="I301">
        <f>IFERROR(VLOOKUP(H301,Rates!$A$2:$B$3,2,0),1)</f>
        <v>1</v>
      </c>
      <c r="J301" t="str">
        <f t="shared" si="8"/>
        <v/>
      </c>
      <c r="K301" t="str">
        <f>IF(J301&lt;&gt;"",SUM($J$2:J301),"")</f>
        <v/>
      </c>
      <c r="L301">
        <f ca="1" t="shared" si="9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topLeftCell="B1" workbookViewId="0">
      <pane ySplit="1" topLeftCell="A2" activePane="bottomLeft" state="frozen"/>
      <selection/>
      <selection pane="bottomLeft" activeCell="M26" sqref="A9:M26"/>
    </sheetView>
  </sheetViews>
  <sheetFormatPr defaultColWidth="9" defaultRowHeight="16.8"/>
  <cols>
    <col min="1" max="1" width="22" customWidth="1"/>
    <col min="2" max="2" width="12" customWidth="1"/>
    <col min="3" max="4" width="16" customWidth="1"/>
    <col min="5" max="5" width="26" customWidth="1"/>
    <col min="6" max="6" width="36" customWidth="1"/>
    <col min="7" max="7" width="12" customWidth="1"/>
    <col min="8" max="9" width="10" customWidth="1"/>
    <col min="10" max="10" width="14" customWidth="1"/>
    <col min="11" max="11" width="16" customWidth="1"/>
    <col min="12" max="12" width="14" customWidth="1"/>
    <col min="14" max="14" width="2" customWidth="1"/>
    <col min="15" max="15" width="15.8828125" customWidth="1"/>
    <col min="16" max="16" width="2" customWidth="1"/>
    <col min="17" max="17" width="14.578125" customWidth="1"/>
  </cols>
  <sheetData>
    <row r="1" spans="1:12">
      <c r="A1" t="s">
        <v>36</v>
      </c>
      <c r="B1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</row>
    <row r="2" spans="1:12">
      <c r="A2" t="s">
        <v>44</v>
      </c>
      <c r="B2" s="10">
        <v>45839</v>
      </c>
      <c r="F2" t="s">
        <v>64</v>
      </c>
      <c r="G2" s="1">
        <v>23194272</v>
      </c>
      <c r="H2" t="s">
        <v>3</v>
      </c>
      <c r="I2">
        <f>IFERROR(VLOOKUP(H2,Rates!$A$2:$B$3,2,0),1)</f>
        <v>1</v>
      </c>
      <c r="J2">
        <f t="shared" ref="J2:J65" si="0">IF(G2&lt;&gt;"",G2*I2,"")</f>
        <v>23194272</v>
      </c>
      <c r="K2" s="1">
        <f>IF(J2&lt;&gt;"",J2,"")</f>
        <v>23194272</v>
      </c>
      <c r="L2">
        <f ca="1" t="shared" ref="L2:L65" si="1">IF(COUNTA(A2:K2)&gt;0,TODAY(),"")</f>
        <v>45942</v>
      </c>
    </row>
    <row r="3" spans="1:12">
      <c r="A3" t="s">
        <v>44</v>
      </c>
      <c r="B3" s="10">
        <v>45840</v>
      </c>
      <c r="C3" t="s">
        <v>17</v>
      </c>
      <c r="E3" t="s">
        <v>43</v>
      </c>
      <c r="F3" t="s">
        <v>17</v>
      </c>
      <c r="G3" s="1">
        <v>791394</v>
      </c>
      <c r="H3" t="s">
        <v>3</v>
      </c>
      <c r="I3">
        <f>IFERROR(VLOOKUP(H3,Rates!$A$2:$B$3,2,0),1)</f>
        <v>1</v>
      </c>
      <c r="J3">
        <f t="shared" si="0"/>
        <v>791394</v>
      </c>
      <c r="K3" s="1">
        <f>IF(J3&lt;&gt;"",SUM($J$2:J3),"")</f>
        <v>23985666</v>
      </c>
      <c r="L3">
        <f ca="1" t="shared" si="1"/>
        <v>45942</v>
      </c>
    </row>
    <row r="4" spans="1:12">
      <c r="A4" t="s">
        <v>44</v>
      </c>
      <c r="B4" s="10">
        <v>45840</v>
      </c>
      <c r="F4" t="s">
        <v>85</v>
      </c>
      <c r="G4" s="1">
        <v>-300000</v>
      </c>
      <c r="H4" t="s">
        <v>3</v>
      </c>
      <c r="I4">
        <f>IFERROR(VLOOKUP(H4,Rates!$A$2:$B$3,2,0),1)</f>
        <v>1</v>
      </c>
      <c r="J4">
        <f t="shared" si="0"/>
        <v>-300000</v>
      </c>
      <c r="K4" s="1">
        <f>IF(J4&lt;&gt;"",SUM($J$2:J4),"")</f>
        <v>23685666</v>
      </c>
      <c r="L4">
        <f ca="1" t="shared" si="1"/>
        <v>45942</v>
      </c>
    </row>
    <row r="5" spans="2:12">
      <c r="B5" s="10">
        <v>45840</v>
      </c>
      <c r="C5" t="s">
        <v>17</v>
      </c>
      <c r="E5" t="s">
        <v>43</v>
      </c>
      <c r="F5" t="s">
        <v>29</v>
      </c>
      <c r="G5" s="1">
        <v>-4500000</v>
      </c>
      <c r="I5">
        <f>IFERROR(VLOOKUP(H5,Rates!$A$2:$B$3,2,0),1)</f>
        <v>1</v>
      </c>
      <c r="J5">
        <f t="shared" si="0"/>
        <v>-4500000</v>
      </c>
      <c r="K5" s="1">
        <f>IF(J5&lt;&gt;"",SUM($J$2:J5),"")</f>
        <v>19185666</v>
      </c>
      <c r="L5">
        <f ca="1" t="shared" si="1"/>
        <v>45942</v>
      </c>
    </row>
    <row r="6" spans="2:12">
      <c r="B6" s="10">
        <v>45842</v>
      </c>
      <c r="C6" t="s">
        <v>19</v>
      </c>
      <c r="F6" t="s">
        <v>86</v>
      </c>
      <c r="G6" s="1">
        <v>215689</v>
      </c>
      <c r="I6">
        <f>IFERROR(VLOOKUP(H6,Rates!$A$2:$B$3,2,0),1)</f>
        <v>1</v>
      </c>
      <c r="J6">
        <f t="shared" si="0"/>
        <v>215689</v>
      </c>
      <c r="K6" s="1">
        <f>IF(J6&lt;&gt;"",SUM($J$2:J6),"")</f>
        <v>19401355</v>
      </c>
      <c r="L6">
        <f ca="1" t="shared" si="1"/>
        <v>45942</v>
      </c>
    </row>
    <row r="7" spans="2:12">
      <c r="B7" s="10">
        <v>45845</v>
      </c>
      <c r="C7" t="s">
        <v>17</v>
      </c>
      <c r="E7" t="s">
        <v>50</v>
      </c>
      <c r="F7" t="s">
        <v>85</v>
      </c>
      <c r="G7" s="1">
        <v>-200000</v>
      </c>
      <c r="I7">
        <f>IFERROR(VLOOKUP(H7,Rates!$A$2:$B$3,2,0),1)</f>
        <v>1</v>
      </c>
      <c r="J7">
        <f t="shared" si="0"/>
        <v>-200000</v>
      </c>
      <c r="K7" s="1">
        <f>IF(J7&lt;&gt;"",SUM($J$2:J7),"")</f>
        <v>19201355</v>
      </c>
      <c r="L7">
        <f ca="1" t="shared" si="1"/>
        <v>45942</v>
      </c>
    </row>
    <row r="8" spans="2:12">
      <c r="B8" s="10">
        <v>45845</v>
      </c>
      <c r="C8" t="s">
        <v>19</v>
      </c>
      <c r="D8" t="s">
        <v>29</v>
      </c>
      <c r="F8" t="s">
        <v>87</v>
      </c>
      <c r="G8" s="1">
        <v>630</v>
      </c>
      <c r="I8">
        <f>IFERROR(VLOOKUP(H8,Rates!$A$2:$B$3,2,0),1)</f>
        <v>1</v>
      </c>
      <c r="J8">
        <f t="shared" si="0"/>
        <v>630</v>
      </c>
      <c r="K8" s="1">
        <f>IF(J8&lt;&gt;"",SUM($J$2:J8),"")</f>
        <v>19201985</v>
      </c>
      <c r="L8">
        <f ca="1" t="shared" si="1"/>
        <v>45942</v>
      </c>
    </row>
    <row r="9" spans="2:11">
      <c r="B9" s="10"/>
      <c r="C9"/>
      <c r="D9"/>
      <c r="G9" s="1"/>
      <c r="K9" s="1"/>
    </row>
    <row r="10" spans="2:11">
      <c r="B10" s="10"/>
      <c r="C10"/>
      <c r="D10"/>
      <c r="G10" s="1"/>
      <c r="K10" s="1"/>
    </row>
    <row r="11" spans="2:11">
      <c r="B11" s="10"/>
      <c r="C11"/>
      <c r="D11"/>
      <c r="G11" s="1"/>
      <c r="K11" s="1"/>
    </row>
    <row r="12" spans="2:11">
      <c r="B12" s="10"/>
      <c r="C12"/>
      <c r="D12"/>
      <c r="G12" s="1"/>
      <c r="K12" s="1"/>
    </row>
    <row r="13" spans="2:11">
      <c r="B13" s="10"/>
      <c r="C13"/>
      <c r="G13" s="1"/>
      <c r="K13" s="1"/>
    </row>
    <row r="14" spans="2:11">
      <c r="B14" s="10"/>
      <c r="C14"/>
      <c r="D14"/>
      <c r="G14" s="1"/>
      <c r="K14" s="1"/>
    </row>
    <row r="15" spans="2:11">
      <c r="B15" s="10"/>
      <c r="C15"/>
      <c r="G15" s="1"/>
      <c r="K15" s="1"/>
    </row>
    <row r="16" spans="2:11">
      <c r="B16" s="10"/>
      <c r="C16"/>
      <c r="G16" s="1"/>
      <c r="K16" s="1"/>
    </row>
    <row r="17" spans="2:11">
      <c r="B17" s="10"/>
      <c r="C17"/>
      <c r="G17" s="1"/>
      <c r="K17" s="1"/>
    </row>
    <row r="18" spans="2:11">
      <c r="B18" s="10"/>
      <c r="C18"/>
      <c r="G18" s="1"/>
      <c r="K18" s="1"/>
    </row>
    <row r="19" spans="2:11">
      <c r="B19" s="10"/>
      <c r="C19"/>
      <c r="G19" s="1"/>
      <c r="K19" s="1"/>
    </row>
    <row r="20" spans="2:11">
      <c r="B20" s="10"/>
      <c r="C20"/>
      <c r="G20" s="1"/>
      <c r="K20" s="1"/>
    </row>
    <row r="21" spans="2:11">
      <c r="B21" s="10"/>
      <c r="C21"/>
      <c r="G21" s="1"/>
      <c r="K21" s="1"/>
    </row>
    <row r="27" spans="9:12">
      <c r="I27">
        <f>IFERROR(VLOOKUP(H27,Rates!$A$2:$B$3,2,0),1)</f>
        <v>1</v>
      </c>
      <c r="J27" t="str">
        <f t="shared" si="0"/>
        <v/>
      </c>
      <c r="K27" t="str">
        <f>IF(J27&lt;&gt;"",SUM($J$2:J27),"")</f>
        <v/>
      </c>
      <c r="L27">
        <f ca="1" t="shared" si="1"/>
        <v>45942</v>
      </c>
    </row>
    <row r="28" spans="9:12">
      <c r="I28">
        <f>IFERROR(VLOOKUP(H28,Rates!$A$2:$B$3,2,0),1)</f>
        <v>1</v>
      </c>
      <c r="J28" t="str">
        <f t="shared" si="0"/>
        <v/>
      </c>
      <c r="K28" t="str">
        <f>IF(J28&lt;&gt;"",SUM($J$2:J28),"")</f>
        <v/>
      </c>
      <c r="L28">
        <f ca="1" t="shared" si="1"/>
        <v>45942</v>
      </c>
    </row>
    <row r="29" spans="9:12">
      <c r="I29">
        <f>IFERROR(VLOOKUP(H29,Rates!$A$2:$B$3,2,0),1)</f>
        <v>1</v>
      </c>
      <c r="J29" t="str">
        <f t="shared" si="0"/>
        <v/>
      </c>
      <c r="K29" t="str">
        <f>IF(J29&lt;&gt;"",SUM($J$2:J29),"")</f>
        <v/>
      </c>
      <c r="L29">
        <f ca="1" t="shared" si="1"/>
        <v>45942</v>
      </c>
    </row>
    <row r="30" spans="9:12">
      <c r="I30">
        <f>IFERROR(VLOOKUP(H30,Rates!$A$2:$B$3,2,0),1)</f>
        <v>1</v>
      </c>
      <c r="J30" t="str">
        <f t="shared" si="0"/>
        <v/>
      </c>
      <c r="K30" t="str">
        <f>IF(J30&lt;&gt;"",SUM($J$2:J30),"")</f>
        <v/>
      </c>
      <c r="L30">
        <f ca="1" t="shared" si="1"/>
        <v>45942</v>
      </c>
    </row>
    <row r="31" spans="9:12">
      <c r="I31">
        <f>IFERROR(VLOOKUP(H31,Rates!$A$2:$B$3,2,0),1)</f>
        <v>1</v>
      </c>
      <c r="J31" t="str">
        <f t="shared" si="0"/>
        <v/>
      </c>
      <c r="K31" t="str">
        <f>IF(J31&lt;&gt;"",SUM($J$2:J31),"")</f>
        <v/>
      </c>
      <c r="L31">
        <f ca="1" t="shared" si="1"/>
        <v>45942</v>
      </c>
    </row>
    <row r="32" spans="9:12">
      <c r="I32">
        <f>IFERROR(VLOOKUP(H32,Rates!$A$2:$B$3,2,0),1)</f>
        <v>1</v>
      </c>
      <c r="J32" t="str">
        <f t="shared" si="0"/>
        <v/>
      </c>
      <c r="K32" t="str">
        <f>IF(J32&lt;&gt;"",SUM($J$2:J32),"")</f>
        <v/>
      </c>
      <c r="L32">
        <f ca="1" t="shared" si="1"/>
        <v>45942</v>
      </c>
    </row>
    <row r="33" spans="9:12">
      <c r="I33">
        <f>IFERROR(VLOOKUP(H33,Rates!$A$2:$B$3,2,0),1)</f>
        <v>1</v>
      </c>
      <c r="J33" t="str">
        <f t="shared" si="0"/>
        <v/>
      </c>
      <c r="K33" t="str">
        <f>IF(J33&lt;&gt;"",SUM($J$2:J33),"")</f>
        <v/>
      </c>
      <c r="L33">
        <f ca="1" t="shared" si="1"/>
        <v>45942</v>
      </c>
    </row>
    <row r="34" spans="9:12">
      <c r="I34">
        <f>IFERROR(VLOOKUP(H34,Rates!$A$2:$B$3,2,0),1)</f>
        <v>1</v>
      </c>
      <c r="J34" t="str">
        <f t="shared" si="0"/>
        <v/>
      </c>
      <c r="K34" t="str">
        <f>IF(J34&lt;&gt;"",SUM($J$2:J34),"")</f>
        <v/>
      </c>
      <c r="L34">
        <f ca="1" t="shared" si="1"/>
        <v>45942</v>
      </c>
    </row>
    <row r="35" spans="9:12">
      <c r="I35">
        <f>IFERROR(VLOOKUP(H35,Rates!$A$2:$B$3,2,0),1)</f>
        <v>1</v>
      </c>
      <c r="J35" t="str">
        <f t="shared" si="0"/>
        <v/>
      </c>
      <c r="K35" t="str">
        <f>IF(J35&lt;&gt;"",SUM($J$2:J35),"")</f>
        <v/>
      </c>
      <c r="L35">
        <f ca="1" t="shared" si="1"/>
        <v>45942</v>
      </c>
    </row>
    <row r="36" spans="9:12">
      <c r="I36">
        <f>IFERROR(VLOOKUP(H36,Rates!$A$2:$B$3,2,0),1)</f>
        <v>1</v>
      </c>
      <c r="J36" t="str">
        <f t="shared" si="0"/>
        <v/>
      </c>
      <c r="K36" t="str">
        <f>IF(J36&lt;&gt;"",SUM($J$2:J36),"")</f>
        <v/>
      </c>
      <c r="L36">
        <f ca="1" t="shared" si="1"/>
        <v>45942</v>
      </c>
    </row>
    <row r="37" spans="9:12">
      <c r="I37">
        <f>IFERROR(VLOOKUP(H37,Rates!$A$2:$B$3,2,0),1)</f>
        <v>1</v>
      </c>
      <c r="J37" t="str">
        <f t="shared" si="0"/>
        <v/>
      </c>
      <c r="K37" t="str">
        <f>IF(J37&lt;&gt;"",SUM($J$2:J37),"")</f>
        <v/>
      </c>
      <c r="L37">
        <f ca="1" t="shared" si="1"/>
        <v>45942</v>
      </c>
    </row>
    <row r="38" spans="9:12">
      <c r="I38">
        <f>IFERROR(VLOOKUP(H38,Rates!$A$2:$B$3,2,0),1)</f>
        <v>1</v>
      </c>
      <c r="J38" t="str">
        <f t="shared" si="0"/>
        <v/>
      </c>
      <c r="K38" t="str">
        <f>IF(J38&lt;&gt;"",SUM($J$2:J38),"")</f>
        <v/>
      </c>
      <c r="L38">
        <f ca="1" t="shared" si="1"/>
        <v>45942</v>
      </c>
    </row>
    <row r="39" spans="9:12">
      <c r="I39">
        <f>IFERROR(VLOOKUP(H39,Rates!$A$2:$B$3,2,0),1)</f>
        <v>1</v>
      </c>
      <c r="J39" t="str">
        <f t="shared" si="0"/>
        <v/>
      </c>
      <c r="K39" t="str">
        <f>IF(J39&lt;&gt;"",SUM($J$2:J39),"")</f>
        <v/>
      </c>
      <c r="L39">
        <f ca="1" t="shared" si="1"/>
        <v>45942</v>
      </c>
    </row>
    <row r="40" spans="9:12">
      <c r="I40">
        <f>IFERROR(VLOOKUP(H40,Rates!$A$2:$B$3,2,0),1)</f>
        <v>1</v>
      </c>
      <c r="J40" t="str">
        <f t="shared" si="0"/>
        <v/>
      </c>
      <c r="K40" t="str">
        <f>IF(J40&lt;&gt;"",SUM($J$2:J40),"")</f>
        <v/>
      </c>
      <c r="L40">
        <f ca="1" t="shared" si="1"/>
        <v>45942</v>
      </c>
    </row>
    <row r="41" spans="9:12">
      <c r="I41">
        <f>IFERROR(VLOOKUP(H41,Rates!$A$2:$B$3,2,0),1)</f>
        <v>1</v>
      </c>
      <c r="J41" t="str">
        <f t="shared" si="0"/>
        <v/>
      </c>
      <c r="K41" t="str">
        <f>IF(J41&lt;&gt;"",SUM($J$2:J41),"")</f>
        <v/>
      </c>
      <c r="L41">
        <f ca="1" t="shared" si="1"/>
        <v>45942</v>
      </c>
    </row>
    <row r="42" spans="9:12">
      <c r="I42">
        <f>IFERROR(VLOOKUP(H42,Rates!$A$2:$B$3,2,0),1)</f>
        <v>1</v>
      </c>
      <c r="J42" t="str">
        <f t="shared" si="0"/>
        <v/>
      </c>
      <c r="K42" t="str">
        <f>IF(J42&lt;&gt;"",SUM($J$2:J42),"")</f>
        <v/>
      </c>
      <c r="L42">
        <f ca="1" t="shared" si="1"/>
        <v>45942</v>
      </c>
    </row>
    <row r="43" spans="9:12">
      <c r="I43">
        <f>IFERROR(VLOOKUP(H43,Rates!$A$2:$B$3,2,0),1)</f>
        <v>1</v>
      </c>
      <c r="J43" t="str">
        <f t="shared" si="0"/>
        <v/>
      </c>
      <c r="K43" t="str">
        <f>IF(J43&lt;&gt;"",SUM($J$2:J43),"")</f>
        <v/>
      </c>
      <c r="L43">
        <f ca="1" t="shared" si="1"/>
        <v>45942</v>
      </c>
    </row>
    <row r="44" spans="9:12">
      <c r="I44">
        <f>IFERROR(VLOOKUP(H44,Rates!$A$2:$B$3,2,0),1)</f>
        <v>1</v>
      </c>
      <c r="J44" t="str">
        <f t="shared" si="0"/>
        <v/>
      </c>
      <c r="K44" t="str">
        <f>IF(J44&lt;&gt;"",SUM($J$2:J44),"")</f>
        <v/>
      </c>
      <c r="L44">
        <f ca="1" t="shared" si="1"/>
        <v>45942</v>
      </c>
    </row>
    <row r="45" spans="9:12">
      <c r="I45">
        <f>IFERROR(VLOOKUP(H45,Rates!$A$2:$B$3,2,0),1)</f>
        <v>1</v>
      </c>
      <c r="J45" t="str">
        <f t="shared" si="0"/>
        <v/>
      </c>
      <c r="K45" t="str">
        <f>IF(J45&lt;&gt;"",SUM($J$2:J45),"")</f>
        <v/>
      </c>
      <c r="L45">
        <f ca="1" t="shared" si="1"/>
        <v>45942</v>
      </c>
    </row>
    <row r="46" spans="9:12">
      <c r="I46">
        <f>IFERROR(VLOOKUP(H46,Rates!$A$2:$B$3,2,0),1)</f>
        <v>1</v>
      </c>
      <c r="J46" t="str">
        <f t="shared" si="0"/>
        <v/>
      </c>
      <c r="K46" t="str">
        <f>IF(J46&lt;&gt;"",SUM($J$2:J46),"")</f>
        <v/>
      </c>
      <c r="L46">
        <f ca="1" t="shared" si="1"/>
        <v>45942</v>
      </c>
    </row>
    <row r="47" spans="9:12">
      <c r="I47">
        <f>IFERROR(VLOOKUP(H47,Rates!$A$2:$B$3,2,0),1)</f>
        <v>1</v>
      </c>
      <c r="J47" t="str">
        <f t="shared" si="0"/>
        <v/>
      </c>
      <c r="K47" t="str">
        <f>IF(J47&lt;&gt;"",SUM($J$2:J47),"")</f>
        <v/>
      </c>
      <c r="L47">
        <f ca="1" t="shared" si="1"/>
        <v>45942</v>
      </c>
    </row>
    <row r="48" spans="9:12">
      <c r="I48">
        <f>IFERROR(VLOOKUP(H48,Rates!$A$2:$B$3,2,0),1)</f>
        <v>1</v>
      </c>
      <c r="J48" t="str">
        <f t="shared" si="0"/>
        <v/>
      </c>
      <c r="K48" t="str">
        <f>IF(J48&lt;&gt;"",SUM($J$2:J48),"")</f>
        <v/>
      </c>
      <c r="L48">
        <f ca="1" t="shared" si="1"/>
        <v>45942</v>
      </c>
    </row>
    <row r="49" spans="9:12">
      <c r="I49">
        <f>IFERROR(VLOOKUP(H49,Rates!$A$2:$B$3,2,0),1)</f>
        <v>1</v>
      </c>
      <c r="J49" t="str">
        <f t="shared" si="0"/>
        <v/>
      </c>
      <c r="K49" t="str">
        <f>IF(J49&lt;&gt;"",SUM($J$2:J49),"")</f>
        <v/>
      </c>
      <c r="L49">
        <f ca="1" t="shared" si="1"/>
        <v>45942</v>
      </c>
    </row>
    <row r="50" spans="9:12">
      <c r="I50">
        <f>IFERROR(VLOOKUP(H50,Rates!$A$2:$B$3,2,0),1)</f>
        <v>1</v>
      </c>
      <c r="J50" t="str">
        <f t="shared" si="0"/>
        <v/>
      </c>
      <c r="K50" t="str">
        <f>IF(J50&lt;&gt;"",SUM($J$2:J50),"")</f>
        <v/>
      </c>
      <c r="L50">
        <f ca="1" t="shared" si="1"/>
        <v>45942</v>
      </c>
    </row>
    <row r="51" spans="9:12">
      <c r="I51">
        <f>IFERROR(VLOOKUP(H51,Rates!$A$2:$B$3,2,0),1)</f>
        <v>1</v>
      </c>
      <c r="J51" t="str">
        <f t="shared" si="0"/>
        <v/>
      </c>
      <c r="K51" t="str">
        <f>IF(J51&lt;&gt;"",SUM($J$2:J51),"")</f>
        <v/>
      </c>
      <c r="L51">
        <f ca="1" t="shared" si="1"/>
        <v>45942</v>
      </c>
    </row>
    <row r="52" spans="9:12">
      <c r="I52">
        <f>IFERROR(VLOOKUP(H52,Rates!$A$2:$B$3,2,0),1)</f>
        <v>1</v>
      </c>
      <c r="J52" t="str">
        <f t="shared" si="0"/>
        <v/>
      </c>
      <c r="K52" t="str">
        <f>IF(J52&lt;&gt;"",SUM($J$2:J52),"")</f>
        <v/>
      </c>
      <c r="L52">
        <f ca="1" t="shared" si="1"/>
        <v>45942</v>
      </c>
    </row>
    <row r="53" spans="9:12">
      <c r="I53">
        <f>IFERROR(VLOOKUP(H53,Rates!$A$2:$B$3,2,0),1)</f>
        <v>1</v>
      </c>
      <c r="J53" t="str">
        <f t="shared" si="0"/>
        <v/>
      </c>
      <c r="K53" t="str">
        <f>IF(J53&lt;&gt;"",SUM($J$2:J53),"")</f>
        <v/>
      </c>
      <c r="L53">
        <f ca="1" t="shared" si="1"/>
        <v>45942</v>
      </c>
    </row>
    <row r="54" spans="9:12">
      <c r="I54">
        <f>IFERROR(VLOOKUP(H54,Rates!$A$2:$B$3,2,0),1)</f>
        <v>1</v>
      </c>
      <c r="J54" t="str">
        <f t="shared" si="0"/>
        <v/>
      </c>
      <c r="K54" t="str">
        <f>IF(J54&lt;&gt;"",SUM($J$2:J54),"")</f>
        <v/>
      </c>
      <c r="L54">
        <f ca="1" t="shared" si="1"/>
        <v>45942</v>
      </c>
    </row>
    <row r="55" spans="9:12">
      <c r="I55">
        <f>IFERROR(VLOOKUP(H55,Rates!$A$2:$B$3,2,0),1)</f>
        <v>1</v>
      </c>
      <c r="J55" t="str">
        <f t="shared" si="0"/>
        <v/>
      </c>
      <c r="K55" t="str">
        <f>IF(J55&lt;&gt;"",SUM($J$2:J55),"")</f>
        <v/>
      </c>
      <c r="L55">
        <f ca="1" t="shared" si="1"/>
        <v>45942</v>
      </c>
    </row>
    <row r="56" spans="9:12">
      <c r="I56">
        <f>IFERROR(VLOOKUP(H56,Rates!$A$2:$B$3,2,0),1)</f>
        <v>1</v>
      </c>
      <c r="J56" t="str">
        <f t="shared" si="0"/>
        <v/>
      </c>
      <c r="K56" t="str">
        <f>IF(J56&lt;&gt;"",SUM($J$2:J56),"")</f>
        <v/>
      </c>
      <c r="L56">
        <f ca="1" t="shared" si="1"/>
        <v>45942</v>
      </c>
    </row>
    <row r="57" spans="9:12">
      <c r="I57">
        <f>IFERROR(VLOOKUP(H57,Rates!$A$2:$B$3,2,0),1)</f>
        <v>1</v>
      </c>
      <c r="J57" t="str">
        <f t="shared" si="0"/>
        <v/>
      </c>
      <c r="K57" t="str">
        <f>IF(J57&lt;&gt;"",SUM($J$2:J57),"")</f>
        <v/>
      </c>
      <c r="L57">
        <f ca="1" t="shared" si="1"/>
        <v>45942</v>
      </c>
    </row>
    <row r="58" spans="9:12">
      <c r="I58">
        <f>IFERROR(VLOOKUP(H58,Rates!$A$2:$B$3,2,0),1)</f>
        <v>1</v>
      </c>
      <c r="J58" t="str">
        <f t="shared" si="0"/>
        <v/>
      </c>
      <c r="K58" t="str">
        <f>IF(J58&lt;&gt;"",SUM($J$2:J58),"")</f>
        <v/>
      </c>
      <c r="L58">
        <f ca="1" t="shared" si="1"/>
        <v>45942</v>
      </c>
    </row>
    <row r="59" spans="9:12">
      <c r="I59">
        <f>IFERROR(VLOOKUP(H59,Rates!$A$2:$B$3,2,0),1)</f>
        <v>1</v>
      </c>
      <c r="J59" t="str">
        <f t="shared" si="0"/>
        <v/>
      </c>
      <c r="K59" t="str">
        <f>IF(J59&lt;&gt;"",SUM($J$2:J59),"")</f>
        <v/>
      </c>
      <c r="L59">
        <f ca="1" t="shared" si="1"/>
        <v>45942</v>
      </c>
    </row>
    <row r="60" spans="9:12">
      <c r="I60">
        <f>IFERROR(VLOOKUP(H60,Rates!$A$2:$B$3,2,0),1)</f>
        <v>1</v>
      </c>
      <c r="J60" t="str">
        <f t="shared" si="0"/>
        <v/>
      </c>
      <c r="K60" t="str">
        <f>IF(J60&lt;&gt;"",SUM($J$2:J60),"")</f>
        <v/>
      </c>
      <c r="L60">
        <f ca="1" t="shared" si="1"/>
        <v>45942</v>
      </c>
    </row>
    <row r="61" spans="9:12">
      <c r="I61">
        <f>IFERROR(VLOOKUP(H61,Rates!$A$2:$B$3,2,0),1)</f>
        <v>1</v>
      </c>
      <c r="J61" t="str">
        <f t="shared" si="0"/>
        <v/>
      </c>
      <c r="K61" t="str">
        <f>IF(J61&lt;&gt;"",SUM($J$2:J61),"")</f>
        <v/>
      </c>
      <c r="L61">
        <f ca="1" t="shared" si="1"/>
        <v>45942</v>
      </c>
    </row>
    <row r="62" spans="9:12">
      <c r="I62">
        <f>IFERROR(VLOOKUP(H62,Rates!$A$2:$B$3,2,0),1)</f>
        <v>1</v>
      </c>
      <c r="J62" t="str">
        <f t="shared" si="0"/>
        <v/>
      </c>
      <c r="K62" t="str">
        <f>IF(J62&lt;&gt;"",SUM($J$2:J62),"")</f>
        <v/>
      </c>
      <c r="L62">
        <f ca="1" t="shared" si="1"/>
        <v>45942</v>
      </c>
    </row>
    <row r="63" spans="9:12">
      <c r="I63">
        <f>IFERROR(VLOOKUP(H63,Rates!$A$2:$B$3,2,0),1)</f>
        <v>1</v>
      </c>
      <c r="J63" t="str">
        <f t="shared" si="0"/>
        <v/>
      </c>
      <c r="K63" t="str">
        <f>IF(J63&lt;&gt;"",SUM($J$2:J63),"")</f>
        <v/>
      </c>
      <c r="L63">
        <f ca="1" t="shared" si="1"/>
        <v>45942</v>
      </c>
    </row>
    <row r="64" spans="9:12">
      <c r="I64">
        <f>IFERROR(VLOOKUP(H64,Rates!$A$2:$B$3,2,0),1)</f>
        <v>1</v>
      </c>
      <c r="J64" t="str">
        <f t="shared" si="0"/>
        <v/>
      </c>
      <c r="K64" t="str">
        <f>IF(J64&lt;&gt;"",SUM($J$2:J64),"")</f>
        <v/>
      </c>
      <c r="L64">
        <f ca="1" t="shared" si="1"/>
        <v>45942</v>
      </c>
    </row>
    <row r="65" spans="9:12">
      <c r="I65">
        <f>IFERROR(VLOOKUP(H65,Rates!$A$2:$B$3,2,0),1)</f>
        <v>1</v>
      </c>
      <c r="J65" t="str">
        <f t="shared" si="0"/>
        <v/>
      </c>
      <c r="K65" t="str">
        <f>IF(J65&lt;&gt;"",SUM($J$2:J65),"")</f>
        <v/>
      </c>
      <c r="L65">
        <f ca="1" t="shared" si="1"/>
        <v>45942</v>
      </c>
    </row>
    <row r="66" spans="9:12">
      <c r="I66">
        <f>IFERROR(VLOOKUP(H66,Rates!$A$2:$B$3,2,0),1)</f>
        <v>1</v>
      </c>
      <c r="J66" t="str">
        <f t="shared" ref="J66:J129" si="2">IF(G66&lt;&gt;"",G66*I66,"")</f>
        <v/>
      </c>
      <c r="K66" t="str">
        <f>IF(J66&lt;&gt;"",SUM($J$2:J66),"")</f>
        <v/>
      </c>
      <c r="L66">
        <f ca="1" t="shared" ref="L66:L129" si="3">IF(COUNTA(A66:K66)&gt;0,TODAY(),"")</f>
        <v>45942</v>
      </c>
    </row>
    <row r="67" spans="9:12">
      <c r="I67">
        <f>IFERROR(VLOOKUP(H67,Rates!$A$2:$B$3,2,0),1)</f>
        <v>1</v>
      </c>
      <c r="J67" t="str">
        <f t="shared" si="2"/>
        <v/>
      </c>
      <c r="K67" t="str">
        <f>IF(J67&lt;&gt;"",SUM($J$2:J67),"")</f>
        <v/>
      </c>
      <c r="L67">
        <f ca="1" t="shared" si="3"/>
        <v>45942</v>
      </c>
    </row>
    <row r="68" spans="9:12">
      <c r="I68">
        <f>IFERROR(VLOOKUP(H68,Rates!$A$2:$B$3,2,0),1)</f>
        <v>1</v>
      </c>
      <c r="J68" t="str">
        <f t="shared" si="2"/>
        <v/>
      </c>
      <c r="K68" t="str">
        <f>IF(J68&lt;&gt;"",SUM($J$2:J68),"")</f>
        <v/>
      </c>
      <c r="L68">
        <f ca="1" t="shared" si="3"/>
        <v>45942</v>
      </c>
    </row>
    <row r="69" spans="9:12">
      <c r="I69">
        <f>IFERROR(VLOOKUP(H69,Rates!$A$2:$B$3,2,0),1)</f>
        <v>1</v>
      </c>
      <c r="J69" t="str">
        <f t="shared" si="2"/>
        <v/>
      </c>
      <c r="K69" t="str">
        <f>IF(J69&lt;&gt;"",SUM($J$2:J69),"")</f>
        <v/>
      </c>
      <c r="L69">
        <f ca="1" t="shared" si="3"/>
        <v>45942</v>
      </c>
    </row>
    <row r="70" spans="9:12">
      <c r="I70">
        <f>IFERROR(VLOOKUP(H70,Rates!$A$2:$B$3,2,0),1)</f>
        <v>1</v>
      </c>
      <c r="J70" t="str">
        <f t="shared" si="2"/>
        <v/>
      </c>
      <c r="K70" t="str">
        <f>IF(J70&lt;&gt;"",SUM($J$2:J70),"")</f>
        <v/>
      </c>
      <c r="L70">
        <f ca="1" t="shared" si="3"/>
        <v>45942</v>
      </c>
    </row>
    <row r="71" spans="9:12">
      <c r="I71">
        <f>IFERROR(VLOOKUP(H71,Rates!$A$2:$B$3,2,0),1)</f>
        <v>1</v>
      </c>
      <c r="J71" t="str">
        <f t="shared" si="2"/>
        <v/>
      </c>
      <c r="K71" t="str">
        <f>IF(J71&lt;&gt;"",SUM($J$2:J71),"")</f>
        <v/>
      </c>
      <c r="L71">
        <f ca="1" t="shared" si="3"/>
        <v>45942</v>
      </c>
    </row>
    <row r="72" spans="9:12">
      <c r="I72">
        <f>IFERROR(VLOOKUP(H72,Rates!$A$2:$B$3,2,0),1)</f>
        <v>1</v>
      </c>
      <c r="J72" t="str">
        <f t="shared" si="2"/>
        <v/>
      </c>
      <c r="K72" t="str">
        <f>IF(J72&lt;&gt;"",SUM($J$2:J72),"")</f>
        <v/>
      </c>
      <c r="L72">
        <f ca="1" t="shared" si="3"/>
        <v>45942</v>
      </c>
    </row>
    <row r="73" spans="9:12">
      <c r="I73">
        <f>IFERROR(VLOOKUP(H73,Rates!$A$2:$B$3,2,0),1)</f>
        <v>1</v>
      </c>
      <c r="J73" t="str">
        <f t="shared" si="2"/>
        <v/>
      </c>
      <c r="K73" t="str">
        <f>IF(J73&lt;&gt;"",SUM($J$2:J73),"")</f>
        <v/>
      </c>
      <c r="L73">
        <f ca="1" t="shared" si="3"/>
        <v>45942</v>
      </c>
    </row>
    <row r="74" spans="9:12">
      <c r="I74">
        <f>IFERROR(VLOOKUP(H74,Rates!$A$2:$B$3,2,0),1)</f>
        <v>1</v>
      </c>
      <c r="J74" t="str">
        <f t="shared" si="2"/>
        <v/>
      </c>
      <c r="K74" t="str">
        <f>IF(J74&lt;&gt;"",SUM($J$2:J74),"")</f>
        <v/>
      </c>
      <c r="L74">
        <f ca="1" t="shared" si="3"/>
        <v>45942</v>
      </c>
    </row>
    <row r="75" spans="9:12">
      <c r="I75">
        <f>IFERROR(VLOOKUP(H75,Rates!$A$2:$B$3,2,0),1)</f>
        <v>1</v>
      </c>
      <c r="J75" t="str">
        <f t="shared" si="2"/>
        <v/>
      </c>
      <c r="K75" t="str">
        <f>IF(J75&lt;&gt;"",SUM($J$2:J75),"")</f>
        <v/>
      </c>
      <c r="L75">
        <f ca="1" t="shared" si="3"/>
        <v>45942</v>
      </c>
    </row>
    <row r="76" spans="9:12">
      <c r="I76">
        <f>IFERROR(VLOOKUP(H76,Rates!$A$2:$B$3,2,0),1)</f>
        <v>1</v>
      </c>
      <c r="J76" t="str">
        <f t="shared" si="2"/>
        <v/>
      </c>
      <c r="K76" t="str">
        <f>IF(J76&lt;&gt;"",SUM($J$2:J76),"")</f>
        <v/>
      </c>
      <c r="L76">
        <f ca="1" t="shared" si="3"/>
        <v>45942</v>
      </c>
    </row>
    <row r="77" spans="9:12">
      <c r="I77">
        <f>IFERROR(VLOOKUP(H77,Rates!$A$2:$B$3,2,0),1)</f>
        <v>1</v>
      </c>
      <c r="J77" t="str">
        <f t="shared" si="2"/>
        <v/>
      </c>
      <c r="K77" t="str">
        <f>IF(J77&lt;&gt;"",SUM($J$2:J77),"")</f>
        <v/>
      </c>
      <c r="L77">
        <f ca="1" t="shared" si="3"/>
        <v>45942</v>
      </c>
    </row>
    <row r="78" spans="9:12">
      <c r="I78">
        <f>IFERROR(VLOOKUP(H78,Rates!$A$2:$B$3,2,0),1)</f>
        <v>1</v>
      </c>
      <c r="J78" t="str">
        <f t="shared" si="2"/>
        <v/>
      </c>
      <c r="K78" t="str">
        <f>IF(J78&lt;&gt;"",SUM($J$2:J78),"")</f>
        <v/>
      </c>
      <c r="L78">
        <f ca="1" t="shared" si="3"/>
        <v>45942</v>
      </c>
    </row>
    <row r="79" spans="9:12">
      <c r="I79">
        <f>IFERROR(VLOOKUP(H79,Rates!$A$2:$B$3,2,0),1)</f>
        <v>1</v>
      </c>
      <c r="J79" t="str">
        <f t="shared" si="2"/>
        <v/>
      </c>
      <c r="K79" t="str">
        <f>IF(J79&lt;&gt;"",SUM($J$2:J79),"")</f>
        <v/>
      </c>
      <c r="L79">
        <f ca="1" t="shared" si="3"/>
        <v>45942</v>
      </c>
    </row>
    <row r="80" spans="9:12">
      <c r="I80">
        <f>IFERROR(VLOOKUP(H80,Rates!$A$2:$B$3,2,0),1)</f>
        <v>1</v>
      </c>
      <c r="J80" t="str">
        <f t="shared" si="2"/>
        <v/>
      </c>
      <c r="K80" t="str">
        <f>IF(J80&lt;&gt;"",SUM($J$2:J80),"")</f>
        <v/>
      </c>
      <c r="L80">
        <f ca="1" t="shared" si="3"/>
        <v>45942</v>
      </c>
    </row>
    <row r="81" spans="9:12">
      <c r="I81">
        <f>IFERROR(VLOOKUP(H81,Rates!$A$2:$B$3,2,0),1)</f>
        <v>1</v>
      </c>
      <c r="J81" t="str">
        <f t="shared" si="2"/>
        <v/>
      </c>
      <c r="K81" t="str">
        <f>IF(J81&lt;&gt;"",SUM($J$2:J81),"")</f>
        <v/>
      </c>
      <c r="L81">
        <f ca="1" t="shared" si="3"/>
        <v>45942</v>
      </c>
    </row>
    <row r="82" spans="9:12">
      <c r="I82">
        <f>IFERROR(VLOOKUP(H82,Rates!$A$2:$B$3,2,0),1)</f>
        <v>1</v>
      </c>
      <c r="J82" t="str">
        <f t="shared" si="2"/>
        <v/>
      </c>
      <c r="K82" t="str">
        <f>IF(J82&lt;&gt;"",SUM($J$2:J82),"")</f>
        <v/>
      </c>
      <c r="L82">
        <f ca="1" t="shared" si="3"/>
        <v>45942</v>
      </c>
    </row>
    <row r="83" spans="9:12">
      <c r="I83">
        <f>IFERROR(VLOOKUP(H83,Rates!$A$2:$B$3,2,0),1)</f>
        <v>1</v>
      </c>
      <c r="J83" t="str">
        <f t="shared" si="2"/>
        <v/>
      </c>
      <c r="K83" t="str">
        <f>IF(J83&lt;&gt;"",SUM($J$2:J83),"")</f>
        <v/>
      </c>
      <c r="L83">
        <f ca="1" t="shared" si="3"/>
        <v>45942</v>
      </c>
    </row>
    <row r="84" spans="9:12">
      <c r="I84">
        <f>IFERROR(VLOOKUP(H84,Rates!$A$2:$B$3,2,0),1)</f>
        <v>1</v>
      </c>
      <c r="J84" t="str">
        <f t="shared" si="2"/>
        <v/>
      </c>
      <c r="K84" t="str">
        <f>IF(J84&lt;&gt;"",SUM($J$2:J84),"")</f>
        <v/>
      </c>
      <c r="L84">
        <f ca="1" t="shared" si="3"/>
        <v>45942</v>
      </c>
    </row>
    <row r="85" spans="9:12">
      <c r="I85">
        <f>IFERROR(VLOOKUP(H85,Rates!$A$2:$B$3,2,0),1)</f>
        <v>1</v>
      </c>
      <c r="J85" t="str">
        <f t="shared" si="2"/>
        <v/>
      </c>
      <c r="K85" t="str">
        <f>IF(J85&lt;&gt;"",SUM($J$2:J85),"")</f>
        <v/>
      </c>
      <c r="L85">
        <f ca="1" t="shared" si="3"/>
        <v>45942</v>
      </c>
    </row>
    <row r="86" spans="9:12">
      <c r="I86">
        <f>IFERROR(VLOOKUP(H86,Rates!$A$2:$B$3,2,0),1)</f>
        <v>1</v>
      </c>
      <c r="J86" t="str">
        <f t="shared" si="2"/>
        <v/>
      </c>
      <c r="K86" t="str">
        <f>IF(J86&lt;&gt;"",SUM($J$2:J86),"")</f>
        <v/>
      </c>
      <c r="L86">
        <f ca="1" t="shared" si="3"/>
        <v>45942</v>
      </c>
    </row>
    <row r="87" spans="9:12">
      <c r="I87">
        <f>IFERROR(VLOOKUP(H87,Rates!$A$2:$B$3,2,0),1)</f>
        <v>1</v>
      </c>
      <c r="J87" t="str">
        <f t="shared" si="2"/>
        <v/>
      </c>
      <c r="K87" t="str">
        <f>IF(J87&lt;&gt;"",SUM($J$2:J87),"")</f>
        <v/>
      </c>
      <c r="L87">
        <f ca="1" t="shared" si="3"/>
        <v>45942</v>
      </c>
    </row>
    <row r="88" spans="9:12">
      <c r="I88">
        <f>IFERROR(VLOOKUP(H88,Rates!$A$2:$B$3,2,0),1)</f>
        <v>1</v>
      </c>
      <c r="J88" t="str">
        <f t="shared" si="2"/>
        <v/>
      </c>
      <c r="K88" t="str">
        <f>IF(J88&lt;&gt;"",SUM($J$2:J88),"")</f>
        <v/>
      </c>
      <c r="L88">
        <f ca="1" t="shared" si="3"/>
        <v>45942</v>
      </c>
    </row>
    <row r="89" spans="9:12">
      <c r="I89">
        <f>IFERROR(VLOOKUP(H89,Rates!$A$2:$B$3,2,0),1)</f>
        <v>1</v>
      </c>
      <c r="J89" t="str">
        <f t="shared" si="2"/>
        <v/>
      </c>
      <c r="K89" t="str">
        <f>IF(J89&lt;&gt;"",SUM($J$2:J89),"")</f>
        <v/>
      </c>
      <c r="L89">
        <f ca="1" t="shared" si="3"/>
        <v>45942</v>
      </c>
    </row>
    <row r="90" spans="9:12">
      <c r="I90">
        <f>IFERROR(VLOOKUP(H90,Rates!$A$2:$B$3,2,0),1)</f>
        <v>1</v>
      </c>
      <c r="J90" t="str">
        <f t="shared" si="2"/>
        <v/>
      </c>
      <c r="K90" t="str">
        <f>IF(J90&lt;&gt;"",SUM($J$2:J90),"")</f>
        <v/>
      </c>
      <c r="L90">
        <f ca="1" t="shared" si="3"/>
        <v>45942</v>
      </c>
    </row>
    <row r="91" spans="9:12">
      <c r="I91">
        <f>IFERROR(VLOOKUP(H91,Rates!$A$2:$B$3,2,0),1)</f>
        <v>1</v>
      </c>
      <c r="J91" t="str">
        <f t="shared" si="2"/>
        <v/>
      </c>
      <c r="K91" t="str">
        <f>IF(J91&lt;&gt;"",SUM($J$2:J91),"")</f>
        <v/>
      </c>
      <c r="L91">
        <f ca="1" t="shared" si="3"/>
        <v>45942</v>
      </c>
    </row>
    <row r="92" spans="9:12">
      <c r="I92">
        <f>IFERROR(VLOOKUP(H92,Rates!$A$2:$B$3,2,0),1)</f>
        <v>1</v>
      </c>
      <c r="J92" t="str">
        <f t="shared" si="2"/>
        <v/>
      </c>
      <c r="K92" t="str">
        <f>IF(J92&lt;&gt;"",SUM($J$2:J92),"")</f>
        <v/>
      </c>
      <c r="L92">
        <f ca="1" t="shared" si="3"/>
        <v>45942</v>
      </c>
    </row>
    <row r="93" spans="9:12">
      <c r="I93">
        <f>IFERROR(VLOOKUP(H93,Rates!$A$2:$B$3,2,0),1)</f>
        <v>1</v>
      </c>
      <c r="J93" t="str">
        <f t="shared" si="2"/>
        <v/>
      </c>
      <c r="K93" t="str">
        <f>IF(J93&lt;&gt;"",SUM($J$2:J93),"")</f>
        <v/>
      </c>
      <c r="L93">
        <f ca="1" t="shared" si="3"/>
        <v>45942</v>
      </c>
    </row>
    <row r="94" spans="9:12">
      <c r="I94">
        <f>IFERROR(VLOOKUP(H94,Rates!$A$2:$B$3,2,0),1)</f>
        <v>1</v>
      </c>
      <c r="J94" t="str">
        <f t="shared" si="2"/>
        <v/>
      </c>
      <c r="K94" t="str">
        <f>IF(J94&lt;&gt;"",SUM($J$2:J94),"")</f>
        <v/>
      </c>
      <c r="L94">
        <f ca="1" t="shared" si="3"/>
        <v>45942</v>
      </c>
    </row>
    <row r="95" spans="9:12">
      <c r="I95">
        <f>IFERROR(VLOOKUP(H95,Rates!$A$2:$B$3,2,0),1)</f>
        <v>1</v>
      </c>
      <c r="J95" t="str">
        <f t="shared" si="2"/>
        <v/>
      </c>
      <c r="K95" t="str">
        <f>IF(J95&lt;&gt;"",SUM($J$2:J95),"")</f>
        <v/>
      </c>
      <c r="L95">
        <f ca="1" t="shared" si="3"/>
        <v>45942</v>
      </c>
    </row>
    <row r="96" spans="9:12">
      <c r="I96">
        <f>IFERROR(VLOOKUP(H96,Rates!$A$2:$B$3,2,0),1)</f>
        <v>1</v>
      </c>
      <c r="J96" t="str">
        <f t="shared" si="2"/>
        <v/>
      </c>
      <c r="K96" t="str">
        <f>IF(J96&lt;&gt;"",SUM($J$2:J96),"")</f>
        <v/>
      </c>
      <c r="L96">
        <f ca="1" t="shared" si="3"/>
        <v>45942</v>
      </c>
    </row>
    <row r="97" spans="9:12">
      <c r="I97">
        <f>IFERROR(VLOOKUP(H97,Rates!$A$2:$B$3,2,0),1)</f>
        <v>1</v>
      </c>
      <c r="J97" t="str">
        <f t="shared" si="2"/>
        <v/>
      </c>
      <c r="K97" t="str">
        <f>IF(J97&lt;&gt;"",SUM($J$2:J97),"")</f>
        <v/>
      </c>
      <c r="L97">
        <f ca="1" t="shared" si="3"/>
        <v>45942</v>
      </c>
    </row>
    <row r="98" spans="9:12">
      <c r="I98">
        <f>IFERROR(VLOOKUP(H98,Rates!$A$2:$B$3,2,0),1)</f>
        <v>1</v>
      </c>
      <c r="J98" t="str">
        <f t="shared" si="2"/>
        <v/>
      </c>
      <c r="K98" t="str">
        <f>IF(J98&lt;&gt;"",SUM($J$2:J98),"")</f>
        <v/>
      </c>
      <c r="L98">
        <f ca="1" t="shared" si="3"/>
        <v>45942</v>
      </c>
    </row>
    <row r="99" spans="9:12">
      <c r="I99">
        <f>IFERROR(VLOOKUP(H99,Rates!$A$2:$B$3,2,0),1)</f>
        <v>1</v>
      </c>
      <c r="J99" t="str">
        <f t="shared" si="2"/>
        <v/>
      </c>
      <c r="K99" t="str">
        <f>IF(J99&lt;&gt;"",SUM($J$2:J99),"")</f>
        <v/>
      </c>
      <c r="L99">
        <f ca="1" t="shared" si="3"/>
        <v>45942</v>
      </c>
    </row>
    <row r="100" spans="9:12">
      <c r="I100">
        <f>IFERROR(VLOOKUP(H100,Rates!$A$2:$B$3,2,0),1)</f>
        <v>1</v>
      </c>
      <c r="J100" t="str">
        <f t="shared" si="2"/>
        <v/>
      </c>
      <c r="K100" t="str">
        <f>IF(J100&lt;&gt;"",SUM($J$2:J100),"")</f>
        <v/>
      </c>
      <c r="L100">
        <f ca="1" t="shared" si="3"/>
        <v>45942</v>
      </c>
    </row>
    <row r="101" spans="9:12">
      <c r="I101">
        <f>IFERROR(VLOOKUP(H101,Rates!$A$2:$B$3,2,0),1)</f>
        <v>1</v>
      </c>
      <c r="J101" t="str">
        <f t="shared" si="2"/>
        <v/>
      </c>
      <c r="K101" t="str">
        <f>IF(J101&lt;&gt;"",SUM($J$2:J101),"")</f>
        <v/>
      </c>
      <c r="L101">
        <f ca="1" t="shared" si="3"/>
        <v>45942</v>
      </c>
    </row>
    <row r="102" spans="9:12">
      <c r="I102">
        <f>IFERROR(VLOOKUP(H102,Rates!$A$2:$B$3,2,0),1)</f>
        <v>1</v>
      </c>
      <c r="J102" t="str">
        <f t="shared" si="2"/>
        <v/>
      </c>
      <c r="K102" t="str">
        <f>IF(J102&lt;&gt;"",SUM($J$2:J102),"")</f>
        <v/>
      </c>
      <c r="L102">
        <f ca="1" t="shared" si="3"/>
        <v>45942</v>
      </c>
    </row>
    <row r="103" spans="9:12">
      <c r="I103">
        <f>IFERROR(VLOOKUP(H103,Rates!$A$2:$B$3,2,0),1)</f>
        <v>1</v>
      </c>
      <c r="J103" t="str">
        <f t="shared" si="2"/>
        <v/>
      </c>
      <c r="K103" t="str">
        <f>IF(J103&lt;&gt;"",SUM($J$2:J103),"")</f>
        <v/>
      </c>
      <c r="L103">
        <f ca="1" t="shared" si="3"/>
        <v>45942</v>
      </c>
    </row>
    <row r="104" spans="9:12">
      <c r="I104">
        <f>IFERROR(VLOOKUP(H104,Rates!$A$2:$B$3,2,0),1)</f>
        <v>1</v>
      </c>
      <c r="J104" t="str">
        <f t="shared" si="2"/>
        <v/>
      </c>
      <c r="K104" t="str">
        <f>IF(J104&lt;&gt;"",SUM($J$2:J104),"")</f>
        <v/>
      </c>
      <c r="L104">
        <f ca="1" t="shared" si="3"/>
        <v>45942</v>
      </c>
    </row>
    <row r="105" spans="9:12">
      <c r="I105">
        <f>IFERROR(VLOOKUP(H105,Rates!$A$2:$B$3,2,0),1)</f>
        <v>1</v>
      </c>
      <c r="J105" t="str">
        <f t="shared" si="2"/>
        <v/>
      </c>
      <c r="K105" t="str">
        <f>IF(J105&lt;&gt;"",SUM($J$2:J105),"")</f>
        <v/>
      </c>
      <c r="L105">
        <f ca="1" t="shared" si="3"/>
        <v>45942</v>
      </c>
    </row>
    <row r="106" spans="9:12">
      <c r="I106">
        <f>IFERROR(VLOOKUP(H106,Rates!$A$2:$B$3,2,0),1)</f>
        <v>1</v>
      </c>
      <c r="J106" t="str">
        <f t="shared" si="2"/>
        <v/>
      </c>
      <c r="K106" t="str">
        <f>IF(J106&lt;&gt;"",SUM($J$2:J106),"")</f>
        <v/>
      </c>
      <c r="L106">
        <f ca="1" t="shared" si="3"/>
        <v>45942</v>
      </c>
    </row>
    <row r="107" spans="9:12">
      <c r="I107">
        <f>IFERROR(VLOOKUP(H107,Rates!$A$2:$B$3,2,0),1)</f>
        <v>1</v>
      </c>
      <c r="J107" t="str">
        <f t="shared" si="2"/>
        <v/>
      </c>
      <c r="K107" t="str">
        <f>IF(J107&lt;&gt;"",SUM($J$2:J107),"")</f>
        <v/>
      </c>
      <c r="L107">
        <f ca="1" t="shared" si="3"/>
        <v>45942</v>
      </c>
    </row>
    <row r="108" spans="9:12">
      <c r="I108">
        <f>IFERROR(VLOOKUP(H108,Rates!$A$2:$B$3,2,0),1)</f>
        <v>1</v>
      </c>
      <c r="J108" t="str">
        <f t="shared" si="2"/>
        <v/>
      </c>
      <c r="K108" t="str">
        <f>IF(J108&lt;&gt;"",SUM($J$2:J108),"")</f>
        <v/>
      </c>
      <c r="L108">
        <f ca="1" t="shared" si="3"/>
        <v>45942</v>
      </c>
    </row>
    <row r="109" spans="9:12">
      <c r="I109">
        <f>IFERROR(VLOOKUP(H109,Rates!$A$2:$B$3,2,0),1)</f>
        <v>1</v>
      </c>
      <c r="J109" t="str">
        <f t="shared" si="2"/>
        <v/>
      </c>
      <c r="K109" t="str">
        <f>IF(J109&lt;&gt;"",SUM($J$2:J109),"")</f>
        <v/>
      </c>
      <c r="L109">
        <f ca="1" t="shared" si="3"/>
        <v>45942</v>
      </c>
    </row>
    <row r="110" spans="9:12">
      <c r="I110">
        <f>IFERROR(VLOOKUP(H110,Rates!$A$2:$B$3,2,0),1)</f>
        <v>1</v>
      </c>
      <c r="J110" t="str">
        <f t="shared" si="2"/>
        <v/>
      </c>
      <c r="K110" t="str">
        <f>IF(J110&lt;&gt;"",SUM($J$2:J110),"")</f>
        <v/>
      </c>
      <c r="L110">
        <f ca="1" t="shared" si="3"/>
        <v>45942</v>
      </c>
    </row>
    <row r="111" spans="9:12">
      <c r="I111">
        <f>IFERROR(VLOOKUP(H111,Rates!$A$2:$B$3,2,0),1)</f>
        <v>1</v>
      </c>
      <c r="J111" t="str">
        <f t="shared" si="2"/>
        <v/>
      </c>
      <c r="K111" t="str">
        <f>IF(J111&lt;&gt;"",SUM($J$2:J111),"")</f>
        <v/>
      </c>
      <c r="L111">
        <f ca="1" t="shared" si="3"/>
        <v>45942</v>
      </c>
    </row>
    <row r="112" spans="9:12">
      <c r="I112">
        <f>IFERROR(VLOOKUP(H112,Rates!$A$2:$B$3,2,0),1)</f>
        <v>1</v>
      </c>
      <c r="J112" t="str">
        <f t="shared" si="2"/>
        <v/>
      </c>
      <c r="K112" t="str">
        <f>IF(J112&lt;&gt;"",SUM($J$2:J112),"")</f>
        <v/>
      </c>
      <c r="L112">
        <f ca="1" t="shared" si="3"/>
        <v>45942</v>
      </c>
    </row>
    <row r="113" spans="9:12">
      <c r="I113">
        <f>IFERROR(VLOOKUP(H113,Rates!$A$2:$B$3,2,0),1)</f>
        <v>1</v>
      </c>
      <c r="J113" t="str">
        <f t="shared" si="2"/>
        <v/>
      </c>
      <c r="K113" t="str">
        <f>IF(J113&lt;&gt;"",SUM($J$2:J113),"")</f>
        <v/>
      </c>
      <c r="L113">
        <f ca="1" t="shared" si="3"/>
        <v>45942</v>
      </c>
    </row>
    <row r="114" spans="9:12">
      <c r="I114">
        <f>IFERROR(VLOOKUP(H114,Rates!$A$2:$B$3,2,0),1)</f>
        <v>1</v>
      </c>
      <c r="J114" t="str">
        <f t="shared" si="2"/>
        <v/>
      </c>
      <c r="K114" t="str">
        <f>IF(J114&lt;&gt;"",SUM($J$2:J114),"")</f>
        <v/>
      </c>
      <c r="L114">
        <f ca="1" t="shared" si="3"/>
        <v>45942</v>
      </c>
    </row>
    <row r="115" spans="9:12">
      <c r="I115">
        <f>IFERROR(VLOOKUP(H115,Rates!$A$2:$B$3,2,0),1)</f>
        <v>1</v>
      </c>
      <c r="J115" t="str">
        <f t="shared" si="2"/>
        <v/>
      </c>
      <c r="K115" t="str">
        <f>IF(J115&lt;&gt;"",SUM($J$2:J115),"")</f>
        <v/>
      </c>
      <c r="L115">
        <f ca="1" t="shared" si="3"/>
        <v>45942</v>
      </c>
    </row>
    <row r="116" spans="9:12">
      <c r="I116">
        <f>IFERROR(VLOOKUP(H116,Rates!$A$2:$B$3,2,0),1)</f>
        <v>1</v>
      </c>
      <c r="J116" t="str">
        <f t="shared" si="2"/>
        <v/>
      </c>
      <c r="K116" t="str">
        <f>IF(J116&lt;&gt;"",SUM($J$2:J116),"")</f>
        <v/>
      </c>
      <c r="L116">
        <f ca="1" t="shared" si="3"/>
        <v>45942</v>
      </c>
    </row>
    <row r="117" spans="9:12">
      <c r="I117">
        <f>IFERROR(VLOOKUP(H117,Rates!$A$2:$B$3,2,0),1)</f>
        <v>1</v>
      </c>
      <c r="J117" t="str">
        <f t="shared" si="2"/>
        <v/>
      </c>
      <c r="K117" t="str">
        <f>IF(J117&lt;&gt;"",SUM($J$2:J117),"")</f>
        <v/>
      </c>
      <c r="L117">
        <f ca="1" t="shared" si="3"/>
        <v>45942</v>
      </c>
    </row>
    <row r="118" spans="9:12">
      <c r="I118">
        <f>IFERROR(VLOOKUP(H118,Rates!$A$2:$B$3,2,0),1)</f>
        <v>1</v>
      </c>
      <c r="J118" t="str">
        <f t="shared" si="2"/>
        <v/>
      </c>
      <c r="K118" t="str">
        <f>IF(J118&lt;&gt;"",SUM($J$2:J118),"")</f>
        <v/>
      </c>
      <c r="L118">
        <f ca="1" t="shared" si="3"/>
        <v>45942</v>
      </c>
    </row>
    <row r="119" spans="9:12">
      <c r="I119">
        <f>IFERROR(VLOOKUP(H119,Rates!$A$2:$B$3,2,0),1)</f>
        <v>1</v>
      </c>
      <c r="J119" t="str">
        <f t="shared" si="2"/>
        <v/>
      </c>
      <c r="K119" t="str">
        <f>IF(J119&lt;&gt;"",SUM($J$2:J119),"")</f>
        <v/>
      </c>
      <c r="L119">
        <f ca="1" t="shared" si="3"/>
        <v>45942</v>
      </c>
    </row>
    <row r="120" spans="9:12">
      <c r="I120">
        <f>IFERROR(VLOOKUP(H120,Rates!$A$2:$B$3,2,0),1)</f>
        <v>1</v>
      </c>
      <c r="J120" t="str">
        <f t="shared" si="2"/>
        <v/>
      </c>
      <c r="K120" t="str">
        <f>IF(J120&lt;&gt;"",SUM($J$2:J120),"")</f>
        <v/>
      </c>
      <c r="L120">
        <f ca="1" t="shared" si="3"/>
        <v>45942</v>
      </c>
    </row>
    <row r="121" spans="9:12">
      <c r="I121">
        <f>IFERROR(VLOOKUP(H121,Rates!$A$2:$B$3,2,0),1)</f>
        <v>1</v>
      </c>
      <c r="J121" t="str">
        <f t="shared" si="2"/>
        <v/>
      </c>
      <c r="K121" t="str">
        <f>IF(J121&lt;&gt;"",SUM($J$2:J121),"")</f>
        <v/>
      </c>
      <c r="L121">
        <f ca="1" t="shared" si="3"/>
        <v>45942</v>
      </c>
    </row>
    <row r="122" spans="9:12">
      <c r="I122">
        <f>IFERROR(VLOOKUP(H122,Rates!$A$2:$B$3,2,0),1)</f>
        <v>1</v>
      </c>
      <c r="J122" t="str">
        <f t="shared" si="2"/>
        <v/>
      </c>
      <c r="K122" t="str">
        <f>IF(J122&lt;&gt;"",SUM($J$2:J122),"")</f>
        <v/>
      </c>
      <c r="L122">
        <f ca="1" t="shared" si="3"/>
        <v>45942</v>
      </c>
    </row>
    <row r="123" spans="9:12">
      <c r="I123">
        <f>IFERROR(VLOOKUP(H123,Rates!$A$2:$B$3,2,0),1)</f>
        <v>1</v>
      </c>
      <c r="J123" t="str">
        <f t="shared" si="2"/>
        <v/>
      </c>
      <c r="K123" t="str">
        <f>IF(J123&lt;&gt;"",SUM($J$2:J123),"")</f>
        <v/>
      </c>
      <c r="L123">
        <f ca="1" t="shared" si="3"/>
        <v>45942</v>
      </c>
    </row>
    <row r="124" spans="9:12">
      <c r="I124">
        <f>IFERROR(VLOOKUP(H124,Rates!$A$2:$B$3,2,0),1)</f>
        <v>1</v>
      </c>
      <c r="J124" t="str">
        <f t="shared" si="2"/>
        <v/>
      </c>
      <c r="K124" t="str">
        <f>IF(J124&lt;&gt;"",SUM($J$2:J124),"")</f>
        <v/>
      </c>
      <c r="L124">
        <f ca="1" t="shared" si="3"/>
        <v>45942</v>
      </c>
    </row>
    <row r="125" spans="9:12">
      <c r="I125">
        <f>IFERROR(VLOOKUP(H125,Rates!$A$2:$B$3,2,0),1)</f>
        <v>1</v>
      </c>
      <c r="J125" t="str">
        <f t="shared" si="2"/>
        <v/>
      </c>
      <c r="K125" t="str">
        <f>IF(J125&lt;&gt;"",SUM($J$2:J125),"")</f>
        <v/>
      </c>
      <c r="L125">
        <f ca="1" t="shared" si="3"/>
        <v>45942</v>
      </c>
    </row>
    <row r="126" spans="9:12">
      <c r="I126">
        <f>IFERROR(VLOOKUP(H126,Rates!$A$2:$B$3,2,0),1)</f>
        <v>1</v>
      </c>
      <c r="J126" t="str">
        <f t="shared" si="2"/>
        <v/>
      </c>
      <c r="K126" t="str">
        <f>IF(J126&lt;&gt;"",SUM($J$2:J126),"")</f>
        <v/>
      </c>
      <c r="L126">
        <f ca="1" t="shared" si="3"/>
        <v>45942</v>
      </c>
    </row>
    <row r="127" spans="9:12">
      <c r="I127">
        <f>IFERROR(VLOOKUP(H127,Rates!$A$2:$B$3,2,0),1)</f>
        <v>1</v>
      </c>
      <c r="J127" t="str">
        <f t="shared" si="2"/>
        <v/>
      </c>
      <c r="K127" t="str">
        <f>IF(J127&lt;&gt;"",SUM($J$2:J127),"")</f>
        <v/>
      </c>
      <c r="L127">
        <f ca="1" t="shared" si="3"/>
        <v>45942</v>
      </c>
    </row>
    <row r="128" spans="9:12">
      <c r="I128">
        <f>IFERROR(VLOOKUP(H128,Rates!$A$2:$B$3,2,0),1)</f>
        <v>1</v>
      </c>
      <c r="J128" t="str">
        <f t="shared" si="2"/>
        <v/>
      </c>
      <c r="K128" t="str">
        <f>IF(J128&lt;&gt;"",SUM($J$2:J128),"")</f>
        <v/>
      </c>
      <c r="L128">
        <f ca="1" t="shared" si="3"/>
        <v>45942</v>
      </c>
    </row>
    <row r="129" spans="9:12">
      <c r="I129">
        <f>IFERROR(VLOOKUP(H129,Rates!$A$2:$B$3,2,0),1)</f>
        <v>1</v>
      </c>
      <c r="J129" t="str">
        <f t="shared" si="2"/>
        <v/>
      </c>
      <c r="K129" t="str">
        <f>IF(J129&lt;&gt;"",SUM($J$2:J129),"")</f>
        <v/>
      </c>
      <c r="L129">
        <f ca="1" t="shared" si="3"/>
        <v>45942</v>
      </c>
    </row>
    <row r="130" spans="9:12">
      <c r="I130">
        <f>IFERROR(VLOOKUP(H130,Rates!$A$2:$B$3,2,0),1)</f>
        <v>1</v>
      </c>
      <c r="J130" t="str">
        <f t="shared" ref="J130:J193" si="4">IF(G130&lt;&gt;"",G130*I130,"")</f>
        <v/>
      </c>
      <c r="K130" t="str">
        <f>IF(J130&lt;&gt;"",SUM($J$2:J130),"")</f>
        <v/>
      </c>
      <c r="L130">
        <f ca="1" t="shared" ref="L130:L193" si="5">IF(COUNTA(A130:K130)&gt;0,TODAY(),"")</f>
        <v>45942</v>
      </c>
    </row>
    <row r="131" spans="9:12">
      <c r="I131">
        <f>IFERROR(VLOOKUP(H131,Rates!$A$2:$B$3,2,0),1)</f>
        <v>1</v>
      </c>
      <c r="J131" t="str">
        <f t="shared" si="4"/>
        <v/>
      </c>
      <c r="K131" t="str">
        <f>IF(J131&lt;&gt;"",SUM($J$2:J131),"")</f>
        <v/>
      </c>
      <c r="L131">
        <f ca="1" t="shared" si="5"/>
        <v>45942</v>
      </c>
    </row>
    <row r="132" spans="9:12">
      <c r="I132">
        <f>IFERROR(VLOOKUP(H132,Rates!$A$2:$B$3,2,0),1)</f>
        <v>1</v>
      </c>
      <c r="J132" t="str">
        <f t="shared" si="4"/>
        <v/>
      </c>
      <c r="K132" t="str">
        <f>IF(J132&lt;&gt;"",SUM($J$2:J132),"")</f>
        <v/>
      </c>
      <c r="L132">
        <f ca="1" t="shared" si="5"/>
        <v>45942</v>
      </c>
    </row>
    <row r="133" spans="9:12">
      <c r="I133">
        <f>IFERROR(VLOOKUP(H133,Rates!$A$2:$B$3,2,0),1)</f>
        <v>1</v>
      </c>
      <c r="J133" t="str">
        <f t="shared" si="4"/>
        <v/>
      </c>
      <c r="K133" t="str">
        <f>IF(J133&lt;&gt;"",SUM($J$2:J133),"")</f>
        <v/>
      </c>
      <c r="L133">
        <f ca="1" t="shared" si="5"/>
        <v>45942</v>
      </c>
    </row>
    <row r="134" spans="9:12">
      <c r="I134">
        <f>IFERROR(VLOOKUP(H134,Rates!$A$2:$B$3,2,0),1)</f>
        <v>1</v>
      </c>
      <c r="J134" t="str">
        <f t="shared" si="4"/>
        <v/>
      </c>
      <c r="K134" t="str">
        <f>IF(J134&lt;&gt;"",SUM($J$2:J134),"")</f>
        <v/>
      </c>
      <c r="L134">
        <f ca="1" t="shared" si="5"/>
        <v>45942</v>
      </c>
    </row>
    <row r="135" spans="9:12">
      <c r="I135">
        <f>IFERROR(VLOOKUP(H135,Rates!$A$2:$B$3,2,0),1)</f>
        <v>1</v>
      </c>
      <c r="J135" t="str">
        <f t="shared" si="4"/>
        <v/>
      </c>
      <c r="K135" t="str">
        <f>IF(J135&lt;&gt;"",SUM($J$2:J135),"")</f>
        <v/>
      </c>
      <c r="L135">
        <f ca="1" t="shared" si="5"/>
        <v>45942</v>
      </c>
    </row>
    <row r="136" spans="9:12">
      <c r="I136">
        <f>IFERROR(VLOOKUP(H136,Rates!$A$2:$B$3,2,0),1)</f>
        <v>1</v>
      </c>
      <c r="J136" t="str">
        <f t="shared" si="4"/>
        <v/>
      </c>
      <c r="K136" t="str">
        <f>IF(J136&lt;&gt;"",SUM($J$2:J136),"")</f>
        <v/>
      </c>
      <c r="L136">
        <f ca="1" t="shared" si="5"/>
        <v>45942</v>
      </c>
    </row>
    <row r="137" spans="9:12">
      <c r="I137">
        <f>IFERROR(VLOOKUP(H137,Rates!$A$2:$B$3,2,0),1)</f>
        <v>1</v>
      </c>
      <c r="J137" t="str">
        <f t="shared" si="4"/>
        <v/>
      </c>
      <c r="K137" t="str">
        <f>IF(J137&lt;&gt;"",SUM($J$2:J137),"")</f>
        <v/>
      </c>
      <c r="L137">
        <f ca="1" t="shared" si="5"/>
        <v>45942</v>
      </c>
    </row>
    <row r="138" spans="9:12">
      <c r="I138">
        <f>IFERROR(VLOOKUP(H138,Rates!$A$2:$B$3,2,0),1)</f>
        <v>1</v>
      </c>
      <c r="J138" t="str">
        <f t="shared" si="4"/>
        <v/>
      </c>
      <c r="K138" t="str">
        <f>IF(J138&lt;&gt;"",SUM($J$2:J138),"")</f>
        <v/>
      </c>
      <c r="L138">
        <f ca="1" t="shared" si="5"/>
        <v>45942</v>
      </c>
    </row>
    <row r="139" spans="9:12">
      <c r="I139">
        <f>IFERROR(VLOOKUP(H139,Rates!$A$2:$B$3,2,0),1)</f>
        <v>1</v>
      </c>
      <c r="J139" t="str">
        <f t="shared" si="4"/>
        <v/>
      </c>
      <c r="K139" t="str">
        <f>IF(J139&lt;&gt;"",SUM($J$2:J139),"")</f>
        <v/>
      </c>
      <c r="L139">
        <f ca="1" t="shared" si="5"/>
        <v>45942</v>
      </c>
    </row>
    <row r="140" spans="9:12">
      <c r="I140">
        <f>IFERROR(VLOOKUP(H140,Rates!$A$2:$B$3,2,0),1)</f>
        <v>1</v>
      </c>
      <c r="J140" t="str">
        <f t="shared" si="4"/>
        <v/>
      </c>
      <c r="K140" t="str">
        <f>IF(J140&lt;&gt;"",SUM($J$2:J140),"")</f>
        <v/>
      </c>
      <c r="L140">
        <f ca="1" t="shared" si="5"/>
        <v>45942</v>
      </c>
    </row>
    <row r="141" spans="9:12">
      <c r="I141">
        <f>IFERROR(VLOOKUP(H141,Rates!$A$2:$B$3,2,0),1)</f>
        <v>1</v>
      </c>
      <c r="J141" t="str">
        <f t="shared" si="4"/>
        <v/>
      </c>
      <c r="K141" t="str">
        <f>IF(J141&lt;&gt;"",SUM($J$2:J141),"")</f>
        <v/>
      </c>
      <c r="L141">
        <f ca="1" t="shared" si="5"/>
        <v>45942</v>
      </c>
    </row>
    <row r="142" spans="9:12">
      <c r="I142">
        <f>IFERROR(VLOOKUP(H142,Rates!$A$2:$B$3,2,0),1)</f>
        <v>1</v>
      </c>
      <c r="J142" t="str">
        <f t="shared" si="4"/>
        <v/>
      </c>
      <c r="K142" t="str">
        <f>IF(J142&lt;&gt;"",SUM($J$2:J142),"")</f>
        <v/>
      </c>
      <c r="L142">
        <f ca="1" t="shared" si="5"/>
        <v>45942</v>
      </c>
    </row>
    <row r="143" spans="9:12">
      <c r="I143">
        <f>IFERROR(VLOOKUP(H143,Rates!$A$2:$B$3,2,0),1)</f>
        <v>1</v>
      </c>
      <c r="J143" t="str">
        <f t="shared" si="4"/>
        <v/>
      </c>
      <c r="K143" t="str">
        <f>IF(J143&lt;&gt;"",SUM($J$2:J143),"")</f>
        <v/>
      </c>
      <c r="L143">
        <f ca="1" t="shared" si="5"/>
        <v>45942</v>
      </c>
    </row>
    <row r="144" spans="9:12">
      <c r="I144">
        <f>IFERROR(VLOOKUP(H144,Rates!$A$2:$B$3,2,0),1)</f>
        <v>1</v>
      </c>
      <c r="J144" t="str">
        <f t="shared" si="4"/>
        <v/>
      </c>
      <c r="K144" t="str">
        <f>IF(J144&lt;&gt;"",SUM($J$2:J144),"")</f>
        <v/>
      </c>
      <c r="L144">
        <f ca="1" t="shared" si="5"/>
        <v>45942</v>
      </c>
    </row>
    <row r="145" spans="9:12">
      <c r="I145">
        <f>IFERROR(VLOOKUP(H145,Rates!$A$2:$B$3,2,0),1)</f>
        <v>1</v>
      </c>
      <c r="J145" t="str">
        <f t="shared" si="4"/>
        <v/>
      </c>
      <c r="K145" t="str">
        <f>IF(J145&lt;&gt;"",SUM($J$2:J145),"")</f>
        <v/>
      </c>
      <c r="L145">
        <f ca="1" t="shared" si="5"/>
        <v>45942</v>
      </c>
    </row>
    <row r="146" spans="9:12">
      <c r="I146">
        <f>IFERROR(VLOOKUP(H146,Rates!$A$2:$B$3,2,0),1)</f>
        <v>1</v>
      </c>
      <c r="J146" t="str">
        <f t="shared" si="4"/>
        <v/>
      </c>
      <c r="K146" t="str">
        <f>IF(J146&lt;&gt;"",SUM($J$2:J146),"")</f>
        <v/>
      </c>
      <c r="L146">
        <f ca="1" t="shared" si="5"/>
        <v>45942</v>
      </c>
    </row>
    <row r="147" spans="9:12">
      <c r="I147">
        <f>IFERROR(VLOOKUP(H147,Rates!$A$2:$B$3,2,0),1)</f>
        <v>1</v>
      </c>
      <c r="J147" t="str">
        <f t="shared" si="4"/>
        <v/>
      </c>
      <c r="K147" t="str">
        <f>IF(J147&lt;&gt;"",SUM($J$2:J147),"")</f>
        <v/>
      </c>
      <c r="L147">
        <f ca="1" t="shared" si="5"/>
        <v>45942</v>
      </c>
    </row>
    <row r="148" spans="9:12">
      <c r="I148">
        <f>IFERROR(VLOOKUP(H148,Rates!$A$2:$B$3,2,0),1)</f>
        <v>1</v>
      </c>
      <c r="J148" t="str">
        <f t="shared" si="4"/>
        <v/>
      </c>
      <c r="K148" t="str">
        <f>IF(J148&lt;&gt;"",SUM($J$2:J148),"")</f>
        <v/>
      </c>
      <c r="L148">
        <f ca="1" t="shared" si="5"/>
        <v>45942</v>
      </c>
    </row>
    <row r="149" spans="9:12">
      <c r="I149">
        <f>IFERROR(VLOOKUP(H149,Rates!$A$2:$B$3,2,0),1)</f>
        <v>1</v>
      </c>
      <c r="J149" t="str">
        <f t="shared" si="4"/>
        <v/>
      </c>
      <c r="K149" t="str">
        <f>IF(J149&lt;&gt;"",SUM($J$2:J149),"")</f>
        <v/>
      </c>
      <c r="L149">
        <f ca="1" t="shared" si="5"/>
        <v>45942</v>
      </c>
    </row>
    <row r="150" spans="9:12">
      <c r="I150">
        <f>IFERROR(VLOOKUP(H150,Rates!$A$2:$B$3,2,0),1)</f>
        <v>1</v>
      </c>
      <c r="J150" t="str">
        <f t="shared" si="4"/>
        <v/>
      </c>
      <c r="K150" t="str">
        <f>IF(J150&lt;&gt;"",SUM($J$2:J150),"")</f>
        <v/>
      </c>
      <c r="L150">
        <f ca="1" t="shared" si="5"/>
        <v>45942</v>
      </c>
    </row>
    <row r="151" spans="9:12">
      <c r="I151">
        <f>IFERROR(VLOOKUP(H151,Rates!$A$2:$B$3,2,0),1)</f>
        <v>1</v>
      </c>
      <c r="J151" t="str">
        <f t="shared" si="4"/>
        <v/>
      </c>
      <c r="K151" t="str">
        <f>IF(J151&lt;&gt;"",SUM($J$2:J151),"")</f>
        <v/>
      </c>
      <c r="L151">
        <f ca="1" t="shared" si="5"/>
        <v>45942</v>
      </c>
    </row>
    <row r="152" spans="9:12">
      <c r="I152">
        <f>IFERROR(VLOOKUP(H152,Rates!$A$2:$B$3,2,0),1)</f>
        <v>1</v>
      </c>
      <c r="J152" t="str">
        <f t="shared" si="4"/>
        <v/>
      </c>
      <c r="K152" t="str">
        <f>IF(J152&lt;&gt;"",SUM($J$2:J152),"")</f>
        <v/>
      </c>
      <c r="L152">
        <f ca="1" t="shared" si="5"/>
        <v>45942</v>
      </c>
    </row>
    <row r="153" spans="9:12">
      <c r="I153">
        <f>IFERROR(VLOOKUP(H153,Rates!$A$2:$B$3,2,0),1)</f>
        <v>1</v>
      </c>
      <c r="J153" t="str">
        <f t="shared" si="4"/>
        <v/>
      </c>
      <c r="K153" t="str">
        <f>IF(J153&lt;&gt;"",SUM($J$2:J153),"")</f>
        <v/>
      </c>
      <c r="L153">
        <f ca="1" t="shared" si="5"/>
        <v>45942</v>
      </c>
    </row>
    <row r="154" spans="9:12">
      <c r="I154">
        <f>IFERROR(VLOOKUP(H154,Rates!$A$2:$B$3,2,0),1)</f>
        <v>1</v>
      </c>
      <c r="J154" t="str">
        <f t="shared" si="4"/>
        <v/>
      </c>
      <c r="K154" t="str">
        <f>IF(J154&lt;&gt;"",SUM($J$2:J154),"")</f>
        <v/>
      </c>
      <c r="L154">
        <f ca="1" t="shared" si="5"/>
        <v>45942</v>
      </c>
    </row>
    <row r="155" spans="9:12">
      <c r="I155">
        <f>IFERROR(VLOOKUP(H155,Rates!$A$2:$B$3,2,0),1)</f>
        <v>1</v>
      </c>
      <c r="J155" t="str">
        <f t="shared" si="4"/>
        <v/>
      </c>
      <c r="K155" t="str">
        <f>IF(J155&lt;&gt;"",SUM($J$2:J155),"")</f>
        <v/>
      </c>
      <c r="L155">
        <f ca="1" t="shared" si="5"/>
        <v>45942</v>
      </c>
    </row>
    <row r="156" spans="9:12">
      <c r="I156">
        <f>IFERROR(VLOOKUP(H156,Rates!$A$2:$B$3,2,0),1)</f>
        <v>1</v>
      </c>
      <c r="J156" t="str">
        <f t="shared" si="4"/>
        <v/>
      </c>
      <c r="K156" t="str">
        <f>IF(J156&lt;&gt;"",SUM($J$2:J156),"")</f>
        <v/>
      </c>
      <c r="L156">
        <f ca="1" t="shared" si="5"/>
        <v>45942</v>
      </c>
    </row>
    <row r="157" spans="9:12">
      <c r="I157">
        <f>IFERROR(VLOOKUP(H157,Rates!$A$2:$B$3,2,0),1)</f>
        <v>1</v>
      </c>
      <c r="J157" t="str">
        <f t="shared" si="4"/>
        <v/>
      </c>
      <c r="K157" t="str">
        <f>IF(J157&lt;&gt;"",SUM($J$2:J157),"")</f>
        <v/>
      </c>
      <c r="L157">
        <f ca="1" t="shared" si="5"/>
        <v>45942</v>
      </c>
    </row>
    <row r="158" spans="9:12">
      <c r="I158">
        <f>IFERROR(VLOOKUP(H158,Rates!$A$2:$B$3,2,0),1)</f>
        <v>1</v>
      </c>
      <c r="J158" t="str">
        <f t="shared" si="4"/>
        <v/>
      </c>
      <c r="K158" t="str">
        <f>IF(J158&lt;&gt;"",SUM($J$2:J158),"")</f>
        <v/>
      </c>
      <c r="L158">
        <f ca="1" t="shared" si="5"/>
        <v>45942</v>
      </c>
    </row>
    <row r="159" spans="9:12">
      <c r="I159">
        <f>IFERROR(VLOOKUP(H159,Rates!$A$2:$B$3,2,0),1)</f>
        <v>1</v>
      </c>
      <c r="J159" t="str">
        <f t="shared" si="4"/>
        <v/>
      </c>
      <c r="K159" t="str">
        <f>IF(J159&lt;&gt;"",SUM($J$2:J159),"")</f>
        <v/>
      </c>
      <c r="L159">
        <f ca="1" t="shared" si="5"/>
        <v>45942</v>
      </c>
    </row>
    <row r="160" spans="9:12">
      <c r="I160">
        <f>IFERROR(VLOOKUP(H160,Rates!$A$2:$B$3,2,0),1)</f>
        <v>1</v>
      </c>
      <c r="J160" t="str">
        <f t="shared" si="4"/>
        <v/>
      </c>
      <c r="K160" t="str">
        <f>IF(J160&lt;&gt;"",SUM($J$2:J160),"")</f>
        <v/>
      </c>
      <c r="L160">
        <f ca="1" t="shared" si="5"/>
        <v>45942</v>
      </c>
    </row>
    <row r="161" spans="9:12">
      <c r="I161">
        <f>IFERROR(VLOOKUP(H161,Rates!$A$2:$B$3,2,0),1)</f>
        <v>1</v>
      </c>
      <c r="J161" t="str">
        <f t="shared" si="4"/>
        <v/>
      </c>
      <c r="K161" t="str">
        <f>IF(J161&lt;&gt;"",SUM($J$2:J161),"")</f>
        <v/>
      </c>
      <c r="L161">
        <f ca="1" t="shared" si="5"/>
        <v>45942</v>
      </c>
    </row>
    <row r="162" spans="9:12">
      <c r="I162">
        <f>IFERROR(VLOOKUP(H162,Rates!$A$2:$B$3,2,0),1)</f>
        <v>1</v>
      </c>
      <c r="J162" t="str">
        <f t="shared" si="4"/>
        <v/>
      </c>
      <c r="K162" t="str">
        <f>IF(J162&lt;&gt;"",SUM($J$2:J162),"")</f>
        <v/>
      </c>
      <c r="L162">
        <f ca="1" t="shared" si="5"/>
        <v>45942</v>
      </c>
    </row>
    <row r="163" spans="9:12">
      <c r="I163">
        <f>IFERROR(VLOOKUP(H163,Rates!$A$2:$B$3,2,0),1)</f>
        <v>1</v>
      </c>
      <c r="J163" t="str">
        <f t="shared" si="4"/>
        <v/>
      </c>
      <c r="K163" t="str">
        <f>IF(J163&lt;&gt;"",SUM($J$2:J163),"")</f>
        <v/>
      </c>
      <c r="L163">
        <f ca="1" t="shared" si="5"/>
        <v>45942</v>
      </c>
    </row>
    <row r="164" spans="9:12">
      <c r="I164">
        <f>IFERROR(VLOOKUP(H164,Rates!$A$2:$B$3,2,0),1)</f>
        <v>1</v>
      </c>
      <c r="J164" t="str">
        <f t="shared" si="4"/>
        <v/>
      </c>
      <c r="K164" t="str">
        <f>IF(J164&lt;&gt;"",SUM($J$2:J164),"")</f>
        <v/>
      </c>
      <c r="L164">
        <f ca="1" t="shared" si="5"/>
        <v>45942</v>
      </c>
    </row>
    <row r="165" spans="9:12">
      <c r="I165">
        <f>IFERROR(VLOOKUP(H165,Rates!$A$2:$B$3,2,0),1)</f>
        <v>1</v>
      </c>
      <c r="J165" t="str">
        <f t="shared" si="4"/>
        <v/>
      </c>
      <c r="K165" t="str">
        <f>IF(J165&lt;&gt;"",SUM($J$2:J165),"")</f>
        <v/>
      </c>
      <c r="L165">
        <f ca="1" t="shared" si="5"/>
        <v>45942</v>
      </c>
    </row>
    <row r="166" spans="9:12">
      <c r="I166">
        <f>IFERROR(VLOOKUP(H166,Rates!$A$2:$B$3,2,0),1)</f>
        <v>1</v>
      </c>
      <c r="J166" t="str">
        <f t="shared" si="4"/>
        <v/>
      </c>
      <c r="K166" t="str">
        <f>IF(J166&lt;&gt;"",SUM($J$2:J166),"")</f>
        <v/>
      </c>
      <c r="L166">
        <f ca="1" t="shared" si="5"/>
        <v>45942</v>
      </c>
    </row>
    <row r="167" spans="9:12">
      <c r="I167">
        <f>IFERROR(VLOOKUP(H167,Rates!$A$2:$B$3,2,0),1)</f>
        <v>1</v>
      </c>
      <c r="J167" t="str">
        <f t="shared" si="4"/>
        <v/>
      </c>
      <c r="K167" t="str">
        <f>IF(J167&lt;&gt;"",SUM($J$2:J167),"")</f>
        <v/>
      </c>
      <c r="L167">
        <f ca="1" t="shared" si="5"/>
        <v>45942</v>
      </c>
    </row>
    <row r="168" spans="9:12">
      <c r="I168">
        <f>IFERROR(VLOOKUP(H168,Rates!$A$2:$B$3,2,0),1)</f>
        <v>1</v>
      </c>
      <c r="J168" t="str">
        <f t="shared" si="4"/>
        <v/>
      </c>
      <c r="K168" t="str">
        <f>IF(J168&lt;&gt;"",SUM($J$2:J168),"")</f>
        <v/>
      </c>
      <c r="L168">
        <f ca="1" t="shared" si="5"/>
        <v>45942</v>
      </c>
    </row>
    <row r="169" spans="9:12">
      <c r="I169">
        <f>IFERROR(VLOOKUP(H169,Rates!$A$2:$B$3,2,0),1)</f>
        <v>1</v>
      </c>
      <c r="J169" t="str">
        <f t="shared" si="4"/>
        <v/>
      </c>
      <c r="K169" t="str">
        <f>IF(J169&lt;&gt;"",SUM($J$2:J169),"")</f>
        <v/>
      </c>
      <c r="L169">
        <f ca="1" t="shared" si="5"/>
        <v>45942</v>
      </c>
    </row>
    <row r="170" spans="9:12">
      <c r="I170">
        <f>IFERROR(VLOOKUP(H170,Rates!$A$2:$B$3,2,0),1)</f>
        <v>1</v>
      </c>
      <c r="J170" t="str">
        <f t="shared" si="4"/>
        <v/>
      </c>
      <c r="K170" t="str">
        <f>IF(J170&lt;&gt;"",SUM($J$2:J170),"")</f>
        <v/>
      </c>
      <c r="L170">
        <f ca="1" t="shared" si="5"/>
        <v>45942</v>
      </c>
    </row>
    <row r="171" spans="9:12">
      <c r="I171">
        <f>IFERROR(VLOOKUP(H171,Rates!$A$2:$B$3,2,0),1)</f>
        <v>1</v>
      </c>
      <c r="J171" t="str">
        <f t="shared" si="4"/>
        <v/>
      </c>
      <c r="K171" t="str">
        <f>IF(J171&lt;&gt;"",SUM($J$2:J171),"")</f>
        <v/>
      </c>
      <c r="L171">
        <f ca="1" t="shared" si="5"/>
        <v>45942</v>
      </c>
    </row>
    <row r="172" spans="9:12">
      <c r="I172">
        <f>IFERROR(VLOOKUP(H172,Rates!$A$2:$B$3,2,0),1)</f>
        <v>1</v>
      </c>
      <c r="J172" t="str">
        <f t="shared" si="4"/>
        <v/>
      </c>
      <c r="K172" t="str">
        <f>IF(J172&lt;&gt;"",SUM($J$2:J172),"")</f>
        <v/>
      </c>
      <c r="L172">
        <f ca="1" t="shared" si="5"/>
        <v>45942</v>
      </c>
    </row>
    <row r="173" spans="9:12">
      <c r="I173">
        <f>IFERROR(VLOOKUP(H173,Rates!$A$2:$B$3,2,0),1)</f>
        <v>1</v>
      </c>
      <c r="J173" t="str">
        <f t="shared" si="4"/>
        <v/>
      </c>
      <c r="K173" t="str">
        <f>IF(J173&lt;&gt;"",SUM($J$2:J173),"")</f>
        <v/>
      </c>
      <c r="L173">
        <f ca="1" t="shared" si="5"/>
        <v>45942</v>
      </c>
    </row>
    <row r="174" spans="9:12">
      <c r="I174">
        <f>IFERROR(VLOOKUP(H174,Rates!$A$2:$B$3,2,0),1)</f>
        <v>1</v>
      </c>
      <c r="J174" t="str">
        <f t="shared" si="4"/>
        <v/>
      </c>
      <c r="K174" t="str">
        <f>IF(J174&lt;&gt;"",SUM($J$2:J174),"")</f>
        <v/>
      </c>
      <c r="L174">
        <f ca="1" t="shared" si="5"/>
        <v>45942</v>
      </c>
    </row>
    <row r="175" spans="9:12">
      <c r="I175">
        <f>IFERROR(VLOOKUP(H175,Rates!$A$2:$B$3,2,0),1)</f>
        <v>1</v>
      </c>
      <c r="J175" t="str">
        <f t="shared" si="4"/>
        <v/>
      </c>
      <c r="K175" t="str">
        <f>IF(J175&lt;&gt;"",SUM($J$2:J175),"")</f>
        <v/>
      </c>
      <c r="L175">
        <f ca="1" t="shared" si="5"/>
        <v>45942</v>
      </c>
    </row>
    <row r="176" spans="9:12">
      <c r="I176">
        <f>IFERROR(VLOOKUP(H176,Rates!$A$2:$B$3,2,0),1)</f>
        <v>1</v>
      </c>
      <c r="J176" t="str">
        <f t="shared" si="4"/>
        <v/>
      </c>
      <c r="K176" t="str">
        <f>IF(J176&lt;&gt;"",SUM($J$2:J176),"")</f>
        <v/>
      </c>
      <c r="L176">
        <f ca="1" t="shared" si="5"/>
        <v>45942</v>
      </c>
    </row>
    <row r="177" spans="9:12">
      <c r="I177">
        <f>IFERROR(VLOOKUP(H177,Rates!$A$2:$B$3,2,0),1)</f>
        <v>1</v>
      </c>
      <c r="J177" t="str">
        <f t="shared" si="4"/>
        <v/>
      </c>
      <c r="K177" t="str">
        <f>IF(J177&lt;&gt;"",SUM($J$2:J177),"")</f>
        <v/>
      </c>
      <c r="L177">
        <f ca="1" t="shared" si="5"/>
        <v>45942</v>
      </c>
    </row>
    <row r="178" spans="9:12">
      <c r="I178">
        <f>IFERROR(VLOOKUP(H178,Rates!$A$2:$B$3,2,0),1)</f>
        <v>1</v>
      </c>
      <c r="J178" t="str">
        <f t="shared" si="4"/>
        <v/>
      </c>
      <c r="K178" t="str">
        <f>IF(J178&lt;&gt;"",SUM($J$2:J178),"")</f>
        <v/>
      </c>
      <c r="L178">
        <f ca="1" t="shared" si="5"/>
        <v>45942</v>
      </c>
    </row>
    <row r="179" spans="9:12">
      <c r="I179">
        <f>IFERROR(VLOOKUP(H179,Rates!$A$2:$B$3,2,0),1)</f>
        <v>1</v>
      </c>
      <c r="J179" t="str">
        <f t="shared" si="4"/>
        <v/>
      </c>
      <c r="K179" t="str">
        <f>IF(J179&lt;&gt;"",SUM($J$2:J179),"")</f>
        <v/>
      </c>
      <c r="L179">
        <f ca="1" t="shared" si="5"/>
        <v>45942</v>
      </c>
    </row>
    <row r="180" spans="9:12">
      <c r="I180">
        <f>IFERROR(VLOOKUP(H180,Rates!$A$2:$B$3,2,0),1)</f>
        <v>1</v>
      </c>
      <c r="J180" t="str">
        <f t="shared" si="4"/>
        <v/>
      </c>
      <c r="K180" t="str">
        <f>IF(J180&lt;&gt;"",SUM($J$2:J180),"")</f>
        <v/>
      </c>
      <c r="L180">
        <f ca="1" t="shared" si="5"/>
        <v>45942</v>
      </c>
    </row>
    <row r="181" spans="9:12">
      <c r="I181">
        <f>IFERROR(VLOOKUP(H181,Rates!$A$2:$B$3,2,0),1)</f>
        <v>1</v>
      </c>
      <c r="J181" t="str">
        <f t="shared" si="4"/>
        <v/>
      </c>
      <c r="K181" t="str">
        <f>IF(J181&lt;&gt;"",SUM($J$2:J181),"")</f>
        <v/>
      </c>
      <c r="L181">
        <f ca="1" t="shared" si="5"/>
        <v>45942</v>
      </c>
    </row>
    <row r="182" spans="9:12">
      <c r="I182">
        <f>IFERROR(VLOOKUP(H182,Rates!$A$2:$B$3,2,0),1)</f>
        <v>1</v>
      </c>
      <c r="J182" t="str">
        <f t="shared" si="4"/>
        <v/>
      </c>
      <c r="K182" t="str">
        <f>IF(J182&lt;&gt;"",SUM($J$2:J182),"")</f>
        <v/>
      </c>
      <c r="L182">
        <f ca="1" t="shared" si="5"/>
        <v>45942</v>
      </c>
    </row>
    <row r="183" spans="9:12">
      <c r="I183">
        <f>IFERROR(VLOOKUP(H183,Rates!$A$2:$B$3,2,0),1)</f>
        <v>1</v>
      </c>
      <c r="J183" t="str">
        <f t="shared" si="4"/>
        <v/>
      </c>
      <c r="K183" t="str">
        <f>IF(J183&lt;&gt;"",SUM($J$2:J183),"")</f>
        <v/>
      </c>
      <c r="L183">
        <f ca="1" t="shared" si="5"/>
        <v>45942</v>
      </c>
    </row>
    <row r="184" spans="9:12">
      <c r="I184">
        <f>IFERROR(VLOOKUP(H184,Rates!$A$2:$B$3,2,0),1)</f>
        <v>1</v>
      </c>
      <c r="J184" t="str">
        <f t="shared" si="4"/>
        <v/>
      </c>
      <c r="K184" t="str">
        <f>IF(J184&lt;&gt;"",SUM($J$2:J184),"")</f>
        <v/>
      </c>
      <c r="L184">
        <f ca="1" t="shared" si="5"/>
        <v>45942</v>
      </c>
    </row>
    <row r="185" spans="9:12">
      <c r="I185">
        <f>IFERROR(VLOOKUP(H185,Rates!$A$2:$B$3,2,0),1)</f>
        <v>1</v>
      </c>
      <c r="J185" t="str">
        <f t="shared" si="4"/>
        <v/>
      </c>
      <c r="K185" t="str">
        <f>IF(J185&lt;&gt;"",SUM($J$2:J185),"")</f>
        <v/>
      </c>
      <c r="L185">
        <f ca="1" t="shared" si="5"/>
        <v>45942</v>
      </c>
    </row>
    <row r="186" spans="9:12">
      <c r="I186">
        <f>IFERROR(VLOOKUP(H186,Rates!$A$2:$B$3,2,0),1)</f>
        <v>1</v>
      </c>
      <c r="J186" t="str">
        <f t="shared" si="4"/>
        <v/>
      </c>
      <c r="K186" t="str">
        <f>IF(J186&lt;&gt;"",SUM($J$2:J186),"")</f>
        <v/>
      </c>
      <c r="L186">
        <f ca="1" t="shared" si="5"/>
        <v>45942</v>
      </c>
    </row>
    <row r="187" spans="9:12">
      <c r="I187">
        <f>IFERROR(VLOOKUP(H187,Rates!$A$2:$B$3,2,0),1)</f>
        <v>1</v>
      </c>
      <c r="J187" t="str">
        <f t="shared" si="4"/>
        <v/>
      </c>
      <c r="K187" t="str">
        <f>IF(J187&lt;&gt;"",SUM($J$2:J187),"")</f>
        <v/>
      </c>
      <c r="L187">
        <f ca="1" t="shared" si="5"/>
        <v>45942</v>
      </c>
    </row>
    <row r="188" spans="9:12">
      <c r="I188">
        <f>IFERROR(VLOOKUP(H188,Rates!$A$2:$B$3,2,0),1)</f>
        <v>1</v>
      </c>
      <c r="J188" t="str">
        <f t="shared" si="4"/>
        <v/>
      </c>
      <c r="K188" t="str">
        <f>IF(J188&lt;&gt;"",SUM($J$2:J188),"")</f>
        <v/>
      </c>
      <c r="L188">
        <f ca="1" t="shared" si="5"/>
        <v>45942</v>
      </c>
    </row>
    <row r="189" spans="9:12">
      <c r="I189">
        <f>IFERROR(VLOOKUP(H189,Rates!$A$2:$B$3,2,0),1)</f>
        <v>1</v>
      </c>
      <c r="J189" t="str">
        <f t="shared" si="4"/>
        <v/>
      </c>
      <c r="K189" t="str">
        <f>IF(J189&lt;&gt;"",SUM($J$2:J189),"")</f>
        <v/>
      </c>
      <c r="L189">
        <f ca="1" t="shared" si="5"/>
        <v>45942</v>
      </c>
    </row>
    <row r="190" spans="9:12">
      <c r="I190">
        <f>IFERROR(VLOOKUP(H190,Rates!$A$2:$B$3,2,0),1)</f>
        <v>1</v>
      </c>
      <c r="J190" t="str">
        <f t="shared" si="4"/>
        <v/>
      </c>
      <c r="K190" t="str">
        <f>IF(J190&lt;&gt;"",SUM($J$2:J190),"")</f>
        <v/>
      </c>
      <c r="L190">
        <f ca="1" t="shared" si="5"/>
        <v>45942</v>
      </c>
    </row>
    <row r="191" spans="9:12">
      <c r="I191">
        <f>IFERROR(VLOOKUP(H191,Rates!$A$2:$B$3,2,0),1)</f>
        <v>1</v>
      </c>
      <c r="J191" t="str">
        <f t="shared" si="4"/>
        <v/>
      </c>
      <c r="K191" t="str">
        <f>IF(J191&lt;&gt;"",SUM($J$2:J191),"")</f>
        <v/>
      </c>
      <c r="L191">
        <f ca="1" t="shared" si="5"/>
        <v>45942</v>
      </c>
    </row>
    <row r="192" spans="9:12">
      <c r="I192">
        <f>IFERROR(VLOOKUP(H192,Rates!$A$2:$B$3,2,0),1)</f>
        <v>1</v>
      </c>
      <c r="J192" t="str">
        <f t="shared" si="4"/>
        <v/>
      </c>
      <c r="K192" t="str">
        <f>IF(J192&lt;&gt;"",SUM($J$2:J192),"")</f>
        <v/>
      </c>
      <c r="L192">
        <f ca="1" t="shared" si="5"/>
        <v>45942</v>
      </c>
    </row>
    <row r="193" spans="9:12">
      <c r="I193">
        <f>IFERROR(VLOOKUP(H193,Rates!$A$2:$B$3,2,0),1)</f>
        <v>1</v>
      </c>
      <c r="J193" t="str">
        <f t="shared" si="4"/>
        <v/>
      </c>
      <c r="K193" t="str">
        <f>IF(J193&lt;&gt;"",SUM($J$2:J193),"")</f>
        <v/>
      </c>
      <c r="L193">
        <f ca="1" t="shared" si="5"/>
        <v>45942</v>
      </c>
    </row>
    <row r="194" spans="9:12">
      <c r="I194">
        <f>IFERROR(VLOOKUP(H194,Rates!$A$2:$B$3,2,0),1)</f>
        <v>1</v>
      </c>
      <c r="J194" t="str">
        <f t="shared" ref="J194:J257" si="6">IF(G194&lt;&gt;"",G194*I194,"")</f>
        <v/>
      </c>
      <c r="K194" t="str">
        <f>IF(J194&lt;&gt;"",SUM($J$2:J194),"")</f>
        <v/>
      </c>
      <c r="L194">
        <f ca="1" t="shared" ref="L194:L257" si="7">IF(COUNTA(A194:K194)&gt;0,TODAY(),"")</f>
        <v>45942</v>
      </c>
    </row>
    <row r="195" spans="9:12">
      <c r="I195">
        <f>IFERROR(VLOOKUP(H195,Rates!$A$2:$B$3,2,0),1)</f>
        <v>1</v>
      </c>
      <c r="J195" t="str">
        <f t="shared" si="6"/>
        <v/>
      </c>
      <c r="K195" t="str">
        <f>IF(J195&lt;&gt;"",SUM($J$2:J195),"")</f>
        <v/>
      </c>
      <c r="L195">
        <f ca="1" t="shared" si="7"/>
        <v>45942</v>
      </c>
    </row>
    <row r="196" spans="9:12">
      <c r="I196">
        <f>IFERROR(VLOOKUP(H196,Rates!$A$2:$B$3,2,0),1)</f>
        <v>1</v>
      </c>
      <c r="J196" t="str">
        <f t="shared" si="6"/>
        <v/>
      </c>
      <c r="K196" t="str">
        <f>IF(J196&lt;&gt;"",SUM($J$2:J196),"")</f>
        <v/>
      </c>
      <c r="L196">
        <f ca="1" t="shared" si="7"/>
        <v>45942</v>
      </c>
    </row>
    <row r="197" spans="9:12">
      <c r="I197">
        <f>IFERROR(VLOOKUP(H197,Rates!$A$2:$B$3,2,0),1)</f>
        <v>1</v>
      </c>
      <c r="J197" t="str">
        <f t="shared" si="6"/>
        <v/>
      </c>
      <c r="K197" t="str">
        <f>IF(J197&lt;&gt;"",SUM($J$2:J197),"")</f>
        <v/>
      </c>
      <c r="L197">
        <f ca="1" t="shared" si="7"/>
        <v>45942</v>
      </c>
    </row>
    <row r="198" spans="9:12">
      <c r="I198">
        <f>IFERROR(VLOOKUP(H198,Rates!$A$2:$B$3,2,0),1)</f>
        <v>1</v>
      </c>
      <c r="J198" t="str">
        <f t="shared" si="6"/>
        <v/>
      </c>
      <c r="K198" t="str">
        <f>IF(J198&lt;&gt;"",SUM($J$2:J198),"")</f>
        <v/>
      </c>
      <c r="L198">
        <f ca="1" t="shared" si="7"/>
        <v>45942</v>
      </c>
    </row>
    <row r="199" spans="9:12">
      <c r="I199">
        <f>IFERROR(VLOOKUP(H199,Rates!$A$2:$B$3,2,0),1)</f>
        <v>1</v>
      </c>
      <c r="J199" t="str">
        <f t="shared" si="6"/>
        <v/>
      </c>
      <c r="K199" t="str">
        <f>IF(J199&lt;&gt;"",SUM($J$2:J199),"")</f>
        <v/>
      </c>
      <c r="L199">
        <f ca="1" t="shared" si="7"/>
        <v>45942</v>
      </c>
    </row>
    <row r="200" spans="9:12">
      <c r="I200">
        <f>IFERROR(VLOOKUP(H200,Rates!$A$2:$B$3,2,0),1)</f>
        <v>1</v>
      </c>
      <c r="J200" t="str">
        <f t="shared" si="6"/>
        <v/>
      </c>
      <c r="K200" t="str">
        <f>IF(J200&lt;&gt;"",SUM($J$2:J200),"")</f>
        <v/>
      </c>
      <c r="L200">
        <f ca="1" t="shared" si="7"/>
        <v>45942</v>
      </c>
    </row>
    <row r="201" spans="9:12">
      <c r="I201">
        <f>IFERROR(VLOOKUP(H201,Rates!$A$2:$B$3,2,0),1)</f>
        <v>1</v>
      </c>
      <c r="J201" t="str">
        <f t="shared" si="6"/>
        <v/>
      </c>
      <c r="K201" t="str">
        <f>IF(J201&lt;&gt;"",SUM($J$2:J201),"")</f>
        <v/>
      </c>
      <c r="L201">
        <f ca="1" t="shared" si="7"/>
        <v>45942</v>
      </c>
    </row>
    <row r="202" spans="9:12">
      <c r="I202">
        <f>IFERROR(VLOOKUP(H202,Rates!$A$2:$B$3,2,0),1)</f>
        <v>1</v>
      </c>
      <c r="J202" t="str">
        <f t="shared" si="6"/>
        <v/>
      </c>
      <c r="K202" t="str">
        <f>IF(J202&lt;&gt;"",SUM($J$2:J202),"")</f>
        <v/>
      </c>
      <c r="L202">
        <f ca="1" t="shared" si="7"/>
        <v>45942</v>
      </c>
    </row>
    <row r="203" spans="9:12">
      <c r="I203">
        <f>IFERROR(VLOOKUP(H203,Rates!$A$2:$B$3,2,0),1)</f>
        <v>1</v>
      </c>
      <c r="J203" t="str">
        <f t="shared" si="6"/>
        <v/>
      </c>
      <c r="K203" t="str">
        <f>IF(J203&lt;&gt;"",SUM($J$2:J203),"")</f>
        <v/>
      </c>
      <c r="L203">
        <f ca="1" t="shared" si="7"/>
        <v>45942</v>
      </c>
    </row>
    <row r="204" spans="9:12">
      <c r="I204">
        <f>IFERROR(VLOOKUP(H204,Rates!$A$2:$B$3,2,0),1)</f>
        <v>1</v>
      </c>
      <c r="J204" t="str">
        <f t="shared" si="6"/>
        <v/>
      </c>
      <c r="K204" t="str">
        <f>IF(J204&lt;&gt;"",SUM($J$2:J204),"")</f>
        <v/>
      </c>
      <c r="L204">
        <f ca="1" t="shared" si="7"/>
        <v>45942</v>
      </c>
    </row>
    <row r="205" spans="9:12">
      <c r="I205">
        <f>IFERROR(VLOOKUP(H205,Rates!$A$2:$B$3,2,0),1)</f>
        <v>1</v>
      </c>
      <c r="J205" t="str">
        <f t="shared" si="6"/>
        <v/>
      </c>
      <c r="K205" t="str">
        <f>IF(J205&lt;&gt;"",SUM($J$2:J205),"")</f>
        <v/>
      </c>
      <c r="L205">
        <f ca="1" t="shared" si="7"/>
        <v>45942</v>
      </c>
    </row>
    <row r="206" spans="9:12">
      <c r="I206">
        <f>IFERROR(VLOOKUP(H206,Rates!$A$2:$B$3,2,0),1)</f>
        <v>1</v>
      </c>
      <c r="J206" t="str">
        <f t="shared" si="6"/>
        <v/>
      </c>
      <c r="K206" t="str">
        <f>IF(J206&lt;&gt;"",SUM($J$2:J206),"")</f>
        <v/>
      </c>
      <c r="L206">
        <f ca="1" t="shared" si="7"/>
        <v>45942</v>
      </c>
    </row>
    <row r="207" spans="9:12">
      <c r="I207">
        <f>IFERROR(VLOOKUP(H207,Rates!$A$2:$B$3,2,0),1)</f>
        <v>1</v>
      </c>
      <c r="J207" t="str">
        <f t="shared" si="6"/>
        <v/>
      </c>
      <c r="K207" t="str">
        <f>IF(J207&lt;&gt;"",SUM($J$2:J207),"")</f>
        <v/>
      </c>
      <c r="L207">
        <f ca="1" t="shared" si="7"/>
        <v>45942</v>
      </c>
    </row>
    <row r="208" spans="9:12">
      <c r="I208">
        <f>IFERROR(VLOOKUP(H208,Rates!$A$2:$B$3,2,0),1)</f>
        <v>1</v>
      </c>
      <c r="J208" t="str">
        <f t="shared" si="6"/>
        <v/>
      </c>
      <c r="K208" t="str">
        <f>IF(J208&lt;&gt;"",SUM($J$2:J208),"")</f>
        <v/>
      </c>
      <c r="L208">
        <f ca="1" t="shared" si="7"/>
        <v>45942</v>
      </c>
    </row>
    <row r="209" spans="9:12">
      <c r="I209">
        <f>IFERROR(VLOOKUP(H209,Rates!$A$2:$B$3,2,0),1)</f>
        <v>1</v>
      </c>
      <c r="J209" t="str">
        <f t="shared" si="6"/>
        <v/>
      </c>
      <c r="K209" t="str">
        <f>IF(J209&lt;&gt;"",SUM($J$2:J209),"")</f>
        <v/>
      </c>
      <c r="L209">
        <f ca="1" t="shared" si="7"/>
        <v>45942</v>
      </c>
    </row>
    <row r="210" spans="9:12">
      <c r="I210">
        <f>IFERROR(VLOOKUP(H210,Rates!$A$2:$B$3,2,0),1)</f>
        <v>1</v>
      </c>
      <c r="J210" t="str">
        <f t="shared" si="6"/>
        <v/>
      </c>
      <c r="K210" t="str">
        <f>IF(J210&lt;&gt;"",SUM($J$2:J210),"")</f>
        <v/>
      </c>
      <c r="L210">
        <f ca="1" t="shared" si="7"/>
        <v>45942</v>
      </c>
    </row>
    <row r="211" spans="9:12">
      <c r="I211">
        <f>IFERROR(VLOOKUP(H211,Rates!$A$2:$B$3,2,0),1)</f>
        <v>1</v>
      </c>
      <c r="J211" t="str">
        <f t="shared" si="6"/>
        <v/>
      </c>
      <c r="K211" t="str">
        <f>IF(J211&lt;&gt;"",SUM($J$2:J211),"")</f>
        <v/>
      </c>
      <c r="L211">
        <f ca="1" t="shared" si="7"/>
        <v>45942</v>
      </c>
    </row>
    <row r="212" spans="9:12">
      <c r="I212">
        <f>IFERROR(VLOOKUP(H212,Rates!$A$2:$B$3,2,0),1)</f>
        <v>1</v>
      </c>
      <c r="J212" t="str">
        <f t="shared" si="6"/>
        <v/>
      </c>
      <c r="K212" t="str">
        <f>IF(J212&lt;&gt;"",SUM($J$2:J212),"")</f>
        <v/>
      </c>
      <c r="L212">
        <f ca="1" t="shared" si="7"/>
        <v>45942</v>
      </c>
    </row>
    <row r="213" spans="9:12">
      <c r="I213">
        <f>IFERROR(VLOOKUP(H213,Rates!$A$2:$B$3,2,0),1)</f>
        <v>1</v>
      </c>
      <c r="J213" t="str">
        <f t="shared" si="6"/>
        <v/>
      </c>
      <c r="K213" t="str">
        <f>IF(J213&lt;&gt;"",SUM($J$2:J213),"")</f>
        <v/>
      </c>
      <c r="L213">
        <f ca="1" t="shared" si="7"/>
        <v>45942</v>
      </c>
    </row>
    <row r="214" spans="9:12">
      <c r="I214">
        <f>IFERROR(VLOOKUP(H214,Rates!$A$2:$B$3,2,0),1)</f>
        <v>1</v>
      </c>
      <c r="J214" t="str">
        <f t="shared" si="6"/>
        <v/>
      </c>
      <c r="K214" t="str">
        <f>IF(J214&lt;&gt;"",SUM($J$2:J214),"")</f>
        <v/>
      </c>
      <c r="L214">
        <f ca="1" t="shared" si="7"/>
        <v>45942</v>
      </c>
    </row>
    <row r="215" spans="9:12">
      <c r="I215">
        <f>IFERROR(VLOOKUP(H215,Rates!$A$2:$B$3,2,0),1)</f>
        <v>1</v>
      </c>
      <c r="J215" t="str">
        <f t="shared" si="6"/>
        <v/>
      </c>
      <c r="K215" t="str">
        <f>IF(J215&lt;&gt;"",SUM($J$2:J215),"")</f>
        <v/>
      </c>
      <c r="L215">
        <f ca="1" t="shared" si="7"/>
        <v>45942</v>
      </c>
    </row>
    <row r="216" spans="9:12">
      <c r="I216">
        <f>IFERROR(VLOOKUP(H216,Rates!$A$2:$B$3,2,0),1)</f>
        <v>1</v>
      </c>
      <c r="J216" t="str">
        <f t="shared" si="6"/>
        <v/>
      </c>
      <c r="K216" t="str">
        <f>IF(J216&lt;&gt;"",SUM($J$2:J216),"")</f>
        <v/>
      </c>
      <c r="L216">
        <f ca="1" t="shared" si="7"/>
        <v>45942</v>
      </c>
    </row>
    <row r="217" spans="9:12">
      <c r="I217">
        <f>IFERROR(VLOOKUP(H217,Rates!$A$2:$B$3,2,0),1)</f>
        <v>1</v>
      </c>
      <c r="J217" t="str">
        <f t="shared" si="6"/>
        <v/>
      </c>
      <c r="K217" t="str">
        <f>IF(J217&lt;&gt;"",SUM($J$2:J217),"")</f>
        <v/>
      </c>
      <c r="L217">
        <f ca="1" t="shared" si="7"/>
        <v>45942</v>
      </c>
    </row>
    <row r="218" spans="9:12">
      <c r="I218">
        <f>IFERROR(VLOOKUP(H218,Rates!$A$2:$B$3,2,0),1)</f>
        <v>1</v>
      </c>
      <c r="J218" t="str">
        <f t="shared" si="6"/>
        <v/>
      </c>
      <c r="K218" t="str">
        <f>IF(J218&lt;&gt;"",SUM($J$2:J218),"")</f>
        <v/>
      </c>
      <c r="L218">
        <f ca="1" t="shared" si="7"/>
        <v>45942</v>
      </c>
    </row>
    <row r="219" spans="9:12">
      <c r="I219">
        <f>IFERROR(VLOOKUP(H219,Rates!$A$2:$B$3,2,0),1)</f>
        <v>1</v>
      </c>
      <c r="J219" t="str">
        <f t="shared" si="6"/>
        <v/>
      </c>
      <c r="K219" t="str">
        <f>IF(J219&lt;&gt;"",SUM($J$2:J219),"")</f>
        <v/>
      </c>
      <c r="L219">
        <f ca="1" t="shared" si="7"/>
        <v>45942</v>
      </c>
    </row>
    <row r="220" spans="9:12">
      <c r="I220">
        <f>IFERROR(VLOOKUP(H220,Rates!$A$2:$B$3,2,0),1)</f>
        <v>1</v>
      </c>
      <c r="J220" t="str">
        <f t="shared" si="6"/>
        <v/>
      </c>
      <c r="K220" t="str">
        <f>IF(J220&lt;&gt;"",SUM($J$2:J220),"")</f>
        <v/>
      </c>
      <c r="L220">
        <f ca="1" t="shared" si="7"/>
        <v>45942</v>
      </c>
    </row>
    <row r="221" spans="9:12">
      <c r="I221">
        <f>IFERROR(VLOOKUP(H221,Rates!$A$2:$B$3,2,0),1)</f>
        <v>1</v>
      </c>
      <c r="J221" t="str">
        <f t="shared" si="6"/>
        <v/>
      </c>
      <c r="K221" t="str">
        <f>IF(J221&lt;&gt;"",SUM($J$2:J221),"")</f>
        <v/>
      </c>
      <c r="L221">
        <f ca="1" t="shared" si="7"/>
        <v>45942</v>
      </c>
    </row>
    <row r="222" spans="9:12">
      <c r="I222">
        <f>IFERROR(VLOOKUP(H222,Rates!$A$2:$B$3,2,0),1)</f>
        <v>1</v>
      </c>
      <c r="J222" t="str">
        <f t="shared" si="6"/>
        <v/>
      </c>
      <c r="K222" t="str">
        <f>IF(J222&lt;&gt;"",SUM($J$2:J222),"")</f>
        <v/>
      </c>
      <c r="L222">
        <f ca="1" t="shared" si="7"/>
        <v>45942</v>
      </c>
    </row>
    <row r="223" spans="9:12">
      <c r="I223">
        <f>IFERROR(VLOOKUP(H223,Rates!$A$2:$B$3,2,0),1)</f>
        <v>1</v>
      </c>
      <c r="J223" t="str">
        <f t="shared" si="6"/>
        <v/>
      </c>
      <c r="K223" t="str">
        <f>IF(J223&lt;&gt;"",SUM($J$2:J223),"")</f>
        <v/>
      </c>
      <c r="L223">
        <f ca="1" t="shared" si="7"/>
        <v>45942</v>
      </c>
    </row>
    <row r="224" spans="9:12">
      <c r="I224">
        <f>IFERROR(VLOOKUP(H224,Rates!$A$2:$B$3,2,0),1)</f>
        <v>1</v>
      </c>
      <c r="J224" t="str">
        <f t="shared" si="6"/>
        <v/>
      </c>
      <c r="K224" t="str">
        <f>IF(J224&lt;&gt;"",SUM($J$2:J224),"")</f>
        <v/>
      </c>
      <c r="L224">
        <f ca="1" t="shared" si="7"/>
        <v>45942</v>
      </c>
    </row>
    <row r="225" spans="9:12">
      <c r="I225">
        <f>IFERROR(VLOOKUP(H225,Rates!$A$2:$B$3,2,0),1)</f>
        <v>1</v>
      </c>
      <c r="J225" t="str">
        <f t="shared" si="6"/>
        <v/>
      </c>
      <c r="K225" t="str">
        <f>IF(J225&lt;&gt;"",SUM($J$2:J225),"")</f>
        <v/>
      </c>
      <c r="L225">
        <f ca="1" t="shared" si="7"/>
        <v>45942</v>
      </c>
    </row>
    <row r="226" spans="9:12">
      <c r="I226">
        <f>IFERROR(VLOOKUP(H226,Rates!$A$2:$B$3,2,0),1)</f>
        <v>1</v>
      </c>
      <c r="J226" t="str">
        <f t="shared" si="6"/>
        <v/>
      </c>
      <c r="K226" t="str">
        <f>IF(J226&lt;&gt;"",SUM($J$2:J226),"")</f>
        <v/>
      </c>
      <c r="L226">
        <f ca="1" t="shared" si="7"/>
        <v>45942</v>
      </c>
    </row>
    <row r="227" spans="9:12">
      <c r="I227">
        <f>IFERROR(VLOOKUP(H227,Rates!$A$2:$B$3,2,0),1)</f>
        <v>1</v>
      </c>
      <c r="J227" t="str">
        <f t="shared" si="6"/>
        <v/>
      </c>
      <c r="K227" t="str">
        <f>IF(J227&lt;&gt;"",SUM($J$2:J227),"")</f>
        <v/>
      </c>
      <c r="L227">
        <f ca="1" t="shared" si="7"/>
        <v>45942</v>
      </c>
    </row>
    <row r="228" spans="9:12">
      <c r="I228">
        <f>IFERROR(VLOOKUP(H228,Rates!$A$2:$B$3,2,0),1)</f>
        <v>1</v>
      </c>
      <c r="J228" t="str">
        <f t="shared" si="6"/>
        <v/>
      </c>
      <c r="K228" t="str">
        <f>IF(J228&lt;&gt;"",SUM($J$2:J228),"")</f>
        <v/>
      </c>
      <c r="L228">
        <f ca="1" t="shared" si="7"/>
        <v>45942</v>
      </c>
    </row>
    <row r="229" spans="9:12">
      <c r="I229">
        <f>IFERROR(VLOOKUP(H229,Rates!$A$2:$B$3,2,0),1)</f>
        <v>1</v>
      </c>
      <c r="J229" t="str">
        <f t="shared" si="6"/>
        <v/>
      </c>
      <c r="K229" t="str">
        <f>IF(J229&lt;&gt;"",SUM($J$2:J229),"")</f>
        <v/>
      </c>
      <c r="L229">
        <f ca="1" t="shared" si="7"/>
        <v>45942</v>
      </c>
    </row>
    <row r="230" spans="9:12">
      <c r="I230">
        <f>IFERROR(VLOOKUP(H230,Rates!$A$2:$B$3,2,0),1)</f>
        <v>1</v>
      </c>
      <c r="J230" t="str">
        <f t="shared" si="6"/>
        <v/>
      </c>
      <c r="K230" t="str">
        <f>IF(J230&lt;&gt;"",SUM($J$2:J230),"")</f>
        <v/>
      </c>
      <c r="L230">
        <f ca="1" t="shared" si="7"/>
        <v>45942</v>
      </c>
    </row>
    <row r="231" spans="9:12">
      <c r="I231">
        <f>IFERROR(VLOOKUP(H231,Rates!$A$2:$B$3,2,0),1)</f>
        <v>1</v>
      </c>
      <c r="J231" t="str">
        <f t="shared" si="6"/>
        <v/>
      </c>
      <c r="K231" t="str">
        <f>IF(J231&lt;&gt;"",SUM($J$2:J231),"")</f>
        <v/>
      </c>
      <c r="L231">
        <f ca="1" t="shared" si="7"/>
        <v>45942</v>
      </c>
    </row>
    <row r="232" spans="9:12">
      <c r="I232">
        <f>IFERROR(VLOOKUP(H232,Rates!$A$2:$B$3,2,0),1)</f>
        <v>1</v>
      </c>
      <c r="J232" t="str">
        <f t="shared" si="6"/>
        <v/>
      </c>
      <c r="K232" t="str">
        <f>IF(J232&lt;&gt;"",SUM($J$2:J232),"")</f>
        <v/>
      </c>
      <c r="L232">
        <f ca="1" t="shared" si="7"/>
        <v>45942</v>
      </c>
    </row>
    <row r="233" spans="9:12">
      <c r="I233">
        <f>IFERROR(VLOOKUP(H233,Rates!$A$2:$B$3,2,0),1)</f>
        <v>1</v>
      </c>
      <c r="J233" t="str">
        <f t="shared" si="6"/>
        <v/>
      </c>
      <c r="K233" t="str">
        <f>IF(J233&lt;&gt;"",SUM($J$2:J233),"")</f>
        <v/>
      </c>
      <c r="L233">
        <f ca="1" t="shared" si="7"/>
        <v>45942</v>
      </c>
    </row>
    <row r="234" spans="9:12">
      <c r="I234">
        <f>IFERROR(VLOOKUP(H234,Rates!$A$2:$B$3,2,0),1)</f>
        <v>1</v>
      </c>
      <c r="J234" t="str">
        <f t="shared" si="6"/>
        <v/>
      </c>
      <c r="K234" t="str">
        <f>IF(J234&lt;&gt;"",SUM($J$2:J234),"")</f>
        <v/>
      </c>
      <c r="L234">
        <f ca="1" t="shared" si="7"/>
        <v>45942</v>
      </c>
    </row>
    <row r="235" spans="9:12">
      <c r="I235">
        <f>IFERROR(VLOOKUP(H235,Rates!$A$2:$B$3,2,0),1)</f>
        <v>1</v>
      </c>
      <c r="J235" t="str">
        <f t="shared" si="6"/>
        <v/>
      </c>
      <c r="K235" t="str">
        <f>IF(J235&lt;&gt;"",SUM($J$2:J235),"")</f>
        <v/>
      </c>
      <c r="L235">
        <f ca="1" t="shared" si="7"/>
        <v>45942</v>
      </c>
    </row>
    <row r="236" spans="9:12">
      <c r="I236">
        <f>IFERROR(VLOOKUP(H236,Rates!$A$2:$B$3,2,0),1)</f>
        <v>1</v>
      </c>
      <c r="J236" t="str">
        <f t="shared" si="6"/>
        <v/>
      </c>
      <c r="K236" t="str">
        <f>IF(J236&lt;&gt;"",SUM($J$2:J236),"")</f>
        <v/>
      </c>
      <c r="L236">
        <f ca="1" t="shared" si="7"/>
        <v>45942</v>
      </c>
    </row>
    <row r="237" spans="9:12">
      <c r="I237">
        <f>IFERROR(VLOOKUP(H237,Rates!$A$2:$B$3,2,0),1)</f>
        <v>1</v>
      </c>
      <c r="J237" t="str">
        <f t="shared" si="6"/>
        <v/>
      </c>
      <c r="K237" t="str">
        <f>IF(J237&lt;&gt;"",SUM($J$2:J237),"")</f>
        <v/>
      </c>
      <c r="L237">
        <f ca="1" t="shared" si="7"/>
        <v>45942</v>
      </c>
    </row>
    <row r="238" spans="9:12">
      <c r="I238">
        <f>IFERROR(VLOOKUP(H238,Rates!$A$2:$B$3,2,0),1)</f>
        <v>1</v>
      </c>
      <c r="J238" t="str">
        <f t="shared" si="6"/>
        <v/>
      </c>
      <c r="K238" t="str">
        <f>IF(J238&lt;&gt;"",SUM($J$2:J238),"")</f>
        <v/>
      </c>
      <c r="L238">
        <f ca="1" t="shared" si="7"/>
        <v>45942</v>
      </c>
    </row>
    <row r="239" spans="9:12">
      <c r="I239">
        <f>IFERROR(VLOOKUP(H239,Rates!$A$2:$B$3,2,0),1)</f>
        <v>1</v>
      </c>
      <c r="J239" t="str">
        <f t="shared" si="6"/>
        <v/>
      </c>
      <c r="K239" t="str">
        <f>IF(J239&lt;&gt;"",SUM($J$2:J239),"")</f>
        <v/>
      </c>
      <c r="L239">
        <f ca="1" t="shared" si="7"/>
        <v>45942</v>
      </c>
    </row>
    <row r="240" spans="9:12">
      <c r="I240">
        <f>IFERROR(VLOOKUP(H240,Rates!$A$2:$B$3,2,0),1)</f>
        <v>1</v>
      </c>
      <c r="J240" t="str">
        <f t="shared" si="6"/>
        <v/>
      </c>
      <c r="K240" t="str">
        <f>IF(J240&lt;&gt;"",SUM($J$2:J240),"")</f>
        <v/>
      </c>
      <c r="L240">
        <f ca="1" t="shared" si="7"/>
        <v>45942</v>
      </c>
    </row>
    <row r="241" spans="9:12">
      <c r="I241">
        <f>IFERROR(VLOOKUP(H241,Rates!$A$2:$B$3,2,0),1)</f>
        <v>1</v>
      </c>
      <c r="J241" t="str">
        <f t="shared" si="6"/>
        <v/>
      </c>
      <c r="K241" t="str">
        <f>IF(J241&lt;&gt;"",SUM($J$2:J241),"")</f>
        <v/>
      </c>
      <c r="L241">
        <f ca="1" t="shared" si="7"/>
        <v>45942</v>
      </c>
    </row>
    <row r="242" spans="9:12">
      <c r="I242">
        <f>IFERROR(VLOOKUP(H242,Rates!$A$2:$B$3,2,0),1)</f>
        <v>1</v>
      </c>
      <c r="J242" t="str">
        <f t="shared" si="6"/>
        <v/>
      </c>
      <c r="K242" t="str">
        <f>IF(J242&lt;&gt;"",SUM($J$2:J242),"")</f>
        <v/>
      </c>
      <c r="L242">
        <f ca="1" t="shared" si="7"/>
        <v>45942</v>
      </c>
    </row>
    <row r="243" spans="9:12">
      <c r="I243">
        <f>IFERROR(VLOOKUP(H243,Rates!$A$2:$B$3,2,0),1)</f>
        <v>1</v>
      </c>
      <c r="J243" t="str">
        <f t="shared" si="6"/>
        <v/>
      </c>
      <c r="K243" t="str">
        <f>IF(J243&lt;&gt;"",SUM($J$2:J243),"")</f>
        <v/>
      </c>
      <c r="L243">
        <f ca="1" t="shared" si="7"/>
        <v>45942</v>
      </c>
    </row>
    <row r="244" spans="9:12">
      <c r="I244">
        <f>IFERROR(VLOOKUP(H244,Rates!$A$2:$B$3,2,0),1)</f>
        <v>1</v>
      </c>
      <c r="J244" t="str">
        <f t="shared" si="6"/>
        <v/>
      </c>
      <c r="K244" t="str">
        <f>IF(J244&lt;&gt;"",SUM($J$2:J244),"")</f>
        <v/>
      </c>
      <c r="L244">
        <f ca="1" t="shared" si="7"/>
        <v>45942</v>
      </c>
    </row>
    <row r="245" spans="9:12">
      <c r="I245">
        <f>IFERROR(VLOOKUP(H245,Rates!$A$2:$B$3,2,0),1)</f>
        <v>1</v>
      </c>
      <c r="J245" t="str">
        <f t="shared" si="6"/>
        <v/>
      </c>
      <c r="K245" t="str">
        <f>IF(J245&lt;&gt;"",SUM($J$2:J245),"")</f>
        <v/>
      </c>
      <c r="L245">
        <f ca="1" t="shared" si="7"/>
        <v>45942</v>
      </c>
    </row>
    <row r="246" spans="9:12">
      <c r="I246">
        <f>IFERROR(VLOOKUP(H246,Rates!$A$2:$B$3,2,0),1)</f>
        <v>1</v>
      </c>
      <c r="J246" t="str">
        <f t="shared" si="6"/>
        <v/>
      </c>
      <c r="K246" t="str">
        <f>IF(J246&lt;&gt;"",SUM($J$2:J246),"")</f>
        <v/>
      </c>
      <c r="L246">
        <f ca="1" t="shared" si="7"/>
        <v>45942</v>
      </c>
    </row>
    <row r="247" spans="9:12">
      <c r="I247">
        <f>IFERROR(VLOOKUP(H247,Rates!$A$2:$B$3,2,0),1)</f>
        <v>1</v>
      </c>
      <c r="J247" t="str">
        <f t="shared" si="6"/>
        <v/>
      </c>
      <c r="K247" t="str">
        <f>IF(J247&lt;&gt;"",SUM($J$2:J247),"")</f>
        <v/>
      </c>
      <c r="L247">
        <f ca="1" t="shared" si="7"/>
        <v>45942</v>
      </c>
    </row>
    <row r="248" spans="9:12">
      <c r="I248">
        <f>IFERROR(VLOOKUP(H248,Rates!$A$2:$B$3,2,0),1)</f>
        <v>1</v>
      </c>
      <c r="J248" t="str">
        <f t="shared" si="6"/>
        <v/>
      </c>
      <c r="K248" t="str">
        <f>IF(J248&lt;&gt;"",SUM($J$2:J248),"")</f>
        <v/>
      </c>
      <c r="L248">
        <f ca="1" t="shared" si="7"/>
        <v>45942</v>
      </c>
    </row>
    <row r="249" spans="9:12">
      <c r="I249">
        <f>IFERROR(VLOOKUP(H249,Rates!$A$2:$B$3,2,0),1)</f>
        <v>1</v>
      </c>
      <c r="J249" t="str">
        <f t="shared" si="6"/>
        <v/>
      </c>
      <c r="K249" t="str">
        <f>IF(J249&lt;&gt;"",SUM($J$2:J249),"")</f>
        <v/>
      </c>
      <c r="L249">
        <f ca="1" t="shared" si="7"/>
        <v>45942</v>
      </c>
    </row>
    <row r="250" spans="9:12">
      <c r="I250">
        <f>IFERROR(VLOOKUP(H250,Rates!$A$2:$B$3,2,0),1)</f>
        <v>1</v>
      </c>
      <c r="J250" t="str">
        <f t="shared" si="6"/>
        <v/>
      </c>
      <c r="K250" t="str">
        <f>IF(J250&lt;&gt;"",SUM($J$2:J250),"")</f>
        <v/>
      </c>
      <c r="L250">
        <f ca="1" t="shared" si="7"/>
        <v>45942</v>
      </c>
    </row>
    <row r="251" spans="9:12">
      <c r="I251">
        <f>IFERROR(VLOOKUP(H251,Rates!$A$2:$B$3,2,0),1)</f>
        <v>1</v>
      </c>
      <c r="J251" t="str">
        <f t="shared" si="6"/>
        <v/>
      </c>
      <c r="K251" t="str">
        <f>IF(J251&lt;&gt;"",SUM($J$2:J251),"")</f>
        <v/>
      </c>
      <c r="L251">
        <f ca="1" t="shared" si="7"/>
        <v>45942</v>
      </c>
    </row>
    <row r="252" spans="9:12">
      <c r="I252">
        <f>IFERROR(VLOOKUP(H252,Rates!$A$2:$B$3,2,0),1)</f>
        <v>1</v>
      </c>
      <c r="J252" t="str">
        <f t="shared" si="6"/>
        <v/>
      </c>
      <c r="K252" t="str">
        <f>IF(J252&lt;&gt;"",SUM($J$2:J252),"")</f>
        <v/>
      </c>
      <c r="L252">
        <f ca="1" t="shared" si="7"/>
        <v>45942</v>
      </c>
    </row>
    <row r="253" spans="9:12">
      <c r="I253">
        <f>IFERROR(VLOOKUP(H253,Rates!$A$2:$B$3,2,0),1)</f>
        <v>1</v>
      </c>
      <c r="J253" t="str">
        <f t="shared" si="6"/>
        <v/>
      </c>
      <c r="K253" t="str">
        <f>IF(J253&lt;&gt;"",SUM($J$2:J253),"")</f>
        <v/>
      </c>
      <c r="L253">
        <f ca="1" t="shared" si="7"/>
        <v>45942</v>
      </c>
    </row>
    <row r="254" spans="9:12">
      <c r="I254">
        <f>IFERROR(VLOOKUP(H254,Rates!$A$2:$B$3,2,0),1)</f>
        <v>1</v>
      </c>
      <c r="J254" t="str">
        <f t="shared" si="6"/>
        <v/>
      </c>
      <c r="K254" t="str">
        <f>IF(J254&lt;&gt;"",SUM($J$2:J254),"")</f>
        <v/>
      </c>
      <c r="L254">
        <f ca="1" t="shared" si="7"/>
        <v>45942</v>
      </c>
    </row>
    <row r="255" spans="9:12">
      <c r="I255">
        <f>IFERROR(VLOOKUP(H255,Rates!$A$2:$B$3,2,0),1)</f>
        <v>1</v>
      </c>
      <c r="J255" t="str">
        <f t="shared" si="6"/>
        <v/>
      </c>
      <c r="K255" t="str">
        <f>IF(J255&lt;&gt;"",SUM($J$2:J255),"")</f>
        <v/>
      </c>
      <c r="L255">
        <f ca="1" t="shared" si="7"/>
        <v>45942</v>
      </c>
    </row>
    <row r="256" spans="9:12">
      <c r="I256">
        <f>IFERROR(VLOOKUP(H256,Rates!$A$2:$B$3,2,0),1)</f>
        <v>1</v>
      </c>
      <c r="J256" t="str">
        <f t="shared" si="6"/>
        <v/>
      </c>
      <c r="K256" t="str">
        <f>IF(J256&lt;&gt;"",SUM($J$2:J256),"")</f>
        <v/>
      </c>
      <c r="L256">
        <f ca="1" t="shared" si="7"/>
        <v>45942</v>
      </c>
    </row>
    <row r="257" spans="9:12">
      <c r="I257">
        <f>IFERROR(VLOOKUP(H257,Rates!$A$2:$B$3,2,0),1)</f>
        <v>1</v>
      </c>
      <c r="J257" t="str">
        <f t="shared" si="6"/>
        <v/>
      </c>
      <c r="K257" t="str">
        <f>IF(J257&lt;&gt;"",SUM($J$2:J257),"")</f>
        <v/>
      </c>
      <c r="L257">
        <f ca="1" t="shared" si="7"/>
        <v>45942</v>
      </c>
    </row>
    <row r="258" spans="9:12">
      <c r="I258">
        <f>IFERROR(VLOOKUP(H258,Rates!$A$2:$B$3,2,0),1)</f>
        <v>1</v>
      </c>
      <c r="J258" t="str">
        <f t="shared" ref="J258:J301" si="8">IF(G258&lt;&gt;"",G258*I258,"")</f>
        <v/>
      </c>
      <c r="K258" t="str">
        <f>IF(J258&lt;&gt;"",SUM($J$2:J258),"")</f>
        <v/>
      </c>
      <c r="L258">
        <f ca="1" t="shared" ref="L258:L301" si="9">IF(COUNTA(A258:K258)&gt;0,TODAY(),"")</f>
        <v>45942</v>
      </c>
    </row>
    <row r="259" spans="9:12">
      <c r="I259">
        <f>IFERROR(VLOOKUP(H259,Rates!$A$2:$B$3,2,0),1)</f>
        <v>1</v>
      </c>
      <c r="J259" t="str">
        <f t="shared" si="8"/>
        <v/>
      </c>
      <c r="K259" t="str">
        <f>IF(J259&lt;&gt;"",SUM($J$2:J259),"")</f>
        <v/>
      </c>
      <c r="L259">
        <f ca="1" t="shared" si="9"/>
        <v>45942</v>
      </c>
    </row>
    <row r="260" spans="9:12">
      <c r="I260">
        <f>IFERROR(VLOOKUP(H260,Rates!$A$2:$B$3,2,0),1)</f>
        <v>1</v>
      </c>
      <c r="J260" t="str">
        <f t="shared" si="8"/>
        <v/>
      </c>
      <c r="K260" t="str">
        <f>IF(J260&lt;&gt;"",SUM($J$2:J260),"")</f>
        <v/>
      </c>
      <c r="L260">
        <f ca="1" t="shared" si="9"/>
        <v>45942</v>
      </c>
    </row>
    <row r="261" spans="9:12">
      <c r="I261">
        <f>IFERROR(VLOOKUP(H261,Rates!$A$2:$B$3,2,0),1)</f>
        <v>1</v>
      </c>
      <c r="J261" t="str">
        <f t="shared" si="8"/>
        <v/>
      </c>
      <c r="K261" t="str">
        <f>IF(J261&lt;&gt;"",SUM($J$2:J261),"")</f>
        <v/>
      </c>
      <c r="L261">
        <f ca="1" t="shared" si="9"/>
        <v>45942</v>
      </c>
    </row>
    <row r="262" spans="9:12">
      <c r="I262">
        <f>IFERROR(VLOOKUP(H262,Rates!$A$2:$B$3,2,0),1)</f>
        <v>1</v>
      </c>
      <c r="J262" t="str">
        <f t="shared" si="8"/>
        <v/>
      </c>
      <c r="K262" t="str">
        <f>IF(J262&lt;&gt;"",SUM($J$2:J262),"")</f>
        <v/>
      </c>
      <c r="L262">
        <f ca="1" t="shared" si="9"/>
        <v>45942</v>
      </c>
    </row>
    <row r="263" spans="9:12">
      <c r="I263">
        <f>IFERROR(VLOOKUP(H263,Rates!$A$2:$B$3,2,0),1)</f>
        <v>1</v>
      </c>
      <c r="J263" t="str">
        <f t="shared" si="8"/>
        <v/>
      </c>
      <c r="K263" t="str">
        <f>IF(J263&lt;&gt;"",SUM($J$2:J263),"")</f>
        <v/>
      </c>
      <c r="L263">
        <f ca="1" t="shared" si="9"/>
        <v>45942</v>
      </c>
    </row>
    <row r="264" spans="9:12">
      <c r="I264">
        <f>IFERROR(VLOOKUP(H264,Rates!$A$2:$B$3,2,0),1)</f>
        <v>1</v>
      </c>
      <c r="J264" t="str">
        <f t="shared" si="8"/>
        <v/>
      </c>
      <c r="K264" t="str">
        <f>IF(J264&lt;&gt;"",SUM($J$2:J264),"")</f>
        <v/>
      </c>
      <c r="L264">
        <f ca="1" t="shared" si="9"/>
        <v>45942</v>
      </c>
    </row>
    <row r="265" spans="9:12">
      <c r="I265">
        <f>IFERROR(VLOOKUP(H265,Rates!$A$2:$B$3,2,0),1)</f>
        <v>1</v>
      </c>
      <c r="J265" t="str">
        <f t="shared" si="8"/>
        <v/>
      </c>
      <c r="K265" t="str">
        <f>IF(J265&lt;&gt;"",SUM($J$2:J265),"")</f>
        <v/>
      </c>
      <c r="L265">
        <f ca="1" t="shared" si="9"/>
        <v>45942</v>
      </c>
    </row>
    <row r="266" spans="9:12">
      <c r="I266">
        <f>IFERROR(VLOOKUP(H266,Rates!$A$2:$B$3,2,0),1)</f>
        <v>1</v>
      </c>
      <c r="J266" t="str">
        <f t="shared" si="8"/>
        <v/>
      </c>
      <c r="K266" t="str">
        <f>IF(J266&lt;&gt;"",SUM($J$2:J266),"")</f>
        <v/>
      </c>
      <c r="L266">
        <f ca="1" t="shared" si="9"/>
        <v>45942</v>
      </c>
    </row>
    <row r="267" spans="9:12">
      <c r="I267">
        <f>IFERROR(VLOOKUP(H267,Rates!$A$2:$B$3,2,0),1)</f>
        <v>1</v>
      </c>
      <c r="J267" t="str">
        <f t="shared" si="8"/>
        <v/>
      </c>
      <c r="K267" t="str">
        <f>IF(J267&lt;&gt;"",SUM($J$2:J267),"")</f>
        <v/>
      </c>
      <c r="L267">
        <f ca="1" t="shared" si="9"/>
        <v>45942</v>
      </c>
    </row>
    <row r="268" spans="9:12">
      <c r="I268">
        <f>IFERROR(VLOOKUP(H268,Rates!$A$2:$B$3,2,0),1)</f>
        <v>1</v>
      </c>
      <c r="J268" t="str">
        <f t="shared" si="8"/>
        <v/>
      </c>
      <c r="K268" t="str">
        <f>IF(J268&lt;&gt;"",SUM($J$2:J268),"")</f>
        <v/>
      </c>
      <c r="L268">
        <f ca="1" t="shared" si="9"/>
        <v>45942</v>
      </c>
    </row>
    <row r="269" spans="9:12">
      <c r="I269">
        <f>IFERROR(VLOOKUP(H269,Rates!$A$2:$B$3,2,0),1)</f>
        <v>1</v>
      </c>
      <c r="J269" t="str">
        <f t="shared" si="8"/>
        <v/>
      </c>
      <c r="K269" t="str">
        <f>IF(J269&lt;&gt;"",SUM($J$2:J269),"")</f>
        <v/>
      </c>
      <c r="L269">
        <f ca="1" t="shared" si="9"/>
        <v>45942</v>
      </c>
    </row>
    <row r="270" spans="9:12">
      <c r="I270">
        <f>IFERROR(VLOOKUP(H270,Rates!$A$2:$B$3,2,0),1)</f>
        <v>1</v>
      </c>
      <c r="J270" t="str">
        <f t="shared" si="8"/>
        <v/>
      </c>
      <c r="K270" t="str">
        <f>IF(J270&lt;&gt;"",SUM($J$2:J270),"")</f>
        <v/>
      </c>
      <c r="L270">
        <f ca="1" t="shared" si="9"/>
        <v>45942</v>
      </c>
    </row>
    <row r="271" spans="9:12">
      <c r="I271">
        <f>IFERROR(VLOOKUP(H271,Rates!$A$2:$B$3,2,0),1)</f>
        <v>1</v>
      </c>
      <c r="J271" t="str">
        <f t="shared" si="8"/>
        <v/>
      </c>
      <c r="K271" t="str">
        <f>IF(J271&lt;&gt;"",SUM($J$2:J271),"")</f>
        <v/>
      </c>
      <c r="L271">
        <f ca="1" t="shared" si="9"/>
        <v>45942</v>
      </c>
    </row>
    <row r="272" spans="9:12">
      <c r="I272">
        <f>IFERROR(VLOOKUP(H272,Rates!$A$2:$B$3,2,0),1)</f>
        <v>1</v>
      </c>
      <c r="J272" t="str">
        <f t="shared" si="8"/>
        <v/>
      </c>
      <c r="K272" t="str">
        <f>IF(J272&lt;&gt;"",SUM($J$2:J272),"")</f>
        <v/>
      </c>
      <c r="L272">
        <f ca="1" t="shared" si="9"/>
        <v>45942</v>
      </c>
    </row>
    <row r="273" spans="9:12">
      <c r="I273">
        <f>IFERROR(VLOOKUP(H273,Rates!$A$2:$B$3,2,0),1)</f>
        <v>1</v>
      </c>
      <c r="J273" t="str">
        <f t="shared" si="8"/>
        <v/>
      </c>
      <c r="K273" t="str">
        <f>IF(J273&lt;&gt;"",SUM($J$2:J273),"")</f>
        <v/>
      </c>
      <c r="L273">
        <f ca="1" t="shared" si="9"/>
        <v>45942</v>
      </c>
    </row>
    <row r="274" spans="9:12">
      <c r="I274">
        <f>IFERROR(VLOOKUP(H274,Rates!$A$2:$B$3,2,0),1)</f>
        <v>1</v>
      </c>
      <c r="J274" t="str">
        <f t="shared" si="8"/>
        <v/>
      </c>
      <c r="K274" t="str">
        <f>IF(J274&lt;&gt;"",SUM($J$2:J274),"")</f>
        <v/>
      </c>
      <c r="L274">
        <f ca="1" t="shared" si="9"/>
        <v>45942</v>
      </c>
    </row>
    <row r="275" spans="9:12">
      <c r="I275">
        <f>IFERROR(VLOOKUP(H275,Rates!$A$2:$B$3,2,0),1)</f>
        <v>1</v>
      </c>
      <c r="J275" t="str">
        <f t="shared" si="8"/>
        <v/>
      </c>
      <c r="K275" t="str">
        <f>IF(J275&lt;&gt;"",SUM($J$2:J275),"")</f>
        <v/>
      </c>
      <c r="L275">
        <f ca="1" t="shared" si="9"/>
        <v>45942</v>
      </c>
    </row>
    <row r="276" spans="9:12">
      <c r="I276">
        <f>IFERROR(VLOOKUP(H276,Rates!$A$2:$B$3,2,0),1)</f>
        <v>1</v>
      </c>
      <c r="J276" t="str">
        <f t="shared" si="8"/>
        <v/>
      </c>
      <c r="K276" t="str">
        <f>IF(J276&lt;&gt;"",SUM($J$2:J276),"")</f>
        <v/>
      </c>
      <c r="L276">
        <f ca="1" t="shared" si="9"/>
        <v>45942</v>
      </c>
    </row>
    <row r="277" spans="9:12">
      <c r="I277">
        <f>IFERROR(VLOOKUP(H277,Rates!$A$2:$B$3,2,0),1)</f>
        <v>1</v>
      </c>
      <c r="J277" t="str">
        <f t="shared" si="8"/>
        <v/>
      </c>
      <c r="K277" t="str">
        <f>IF(J277&lt;&gt;"",SUM($J$2:J277),"")</f>
        <v/>
      </c>
      <c r="L277">
        <f ca="1" t="shared" si="9"/>
        <v>45942</v>
      </c>
    </row>
    <row r="278" spans="9:12">
      <c r="I278">
        <f>IFERROR(VLOOKUP(H278,Rates!$A$2:$B$3,2,0),1)</f>
        <v>1</v>
      </c>
      <c r="J278" t="str">
        <f t="shared" si="8"/>
        <v/>
      </c>
      <c r="K278" t="str">
        <f>IF(J278&lt;&gt;"",SUM($J$2:J278),"")</f>
        <v/>
      </c>
      <c r="L278">
        <f ca="1" t="shared" si="9"/>
        <v>45942</v>
      </c>
    </row>
    <row r="279" spans="9:12">
      <c r="I279">
        <f>IFERROR(VLOOKUP(H279,Rates!$A$2:$B$3,2,0),1)</f>
        <v>1</v>
      </c>
      <c r="J279" t="str">
        <f t="shared" si="8"/>
        <v/>
      </c>
      <c r="K279" t="str">
        <f>IF(J279&lt;&gt;"",SUM($J$2:J279),"")</f>
        <v/>
      </c>
      <c r="L279">
        <f ca="1" t="shared" si="9"/>
        <v>45942</v>
      </c>
    </row>
    <row r="280" spans="9:12">
      <c r="I280">
        <f>IFERROR(VLOOKUP(H280,Rates!$A$2:$B$3,2,0),1)</f>
        <v>1</v>
      </c>
      <c r="J280" t="str">
        <f t="shared" si="8"/>
        <v/>
      </c>
      <c r="K280" t="str">
        <f>IF(J280&lt;&gt;"",SUM($J$2:J280),"")</f>
        <v/>
      </c>
      <c r="L280">
        <f ca="1" t="shared" si="9"/>
        <v>45942</v>
      </c>
    </row>
    <row r="281" spans="9:12">
      <c r="I281">
        <f>IFERROR(VLOOKUP(H281,Rates!$A$2:$B$3,2,0),1)</f>
        <v>1</v>
      </c>
      <c r="J281" t="str">
        <f t="shared" si="8"/>
        <v/>
      </c>
      <c r="K281" t="str">
        <f>IF(J281&lt;&gt;"",SUM($J$2:J281),"")</f>
        <v/>
      </c>
      <c r="L281">
        <f ca="1" t="shared" si="9"/>
        <v>45942</v>
      </c>
    </row>
    <row r="282" spans="9:12">
      <c r="I282">
        <f>IFERROR(VLOOKUP(H282,Rates!$A$2:$B$3,2,0),1)</f>
        <v>1</v>
      </c>
      <c r="J282" t="str">
        <f t="shared" si="8"/>
        <v/>
      </c>
      <c r="K282" t="str">
        <f>IF(J282&lt;&gt;"",SUM($J$2:J282),"")</f>
        <v/>
      </c>
      <c r="L282">
        <f ca="1" t="shared" si="9"/>
        <v>45942</v>
      </c>
    </row>
    <row r="283" spans="9:12">
      <c r="I283">
        <f>IFERROR(VLOOKUP(H283,Rates!$A$2:$B$3,2,0),1)</f>
        <v>1</v>
      </c>
      <c r="J283" t="str">
        <f t="shared" si="8"/>
        <v/>
      </c>
      <c r="K283" t="str">
        <f>IF(J283&lt;&gt;"",SUM($J$2:J283),"")</f>
        <v/>
      </c>
      <c r="L283">
        <f ca="1" t="shared" si="9"/>
        <v>45942</v>
      </c>
    </row>
    <row r="284" spans="9:12">
      <c r="I284">
        <f>IFERROR(VLOOKUP(H284,Rates!$A$2:$B$3,2,0),1)</f>
        <v>1</v>
      </c>
      <c r="J284" t="str">
        <f t="shared" si="8"/>
        <v/>
      </c>
      <c r="K284" t="str">
        <f>IF(J284&lt;&gt;"",SUM($J$2:J284),"")</f>
        <v/>
      </c>
      <c r="L284">
        <f ca="1" t="shared" si="9"/>
        <v>45942</v>
      </c>
    </row>
    <row r="285" spans="9:12">
      <c r="I285">
        <f>IFERROR(VLOOKUP(H285,Rates!$A$2:$B$3,2,0),1)</f>
        <v>1</v>
      </c>
      <c r="J285" t="str">
        <f t="shared" si="8"/>
        <v/>
      </c>
      <c r="K285" t="str">
        <f>IF(J285&lt;&gt;"",SUM($J$2:J285),"")</f>
        <v/>
      </c>
      <c r="L285">
        <f ca="1" t="shared" si="9"/>
        <v>45942</v>
      </c>
    </row>
    <row r="286" spans="9:12">
      <c r="I286">
        <f>IFERROR(VLOOKUP(H286,Rates!$A$2:$B$3,2,0),1)</f>
        <v>1</v>
      </c>
      <c r="J286" t="str">
        <f t="shared" si="8"/>
        <v/>
      </c>
      <c r="K286" t="str">
        <f>IF(J286&lt;&gt;"",SUM($J$2:J286),"")</f>
        <v/>
      </c>
      <c r="L286">
        <f ca="1" t="shared" si="9"/>
        <v>45942</v>
      </c>
    </row>
    <row r="287" spans="9:12">
      <c r="I287">
        <f>IFERROR(VLOOKUP(H287,Rates!$A$2:$B$3,2,0),1)</f>
        <v>1</v>
      </c>
      <c r="J287" t="str">
        <f t="shared" si="8"/>
        <v/>
      </c>
      <c r="K287" t="str">
        <f>IF(J287&lt;&gt;"",SUM($J$2:J287),"")</f>
        <v/>
      </c>
      <c r="L287">
        <f ca="1" t="shared" si="9"/>
        <v>45942</v>
      </c>
    </row>
    <row r="288" spans="9:12">
      <c r="I288">
        <f>IFERROR(VLOOKUP(H288,Rates!$A$2:$B$3,2,0),1)</f>
        <v>1</v>
      </c>
      <c r="J288" t="str">
        <f t="shared" si="8"/>
        <v/>
      </c>
      <c r="K288" t="str">
        <f>IF(J288&lt;&gt;"",SUM($J$2:J288),"")</f>
        <v/>
      </c>
      <c r="L288">
        <f ca="1" t="shared" si="9"/>
        <v>45942</v>
      </c>
    </row>
    <row r="289" spans="9:12">
      <c r="I289">
        <f>IFERROR(VLOOKUP(H289,Rates!$A$2:$B$3,2,0),1)</f>
        <v>1</v>
      </c>
      <c r="J289" t="str">
        <f t="shared" si="8"/>
        <v/>
      </c>
      <c r="K289" t="str">
        <f>IF(J289&lt;&gt;"",SUM($J$2:J289),"")</f>
        <v/>
      </c>
      <c r="L289">
        <f ca="1" t="shared" si="9"/>
        <v>45942</v>
      </c>
    </row>
    <row r="290" spans="9:12">
      <c r="I290">
        <f>IFERROR(VLOOKUP(H290,Rates!$A$2:$B$3,2,0),1)</f>
        <v>1</v>
      </c>
      <c r="J290" t="str">
        <f t="shared" si="8"/>
        <v/>
      </c>
      <c r="K290" t="str">
        <f>IF(J290&lt;&gt;"",SUM($J$2:J290),"")</f>
        <v/>
      </c>
      <c r="L290">
        <f ca="1" t="shared" si="9"/>
        <v>45942</v>
      </c>
    </row>
    <row r="291" spans="9:12">
      <c r="I291">
        <f>IFERROR(VLOOKUP(H291,Rates!$A$2:$B$3,2,0),1)</f>
        <v>1</v>
      </c>
      <c r="J291" t="str">
        <f t="shared" si="8"/>
        <v/>
      </c>
      <c r="K291" t="str">
        <f>IF(J291&lt;&gt;"",SUM($J$2:J291),"")</f>
        <v/>
      </c>
      <c r="L291">
        <f ca="1" t="shared" si="9"/>
        <v>45942</v>
      </c>
    </row>
    <row r="292" spans="9:12">
      <c r="I292">
        <f>IFERROR(VLOOKUP(H292,Rates!$A$2:$B$3,2,0),1)</f>
        <v>1</v>
      </c>
      <c r="J292" t="str">
        <f t="shared" si="8"/>
        <v/>
      </c>
      <c r="K292" t="str">
        <f>IF(J292&lt;&gt;"",SUM($J$2:J292),"")</f>
        <v/>
      </c>
      <c r="L292">
        <f ca="1" t="shared" si="9"/>
        <v>45942</v>
      </c>
    </row>
    <row r="293" spans="9:12">
      <c r="I293">
        <f>IFERROR(VLOOKUP(H293,Rates!$A$2:$B$3,2,0),1)</f>
        <v>1</v>
      </c>
      <c r="J293" t="str">
        <f t="shared" si="8"/>
        <v/>
      </c>
      <c r="K293" t="str">
        <f>IF(J293&lt;&gt;"",SUM($J$2:J293),"")</f>
        <v/>
      </c>
      <c r="L293">
        <f ca="1" t="shared" si="9"/>
        <v>45942</v>
      </c>
    </row>
    <row r="294" spans="9:12">
      <c r="I294">
        <f>IFERROR(VLOOKUP(H294,Rates!$A$2:$B$3,2,0),1)</f>
        <v>1</v>
      </c>
      <c r="J294" t="str">
        <f t="shared" si="8"/>
        <v/>
      </c>
      <c r="K294" t="str">
        <f>IF(J294&lt;&gt;"",SUM($J$2:J294),"")</f>
        <v/>
      </c>
      <c r="L294">
        <f ca="1" t="shared" si="9"/>
        <v>45942</v>
      </c>
    </row>
    <row r="295" spans="9:12">
      <c r="I295">
        <f>IFERROR(VLOOKUP(H295,Rates!$A$2:$B$3,2,0),1)</f>
        <v>1</v>
      </c>
      <c r="J295" t="str">
        <f t="shared" si="8"/>
        <v/>
      </c>
      <c r="K295" t="str">
        <f>IF(J295&lt;&gt;"",SUM($J$2:J295),"")</f>
        <v/>
      </c>
      <c r="L295">
        <f ca="1" t="shared" si="9"/>
        <v>45942</v>
      </c>
    </row>
    <row r="296" spans="9:12">
      <c r="I296">
        <f>IFERROR(VLOOKUP(H296,Rates!$A$2:$B$3,2,0),1)</f>
        <v>1</v>
      </c>
      <c r="J296" t="str">
        <f t="shared" si="8"/>
        <v/>
      </c>
      <c r="K296" t="str">
        <f>IF(J296&lt;&gt;"",SUM($J$2:J296),"")</f>
        <v/>
      </c>
      <c r="L296">
        <f ca="1" t="shared" si="9"/>
        <v>45942</v>
      </c>
    </row>
    <row r="297" spans="9:12">
      <c r="I297">
        <f>IFERROR(VLOOKUP(H297,Rates!$A$2:$B$3,2,0),1)</f>
        <v>1</v>
      </c>
      <c r="J297" t="str">
        <f t="shared" si="8"/>
        <v/>
      </c>
      <c r="K297" t="str">
        <f>IF(J297&lt;&gt;"",SUM($J$2:J297),"")</f>
        <v/>
      </c>
      <c r="L297">
        <f ca="1" t="shared" si="9"/>
        <v>45942</v>
      </c>
    </row>
    <row r="298" spans="9:12">
      <c r="I298">
        <f>IFERROR(VLOOKUP(H298,Rates!$A$2:$B$3,2,0),1)</f>
        <v>1</v>
      </c>
      <c r="J298" t="str">
        <f t="shared" si="8"/>
        <v/>
      </c>
      <c r="K298" t="str">
        <f>IF(J298&lt;&gt;"",SUM($J$2:J298),"")</f>
        <v/>
      </c>
      <c r="L298">
        <f ca="1" t="shared" si="9"/>
        <v>45942</v>
      </c>
    </row>
    <row r="299" spans="9:12">
      <c r="I299">
        <f>IFERROR(VLOOKUP(H299,Rates!$A$2:$B$3,2,0),1)</f>
        <v>1</v>
      </c>
      <c r="J299" t="str">
        <f t="shared" si="8"/>
        <v/>
      </c>
      <c r="K299" t="str">
        <f>IF(J299&lt;&gt;"",SUM($J$2:J299),"")</f>
        <v/>
      </c>
      <c r="L299">
        <f ca="1" t="shared" si="9"/>
        <v>45942</v>
      </c>
    </row>
    <row r="300" spans="9:12">
      <c r="I300">
        <f>IFERROR(VLOOKUP(H300,Rates!$A$2:$B$3,2,0),1)</f>
        <v>1</v>
      </c>
      <c r="J300" t="str">
        <f t="shared" si="8"/>
        <v/>
      </c>
      <c r="K300" t="str">
        <f>IF(J300&lt;&gt;"",SUM($J$2:J300),"")</f>
        <v/>
      </c>
      <c r="L300">
        <f ca="1" t="shared" si="9"/>
        <v>45942</v>
      </c>
    </row>
    <row r="301" spans="9:12">
      <c r="I301">
        <f>IFERROR(VLOOKUP(H301,Rates!$A$2:$B$3,2,0),1)</f>
        <v>1</v>
      </c>
      <c r="J301" t="str">
        <f t="shared" si="8"/>
        <v/>
      </c>
      <c r="K301" t="str">
        <f>IF(J301&lt;&gt;"",SUM($J$2:J301),"")</f>
        <v/>
      </c>
      <c r="L301">
        <f ca="1" t="shared" si="9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workbookViewId="0">
      <pane ySplit="1" topLeftCell="A2" activePane="bottomLeft" state="frozen"/>
      <selection/>
      <selection pane="bottomLeft" activeCell="Q25" sqref="N1:Q25"/>
    </sheetView>
  </sheetViews>
  <sheetFormatPr defaultColWidth="9" defaultRowHeight="16.8"/>
  <cols>
    <col min="1" max="1" width="22" customWidth="1"/>
    <col min="2" max="2" width="12" customWidth="1"/>
    <col min="3" max="4" width="16" customWidth="1"/>
    <col min="5" max="5" width="26" customWidth="1"/>
    <col min="6" max="6" width="36" customWidth="1"/>
    <col min="7" max="7" width="12" customWidth="1"/>
    <col min="8" max="9" width="10" customWidth="1"/>
    <col min="10" max="10" width="14" customWidth="1"/>
    <col min="11" max="11" width="16" customWidth="1"/>
    <col min="12" max="12" width="14" customWidth="1"/>
    <col min="14" max="14" width="2" customWidth="1"/>
    <col min="16" max="16" width="2" customWidth="1"/>
  </cols>
  <sheetData>
    <row r="1" spans="1:12">
      <c r="A1" t="s">
        <v>36</v>
      </c>
      <c r="B1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</row>
    <row r="2" spans="1:12">
      <c r="A2" t="s">
        <v>45</v>
      </c>
      <c r="B2" t="s">
        <v>88</v>
      </c>
      <c r="H2" t="s">
        <v>3</v>
      </c>
      <c r="I2">
        <f>IFERROR(VLOOKUP(H2,Rates!$A$2:$B$3,2,0),1)</f>
        <v>1</v>
      </c>
      <c r="J2" t="str">
        <f t="shared" ref="J2:J65" si="0">IF(G2&lt;&gt;"",G2*I2,"")</f>
        <v/>
      </c>
      <c r="K2" t="str">
        <f>IF(J2&lt;&gt;"",J2,"")</f>
        <v/>
      </c>
      <c r="L2">
        <f ca="1" t="shared" ref="L2:L65" si="1">IF(COUNTA(A2:K2)&gt;0,TODAY(),"")</f>
        <v>45942</v>
      </c>
    </row>
    <row r="3" spans="1:12">
      <c r="A3" t="s">
        <v>45</v>
      </c>
      <c r="B3" t="s">
        <v>89</v>
      </c>
      <c r="H3" t="s">
        <v>3</v>
      </c>
      <c r="I3">
        <f>IFERROR(VLOOKUP(H3,Rates!$A$2:$B$3,2,0),1)</f>
        <v>1</v>
      </c>
      <c r="J3" t="str">
        <f t="shared" si="0"/>
        <v/>
      </c>
      <c r="K3" t="str">
        <f>IF(J3&lt;&gt;"",SUM($J$2:J3),"")</f>
        <v/>
      </c>
      <c r="L3">
        <f ca="1" t="shared" si="1"/>
        <v>45942</v>
      </c>
    </row>
    <row r="4" spans="1:12">
      <c r="A4" t="s">
        <v>45</v>
      </c>
      <c r="B4" t="s">
        <v>90</v>
      </c>
      <c r="H4" t="s">
        <v>3</v>
      </c>
      <c r="I4">
        <f>IFERROR(VLOOKUP(H4,Rates!$A$2:$B$3,2,0),1)</f>
        <v>1</v>
      </c>
      <c r="J4" t="str">
        <f t="shared" si="0"/>
        <v/>
      </c>
      <c r="K4" t="str">
        <f>IF(J4&lt;&gt;"",SUM($J$2:J4),"")</f>
        <v/>
      </c>
      <c r="L4">
        <f ca="1" t="shared" si="1"/>
        <v>45942</v>
      </c>
    </row>
    <row r="5" spans="9:12">
      <c r="I5">
        <f>IFERROR(VLOOKUP(H5,Rates!$A$2:$B$3,2,0),1)</f>
        <v>1</v>
      </c>
      <c r="J5" t="str">
        <f t="shared" si="0"/>
        <v/>
      </c>
      <c r="K5" t="str">
        <f>IF(J5&lt;&gt;"",SUM($J$2:J5),"")</f>
        <v/>
      </c>
      <c r="L5">
        <f ca="1" t="shared" si="1"/>
        <v>45942</v>
      </c>
    </row>
    <row r="6" spans="9:12">
      <c r="I6">
        <f>IFERROR(VLOOKUP(H6,Rates!$A$2:$B$3,2,0),1)</f>
        <v>1</v>
      </c>
      <c r="J6" t="str">
        <f t="shared" si="0"/>
        <v/>
      </c>
      <c r="K6" t="str">
        <f>IF(J6&lt;&gt;"",SUM($J$2:J6),"")</f>
        <v/>
      </c>
      <c r="L6">
        <f ca="1" t="shared" si="1"/>
        <v>45942</v>
      </c>
    </row>
    <row r="7" spans="9:12">
      <c r="I7">
        <f>IFERROR(VLOOKUP(H7,Rates!$A$2:$B$3,2,0),1)</f>
        <v>1</v>
      </c>
      <c r="J7" t="str">
        <f t="shared" si="0"/>
        <v/>
      </c>
      <c r="K7" t="str">
        <f>IF(J7&lt;&gt;"",SUM($J$2:J7),"")</f>
        <v/>
      </c>
      <c r="L7">
        <f ca="1" t="shared" si="1"/>
        <v>45942</v>
      </c>
    </row>
    <row r="8" spans="9:12">
      <c r="I8">
        <f>IFERROR(VLOOKUP(H8,Rates!$A$2:$B$3,2,0),1)</f>
        <v>1</v>
      </c>
      <c r="J8" t="str">
        <f t="shared" si="0"/>
        <v/>
      </c>
      <c r="K8" t="str">
        <f>IF(J8&lt;&gt;"",SUM($J$2:J8),"")</f>
        <v/>
      </c>
      <c r="L8">
        <f ca="1" t="shared" si="1"/>
        <v>45942</v>
      </c>
    </row>
    <row r="9" spans="9:12">
      <c r="I9">
        <f>IFERROR(VLOOKUP(H9,Rates!$A$2:$B$3,2,0),1)</f>
        <v>1</v>
      </c>
      <c r="J9" t="str">
        <f t="shared" si="0"/>
        <v/>
      </c>
      <c r="K9" t="str">
        <f>IF(J9&lt;&gt;"",SUM($J$2:J9),"")</f>
        <v/>
      </c>
      <c r="L9">
        <f ca="1" t="shared" si="1"/>
        <v>45942</v>
      </c>
    </row>
    <row r="10" spans="9:12">
      <c r="I10">
        <f>IFERROR(VLOOKUP(H10,Rates!$A$2:$B$3,2,0),1)</f>
        <v>1</v>
      </c>
      <c r="J10" t="str">
        <f t="shared" si="0"/>
        <v/>
      </c>
      <c r="K10" t="str">
        <f>IF(J10&lt;&gt;"",SUM($J$2:J10),"")</f>
        <v/>
      </c>
      <c r="L10">
        <f ca="1" t="shared" si="1"/>
        <v>45942</v>
      </c>
    </row>
    <row r="11" spans="9:12">
      <c r="I11">
        <f>IFERROR(VLOOKUP(H11,Rates!$A$2:$B$3,2,0),1)</f>
        <v>1</v>
      </c>
      <c r="J11" t="str">
        <f t="shared" si="0"/>
        <v/>
      </c>
      <c r="K11" t="str">
        <f>IF(J11&lt;&gt;"",SUM($J$2:J11),"")</f>
        <v/>
      </c>
      <c r="L11">
        <f ca="1" t="shared" si="1"/>
        <v>45942</v>
      </c>
    </row>
    <row r="12" spans="9:12">
      <c r="I12">
        <f>IFERROR(VLOOKUP(H12,Rates!$A$2:$B$3,2,0),1)</f>
        <v>1</v>
      </c>
      <c r="J12" t="str">
        <f t="shared" si="0"/>
        <v/>
      </c>
      <c r="K12" t="str">
        <f>IF(J12&lt;&gt;"",SUM($J$2:J12),"")</f>
        <v/>
      </c>
      <c r="L12">
        <f ca="1" t="shared" si="1"/>
        <v>45942</v>
      </c>
    </row>
    <row r="13" spans="9:12">
      <c r="I13">
        <f>IFERROR(VLOOKUP(H13,Rates!$A$2:$B$3,2,0),1)</f>
        <v>1</v>
      </c>
      <c r="J13" t="str">
        <f t="shared" si="0"/>
        <v/>
      </c>
      <c r="K13" t="str">
        <f>IF(J13&lt;&gt;"",SUM($J$2:J13),"")</f>
        <v/>
      </c>
      <c r="L13">
        <f ca="1" t="shared" si="1"/>
        <v>45942</v>
      </c>
    </row>
    <row r="14" spans="9:12">
      <c r="I14">
        <f>IFERROR(VLOOKUP(H14,Rates!$A$2:$B$3,2,0),1)</f>
        <v>1</v>
      </c>
      <c r="J14" t="str">
        <f t="shared" si="0"/>
        <v/>
      </c>
      <c r="K14" t="str">
        <f>IF(J14&lt;&gt;"",SUM($J$2:J14),"")</f>
        <v/>
      </c>
      <c r="L14">
        <f ca="1" t="shared" si="1"/>
        <v>45942</v>
      </c>
    </row>
    <row r="15" spans="9:12">
      <c r="I15">
        <f>IFERROR(VLOOKUP(H15,Rates!$A$2:$B$3,2,0),1)</f>
        <v>1</v>
      </c>
      <c r="J15" t="str">
        <f t="shared" si="0"/>
        <v/>
      </c>
      <c r="K15" t="str">
        <f>IF(J15&lt;&gt;"",SUM($J$2:J15),"")</f>
        <v/>
      </c>
      <c r="L15">
        <f ca="1" t="shared" si="1"/>
        <v>45942</v>
      </c>
    </row>
    <row r="16" spans="9:12">
      <c r="I16">
        <f>IFERROR(VLOOKUP(H16,Rates!$A$2:$B$3,2,0),1)</f>
        <v>1</v>
      </c>
      <c r="J16" t="str">
        <f t="shared" si="0"/>
        <v/>
      </c>
      <c r="K16" t="str">
        <f>IF(J16&lt;&gt;"",SUM($J$2:J16),"")</f>
        <v/>
      </c>
      <c r="L16">
        <f ca="1" t="shared" si="1"/>
        <v>45942</v>
      </c>
    </row>
    <row r="17" spans="9:12">
      <c r="I17">
        <f>IFERROR(VLOOKUP(H17,Rates!$A$2:$B$3,2,0),1)</f>
        <v>1</v>
      </c>
      <c r="J17" t="str">
        <f t="shared" si="0"/>
        <v/>
      </c>
      <c r="K17" t="str">
        <f>IF(J17&lt;&gt;"",SUM($J$2:J17),"")</f>
        <v/>
      </c>
      <c r="L17">
        <f ca="1" t="shared" si="1"/>
        <v>45942</v>
      </c>
    </row>
    <row r="18" spans="9:12">
      <c r="I18">
        <f>IFERROR(VLOOKUP(H18,Rates!$A$2:$B$3,2,0),1)</f>
        <v>1</v>
      </c>
      <c r="J18" t="str">
        <f t="shared" si="0"/>
        <v/>
      </c>
      <c r="K18" t="str">
        <f>IF(J18&lt;&gt;"",SUM($J$2:J18),"")</f>
        <v/>
      </c>
      <c r="L18">
        <f ca="1" t="shared" si="1"/>
        <v>45942</v>
      </c>
    </row>
    <row r="19" spans="9:12">
      <c r="I19">
        <f>IFERROR(VLOOKUP(H19,Rates!$A$2:$B$3,2,0),1)</f>
        <v>1</v>
      </c>
      <c r="J19" t="str">
        <f t="shared" si="0"/>
        <v/>
      </c>
      <c r="K19" t="str">
        <f>IF(J19&lt;&gt;"",SUM($J$2:J19),"")</f>
        <v/>
      </c>
      <c r="L19">
        <f ca="1" t="shared" si="1"/>
        <v>45942</v>
      </c>
    </row>
    <row r="20" spans="9:12">
      <c r="I20">
        <f>IFERROR(VLOOKUP(H20,Rates!$A$2:$B$3,2,0),1)</f>
        <v>1</v>
      </c>
      <c r="J20" t="str">
        <f t="shared" si="0"/>
        <v/>
      </c>
      <c r="K20" t="str">
        <f>IF(J20&lt;&gt;"",SUM($J$2:J20),"")</f>
        <v/>
      </c>
      <c r="L20">
        <f ca="1" t="shared" si="1"/>
        <v>45942</v>
      </c>
    </row>
    <row r="21" spans="9:12">
      <c r="I21">
        <f>IFERROR(VLOOKUP(H21,Rates!$A$2:$B$3,2,0),1)</f>
        <v>1</v>
      </c>
      <c r="J21" t="str">
        <f t="shared" si="0"/>
        <v/>
      </c>
      <c r="K21" t="str">
        <f>IF(J21&lt;&gt;"",SUM($J$2:J21),"")</f>
        <v/>
      </c>
      <c r="L21">
        <f ca="1" t="shared" si="1"/>
        <v>45942</v>
      </c>
    </row>
    <row r="22" spans="9:12">
      <c r="I22">
        <f>IFERROR(VLOOKUP(H22,Rates!$A$2:$B$3,2,0),1)</f>
        <v>1</v>
      </c>
      <c r="J22" t="str">
        <f t="shared" si="0"/>
        <v/>
      </c>
      <c r="K22" t="str">
        <f>IF(J22&lt;&gt;"",SUM($J$2:J22),"")</f>
        <v/>
      </c>
      <c r="L22">
        <f ca="1" t="shared" si="1"/>
        <v>45942</v>
      </c>
    </row>
    <row r="23" spans="9:12">
      <c r="I23">
        <f>IFERROR(VLOOKUP(H23,Rates!$A$2:$B$3,2,0),1)</f>
        <v>1</v>
      </c>
      <c r="J23" t="str">
        <f t="shared" si="0"/>
        <v/>
      </c>
      <c r="K23" t="str">
        <f>IF(J23&lt;&gt;"",SUM($J$2:J23),"")</f>
        <v/>
      </c>
      <c r="L23">
        <f ca="1" t="shared" si="1"/>
        <v>45942</v>
      </c>
    </row>
    <row r="24" spans="9:12">
      <c r="I24">
        <f>IFERROR(VLOOKUP(H24,Rates!$A$2:$B$3,2,0),1)</f>
        <v>1</v>
      </c>
      <c r="J24" t="str">
        <f t="shared" si="0"/>
        <v/>
      </c>
      <c r="K24" t="str">
        <f>IF(J24&lt;&gt;"",SUM($J$2:J24),"")</f>
        <v/>
      </c>
      <c r="L24">
        <f ca="1" t="shared" si="1"/>
        <v>45942</v>
      </c>
    </row>
    <row r="25" spans="9:12">
      <c r="I25">
        <f>IFERROR(VLOOKUP(H25,Rates!$A$2:$B$3,2,0),1)</f>
        <v>1</v>
      </c>
      <c r="J25" t="str">
        <f t="shared" si="0"/>
        <v/>
      </c>
      <c r="K25" t="str">
        <f>IF(J25&lt;&gt;"",SUM($J$2:J25),"")</f>
        <v/>
      </c>
      <c r="L25">
        <f ca="1" t="shared" si="1"/>
        <v>45942</v>
      </c>
    </row>
    <row r="26" spans="9:12">
      <c r="I26">
        <f>IFERROR(VLOOKUP(H26,Rates!$A$2:$B$3,2,0),1)</f>
        <v>1</v>
      </c>
      <c r="J26" t="str">
        <f t="shared" si="0"/>
        <v/>
      </c>
      <c r="K26" t="str">
        <f>IF(J26&lt;&gt;"",SUM($J$2:J26),"")</f>
        <v/>
      </c>
      <c r="L26">
        <f ca="1" t="shared" si="1"/>
        <v>45942</v>
      </c>
    </row>
    <row r="27" spans="9:12">
      <c r="I27">
        <f>IFERROR(VLOOKUP(H27,Rates!$A$2:$B$3,2,0),1)</f>
        <v>1</v>
      </c>
      <c r="J27" t="str">
        <f t="shared" si="0"/>
        <v/>
      </c>
      <c r="K27" t="str">
        <f>IF(J27&lt;&gt;"",SUM($J$2:J27),"")</f>
        <v/>
      </c>
      <c r="L27">
        <f ca="1" t="shared" si="1"/>
        <v>45942</v>
      </c>
    </row>
    <row r="28" spans="9:12">
      <c r="I28">
        <f>IFERROR(VLOOKUP(H28,Rates!$A$2:$B$3,2,0),1)</f>
        <v>1</v>
      </c>
      <c r="J28" t="str">
        <f t="shared" si="0"/>
        <v/>
      </c>
      <c r="K28" t="str">
        <f>IF(J28&lt;&gt;"",SUM($J$2:J28),"")</f>
        <v/>
      </c>
      <c r="L28">
        <f ca="1" t="shared" si="1"/>
        <v>45942</v>
      </c>
    </row>
    <row r="29" spans="9:12">
      <c r="I29">
        <f>IFERROR(VLOOKUP(H29,Rates!$A$2:$B$3,2,0),1)</f>
        <v>1</v>
      </c>
      <c r="J29" t="str">
        <f t="shared" si="0"/>
        <v/>
      </c>
      <c r="K29" t="str">
        <f>IF(J29&lt;&gt;"",SUM($J$2:J29),"")</f>
        <v/>
      </c>
      <c r="L29">
        <f ca="1" t="shared" si="1"/>
        <v>45942</v>
      </c>
    </row>
    <row r="30" spans="9:12">
      <c r="I30">
        <f>IFERROR(VLOOKUP(H30,Rates!$A$2:$B$3,2,0),1)</f>
        <v>1</v>
      </c>
      <c r="J30" t="str">
        <f t="shared" si="0"/>
        <v/>
      </c>
      <c r="K30" t="str">
        <f>IF(J30&lt;&gt;"",SUM($J$2:J30),"")</f>
        <v/>
      </c>
      <c r="L30">
        <f ca="1" t="shared" si="1"/>
        <v>45942</v>
      </c>
    </row>
    <row r="31" spans="9:12">
      <c r="I31">
        <f>IFERROR(VLOOKUP(H31,Rates!$A$2:$B$3,2,0),1)</f>
        <v>1</v>
      </c>
      <c r="J31" t="str">
        <f t="shared" si="0"/>
        <v/>
      </c>
      <c r="K31" t="str">
        <f>IF(J31&lt;&gt;"",SUM($J$2:J31),"")</f>
        <v/>
      </c>
      <c r="L31">
        <f ca="1" t="shared" si="1"/>
        <v>45942</v>
      </c>
    </row>
    <row r="32" spans="9:12">
      <c r="I32">
        <f>IFERROR(VLOOKUP(H32,Rates!$A$2:$B$3,2,0),1)</f>
        <v>1</v>
      </c>
      <c r="J32" t="str">
        <f t="shared" si="0"/>
        <v/>
      </c>
      <c r="K32" t="str">
        <f>IF(J32&lt;&gt;"",SUM($J$2:J32),"")</f>
        <v/>
      </c>
      <c r="L32">
        <f ca="1" t="shared" si="1"/>
        <v>45942</v>
      </c>
    </row>
    <row r="33" spans="9:12">
      <c r="I33">
        <f>IFERROR(VLOOKUP(H33,Rates!$A$2:$B$3,2,0),1)</f>
        <v>1</v>
      </c>
      <c r="J33" t="str">
        <f t="shared" si="0"/>
        <v/>
      </c>
      <c r="K33" t="str">
        <f>IF(J33&lt;&gt;"",SUM($J$2:J33),"")</f>
        <v/>
      </c>
      <c r="L33">
        <f ca="1" t="shared" si="1"/>
        <v>45942</v>
      </c>
    </row>
    <row r="34" spans="9:12">
      <c r="I34">
        <f>IFERROR(VLOOKUP(H34,Rates!$A$2:$B$3,2,0),1)</f>
        <v>1</v>
      </c>
      <c r="J34" t="str">
        <f t="shared" si="0"/>
        <v/>
      </c>
      <c r="K34" t="str">
        <f>IF(J34&lt;&gt;"",SUM($J$2:J34),"")</f>
        <v/>
      </c>
      <c r="L34">
        <f ca="1" t="shared" si="1"/>
        <v>45942</v>
      </c>
    </row>
    <row r="35" spans="9:12">
      <c r="I35">
        <f>IFERROR(VLOOKUP(H35,Rates!$A$2:$B$3,2,0),1)</f>
        <v>1</v>
      </c>
      <c r="J35" t="str">
        <f t="shared" si="0"/>
        <v/>
      </c>
      <c r="K35" t="str">
        <f>IF(J35&lt;&gt;"",SUM($J$2:J35),"")</f>
        <v/>
      </c>
      <c r="L35">
        <f ca="1" t="shared" si="1"/>
        <v>45942</v>
      </c>
    </row>
    <row r="36" spans="9:12">
      <c r="I36">
        <f>IFERROR(VLOOKUP(H36,Rates!$A$2:$B$3,2,0),1)</f>
        <v>1</v>
      </c>
      <c r="J36" t="str">
        <f t="shared" si="0"/>
        <v/>
      </c>
      <c r="K36" t="str">
        <f>IF(J36&lt;&gt;"",SUM($J$2:J36),"")</f>
        <v/>
      </c>
      <c r="L36">
        <f ca="1" t="shared" si="1"/>
        <v>45942</v>
      </c>
    </row>
    <row r="37" spans="9:12">
      <c r="I37">
        <f>IFERROR(VLOOKUP(H37,Rates!$A$2:$B$3,2,0),1)</f>
        <v>1</v>
      </c>
      <c r="J37" t="str">
        <f t="shared" si="0"/>
        <v/>
      </c>
      <c r="K37" t="str">
        <f>IF(J37&lt;&gt;"",SUM($J$2:J37),"")</f>
        <v/>
      </c>
      <c r="L37">
        <f ca="1" t="shared" si="1"/>
        <v>45942</v>
      </c>
    </row>
    <row r="38" spans="9:12">
      <c r="I38">
        <f>IFERROR(VLOOKUP(H38,Rates!$A$2:$B$3,2,0),1)</f>
        <v>1</v>
      </c>
      <c r="J38" t="str">
        <f t="shared" si="0"/>
        <v/>
      </c>
      <c r="K38" t="str">
        <f>IF(J38&lt;&gt;"",SUM($J$2:J38),"")</f>
        <v/>
      </c>
      <c r="L38">
        <f ca="1" t="shared" si="1"/>
        <v>45942</v>
      </c>
    </row>
    <row r="39" spans="9:12">
      <c r="I39">
        <f>IFERROR(VLOOKUP(H39,Rates!$A$2:$B$3,2,0),1)</f>
        <v>1</v>
      </c>
      <c r="J39" t="str">
        <f t="shared" si="0"/>
        <v/>
      </c>
      <c r="K39" t="str">
        <f>IF(J39&lt;&gt;"",SUM($J$2:J39),"")</f>
        <v/>
      </c>
      <c r="L39">
        <f ca="1" t="shared" si="1"/>
        <v>45942</v>
      </c>
    </row>
    <row r="40" spans="9:12">
      <c r="I40">
        <f>IFERROR(VLOOKUP(H40,Rates!$A$2:$B$3,2,0),1)</f>
        <v>1</v>
      </c>
      <c r="J40" t="str">
        <f t="shared" si="0"/>
        <v/>
      </c>
      <c r="K40" t="str">
        <f>IF(J40&lt;&gt;"",SUM($J$2:J40),"")</f>
        <v/>
      </c>
      <c r="L40">
        <f ca="1" t="shared" si="1"/>
        <v>45942</v>
      </c>
    </row>
    <row r="41" spans="9:12">
      <c r="I41">
        <f>IFERROR(VLOOKUP(H41,Rates!$A$2:$B$3,2,0),1)</f>
        <v>1</v>
      </c>
      <c r="J41" t="str">
        <f t="shared" si="0"/>
        <v/>
      </c>
      <c r="K41" t="str">
        <f>IF(J41&lt;&gt;"",SUM($J$2:J41),"")</f>
        <v/>
      </c>
      <c r="L41">
        <f ca="1" t="shared" si="1"/>
        <v>45942</v>
      </c>
    </row>
    <row r="42" spans="9:12">
      <c r="I42">
        <f>IFERROR(VLOOKUP(H42,Rates!$A$2:$B$3,2,0),1)</f>
        <v>1</v>
      </c>
      <c r="J42" t="str">
        <f t="shared" si="0"/>
        <v/>
      </c>
      <c r="K42" t="str">
        <f>IF(J42&lt;&gt;"",SUM($J$2:J42),"")</f>
        <v/>
      </c>
      <c r="L42">
        <f ca="1" t="shared" si="1"/>
        <v>45942</v>
      </c>
    </row>
    <row r="43" spans="9:12">
      <c r="I43">
        <f>IFERROR(VLOOKUP(H43,Rates!$A$2:$B$3,2,0),1)</f>
        <v>1</v>
      </c>
      <c r="J43" t="str">
        <f t="shared" si="0"/>
        <v/>
      </c>
      <c r="K43" t="str">
        <f>IF(J43&lt;&gt;"",SUM($J$2:J43),"")</f>
        <v/>
      </c>
      <c r="L43">
        <f ca="1" t="shared" si="1"/>
        <v>45942</v>
      </c>
    </row>
    <row r="44" spans="9:12">
      <c r="I44">
        <f>IFERROR(VLOOKUP(H44,Rates!$A$2:$B$3,2,0),1)</f>
        <v>1</v>
      </c>
      <c r="J44" t="str">
        <f t="shared" si="0"/>
        <v/>
      </c>
      <c r="K44" t="str">
        <f>IF(J44&lt;&gt;"",SUM($J$2:J44),"")</f>
        <v/>
      </c>
      <c r="L44">
        <f ca="1" t="shared" si="1"/>
        <v>45942</v>
      </c>
    </row>
    <row r="45" spans="9:12">
      <c r="I45">
        <f>IFERROR(VLOOKUP(H45,Rates!$A$2:$B$3,2,0),1)</f>
        <v>1</v>
      </c>
      <c r="J45" t="str">
        <f t="shared" si="0"/>
        <v/>
      </c>
      <c r="K45" t="str">
        <f>IF(J45&lt;&gt;"",SUM($J$2:J45),"")</f>
        <v/>
      </c>
      <c r="L45">
        <f ca="1" t="shared" si="1"/>
        <v>45942</v>
      </c>
    </row>
    <row r="46" spans="9:12">
      <c r="I46">
        <f>IFERROR(VLOOKUP(H46,Rates!$A$2:$B$3,2,0),1)</f>
        <v>1</v>
      </c>
      <c r="J46" t="str">
        <f t="shared" si="0"/>
        <v/>
      </c>
      <c r="K46" t="str">
        <f>IF(J46&lt;&gt;"",SUM($J$2:J46),"")</f>
        <v/>
      </c>
      <c r="L46">
        <f ca="1" t="shared" si="1"/>
        <v>45942</v>
      </c>
    </row>
    <row r="47" spans="9:12">
      <c r="I47">
        <f>IFERROR(VLOOKUP(H47,Rates!$A$2:$B$3,2,0),1)</f>
        <v>1</v>
      </c>
      <c r="J47" t="str">
        <f t="shared" si="0"/>
        <v/>
      </c>
      <c r="K47" t="str">
        <f>IF(J47&lt;&gt;"",SUM($J$2:J47),"")</f>
        <v/>
      </c>
      <c r="L47">
        <f ca="1" t="shared" si="1"/>
        <v>45942</v>
      </c>
    </row>
    <row r="48" spans="9:12">
      <c r="I48">
        <f>IFERROR(VLOOKUP(H48,Rates!$A$2:$B$3,2,0),1)</f>
        <v>1</v>
      </c>
      <c r="J48" t="str">
        <f t="shared" si="0"/>
        <v/>
      </c>
      <c r="K48" t="str">
        <f>IF(J48&lt;&gt;"",SUM($J$2:J48),"")</f>
        <v/>
      </c>
      <c r="L48">
        <f ca="1" t="shared" si="1"/>
        <v>45942</v>
      </c>
    </row>
    <row r="49" spans="9:12">
      <c r="I49">
        <f>IFERROR(VLOOKUP(H49,Rates!$A$2:$B$3,2,0),1)</f>
        <v>1</v>
      </c>
      <c r="J49" t="str">
        <f t="shared" si="0"/>
        <v/>
      </c>
      <c r="K49" t="str">
        <f>IF(J49&lt;&gt;"",SUM($J$2:J49),"")</f>
        <v/>
      </c>
      <c r="L49">
        <f ca="1" t="shared" si="1"/>
        <v>45942</v>
      </c>
    </row>
    <row r="50" spans="9:12">
      <c r="I50">
        <f>IFERROR(VLOOKUP(H50,Rates!$A$2:$B$3,2,0),1)</f>
        <v>1</v>
      </c>
      <c r="J50" t="str">
        <f t="shared" si="0"/>
        <v/>
      </c>
      <c r="K50" t="str">
        <f>IF(J50&lt;&gt;"",SUM($J$2:J50),"")</f>
        <v/>
      </c>
      <c r="L50">
        <f ca="1" t="shared" si="1"/>
        <v>45942</v>
      </c>
    </row>
    <row r="51" spans="9:12">
      <c r="I51">
        <f>IFERROR(VLOOKUP(H51,Rates!$A$2:$B$3,2,0),1)</f>
        <v>1</v>
      </c>
      <c r="J51" t="str">
        <f t="shared" si="0"/>
        <v/>
      </c>
      <c r="K51" t="str">
        <f>IF(J51&lt;&gt;"",SUM($J$2:J51),"")</f>
        <v/>
      </c>
      <c r="L51">
        <f ca="1" t="shared" si="1"/>
        <v>45942</v>
      </c>
    </row>
    <row r="52" spans="9:12">
      <c r="I52">
        <f>IFERROR(VLOOKUP(H52,Rates!$A$2:$B$3,2,0),1)</f>
        <v>1</v>
      </c>
      <c r="J52" t="str">
        <f t="shared" si="0"/>
        <v/>
      </c>
      <c r="K52" t="str">
        <f>IF(J52&lt;&gt;"",SUM($J$2:J52),"")</f>
        <v/>
      </c>
      <c r="L52">
        <f ca="1" t="shared" si="1"/>
        <v>45942</v>
      </c>
    </row>
    <row r="53" spans="9:12">
      <c r="I53">
        <f>IFERROR(VLOOKUP(H53,Rates!$A$2:$B$3,2,0),1)</f>
        <v>1</v>
      </c>
      <c r="J53" t="str">
        <f t="shared" si="0"/>
        <v/>
      </c>
      <c r="K53" t="str">
        <f>IF(J53&lt;&gt;"",SUM($J$2:J53),"")</f>
        <v/>
      </c>
      <c r="L53">
        <f ca="1" t="shared" si="1"/>
        <v>45942</v>
      </c>
    </row>
    <row r="54" spans="9:12">
      <c r="I54">
        <f>IFERROR(VLOOKUP(H54,Rates!$A$2:$B$3,2,0),1)</f>
        <v>1</v>
      </c>
      <c r="J54" t="str">
        <f t="shared" si="0"/>
        <v/>
      </c>
      <c r="K54" t="str">
        <f>IF(J54&lt;&gt;"",SUM($J$2:J54),"")</f>
        <v/>
      </c>
      <c r="L54">
        <f ca="1" t="shared" si="1"/>
        <v>45942</v>
      </c>
    </row>
    <row r="55" spans="9:12">
      <c r="I55">
        <f>IFERROR(VLOOKUP(H55,Rates!$A$2:$B$3,2,0),1)</f>
        <v>1</v>
      </c>
      <c r="J55" t="str">
        <f t="shared" si="0"/>
        <v/>
      </c>
      <c r="K55" t="str">
        <f>IF(J55&lt;&gt;"",SUM($J$2:J55),"")</f>
        <v/>
      </c>
      <c r="L55">
        <f ca="1" t="shared" si="1"/>
        <v>45942</v>
      </c>
    </row>
    <row r="56" spans="9:12">
      <c r="I56">
        <f>IFERROR(VLOOKUP(H56,Rates!$A$2:$B$3,2,0),1)</f>
        <v>1</v>
      </c>
      <c r="J56" t="str">
        <f t="shared" si="0"/>
        <v/>
      </c>
      <c r="K56" t="str">
        <f>IF(J56&lt;&gt;"",SUM($J$2:J56),"")</f>
        <v/>
      </c>
      <c r="L56">
        <f ca="1" t="shared" si="1"/>
        <v>45942</v>
      </c>
    </row>
    <row r="57" spans="9:12">
      <c r="I57">
        <f>IFERROR(VLOOKUP(H57,Rates!$A$2:$B$3,2,0),1)</f>
        <v>1</v>
      </c>
      <c r="J57" t="str">
        <f t="shared" si="0"/>
        <v/>
      </c>
      <c r="K57" t="str">
        <f>IF(J57&lt;&gt;"",SUM($J$2:J57),"")</f>
        <v/>
      </c>
      <c r="L57">
        <f ca="1" t="shared" si="1"/>
        <v>45942</v>
      </c>
    </row>
    <row r="58" spans="9:12">
      <c r="I58">
        <f>IFERROR(VLOOKUP(H58,Rates!$A$2:$B$3,2,0),1)</f>
        <v>1</v>
      </c>
      <c r="J58" t="str">
        <f t="shared" si="0"/>
        <v/>
      </c>
      <c r="K58" t="str">
        <f>IF(J58&lt;&gt;"",SUM($J$2:J58),"")</f>
        <v/>
      </c>
      <c r="L58">
        <f ca="1" t="shared" si="1"/>
        <v>45942</v>
      </c>
    </row>
    <row r="59" spans="9:12">
      <c r="I59">
        <f>IFERROR(VLOOKUP(H59,Rates!$A$2:$B$3,2,0),1)</f>
        <v>1</v>
      </c>
      <c r="J59" t="str">
        <f t="shared" si="0"/>
        <v/>
      </c>
      <c r="K59" t="str">
        <f>IF(J59&lt;&gt;"",SUM($J$2:J59),"")</f>
        <v/>
      </c>
      <c r="L59">
        <f ca="1" t="shared" si="1"/>
        <v>45942</v>
      </c>
    </row>
    <row r="60" spans="9:12">
      <c r="I60">
        <f>IFERROR(VLOOKUP(H60,Rates!$A$2:$B$3,2,0),1)</f>
        <v>1</v>
      </c>
      <c r="J60" t="str">
        <f t="shared" si="0"/>
        <v/>
      </c>
      <c r="K60" t="str">
        <f>IF(J60&lt;&gt;"",SUM($J$2:J60),"")</f>
        <v/>
      </c>
      <c r="L60">
        <f ca="1" t="shared" si="1"/>
        <v>45942</v>
      </c>
    </row>
    <row r="61" spans="9:12">
      <c r="I61">
        <f>IFERROR(VLOOKUP(H61,Rates!$A$2:$B$3,2,0),1)</f>
        <v>1</v>
      </c>
      <c r="J61" t="str">
        <f t="shared" si="0"/>
        <v/>
      </c>
      <c r="K61" t="str">
        <f>IF(J61&lt;&gt;"",SUM($J$2:J61),"")</f>
        <v/>
      </c>
      <c r="L61">
        <f ca="1" t="shared" si="1"/>
        <v>45942</v>
      </c>
    </row>
    <row r="62" spans="9:12">
      <c r="I62">
        <f>IFERROR(VLOOKUP(H62,Rates!$A$2:$B$3,2,0),1)</f>
        <v>1</v>
      </c>
      <c r="J62" t="str">
        <f t="shared" si="0"/>
        <v/>
      </c>
      <c r="K62" t="str">
        <f>IF(J62&lt;&gt;"",SUM($J$2:J62),"")</f>
        <v/>
      </c>
      <c r="L62">
        <f ca="1" t="shared" si="1"/>
        <v>45942</v>
      </c>
    </row>
    <row r="63" spans="9:12">
      <c r="I63">
        <f>IFERROR(VLOOKUP(H63,Rates!$A$2:$B$3,2,0),1)</f>
        <v>1</v>
      </c>
      <c r="J63" t="str">
        <f t="shared" si="0"/>
        <v/>
      </c>
      <c r="K63" t="str">
        <f>IF(J63&lt;&gt;"",SUM($J$2:J63),"")</f>
        <v/>
      </c>
      <c r="L63">
        <f ca="1" t="shared" si="1"/>
        <v>45942</v>
      </c>
    </row>
    <row r="64" spans="9:12">
      <c r="I64">
        <f>IFERROR(VLOOKUP(H64,Rates!$A$2:$B$3,2,0),1)</f>
        <v>1</v>
      </c>
      <c r="J64" t="str">
        <f t="shared" si="0"/>
        <v/>
      </c>
      <c r="K64" t="str">
        <f>IF(J64&lt;&gt;"",SUM($J$2:J64),"")</f>
        <v/>
      </c>
      <c r="L64">
        <f ca="1" t="shared" si="1"/>
        <v>45942</v>
      </c>
    </row>
    <row r="65" spans="9:12">
      <c r="I65">
        <f>IFERROR(VLOOKUP(H65,Rates!$A$2:$B$3,2,0),1)</f>
        <v>1</v>
      </c>
      <c r="J65" t="str">
        <f t="shared" si="0"/>
        <v/>
      </c>
      <c r="K65" t="str">
        <f>IF(J65&lt;&gt;"",SUM($J$2:J65),"")</f>
        <v/>
      </c>
      <c r="L65">
        <f ca="1" t="shared" si="1"/>
        <v>45942</v>
      </c>
    </row>
    <row r="66" spans="9:12">
      <c r="I66">
        <f>IFERROR(VLOOKUP(H66,Rates!$A$2:$B$3,2,0),1)</f>
        <v>1</v>
      </c>
      <c r="J66" t="str">
        <f t="shared" ref="J66:J129" si="2">IF(G66&lt;&gt;"",G66*I66,"")</f>
        <v/>
      </c>
      <c r="K66" t="str">
        <f>IF(J66&lt;&gt;"",SUM($J$2:J66),"")</f>
        <v/>
      </c>
      <c r="L66">
        <f ca="1" t="shared" ref="L66:L129" si="3">IF(COUNTA(A66:K66)&gt;0,TODAY(),"")</f>
        <v>45942</v>
      </c>
    </row>
    <row r="67" spans="9:12">
      <c r="I67">
        <f>IFERROR(VLOOKUP(H67,Rates!$A$2:$B$3,2,0),1)</f>
        <v>1</v>
      </c>
      <c r="J67" t="str">
        <f t="shared" si="2"/>
        <v/>
      </c>
      <c r="K67" t="str">
        <f>IF(J67&lt;&gt;"",SUM($J$2:J67),"")</f>
        <v/>
      </c>
      <c r="L67">
        <f ca="1" t="shared" si="3"/>
        <v>45942</v>
      </c>
    </row>
    <row r="68" spans="9:12">
      <c r="I68">
        <f>IFERROR(VLOOKUP(H68,Rates!$A$2:$B$3,2,0),1)</f>
        <v>1</v>
      </c>
      <c r="J68" t="str">
        <f t="shared" si="2"/>
        <v/>
      </c>
      <c r="K68" t="str">
        <f>IF(J68&lt;&gt;"",SUM($J$2:J68),"")</f>
        <v/>
      </c>
      <c r="L68">
        <f ca="1" t="shared" si="3"/>
        <v>45942</v>
      </c>
    </row>
    <row r="69" spans="9:12">
      <c r="I69">
        <f>IFERROR(VLOOKUP(H69,Rates!$A$2:$B$3,2,0),1)</f>
        <v>1</v>
      </c>
      <c r="J69" t="str">
        <f t="shared" si="2"/>
        <v/>
      </c>
      <c r="K69" t="str">
        <f>IF(J69&lt;&gt;"",SUM($J$2:J69),"")</f>
        <v/>
      </c>
      <c r="L69">
        <f ca="1" t="shared" si="3"/>
        <v>45942</v>
      </c>
    </row>
    <row r="70" spans="9:12">
      <c r="I70">
        <f>IFERROR(VLOOKUP(H70,Rates!$A$2:$B$3,2,0),1)</f>
        <v>1</v>
      </c>
      <c r="J70" t="str">
        <f t="shared" si="2"/>
        <v/>
      </c>
      <c r="K70" t="str">
        <f>IF(J70&lt;&gt;"",SUM($J$2:J70),"")</f>
        <v/>
      </c>
      <c r="L70">
        <f ca="1" t="shared" si="3"/>
        <v>45942</v>
      </c>
    </row>
    <row r="71" spans="9:12">
      <c r="I71">
        <f>IFERROR(VLOOKUP(H71,Rates!$A$2:$B$3,2,0),1)</f>
        <v>1</v>
      </c>
      <c r="J71" t="str">
        <f t="shared" si="2"/>
        <v/>
      </c>
      <c r="K71" t="str">
        <f>IF(J71&lt;&gt;"",SUM($J$2:J71),"")</f>
        <v/>
      </c>
      <c r="L71">
        <f ca="1" t="shared" si="3"/>
        <v>45942</v>
      </c>
    </row>
    <row r="72" spans="9:12">
      <c r="I72">
        <f>IFERROR(VLOOKUP(H72,Rates!$A$2:$B$3,2,0),1)</f>
        <v>1</v>
      </c>
      <c r="J72" t="str">
        <f t="shared" si="2"/>
        <v/>
      </c>
      <c r="K72" t="str">
        <f>IF(J72&lt;&gt;"",SUM($J$2:J72),"")</f>
        <v/>
      </c>
      <c r="L72">
        <f ca="1" t="shared" si="3"/>
        <v>45942</v>
      </c>
    </row>
    <row r="73" spans="9:12">
      <c r="I73">
        <f>IFERROR(VLOOKUP(H73,Rates!$A$2:$B$3,2,0),1)</f>
        <v>1</v>
      </c>
      <c r="J73" t="str">
        <f t="shared" si="2"/>
        <v/>
      </c>
      <c r="K73" t="str">
        <f>IF(J73&lt;&gt;"",SUM($J$2:J73),"")</f>
        <v/>
      </c>
      <c r="L73">
        <f ca="1" t="shared" si="3"/>
        <v>45942</v>
      </c>
    </row>
    <row r="74" spans="9:12">
      <c r="I74">
        <f>IFERROR(VLOOKUP(H74,Rates!$A$2:$B$3,2,0),1)</f>
        <v>1</v>
      </c>
      <c r="J74" t="str">
        <f t="shared" si="2"/>
        <v/>
      </c>
      <c r="K74" t="str">
        <f>IF(J74&lt;&gt;"",SUM($J$2:J74),"")</f>
        <v/>
      </c>
      <c r="L74">
        <f ca="1" t="shared" si="3"/>
        <v>45942</v>
      </c>
    </row>
    <row r="75" spans="9:12">
      <c r="I75">
        <f>IFERROR(VLOOKUP(H75,Rates!$A$2:$B$3,2,0),1)</f>
        <v>1</v>
      </c>
      <c r="J75" t="str">
        <f t="shared" si="2"/>
        <v/>
      </c>
      <c r="K75" t="str">
        <f>IF(J75&lt;&gt;"",SUM($J$2:J75),"")</f>
        <v/>
      </c>
      <c r="L75">
        <f ca="1" t="shared" si="3"/>
        <v>45942</v>
      </c>
    </row>
    <row r="76" spans="9:12">
      <c r="I76">
        <f>IFERROR(VLOOKUP(H76,Rates!$A$2:$B$3,2,0),1)</f>
        <v>1</v>
      </c>
      <c r="J76" t="str">
        <f t="shared" si="2"/>
        <v/>
      </c>
      <c r="K76" t="str">
        <f>IF(J76&lt;&gt;"",SUM($J$2:J76),"")</f>
        <v/>
      </c>
      <c r="L76">
        <f ca="1" t="shared" si="3"/>
        <v>45942</v>
      </c>
    </row>
    <row r="77" spans="9:12">
      <c r="I77">
        <f>IFERROR(VLOOKUP(H77,Rates!$A$2:$B$3,2,0),1)</f>
        <v>1</v>
      </c>
      <c r="J77" t="str">
        <f t="shared" si="2"/>
        <v/>
      </c>
      <c r="K77" t="str">
        <f>IF(J77&lt;&gt;"",SUM($J$2:J77),"")</f>
        <v/>
      </c>
      <c r="L77">
        <f ca="1" t="shared" si="3"/>
        <v>45942</v>
      </c>
    </row>
    <row r="78" spans="9:12">
      <c r="I78">
        <f>IFERROR(VLOOKUP(H78,Rates!$A$2:$B$3,2,0),1)</f>
        <v>1</v>
      </c>
      <c r="J78" t="str">
        <f t="shared" si="2"/>
        <v/>
      </c>
      <c r="K78" t="str">
        <f>IF(J78&lt;&gt;"",SUM($J$2:J78),"")</f>
        <v/>
      </c>
      <c r="L78">
        <f ca="1" t="shared" si="3"/>
        <v>45942</v>
      </c>
    </row>
    <row r="79" spans="9:12">
      <c r="I79">
        <f>IFERROR(VLOOKUP(H79,Rates!$A$2:$B$3,2,0),1)</f>
        <v>1</v>
      </c>
      <c r="J79" t="str">
        <f t="shared" si="2"/>
        <v/>
      </c>
      <c r="K79" t="str">
        <f>IF(J79&lt;&gt;"",SUM($J$2:J79),"")</f>
        <v/>
      </c>
      <c r="L79">
        <f ca="1" t="shared" si="3"/>
        <v>45942</v>
      </c>
    </row>
    <row r="80" spans="9:12">
      <c r="I80">
        <f>IFERROR(VLOOKUP(H80,Rates!$A$2:$B$3,2,0),1)</f>
        <v>1</v>
      </c>
      <c r="J80" t="str">
        <f t="shared" si="2"/>
        <v/>
      </c>
      <c r="K80" t="str">
        <f>IF(J80&lt;&gt;"",SUM($J$2:J80),"")</f>
        <v/>
      </c>
      <c r="L80">
        <f ca="1" t="shared" si="3"/>
        <v>45942</v>
      </c>
    </row>
    <row r="81" spans="9:12">
      <c r="I81">
        <f>IFERROR(VLOOKUP(H81,Rates!$A$2:$B$3,2,0),1)</f>
        <v>1</v>
      </c>
      <c r="J81" t="str">
        <f t="shared" si="2"/>
        <v/>
      </c>
      <c r="K81" t="str">
        <f>IF(J81&lt;&gt;"",SUM($J$2:J81),"")</f>
        <v/>
      </c>
      <c r="L81">
        <f ca="1" t="shared" si="3"/>
        <v>45942</v>
      </c>
    </row>
    <row r="82" spans="9:12">
      <c r="I82">
        <f>IFERROR(VLOOKUP(H82,Rates!$A$2:$B$3,2,0),1)</f>
        <v>1</v>
      </c>
      <c r="J82" t="str">
        <f t="shared" si="2"/>
        <v/>
      </c>
      <c r="K82" t="str">
        <f>IF(J82&lt;&gt;"",SUM($J$2:J82),"")</f>
        <v/>
      </c>
      <c r="L82">
        <f ca="1" t="shared" si="3"/>
        <v>45942</v>
      </c>
    </row>
    <row r="83" spans="9:12">
      <c r="I83">
        <f>IFERROR(VLOOKUP(H83,Rates!$A$2:$B$3,2,0),1)</f>
        <v>1</v>
      </c>
      <c r="J83" t="str">
        <f t="shared" si="2"/>
        <v/>
      </c>
      <c r="K83" t="str">
        <f>IF(J83&lt;&gt;"",SUM($J$2:J83),"")</f>
        <v/>
      </c>
      <c r="L83">
        <f ca="1" t="shared" si="3"/>
        <v>45942</v>
      </c>
    </row>
    <row r="84" spans="9:12">
      <c r="I84">
        <f>IFERROR(VLOOKUP(H84,Rates!$A$2:$B$3,2,0),1)</f>
        <v>1</v>
      </c>
      <c r="J84" t="str">
        <f t="shared" si="2"/>
        <v/>
      </c>
      <c r="K84" t="str">
        <f>IF(J84&lt;&gt;"",SUM($J$2:J84),"")</f>
        <v/>
      </c>
      <c r="L84">
        <f ca="1" t="shared" si="3"/>
        <v>45942</v>
      </c>
    </row>
    <row r="85" spans="9:12">
      <c r="I85">
        <f>IFERROR(VLOOKUP(H85,Rates!$A$2:$B$3,2,0),1)</f>
        <v>1</v>
      </c>
      <c r="J85" t="str">
        <f t="shared" si="2"/>
        <v/>
      </c>
      <c r="K85" t="str">
        <f>IF(J85&lt;&gt;"",SUM($J$2:J85),"")</f>
        <v/>
      </c>
      <c r="L85">
        <f ca="1" t="shared" si="3"/>
        <v>45942</v>
      </c>
    </row>
    <row r="86" spans="9:12">
      <c r="I86">
        <f>IFERROR(VLOOKUP(H86,Rates!$A$2:$B$3,2,0),1)</f>
        <v>1</v>
      </c>
      <c r="J86" t="str">
        <f t="shared" si="2"/>
        <v/>
      </c>
      <c r="K86" t="str">
        <f>IF(J86&lt;&gt;"",SUM($J$2:J86),"")</f>
        <v/>
      </c>
      <c r="L86">
        <f ca="1" t="shared" si="3"/>
        <v>45942</v>
      </c>
    </row>
    <row r="87" spans="9:12">
      <c r="I87">
        <f>IFERROR(VLOOKUP(H87,Rates!$A$2:$B$3,2,0),1)</f>
        <v>1</v>
      </c>
      <c r="J87" t="str">
        <f t="shared" si="2"/>
        <v/>
      </c>
      <c r="K87" t="str">
        <f>IF(J87&lt;&gt;"",SUM($J$2:J87),"")</f>
        <v/>
      </c>
      <c r="L87">
        <f ca="1" t="shared" si="3"/>
        <v>45942</v>
      </c>
    </row>
    <row r="88" spans="9:12">
      <c r="I88">
        <f>IFERROR(VLOOKUP(H88,Rates!$A$2:$B$3,2,0),1)</f>
        <v>1</v>
      </c>
      <c r="J88" t="str">
        <f t="shared" si="2"/>
        <v/>
      </c>
      <c r="K88" t="str">
        <f>IF(J88&lt;&gt;"",SUM($J$2:J88),"")</f>
        <v/>
      </c>
      <c r="L88">
        <f ca="1" t="shared" si="3"/>
        <v>45942</v>
      </c>
    </row>
    <row r="89" spans="9:12">
      <c r="I89">
        <f>IFERROR(VLOOKUP(H89,Rates!$A$2:$B$3,2,0),1)</f>
        <v>1</v>
      </c>
      <c r="J89" t="str">
        <f t="shared" si="2"/>
        <v/>
      </c>
      <c r="K89" t="str">
        <f>IF(J89&lt;&gt;"",SUM($J$2:J89),"")</f>
        <v/>
      </c>
      <c r="L89">
        <f ca="1" t="shared" si="3"/>
        <v>45942</v>
      </c>
    </row>
    <row r="90" spans="9:12">
      <c r="I90">
        <f>IFERROR(VLOOKUP(H90,Rates!$A$2:$B$3,2,0),1)</f>
        <v>1</v>
      </c>
      <c r="J90" t="str">
        <f t="shared" si="2"/>
        <v/>
      </c>
      <c r="K90" t="str">
        <f>IF(J90&lt;&gt;"",SUM($J$2:J90),"")</f>
        <v/>
      </c>
      <c r="L90">
        <f ca="1" t="shared" si="3"/>
        <v>45942</v>
      </c>
    </row>
    <row r="91" spans="9:12">
      <c r="I91">
        <f>IFERROR(VLOOKUP(H91,Rates!$A$2:$B$3,2,0),1)</f>
        <v>1</v>
      </c>
      <c r="J91" t="str">
        <f t="shared" si="2"/>
        <v/>
      </c>
      <c r="K91" t="str">
        <f>IF(J91&lt;&gt;"",SUM($J$2:J91),"")</f>
        <v/>
      </c>
      <c r="L91">
        <f ca="1" t="shared" si="3"/>
        <v>45942</v>
      </c>
    </row>
    <row r="92" spans="9:12">
      <c r="I92">
        <f>IFERROR(VLOOKUP(H92,Rates!$A$2:$B$3,2,0),1)</f>
        <v>1</v>
      </c>
      <c r="J92" t="str">
        <f t="shared" si="2"/>
        <v/>
      </c>
      <c r="K92" t="str">
        <f>IF(J92&lt;&gt;"",SUM($J$2:J92),"")</f>
        <v/>
      </c>
      <c r="L92">
        <f ca="1" t="shared" si="3"/>
        <v>45942</v>
      </c>
    </row>
    <row r="93" spans="9:12">
      <c r="I93">
        <f>IFERROR(VLOOKUP(H93,Rates!$A$2:$B$3,2,0),1)</f>
        <v>1</v>
      </c>
      <c r="J93" t="str">
        <f t="shared" si="2"/>
        <v/>
      </c>
      <c r="K93" t="str">
        <f>IF(J93&lt;&gt;"",SUM($J$2:J93),"")</f>
        <v/>
      </c>
      <c r="L93">
        <f ca="1" t="shared" si="3"/>
        <v>45942</v>
      </c>
    </row>
    <row r="94" spans="9:12">
      <c r="I94">
        <f>IFERROR(VLOOKUP(H94,Rates!$A$2:$B$3,2,0),1)</f>
        <v>1</v>
      </c>
      <c r="J94" t="str">
        <f t="shared" si="2"/>
        <v/>
      </c>
      <c r="K94" t="str">
        <f>IF(J94&lt;&gt;"",SUM($J$2:J94),"")</f>
        <v/>
      </c>
      <c r="L94">
        <f ca="1" t="shared" si="3"/>
        <v>45942</v>
      </c>
    </row>
    <row r="95" spans="9:12">
      <c r="I95">
        <f>IFERROR(VLOOKUP(H95,Rates!$A$2:$B$3,2,0),1)</f>
        <v>1</v>
      </c>
      <c r="J95" t="str">
        <f t="shared" si="2"/>
        <v/>
      </c>
      <c r="K95" t="str">
        <f>IF(J95&lt;&gt;"",SUM($J$2:J95),"")</f>
        <v/>
      </c>
      <c r="L95">
        <f ca="1" t="shared" si="3"/>
        <v>45942</v>
      </c>
    </row>
    <row r="96" spans="9:12">
      <c r="I96">
        <f>IFERROR(VLOOKUP(H96,Rates!$A$2:$B$3,2,0),1)</f>
        <v>1</v>
      </c>
      <c r="J96" t="str">
        <f t="shared" si="2"/>
        <v/>
      </c>
      <c r="K96" t="str">
        <f>IF(J96&lt;&gt;"",SUM($J$2:J96),"")</f>
        <v/>
      </c>
      <c r="L96">
        <f ca="1" t="shared" si="3"/>
        <v>45942</v>
      </c>
    </row>
    <row r="97" spans="9:12">
      <c r="I97">
        <f>IFERROR(VLOOKUP(H97,Rates!$A$2:$B$3,2,0),1)</f>
        <v>1</v>
      </c>
      <c r="J97" t="str">
        <f t="shared" si="2"/>
        <v/>
      </c>
      <c r="K97" t="str">
        <f>IF(J97&lt;&gt;"",SUM($J$2:J97),"")</f>
        <v/>
      </c>
      <c r="L97">
        <f ca="1" t="shared" si="3"/>
        <v>45942</v>
      </c>
    </row>
    <row r="98" spans="9:12">
      <c r="I98">
        <f>IFERROR(VLOOKUP(H98,Rates!$A$2:$B$3,2,0),1)</f>
        <v>1</v>
      </c>
      <c r="J98" t="str">
        <f t="shared" si="2"/>
        <v/>
      </c>
      <c r="K98" t="str">
        <f>IF(J98&lt;&gt;"",SUM($J$2:J98),"")</f>
        <v/>
      </c>
      <c r="L98">
        <f ca="1" t="shared" si="3"/>
        <v>45942</v>
      </c>
    </row>
    <row r="99" spans="9:12">
      <c r="I99">
        <f>IFERROR(VLOOKUP(H99,Rates!$A$2:$B$3,2,0),1)</f>
        <v>1</v>
      </c>
      <c r="J99" t="str">
        <f t="shared" si="2"/>
        <v/>
      </c>
      <c r="K99" t="str">
        <f>IF(J99&lt;&gt;"",SUM($J$2:J99),"")</f>
        <v/>
      </c>
      <c r="L99">
        <f ca="1" t="shared" si="3"/>
        <v>45942</v>
      </c>
    </row>
    <row r="100" spans="9:12">
      <c r="I100">
        <f>IFERROR(VLOOKUP(H100,Rates!$A$2:$B$3,2,0),1)</f>
        <v>1</v>
      </c>
      <c r="J100" t="str">
        <f t="shared" si="2"/>
        <v/>
      </c>
      <c r="K100" t="str">
        <f>IF(J100&lt;&gt;"",SUM($J$2:J100),"")</f>
        <v/>
      </c>
      <c r="L100">
        <f ca="1" t="shared" si="3"/>
        <v>45942</v>
      </c>
    </row>
    <row r="101" spans="9:12">
      <c r="I101">
        <f>IFERROR(VLOOKUP(H101,Rates!$A$2:$B$3,2,0),1)</f>
        <v>1</v>
      </c>
      <c r="J101" t="str">
        <f t="shared" si="2"/>
        <v/>
      </c>
      <c r="K101" t="str">
        <f>IF(J101&lt;&gt;"",SUM($J$2:J101),"")</f>
        <v/>
      </c>
      <c r="L101">
        <f ca="1" t="shared" si="3"/>
        <v>45942</v>
      </c>
    </row>
    <row r="102" spans="9:12">
      <c r="I102">
        <f>IFERROR(VLOOKUP(H102,Rates!$A$2:$B$3,2,0),1)</f>
        <v>1</v>
      </c>
      <c r="J102" t="str">
        <f t="shared" si="2"/>
        <v/>
      </c>
      <c r="K102" t="str">
        <f>IF(J102&lt;&gt;"",SUM($J$2:J102),"")</f>
        <v/>
      </c>
      <c r="L102">
        <f ca="1" t="shared" si="3"/>
        <v>45942</v>
      </c>
    </row>
    <row r="103" spans="9:12">
      <c r="I103">
        <f>IFERROR(VLOOKUP(H103,Rates!$A$2:$B$3,2,0),1)</f>
        <v>1</v>
      </c>
      <c r="J103" t="str">
        <f t="shared" si="2"/>
        <v/>
      </c>
      <c r="K103" t="str">
        <f>IF(J103&lt;&gt;"",SUM($J$2:J103),"")</f>
        <v/>
      </c>
      <c r="L103">
        <f ca="1" t="shared" si="3"/>
        <v>45942</v>
      </c>
    </row>
    <row r="104" spans="9:12">
      <c r="I104">
        <f>IFERROR(VLOOKUP(H104,Rates!$A$2:$B$3,2,0),1)</f>
        <v>1</v>
      </c>
      <c r="J104" t="str">
        <f t="shared" si="2"/>
        <v/>
      </c>
      <c r="K104" t="str">
        <f>IF(J104&lt;&gt;"",SUM($J$2:J104),"")</f>
        <v/>
      </c>
      <c r="L104">
        <f ca="1" t="shared" si="3"/>
        <v>45942</v>
      </c>
    </row>
    <row r="105" spans="9:12">
      <c r="I105">
        <f>IFERROR(VLOOKUP(H105,Rates!$A$2:$B$3,2,0),1)</f>
        <v>1</v>
      </c>
      <c r="J105" t="str">
        <f t="shared" si="2"/>
        <v/>
      </c>
      <c r="K105" t="str">
        <f>IF(J105&lt;&gt;"",SUM($J$2:J105),"")</f>
        <v/>
      </c>
      <c r="L105">
        <f ca="1" t="shared" si="3"/>
        <v>45942</v>
      </c>
    </row>
    <row r="106" spans="9:12">
      <c r="I106">
        <f>IFERROR(VLOOKUP(H106,Rates!$A$2:$B$3,2,0),1)</f>
        <v>1</v>
      </c>
      <c r="J106" t="str">
        <f t="shared" si="2"/>
        <v/>
      </c>
      <c r="K106" t="str">
        <f>IF(J106&lt;&gt;"",SUM($J$2:J106),"")</f>
        <v/>
      </c>
      <c r="L106">
        <f ca="1" t="shared" si="3"/>
        <v>45942</v>
      </c>
    </row>
    <row r="107" spans="9:12">
      <c r="I107">
        <f>IFERROR(VLOOKUP(H107,Rates!$A$2:$B$3,2,0),1)</f>
        <v>1</v>
      </c>
      <c r="J107" t="str">
        <f t="shared" si="2"/>
        <v/>
      </c>
      <c r="K107" t="str">
        <f>IF(J107&lt;&gt;"",SUM($J$2:J107),"")</f>
        <v/>
      </c>
      <c r="L107">
        <f ca="1" t="shared" si="3"/>
        <v>45942</v>
      </c>
    </row>
    <row r="108" spans="9:12">
      <c r="I108">
        <f>IFERROR(VLOOKUP(H108,Rates!$A$2:$B$3,2,0),1)</f>
        <v>1</v>
      </c>
      <c r="J108" t="str">
        <f t="shared" si="2"/>
        <v/>
      </c>
      <c r="K108" t="str">
        <f>IF(J108&lt;&gt;"",SUM($J$2:J108),"")</f>
        <v/>
      </c>
      <c r="L108">
        <f ca="1" t="shared" si="3"/>
        <v>45942</v>
      </c>
    </row>
    <row r="109" spans="9:12">
      <c r="I109">
        <f>IFERROR(VLOOKUP(H109,Rates!$A$2:$B$3,2,0),1)</f>
        <v>1</v>
      </c>
      <c r="J109" t="str">
        <f t="shared" si="2"/>
        <v/>
      </c>
      <c r="K109" t="str">
        <f>IF(J109&lt;&gt;"",SUM($J$2:J109),"")</f>
        <v/>
      </c>
      <c r="L109">
        <f ca="1" t="shared" si="3"/>
        <v>45942</v>
      </c>
    </row>
    <row r="110" spans="9:12">
      <c r="I110">
        <f>IFERROR(VLOOKUP(H110,Rates!$A$2:$B$3,2,0),1)</f>
        <v>1</v>
      </c>
      <c r="J110" t="str">
        <f t="shared" si="2"/>
        <v/>
      </c>
      <c r="K110" t="str">
        <f>IF(J110&lt;&gt;"",SUM($J$2:J110),"")</f>
        <v/>
      </c>
      <c r="L110">
        <f ca="1" t="shared" si="3"/>
        <v>45942</v>
      </c>
    </row>
    <row r="111" spans="9:12">
      <c r="I111">
        <f>IFERROR(VLOOKUP(H111,Rates!$A$2:$B$3,2,0),1)</f>
        <v>1</v>
      </c>
      <c r="J111" t="str">
        <f t="shared" si="2"/>
        <v/>
      </c>
      <c r="K111" t="str">
        <f>IF(J111&lt;&gt;"",SUM($J$2:J111),"")</f>
        <v/>
      </c>
      <c r="L111">
        <f ca="1" t="shared" si="3"/>
        <v>45942</v>
      </c>
    </row>
    <row r="112" spans="9:12">
      <c r="I112">
        <f>IFERROR(VLOOKUP(H112,Rates!$A$2:$B$3,2,0),1)</f>
        <v>1</v>
      </c>
      <c r="J112" t="str">
        <f t="shared" si="2"/>
        <v/>
      </c>
      <c r="K112" t="str">
        <f>IF(J112&lt;&gt;"",SUM($J$2:J112),"")</f>
        <v/>
      </c>
      <c r="L112">
        <f ca="1" t="shared" si="3"/>
        <v>45942</v>
      </c>
    </row>
    <row r="113" spans="9:12">
      <c r="I113">
        <f>IFERROR(VLOOKUP(H113,Rates!$A$2:$B$3,2,0),1)</f>
        <v>1</v>
      </c>
      <c r="J113" t="str">
        <f t="shared" si="2"/>
        <v/>
      </c>
      <c r="K113" t="str">
        <f>IF(J113&lt;&gt;"",SUM($J$2:J113),"")</f>
        <v/>
      </c>
      <c r="L113">
        <f ca="1" t="shared" si="3"/>
        <v>45942</v>
      </c>
    </row>
    <row r="114" spans="9:12">
      <c r="I114">
        <f>IFERROR(VLOOKUP(H114,Rates!$A$2:$B$3,2,0),1)</f>
        <v>1</v>
      </c>
      <c r="J114" t="str">
        <f t="shared" si="2"/>
        <v/>
      </c>
      <c r="K114" t="str">
        <f>IF(J114&lt;&gt;"",SUM($J$2:J114),"")</f>
        <v/>
      </c>
      <c r="L114">
        <f ca="1" t="shared" si="3"/>
        <v>45942</v>
      </c>
    </row>
    <row r="115" spans="9:12">
      <c r="I115">
        <f>IFERROR(VLOOKUP(H115,Rates!$A$2:$B$3,2,0),1)</f>
        <v>1</v>
      </c>
      <c r="J115" t="str">
        <f t="shared" si="2"/>
        <v/>
      </c>
      <c r="K115" t="str">
        <f>IF(J115&lt;&gt;"",SUM($J$2:J115),"")</f>
        <v/>
      </c>
      <c r="L115">
        <f ca="1" t="shared" si="3"/>
        <v>45942</v>
      </c>
    </row>
    <row r="116" spans="9:12">
      <c r="I116">
        <f>IFERROR(VLOOKUP(H116,Rates!$A$2:$B$3,2,0),1)</f>
        <v>1</v>
      </c>
      <c r="J116" t="str">
        <f t="shared" si="2"/>
        <v/>
      </c>
      <c r="K116" t="str">
        <f>IF(J116&lt;&gt;"",SUM($J$2:J116),"")</f>
        <v/>
      </c>
      <c r="L116">
        <f ca="1" t="shared" si="3"/>
        <v>45942</v>
      </c>
    </row>
    <row r="117" spans="9:12">
      <c r="I117">
        <f>IFERROR(VLOOKUP(H117,Rates!$A$2:$B$3,2,0),1)</f>
        <v>1</v>
      </c>
      <c r="J117" t="str">
        <f t="shared" si="2"/>
        <v/>
      </c>
      <c r="K117" t="str">
        <f>IF(J117&lt;&gt;"",SUM($J$2:J117),"")</f>
        <v/>
      </c>
      <c r="L117">
        <f ca="1" t="shared" si="3"/>
        <v>45942</v>
      </c>
    </row>
    <row r="118" spans="9:12">
      <c r="I118">
        <f>IFERROR(VLOOKUP(H118,Rates!$A$2:$B$3,2,0),1)</f>
        <v>1</v>
      </c>
      <c r="J118" t="str">
        <f t="shared" si="2"/>
        <v/>
      </c>
      <c r="K118" t="str">
        <f>IF(J118&lt;&gt;"",SUM($J$2:J118),"")</f>
        <v/>
      </c>
      <c r="L118">
        <f ca="1" t="shared" si="3"/>
        <v>45942</v>
      </c>
    </row>
    <row r="119" spans="9:12">
      <c r="I119">
        <f>IFERROR(VLOOKUP(H119,Rates!$A$2:$B$3,2,0),1)</f>
        <v>1</v>
      </c>
      <c r="J119" t="str">
        <f t="shared" si="2"/>
        <v/>
      </c>
      <c r="K119" t="str">
        <f>IF(J119&lt;&gt;"",SUM($J$2:J119),"")</f>
        <v/>
      </c>
      <c r="L119">
        <f ca="1" t="shared" si="3"/>
        <v>45942</v>
      </c>
    </row>
    <row r="120" spans="9:12">
      <c r="I120">
        <f>IFERROR(VLOOKUP(H120,Rates!$A$2:$B$3,2,0),1)</f>
        <v>1</v>
      </c>
      <c r="J120" t="str">
        <f t="shared" si="2"/>
        <v/>
      </c>
      <c r="K120" t="str">
        <f>IF(J120&lt;&gt;"",SUM($J$2:J120),"")</f>
        <v/>
      </c>
      <c r="L120">
        <f ca="1" t="shared" si="3"/>
        <v>45942</v>
      </c>
    </row>
    <row r="121" spans="9:12">
      <c r="I121">
        <f>IFERROR(VLOOKUP(H121,Rates!$A$2:$B$3,2,0),1)</f>
        <v>1</v>
      </c>
      <c r="J121" t="str">
        <f t="shared" si="2"/>
        <v/>
      </c>
      <c r="K121" t="str">
        <f>IF(J121&lt;&gt;"",SUM($J$2:J121),"")</f>
        <v/>
      </c>
      <c r="L121">
        <f ca="1" t="shared" si="3"/>
        <v>45942</v>
      </c>
    </row>
    <row r="122" spans="9:12">
      <c r="I122">
        <f>IFERROR(VLOOKUP(H122,Rates!$A$2:$B$3,2,0),1)</f>
        <v>1</v>
      </c>
      <c r="J122" t="str">
        <f t="shared" si="2"/>
        <v/>
      </c>
      <c r="K122" t="str">
        <f>IF(J122&lt;&gt;"",SUM($J$2:J122),"")</f>
        <v/>
      </c>
      <c r="L122">
        <f ca="1" t="shared" si="3"/>
        <v>45942</v>
      </c>
    </row>
    <row r="123" spans="9:12">
      <c r="I123">
        <f>IFERROR(VLOOKUP(H123,Rates!$A$2:$B$3,2,0),1)</f>
        <v>1</v>
      </c>
      <c r="J123" t="str">
        <f t="shared" si="2"/>
        <v/>
      </c>
      <c r="K123" t="str">
        <f>IF(J123&lt;&gt;"",SUM($J$2:J123),"")</f>
        <v/>
      </c>
      <c r="L123">
        <f ca="1" t="shared" si="3"/>
        <v>45942</v>
      </c>
    </row>
    <row r="124" spans="9:12">
      <c r="I124">
        <f>IFERROR(VLOOKUP(H124,Rates!$A$2:$B$3,2,0),1)</f>
        <v>1</v>
      </c>
      <c r="J124" t="str">
        <f t="shared" si="2"/>
        <v/>
      </c>
      <c r="K124" t="str">
        <f>IF(J124&lt;&gt;"",SUM($J$2:J124),"")</f>
        <v/>
      </c>
      <c r="L124">
        <f ca="1" t="shared" si="3"/>
        <v>45942</v>
      </c>
    </row>
    <row r="125" spans="9:12">
      <c r="I125">
        <f>IFERROR(VLOOKUP(H125,Rates!$A$2:$B$3,2,0),1)</f>
        <v>1</v>
      </c>
      <c r="J125" t="str">
        <f t="shared" si="2"/>
        <v/>
      </c>
      <c r="K125" t="str">
        <f>IF(J125&lt;&gt;"",SUM($J$2:J125),"")</f>
        <v/>
      </c>
      <c r="L125">
        <f ca="1" t="shared" si="3"/>
        <v>45942</v>
      </c>
    </row>
    <row r="126" spans="9:12">
      <c r="I126">
        <f>IFERROR(VLOOKUP(H126,Rates!$A$2:$B$3,2,0),1)</f>
        <v>1</v>
      </c>
      <c r="J126" t="str">
        <f t="shared" si="2"/>
        <v/>
      </c>
      <c r="K126" t="str">
        <f>IF(J126&lt;&gt;"",SUM($J$2:J126),"")</f>
        <v/>
      </c>
      <c r="L126">
        <f ca="1" t="shared" si="3"/>
        <v>45942</v>
      </c>
    </row>
    <row r="127" spans="9:12">
      <c r="I127">
        <f>IFERROR(VLOOKUP(H127,Rates!$A$2:$B$3,2,0),1)</f>
        <v>1</v>
      </c>
      <c r="J127" t="str">
        <f t="shared" si="2"/>
        <v/>
      </c>
      <c r="K127" t="str">
        <f>IF(J127&lt;&gt;"",SUM($J$2:J127),"")</f>
        <v/>
      </c>
      <c r="L127">
        <f ca="1" t="shared" si="3"/>
        <v>45942</v>
      </c>
    </row>
    <row r="128" spans="9:12">
      <c r="I128">
        <f>IFERROR(VLOOKUP(H128,Rates!$A$2:$B$3,2,0),1)</f>
        <v>1</v>
      </c>
      <c r="J128" t="str">
        <f t="shared" si="2"/>
        <v/>
      </c>
      <c r="K128" t="str">
        <f>IF(J128&lt;&gt;"",SUM($J$2:J128),"")</f>
        <v/>
      </c>
      <c r="L128">
        <f ca="1" t="shared" si="3"/>
        <v>45942</v>
      </c>
    </row>
    <row r="129" spans="9:12">
      <c r="I129">
        <f>IFERROR(VLOOKUP(H129,Rates!$A$2:$B$3,2,0),1)</f>
        <v>1</v>
      </c>
      <c r="J129" t="str">
        <f t="shared" si="2"/>
        <v/>
      </c>
      <c r="K129" t="str">
        <f>IF(J129&lt;&gt;"",SUM($J$2:J129),"")</f>
        <v/>
      </c>
      <c r="L129">
        <f ca="1" t="shared" si="3"/>
        <v>45942</v>
      </c>
    </row>
    <row r="130" spans="9:12">
      <c r="I130">
        <f>IFERROR(VLOOKUP(H130,Rates!$A$2:$B$3,2,0),1)</f>
        <v>1</v>
      </c>
      <c r="J130" t="str">
        <f t="shared" ref="J130:J193" si="4">IF(G130&lt;&gt;"",G130*I130,"")</f>
        <v/>
      </c>
      <c r="K130" t="str">
        <f>IF(J130&lt;&gt;"",SUM($J$2:J130),"")</f>
        <v/>
      </c>
      <c r="L130">
        <f ca="1" t="shared" ref="L130:L193" si="5">IF(COUNTA(A130:K130)&gt;0,TODAY(),"")</f>
        <v>45942</v>
      </c>
    </row>
    <row r="131" spans="9:12">
      <c r="I131">
        <f>IFERROR(VLOOKUP(H131,Rates!$A$2:$B$3,2,0),1)</f>
        <v>1</v>
      </c>
      <c r="J131" t="str">
        <f t="shared" si="4"/>
        <v/>
      </c>
      <c r="K131" t="str">
        <f>IF(J131&lt;&gt;"",SUM($J$2:J131),"")</f>
        <v/>
      </c>
      <c r="L131">
        <f ca="1" t="shared" si="5"/>
        <v>45942</v>
      </c>
    </row>
    <row r="132" spans="9:12">
      <c r="I132">
        <f>IFERROR(VLOOKUP(H132,Rates!$A$2:$B$3,2,0),1)</f>
        <v>1</v>
      </c>
      <c r="J132" t="str">
        <f t="shared" si="4"/>
        <v/>
      </c>
      <c r="K132" t="str">
        <f>IF(J132&lt;&gt;"",SUM($J$2:J132),"")</f>
        <v/>
      </c>
      <c r="L132">
        <f ca="1" t="shared" si="5"/>
        <v>45942</v>
      </c>
    </row>
    <row r="133" spans="9:12">
      <c r="I133">
        <f>IFERROR(VLOOKUP(H133,Rates!$A$2:$B$3,2,0),1)</f>
        <v>1</v>
      </c>
      <c r="J133" t="str">
        <f t="shared" si="4"/>
        <v/>
      </c>
      <c r="K133" t="str">
        <f>IF(J133&lt;&gt;"",SUM($J$2:J133),"")</f>
        <v/>
      </c>
      <c r="L133">
        <f ca="1" t="shared" si="5"/>
        <v>45942</v>
      </c>
    </row>
    <row r="134" spans="9:12">
      <c r="I134">
        <f>IFERROR(VLOOKUP(H134,Rates!$A$2:$B$3,2,0),1)</f>
        <v>1</v>
      </c>
      <c r="J134" t="str">
        <f t="shared" si="4"/>
        <v/>
      </c>
      <c r="K134" t="str">
        <f>IF(J134&lt;&gt;"",SUM($J$2:J134),"")</f>
        <v/>
      </c>
      <c r="L134">
        <f ca="1" t="shared" si="5"/>
        <v>45942</v>
      </c>
    </row>
    <row r="135" spans="9:12">
      <c r="I135">
        <f>IFERROR(VLOOKUP(H135,Rates!$A$2:$B$3,2,0),1)</f>
        <v>1</v>
      </c>
      <c r="J135" t="str">
        <f t="shared" si="4"/>
        <v/>
      </c>
      <c r="K135" t="str">
        <f>IF(J135&lt;&gt;"",SUM($J$2:J135),"")</f>
        <v/>
      </c>
      <c r="L135">
        <f ca="1" t="shared" si="5"/>
        <v>45942</v>
      </c>
    </row>
    <row r="136" spans="9:12">
      <c r="I136">
        <f>IFERROR(VLOOKUP(H136,Rates!$A$2:$B$3,2,0),1)</f>
        <v>1</v>
      </c>
      <c r="J136" t="str">
        <f t="shared" si="4"/>
        <v/>
      </c>
      <c r="K136" t="str">
        <f>IF(J136&lt;&gt;"",SUM($J$2:J136),"")</f>
        <v/>
      </c>
      <c r="L136">
        <f ca="1" t="shared" si="5"/>
        <v>45942</v>
      </c>
    </row>
    <row r="137" spans="9:12">
      <c r="I137">
        <f>IFERROR(VLOOKUP(H137,Rates!$A$2:$B$3,2,0),1)</f>
        <v>1</v>
      </c>
      <c r="J137" t="str">
        <f t="shared" si="4"/>
        <v/>
      </c>
      <c r="K137" t="str">
        <f>IF(J137&lt;&gt;"",SUM($J$2:J137),"")</f>
        <v/>
      </c>
      <c r="L137">
        <f ca="1" t="shared" si="5"/>
        <v>45942</v>
      </c>
    </row>
    <row r="138" spans="9:12">
      <c r="I138">
        <f>IFERROR(VLOOKUP(H138,Rates!$A$2:$B$3,2,0),1)</f>
        <v>1</v>
      </c>
      <c r="J138" t="str">
        <f t="shared" si="4"/>
        <v/>
      </c>
      <c r="K138" t="str">
        <f>IF(J138&lt;&gt;"",SUM($J$2:J138),"")</f>
        <v/>
      </c>
      <c r="L138">
        <f ca="1" t="shared" si="5"/>
        <v>45942</v>
      </c>
    </row>
    <row r="139" spans="9:12">
      <c r="I139">
        <f>IFERROR(VLOOKUP(H139,Rates!$A$2:$B$3,2,0),1)</f>
        <v>1</v>
      </c>
      <c r="J139" t="str">
        <f t="shared" si="4"/>
        <v/>
      </c>
      <c r="K139" t="str">
        <f>IF(J139&lt;&gt;"",SUM($J$2:J139),"")</f>
        <v/>
      </c>
      <c r="L139">
        <f ca="1" t="shared" si="5"/>
        <v>45942</v>
      </c>
    </row>
    <row r="140" spans="9:12">
      <c r="I140">
        <f>IFERROR(VLOOKUP(H140,Rates!$A$2:$B$3,2,0),1)</f>
        <v>1</v>
      </c>
      <c r="J140" t="str">
        <f t="shared" si="4"/>
        <v/>
      </c>
      <c r="K140" t="str">
        <f>IF(J140&lt;&gt;"",SUM($J$2:J140),"")</f>
        <v/>
      </c>
      <c r="L140">
        <f ca="1" t="shared" si="5"/>
        <v>45942</v>
      </c>
    </row>
    <row r="141" spans="9:12">
      <c r="I141">
        <f>IFERROR(VLOOKUP(H141,Rates!$A$2:$B$3,2,0),1)</f>
        <v>1</v>
      </c>
      <c r="J141" t="str">
        <f t="shared" si="4"/>
        <v/>
      </c>
      <c r="K141" t="str">
        <f>IF(J141&lt;&gt;"",SUM($J$2:J141),"")</f>
        <v/>
      </c>
      <c r="L141">
        <f ca="1" t="shared" si="5"/>
        <v>45942</v>
      </c>
    </row>
    <row r="142" spans="9:12">
      <c r="I142">
        <f>IFERROR(VLOOKUP(H142,Rates!$A$2:$B$3,2,0),1)</f>
        <v>1</v>
      </c>
      <c r="J142" t="str">
        <f t="shared" si="4"/>
        <v/>
      </c>
      <c r="K142" t="str">
        <f>IF(J142&lt;&gt;"",SUM($J$2:J142),"")</f>
        <v/>
      </c>
      <c r="L142">
        <f ca="1" t="shared" si="5"/>
        <v>45942</v>
      </c>
    </row>
    <row r="143" spans="9:12">
      <c r="I143">
        <f>IFERROR(VLOOKUP(H143,Rates!$A$2:$B$3,2,0),1)</f>
        <v>1</v>
      </c>
      <c r="J143" t="str">
        <f t="shared" si="4"/>
        <v/>
      </c>
      <c r="K143" t="str">
        <f>IF(J143&lt;&gt;"",SUM($J$2:J143),"")</f>
        <v/>
      </c>
      <c r="L143">
        <f ca="1" t="shared" si="5"/>
        <v>45942</v>
      </c>
    </row>
    <row r="144" spans="9:12">
      <c r="I144">
        <f>IFERROR(VLOOKUP(H144,Rates!$A$2:$B$3,2,0),1)</f>
        <v>1</v>
      </c>
      <c r="J144" t="str">
        <f t="shared" si="4"/>
        <v/>
      </c>
      <c r="K144" t="str">
        <f>IF(J144&lt;&gt;"",SUM($J$2:J144),"")</f>
        <v/>
      </c>
      <c r="L144">
        <f ca="1" t="shared" si="5"/>
        <v>45942</v>
      </c>
    </row>
    <row r="145" spans="9:12">
      <c r="I145">
        <f>IFERROR(VLOOKUP(H145,Rates!$A$2:$B$3,2,0),1)</f>
        <v>1</v>
      </c>
      <c r="J145" t="str">
        <f t="shared" si="4"/>
        <v/>
      </c>
      <c r="K145" t="str">
        <f>IF(J145&lt;&gt;"",SUM($J$2:J145),"")</f>
        <v/>
      </c>
      <c r="L145">
        <f ca="1" t="shared" si="5"/>
        <v>45942</v>
      </c>
    </row>
    <row r="146" spans="9:12">
      <c r="I146">
        <f>IFERROR(VLOOKUP(H146,Rates!$A$2:$B$3,2,0),1)</f>
        <v>1</v>
      </c>
      <c r="J146" t="str">
        <f t="shared" si="4"/>
        <v/>
      </c>
      <c r="K146" t="str">
        <f>IF(J146&lt;&gt;"",SUM($J$2:J146),"")</f>
        <v/>
      </c>
      <c r="L146">
        <f ca="1" t="shared" si="5"/>
        <v>45942</v>
      </c>
    </row>
    <row r="147" spans="9:12">
      <c r="I147">
        <f>IFERROR(VLOOKUP(H147,Rates!$A$2:$B$3,2,0),1)</f>
        <v>1</v>
      </c>
      <c r="J147" t="str">
        <f t="shared" si="4"/>
        <v/>
      </c>
      <c r="K147" t="str">
        <f>IF(J147&lt;&gt;"",SUM($J$2:J147),"")</f>
        <v/>
      </c>
      <c r="L147">
        <f ca="1" t="shared" si="5"/>
        <v>45942</v>
      </c>
    </row>
    <row r="148" spans="9:12">
      <c r="I148">
        <f>IFERROR(VLOOKUP(H148,Rates!$A$2:$B$3,2,0),1)</f>
        <v>1</v>
      </c>
      <c r="J148" t="str">
        <f t="shared" si="4"/>
        <v/>
      </c>
      <c r="K148" t="str">
        <f>IF(J148&lt;&gt;"",SUM($J$2:J148),"")</f>
        <v/>
      </c>
      <c r="L148">
        <f ca="1" t="shared" si="5"/>
        <v>45942</v>
      </c>
    </row>
    <row r="149" spans="9:12">
      <c r="I149">
        <f>IFERROR(VLOOKUP(H149,Rates!$A$2:$B$3,2,0),1)</f>
        <v>1</v>
      </c>
      <c r="J149" t="str">
        <f t="shared" si="4"/>
        <v/>
      </c>
      <c r="K149" t="str">
        <f>IF(J149&lt;&gt;"",SUM($J$2:J149),"")</f>
        <v/>
      </c>
      <c r="L149">
        <f ca="1" t="shared" si="5"/>
        <v>45942</v>
      </c>
    </row>
    <row r="150" spans="9:12">
      <c r="I150">
        <f>IFERROR(VLOOKUP(H150,Rates!$A$2:$B$3,2,0),1)</f>
        <v>1</v>
      </c>
      <c r="J150" t="str">
        <f t="shared" si="4"/>
        <v/>
      </c>
      <c r="K150" t="str">
        <f>IF(J150&lt;&gt;"",SUM($J$2:J150),"")</f>
        <v/>
      </c>
      <c r="L150">
        <f ca="1" t="shared" si="5"/>
        <v>45942</v>
      </c>
    </row>
    <row r="151" spans="9:12">
      <c r="I151">
        <f>IFERROR(VLOOKUP(H151,Rates!$A$2:$B$3,2,0),1)</f>
        <v>1</v>
      </c>
      <c r="J151" t="str">
        <f t="shared" si="4"/>
        <v/>
      </c>
      <c r="K151" t="str">
        <f>IF(J151&lt;&gt;"",SUM($J$2:J151),"")</f>
        <v/>
      </c>
      <c r="L151">
        <f ca="1" t="shared" si="5"/>
        <v>45942</v>
      </c>
    </row>
    <row r="152" spans="9:12">
      <c r="I152">
        <f>IFERROR(VLOOKUP(H152,Rates!$A$2:$B$3,2,0),1)</f>
        <v>1</v>
      </c>
      <c r="J152" t="str">
        <f t="shared" si="4"/>
        <v/>
      </c>
      <c r="K152" t="str">
        <f>IF(J152&lt;&gt;"",SUM($J$2:J152),"")</f>
        <v/>
      </c>
      <c r="L152">
        <f ca="1" t="shared" si="5"/>
        <v>45942</v>
      </c>
    </row>
    <row r="153" spans="9:12">
      <c r="I153">
        <f>IFERROR(VLOOKUP(H153,Rates!$A$2:$B$3,2,0),1)</f>
        <v>1</v>
      </c>
      <c r="J153" t="str">
        <f t="shared" si="4"/>
        <v/>
      </c>
      <c r="K153" t="str">
        <f>IF(J153&lt;&gt;"",SUM($J$2:J153),"")</f>
        <v/>
      </c>
      <c r="L153">
        <f ca="1" t="shared" si="5"/>
        <v>45942</v>
      </c>
    </row>
    <row r="154" spans="9:12">
      <c r="I154">
        <f>IFERROR(VLOOKUP(H154,Rates!$A$2:$B$3,2,0),1)</f>
        <v>1</v>
      </c>
      <c r="J154" t="str">
        <f t="shared" si="4"/>
        <v/>
      </c>
      <c r="K154" t="str">
        <f>IF(J154&lt;&gt;"",SUM($J$2:J154),"")</f>
        <v/>
      </c>
      <c r="L154">
        <f ca="1" t="shared" si="5"/>
        <v>45942</v>
      </c>
    </row>
    <row r="155" spans="9:12">
      <c r="I155">
        <f>IFERROR(VLOOKUP(H155,Rates!$A$2:$B$3,2,0),1)</f>
        <v>1</v>
      </c>
      <c r="J155" t="str">
        <f t="shared" si="4"/>
        <v/>
      </c>
      <c r="K155" t="str">
        <f>IF(J155&lt;&gt;"",SUM($J$2:J155),"")</f>
        <v/>
      </c>
      <c r="L155">
        <f ca="1" t="shared" si="5"/>
        <v>45942</v>
      </c>
    </row>
    <row r="156" spans="9:12">
      <c r="I156">
        <f>IFERROR(VLOOKUP(H156,Rates!$A$2:$B$3,2,0),1)</f>
        <v>1</v>
      </c>
      <c r="J156" t="str">
        <f t="shared" si="4"/>
        <v/>
      </c>
      <c r="K156" t="str">
        <f>IF(J156&lt;&gt;"",SUM($J$2:J156),"")</f>
        <v/>
      </c>
      <c r="L156">
        <f ca="1" t="shared" si="5"/>
        <v>45942</v>
      </c>
    </row>
    <row r="157" spans="9:12">
      <c r="I157">
        <f>IFERROR(VLOOKUP(H157,Rates!$A$2:$B$3,2,0),1)</f>
        <v>1</v>
      </c>
      <c r="J157" t="str">
        <f t="shared" si="4"/>
        <v/>
      </c>
      <c r="K157" t="str">
        <f>IF(J157&lt;&gt;"",SUM($J$2:J157),"")</f>
        <v/>
      </c>
      <c r="L157">
        <f ca="1" t="shared" si="5"/>
        <v>45942</v>
      </c>
    </row>
    <row r="158" spans="9:12">
      <c r="I158">
        <f>IFERROR(VLOOKUP(H158,Rates!$A$2:$B$3,2,0),1)</f>
        <v>1</v>
      </c>
      <c r="J158" t="str">
        <f t="shared" si="4"/>
        <v/>
      </c>
      <c r="K158" t="str">
        <f>IF(J158&lt;&gt;"",SUM($J$2:J158),"")</f>
        <v/>
      </c>
      <c r="L158">
        <f ca="1" t="shared" si="5"/>
        <v>45942</v>
      </c>
    </row>
    <row r="159" spans="9:12">
      <c r="I159">
        <f>IFERROR(VLOOKUP(H159,Rates!$A$2:$B$3,2,0),1)</f>
        <v>1</v>
      </c>
      <c r="J159" t="str">
        <f t="shared" si="4"/>
        <v/>
      </c>
      <c r="K159" t="str">
        <f>IF(J159&lt;&gt;"",SUM($J$2:J159),"")</f>
        <v/>
      </c>
      <c r="L159">
        <f ca="1" t="shared" si="5"/>
        <v>45942</v>
      </c>
    </row>
    <row r="160" spans="9:12">
      <c r="I160">
        <f>IFERROR(VLOOKUP(H160,Rates!$A$2:$B$3,2,0),1)</f>
        <v>1</v>
      </c>
      <c r="J160" t="str">
        <f t="shared" si="4"/>
        <v/>
      </c>
      <c r="K160" t="str">
        <f>IF(J160&lt;&gt;"",SUM($J$2:J160),"")</f>
        <v/>
      </c>
      <c r="L160">
        <f ca="1" t="shared" si="5"/>
        <v>45942</v>
      </c>
    </row>
    <row r="161" spans="9:12">
      <c r="I161">
        <f>IFERROR(VLOOKUP(H161,Rates!$A$2:$B$3,2,0),1)</f>
        <v>1</v>
      </c>
      <c r="J161" t="str">
        <f t="shared" si="4"/>
        <v/>
      </c>
      <c r="K161" t="str">
        <f>IF(J161&lt;&gt;"",SUM($J$2:J161),"")</f>
        <v/>
      </c>
      <c r="L161">
        <f ca="1" t="shared" si="5"/>
        <v>45942</v>
      </c>
    </row>
    <row r="162" spans="9:12">
      <c r="I162">
        <f>IFERROR(VLOOKUP(H162,Rates!$A$2:$B$3,2,0),1)</f>
        <v>1</v>
      </c>
      <c r="J162" t="str">
        <f t="shared" si="4"/>
        <v/>
      </c>
      <c r="K162" t="str">
        <f>IF(J162&lt;&gt;"",SUM($J$2:J162),"")</f>
        <v/>
      </c>
      <c r="L162">
        <f ca="1" t="shared" si="5"/>
        <v>45942</v>
      </c>
    </row>
    <row r="163" spans="9:12">
      <c r="I163">
        <f>IFERROR(VLOOKUP(H163,Rates!$A$2:$B$3,2,0),1)</f>
        <v>1</v>
      </c>
      <c r="J163" t="str">
        <f t="shared" si="4"/>
        <v/>
      </c>
      <c r="K163" t="str">
        <f>IF(J163&lt;&gt;"",SUM($J$2:J163),"")</f>
        <v/>
      </c>
      <c r="L163">
        <f ca="1" t="shared" si="5"/>
        <v>45942</v>
      </c>
    </row>
    <row r="164" spans="9:12">
      <c r="I164">
        <f>IFERROR(VLOOKUP(H164,Rates!$A$2:$B$3,2,0),1)</f>
        <v>1</v>
      </c>
      <c r="J164" t="str">
        <f t="shared" si="4"/>
        <v/>
      </c>
      <c r="K164" t="str">
        <f>IF(J164&lt;&gt;"",SUM($J$2:J164),"")</f>
        <v/>
      </c>
      <c r="L164">
        <f ca="1" t="shared" si="5"/>
        <v>45942</v>
      </c>
    </row>
    <row r="165" spans="9:12">
      <c r="I165">
        <f>IFERROR(VLOOKUP(H165,Rates!$A$2:$B$3,2,0),1)</f>
        <v>1</v>
      </c>
      <c r="J165" t="str">
        <f t="shared" si="4"/>
        <v/>
      </c>
      <c r="K165" t="str">
        <f>IF(J165&lt;&gt;"",SUM($J$2:J165),"")</f>
        <v/>
      </c>
      <c r="L165">
        <f ca="1" t="shared" si="5"/>
        <v>45942</v>
      </c>
    </row>
    <row r="166" spans="9:12">
      <c r="I166">
        <f>IFERROR(VLOOKUP(H166,Rates!$A$2:$B$3,2,0),1)</f>
        <v>1</v>
      </c>
      <c r="J166" t="str">
        <f t="shared" si="4"/>
        <v/>
      </c>
      <c r="K166" t="str">
        <f>IF(J166&lt;&gt;"",SUM($J$2:J166),"")</f>
        <v/>
      </c>
      <c r="L166">
        <f ca="1" t="shared" si="5"/>
        <v>45942</v>
      </c>
    </row>
    <row r="167" spans="9:12">
      <c r="I167">
        <f>IFERROR(VLOOKUP(H167,Rates!$A$2:$B$3,2,0),1)</f>
        <v>1</v>
      </c>
      <c r="J167" t="str">
        <f t="shared" si="4"/>
        <v/>
      </c>
      <c r="K167" t="str">
        <f>IF(J167&lt;&gt;"",SUM($J$2:J167),"")</f>
        <v/>
      </c>
      <c r="L167">
        <f ca="1" t="shared" si="5"/>
        <v>45942</v>
      </c>
    </row>
    <row r="168" spans="9:12">
      <c r="I168">
        <f>IFERROR(VLOOKUP(H168,Rates!$A$2:$B$3,2,0),1)</f>
        <v>1</v>
      </c>
      <c r="J168" t="str">
        <f t="shared" si="4"/>
        <v/>
      </c>
      <c r="K168" t="str">
        <f>IF(J168&lt;&gt;"",SUM($J$2:J168),"")</f>
        <v/>
      </c>
      <c r="L168">
        <f ca="1" t="shared" si="5"/>
        <v>45942</v>
      </c>
    </row>
    <row r="169" spans="9:12">
      <c r="I169">
        <f>IFERROR(VLOOKUP(H169,Rates!$A$2:$B$3,2,0),1)</f>
        <v>1</v>
      </c>
      <c r="J169" t="str">
        <f t="shared" si="4"/>
        <v/>
      </c>
      <c r="K169" t="str">
        <f>IF(J169&lt;&gt;"",SUM($J$2:J169),"")</f>
        <v/>
      </c>
      <c r="L169">
        <f ca="1" t="shared" si="5"/>
        <v>45942</v>
      </c>
    </row>
    <row r="170" spans="9:12">
      <c r="I170">
        <f>IFERROR(VLOOKUP(H170,Rates!$A$2:$B$3,2,0),1)</f>
        <v>1</v>
      </c>
      <c r="J170" t="str">
        <f t="shared" si="4"/>
        <v/>
      </c>
      <c r="K170" t="str">
        <f>IF(J170&lt;&gt;"",SUM($J$2:J170),"")</f>
        <v/>
      </c>
      <c r="L170">
        <f ca="1" t="shared" si="5"/>
        <v>45942</v>
      </c>
    </row>
    <row r="171" spans="9:12">
      <c r="I171">
        <f>IFERROR(VLOOKUP(H171,Rates!$A$2:$B$3,2,0),1)</f>
        <v>1</v>
      </c>
      <c r="J171" t="str">
        <f t="shared" si="4"/>
        <v/>
      </c>
      <c r="K171" t="str">
        <f>IF(J171&lt;&gt;"",SUM($J$2:J171),"")</f>
        <v/>
      </c>
      <c r="L171">
        <f ca="1" t="shared" si="5"/>
        <v>45942</v>
      </c>
    </row>
    <row r="172" spans="9:12">
      <c r="I172">
        <f>IFERROR(VLOOKUP(H172,Rates!$A$2:$B$3,2,0),1)</f>
        <v>1</v>
      </c>
      <c r="J172" t="str">
        <f t="shared" si="4"/>
        <v/>
      </c>
      <c r="K172" t="str">
        <f>IF(J172&lt;&gt;"",SUM($J$2:J172),"")</f>
        <v/>
      </c>
      <c r="L172">
        <f ca="1" t="shared" si="5"/>
        <v>45942</v>
      </c>
    </row>
    <row r="173" spans="9:12">
      <c r="I173">
        <f>IFERROR(VLOOKUP(H173,Rates!$A$2:$B$3,2,0),1)</f>
        <v>1</v>
      </c>
      <c r="J173" t="str">
        <f t="shared" si="4"/>
        <v/>
      </c>
      <c r="K173" t="str">
        <f>IF(J173&lt;&gt;"",SUM($J$2:J173),"")</f>
        <v/>
      </c>
      <c r="L173">
        <f ca="1" t="shared" si="5"/>
        <v>45942</v>
      </c>
    </row>
    <row r="174" spans="9:12">
      <c r="I174">
        <f>IFERROR(VLOOKUP(H174,Rates!$A$2:$B$3,2,0),1)</f>
        <v>1</v>
      </c>
      <c r="J174" t="str">
        <f t="shared" si="4"/>
        <v/>
      </c>
      <c r="K174" t="str">
        <f>IF(J174&lt;&gt;"",SUM($J$2:J174),"")</f>
        <v/>
      </c>
      <c r="L174">
        <f ca="1" t="shared" si="5"/>
        <v>45942</v>
      </c>
    </row>
    <row r="175" spans="9:12">
      <c r="I175">
        <f>IFERROR(VLOOKUP(H175,Rates!$A$2:$B$3,2,0),1)</f>
        <v>1</v>
      </c>
      <c r="J175" t="str">
        <f t="shared" si="4"/>
        <v/>
      </c>
      <c r="K175" t="str">
        <f>IF(J175&lt;&gt;"",SUM($J$2:J175),"")</f>
        <v/>
      </c>
      <c r="L175">
        <f ca="1" t="shared" si="5"/>
        <v>45942</v>
      </c>
    </row>
    <row r="176" spans="9:12">
      <c r="I176">
        <f>IFERROR(VLOOKUP(H176,Rates!$A$2:$B$3,2,0),1)</f>
        <v>1</v>
      </c>
      <c r="J176" t="str">
        <f t="shared" si="4"/>
        <v/>
      </c>
      <c r="K176" t="str">
        <f>IF(J176&lt;&gt;"",SUM($J$2:J176),"")</f>
        <v/>
      </c>
      <c r="L176">
        <f ca="1" t="shared" si="5"/>
        <v>45942</v>
      </c>
    </row>
    <row r="177" spans="9:12">
      <c r="I177">
        <f>IFERROR(VLOOKUP(H177,Rates!$A$2:$B$3,2,0),1)</f>
        <v>1</v>
      </c>
      <c r="J177" t="str">
        <f t="shared" si="4"/>
        <v/>
      </c>
      <c r="K177" t="str">
        <f>IF(J177&lt;&gt;"",SUM($J$2:J177),"")</f>
        <v/>
      </c>
      <c r="L177">
        <f ca="1" t="shared" si="5"/>
        <v>45942</v>
      </c>
    </row>
    <row r="178" spans="9:12">
      <c r="I178">
        <f>IFERROR(VLOOKUP(H178,Rates!$A$2:$B$3,2,0),1)</f>
        <v>1</v>
      </c>
      <c r="J178" t="str">
        <f t="shared" si="4"/>
        <v/>
      </c>
      <c r="K178" t="str">
        <f>IF(J178&lt;&gt;"",SUM($J$2:J178),"")</f>
        <v/>
      </c>
      <c r="L178">
        <f ca="1" t="shared" si="5"/>
        <v>45942</v>
      </c>
    </row>
    <row r="179" spans="9:12">
      <c r="I179">
        <f>IFERROR(VLOOKUP(H179,Rates!$A$2:$B$3,2,0),1)</f>
        <v>1</v>
      </c>
      <c r="J179" t="str">
        <f t="shared" si="4"/>
        <v/>
      </c>
      <c r="K179" t="str">
        <f>IF(J179&lt;&gt;"",SUM($J$2:J179),"")</f>
        <v/>
      </c>
      <c r="L179">
        <f ca="1" t="shared" si="5"/>
        <v>45942</v>
      </c>
    </row>
    <row r="180" spans="9:12">
      <c r="I180">
        <f>IFERROR(VLOOKUP(H180,Rates!$A$2:$B$3,2,0),1)</f>
        <v>1</v>
      </c>
      <c r="J180" t="str">
        <f t="shared" si="4"/>
        <v/>
      </c>
      <c r="K180" t="str">
        <f>IF(J180&lt;&gt;"",SUM($J$2:J180),"")</f>
        <v/>
      </c>
      <c r="L180">
        <f ca="1" t="shared" si="5"/>
        <v>45942</v>
      </c>
    </row>
    <row r="181" spans="9:12">
      <c r="I181">
        <f>IFERROR(VLOOKUP(H181,Rates!$A$2:$B$3,2,0),1)</f>
        <v>1</v>
      </c>
      <c r="J181" t="str">
        <f t="shared" si="4"/>
        <v/>
      </c>
      <c r="K181" t="str">
        <f>IF(J181&lt;&gt;"",SUM($J$2:J181),"")</f>
        <v/>
      </c>
      <c r="L181">
        <f ca="1" t="shared" si="5"/>
        <v>45942</v>
      </c>
    </row>
    <row r="182" spans="9:12">
      <c r="I182">
        <f>IFERROR(VLOOKUP(H182,Rates!$A$2:$B$3,2,0),1)</f>
        <v>1</v>
      </c>
      <c r="J182" t="str">
        <f t="shared" si="4"/>
        <v/>
      </c>
      <c r="K182" t="str">
        <f>IF(J182&lt;&gt;"",SUM($J$2:J182),"")</f>
        <v/>
      </c>
      <c r="L182">
        <f ca="1" t="shared" si="5"/>
        <v>45942</v>
      </c>
    </row>
    <row r="183" spans="9:12">
      <c r="I183">
        <f>IFERROR(VLOOKUP(H183,Rates!$A$2:$B$3,2,0),1)</f>
        <v>1</v>
      </c>
      <c r="J183" t="str">
        <f t="shared" si="4"/>
        <v/>
      </c>
      <c r="K183" t="str">
        <f>IF(J183&lt;&gt;"",SUM($J$2:J183),"")</f>
        <v/>
      </c>
      <c r="L183">
        <f ca="1" t="shared" si="5"/>
        <v>45942</v>
      </c>
    </row>
    <row r="184" spans="9:12">
      <c r="I184">
        <f>IFERROR(VLOOKUP(H184,Rates!$A$2:$B$3,2,0),1)</f>
        <v>1</v>
      </c>
      <c r="J184" t="str">
        <f t="shared" si="4"/>
        <v/>
      </c>
      <c r="K184" t="str">
        <f>IF(J184&lt;&gt;"",SUM($J$2:J184),"")</f>
        <v/>
      </c>
      <c r="L184">
        <f ca="1" t="shared" si="5"/>
        <v>45942</v>
      </c>
    </row>
    <row r="185" spans="9:12">
      <c r="I185">
        <f>IFERROR(VLOOKUP(H185,Rates!$A$2:$B$3,2,0),1)</f>
        <v>1</v>
      </c>
      <c r="J185" t="str">
        <f t="shared" si="4"/>
        <v/>
      </c>
      <c r="K185" t="str">
        <f>IF(J185&lt;&gt;"",SUM($J$2:J185),"")</f>
        <v/>
      </c>
      <c r="L185">
        <f ca="1" t="shared" si="5"/>
        <v>45942</v>
      </c>
    </row>
    <row r="186" spans="9:12">
      <c r="I186">
        <f>IFERROR(VLOOKUP(H186,Rates!$A$2:$B$3,2,0),1)</f>
        <v>1</v>
      </c>
      <c r="J186" t="str">
        <f t="shared" si="4"/>
        <v/>
      </c>
      <c r="K186" t="str">
        <f>IF(J186&lt;&gt;"",SUM($J$2:J186),"")</f>
        <v/>
      </c>
      <c r="L186">
        <f ca="1" t="shared" si="5"/>
        <v>45942</v>
      </c>
    </row>
    <row r="187" spans="9:12">
      <c r="I187">
        <f>IFERROR(VLOOKUP(H187,Rates!$A$2:$B$3,2,0),1)</f>
        <v>1</v>
      </c>
      <c r="J187" t="str">
        <f t="shared" si="4"/>
        <v/>
      </c>
      <c r="K187" t="str">
        <f>IF(J187&lt;&gt;"",SUM($J$2:J187),"")</f>
        <v/>
      </c>
      <c r="L187">
        <f ca="1" t="shared" si="5"/>
        <v>45942</v>
      </c>
    </row>
    <row r="188" spans="9:12">
      <c r="I188">
        <f>IFERROR(VLOOKUP(H188,Rates!$A$2:$B$3,2,0),1)</f>
        <v>1</v>
      </c>
      <c r="J188" t="str">
        <f t="shared" si="4"/>
        <v/>
      </c>
      <c r="K188" t="str">
        <f>IF(J188&lt;&gt;"",SUM($J$2:J188),"")</f>
        <v/>
      </c>
      <c r="L188">
        <f ca="1" t="shared" si="5"/>
        <v>45942</v>
      </c>
    </row>
    <row r="189" spans="9:12">
      <c r="I189">
        <f>IFERROR(VLOOKUP(H189,Rates!$A$2:$B$3,2,0),1)</f>
        <v>1</v>
      </c>
      <c r="J189" t="str">
        <f t="shared" si="4"/>
        <v/>
      </c>
      <c r="K189" t="str">
        <f>IF(J189&lt;&gt;"",SUM($J$2:J189),"")</f>
        <v/>
      </c>
      <c r="L189">
        <f ca="1" t="shared" si="5"/>
        <v>45942</v>
      </c>
    </row>
    <row r="190" spans="9:12">
      <c r="I190">
        <f>IFERROR(VLOOKUP(H190,Rates!$A$2:$B$3,2,0),1)</f>
        <v>1</v>
      </c>
      <c r="J190" t="str">
        <f t="shared" si="4"/>
        <v/>
      </c>
      <c r="K190" t="str">
        <f>IF(J190&lt;&gt;"",SUM($J$2:J190),"")</f>
        <v/>
      </c>
      <c r="L190">
        <f ca="1" t="shared" si="5"/>
        <v>45942</v>
      </c>
    </row>
    <row r="191" spans="9:12">
      <c r="I191">
        <f>IFERROR(VLOOKUP(H191,Rates!$A$2:$B$3,2,0),1)</f>
        <v>1</v>
      </c>
      <c r="J191" t="str">
        <f t="shared" si="4"/>
        <v/>
      </c>
      <c r="K191" t="str">
        <f>IF(J191&lt;&gt;"",SUM($J$2:J191),"")</f>
        <v/>
      </c>
      <c r="L191">
        <f ca="1" t="shared" si="5"/>
        <v>45942</v>
      </c>
    </row>
    <row r="192" spans="9:12">
      <c r="I192">
        <f>IFERROR(VLOOKUP(H192,Rates!$A$2:$B$3,2,0),1)</f>
        <v>1</v>
      </c>
      <c r="J192" t="str">
        <f t="shared" si="4"/>
        <v/>
      </c>
      <c r="K192" t="str">
        <f>IF(J192&lt;&gt;"",SUM($J$2:J192),"")</f>
        <v/>
      </c>
      <c r="L192">
        <f ca="1" t="shared" si="5"/>
        <v>45942</v>
      </c>
    </row>
    <row r="193" spans="9:12">
      <c r="I193">
        <f>IFERROR(VLOOKUP(H193,Rates!$A$2:$B$3,2,0),1)</f>
        <v>1</v>
      </c>
      <c r="J193" t="str">
        <f t="shared" si="4"/>
        <v/>
      </c>
      <c r="K193" t="str">
        <f>IF(J193&lt;&gt;"",SUM($J$2:J193),"")</f>
        <v/>
      </c>
      <c r="L193">
        <f ca="1" t="shared" si="5"/>
        <v>45942</v>
      </c>
    </row>
    <row r="194" spans="9:12">
      <c r="I194">
        <f>IFERROR(VLOOKUP(H194,Rates!$A$2:$B$3,2,0),1)</f>
        <v>1</v>
      </c>
      <c r="J194" t="str">
        <f t="shared" ref="J194:J257" si="6">IF(G194&lt;&gt;"",G194*I194,"")</f>
        <v/>
      </c>
      <c r="K194" t="str">
        <f>IF(J194&lt;&gt;"",SUM($J$2:J194),"")</f>
        <v/>
      </c>
      <c r="L194">
        <f ca="1" t="shared" ref="L194:L257" si="7">IF(COUNTA(A194:K194)&gt;0,TODAY(),"")</f>
        <v>45942</v>
      </c>
    </row>
    <row r="195" spans="9:12">
      <c r="I195">
        <f>IFERROR(VLOOKUP(H195,Rates!$A$2:$B$3,2,0),1)</f>
        <v>1</v>
      </c>
      <c r="J195" t="str">
        <f t="shared" si="6"/>
        <v/>
      </c>
      <c r="K195" t="str">
        <f>IF(J195&lt;&gt;"",SUM($J$2:J195),"")</f>
        <v/>
      </c>
      <c r="L195">
        <f ca="1" t="shared" si="7"/>
        <v>45942</v>
      </c>
    </row>
    <row r="196" spans="9:12">
      <c r="I196">
        <f>IFERROR(VLOOKUP(H196,Rates!$A$2:$B$3,2,0),1)</f>
        <v>1</v>
      </c>
      <c r="J196" t="str">
        <f t="shared" si="6"/>
        <v/>
      </c>
      <c r="K196" t="str">
        <f>IF(J196&lt;&gt;"",SUM($J$2:J196),"")</f>
        <v/>
      </c>
      <c r="L196">
        <f ca="1" t="shared" si="7"/>
        <v>45942</v>
      </c>
    </row>
    <row r="197" spans="9:12">
      <c r="I197">
        <f>IFERROR(VLOOKUP(H197,Rates!$A$2:$B$3,2,0),1)</f>
        <v>1</v>
      </c>
      <c r="J197" t="str">
        <f t="shared" si="6"/>
        <v/>
      </c>
      <c r="K197" t="str">
        <f>IF(J197&lt;&gt;"",SUM($J$2:J197),"")</f>
        <v/>
      </c>
      <c r="L197">
        <f ca="1" t="shared" si="7"/>
        <v>45942</v>
      </c>
    </row>
    <row r="198" spans="9:12">
      <c r="I198">
        <f>IFERROR(VLOOKUP(H198,Rates!$A$2:$B$3,2,0),1)</f>
        <v>1</v>
      </c>
      <c r="J198" t="str">
        <f t="shared" si="6"/>
        <v/>
      </c>
      <c r="K198" t="str">
        <f>IF(J198&lt;&gt;"",SUM($J$2:J198),"")</f>
        <v/>
      </c>
      <c r="L198">
        <f ca="1" t="shared" si="7"/>
        <v>45942</v>
      </c>
    </row>
    <row r="199" spans="9:12">
      <c r="I199">
        <f>IFERROR(VLOOKUP(H199,Rates!$A$2:$B$3,2,0),1)</f>
        <v>1</v>
      </c>
      <c r="J199" t="str">
        <f t="shared" si="6"/>
        <v/>
      </c>
      <c r="K199" t="str">
        <f>IF(J199&lt;&gt;"",SUM($J$2:J199),"")</f>
        <v/>
      </c>
      <c r="L199">
        <f ca="1" t="shared" si="7"/>
        <v>45942</v>
      </c>
    </row>
    <row r="200" spans="9:12">
      <c r="I200">
        <f>IFERROR(VLOOKUP(H200,Rates!$A$2:$B$3,2,0),1)</f>
        <v>1</v>
      </c>
      <c r="J200" t="str">
        <f t="shared" si="6"/>
        <v/>
      </c>
      <c r="K200" t="str">
        <f>IF(J200&lt;&gt;"",SUM($J$2:J200),"")</f>
        <v/>
      </c>
      <c r="L200">
        <f ca="1" t="shared" si="7"/>
        <v>45942</v>
      </c>
    </row>
    <row r="201" spans="9:12">
      <c r="I201">
        <f>IFERROR(VLOOKUP(H201,Rates!$A$2:$B$3,2,0),1)</f>
        <v>1</v>
      </c>
      <c r="J201" t="str">
        <f t="shared" si="6"/>
        <v/>
      </c>
      <c r="K201" t="str">
        <f>IF(J201&lt;&gt;"",SUM($J$2:J201),"")</f>
        <v/>
      </c>
      <c r="L201">
        <f ca="1" t="shared" si="7"/>
        <v>45942</v>
      </c>
    </row>
    <row r="202" spans="9:12">
      <c r="I202">
        <f>IFERROR(VLOOKUP(H202,Rates!$A$2:$B$3,2,0),1)</f>
        <v>1</v>
      </c>
      <c r="J202" t="str">
        <f t="shared" si="6"/>
        <v/>
      </c>
      <c r="K202" t="str">
        <f>IF(J202&lt;&gt;"",SUM($J$2:J202),"")</f>
        <v/>
      </c>
      <c r="L202">
        <f ca="1" t="shared" si="7"/>
        <v>45942</v>
      </c>
    </row>
    <row r="203" spans="9:12">
      <c r="I203">
        <f>IFERROR(VLOOKUP(H203,Rates!$A$2:$B$3,2,0),1)</f>
        <v>1</v>
      </c>
      <c r="J203" t="str">
        <f t="shared" si="6"/>
        <v/>
      </c>
      <c r="K203" t="str">
        <f>IF(J203&lt;&gt;"",SUM($J$2:J203),"")</f>
        <v/>
      </c>
      <c r="L203">
        <f ca="1" t="shared" si="7"/>
        <v>45942</v>
      </c>
    </row>
    <row r="204" spans="9:12">
      <c r="I204">
        <f>IFERROR(VLOOKUP(H204,Rates!$A$2:$B$3,2,0),1)</f>
        <v>1</v>
      </c>
      <c r="J204" t="str">
        <f t="shared" si="6"/>
        <v/>
      </c>
      <c r="K204" t="str">
        <f>IF(J204&lt;&gt;"",SUM($J$2:J204),"")</f>
        <v/>
      </c>
      <c r="L204">
        <f ca="1" t="shared" si="7"/>
        <v>45942</v>
      </c>
    </row>
    <row r="205" spans="9:12">
      <c r="I205">
        <f>IFERROR(VLOOKUP(H205,Rates!$A$2:$B$3,2,0),1)</f>
        <v>1</v>
      </c>
      <c r="J205" t="str">
        <f t="shared" si="6"/>
        <v/>
      </c>
      <c r="K205" t="str">
        <f>IF(J205&lt;&gt;"",SUM($J$2:J205),"")</f>
        <v/>
      </c>
      <c r="L205">
        <f ca="1" t="shared" si="7"/>
        <v>45942</v>
      </c>
    </row>
    <row r="206" spans="9:12">
      <c r="I206">
        <f>IFERROR(VLOOKUP(H206,Rates!$A$2:$B$3,2,0),1)</f>
        <v>1</v>
      </c>
      <c r="J206" t="str">
        <f t="shared" si="6"/>
        <v/>
      </c>
      <c r="K206" t="str">
        <f>IF(J206&lt;&gt;"",SUM($J$2:J206),"")</f>
        <v/>
      </c>
      <c r="L206">
        <f ca="1" t="shared" si="7"/>
        <v>45942</v>
      </c>
    </row>
    <row r="207" spans="9:12">
      <c r="I207">
        <f>IFERROR(VLOOKUP(H207,Rates!$A$2:$B$3,2,0),1)</f>
        <v>1</v>
      </c>
      <c r="J207" t="str">
        <f t="shared" si="6"/>
        <v/>
      </c>
      <c r="K207" t="str">
        <f>IF(J207&lt;&gt;"",SUM($J$2:J207),"")</f>
        <v/>
      </c>
      <c r="L207">
        <f ca="1" t="shared" si="7"/>
        <v>45942</v>
      </c>
    </row>
    <row r="208" spans="9:12">
      <c r="I208">
        <f>IFERROR(VLOOKUP(H208,Rates!$A$2:$B$3,2,0),1)</f>
        <v>1</v>
      </c>
      <c r="J208" t="str">
        <f t="shared" si="6"/>
        <v/>
      </c>
      <c r="K208" t="str">
        <f>IF(J208&lt;&gt;"",SUM($J$2:J208),"")</f>
        <v/>
      </c>
      <c r="L208">
        <f ca="1" t="shared" si="7"/>
        <v>45942</v>
      </c>
    </row>
    <row r="209" spans="9:12">
      <c r="I209">
        <f>IFERROR(VLOOKUP(H209,Rates!$A$2:$B$3,2,0),1)</f>
        <v>1</v>
      </c>
      <c r="J209" t="str">
        <f t="shared" si="6"/>
        <v/>
      </c>
      <c r="K209" t="str">
        <f>IF(J209&lt;&gt;"",SUM($J$2:J209),"")</f>
        <v/>
      </c>
      <c r="L209">
        <f ca="1" t="shared" si="7"/>
        <v>45942</v>
      </c>
    </row>
    <row r="210" spans="9:12">
      <c r="I210">
        <f>IFERROR(VLOOKUP(H210,Rates!$A$2:$B$3,2,0),1)</f>
        <v>1</v>
      </c>
      <c r="J210" t="str">
        <f t="shared" si="6"/>
        <v/>
      </c>
      <c r="K210" t="str">
        <f>IF(J210&lt;&gt;"",SUM($J$2:J210),"")</f>
        <v/>
      </c>
      <c r="L210">
        <f ca="1" t="shared" si="7"/>
        <v>45942</v>
      </c>
    </row>
    <row r="211" spans="9:12">
      <c r="I211">
        <f>IFERROR(VLOOKUP(H211,Rates!$A$2:$B$3,2,0),1)</f>
        <v>1</v>
      </c>
      <c r="J211" t="str">
        <f t="shared" si="6"/>
        <v/>
      </c>
      <c r="K211" t="str">
        <f>IF(J211&lt;&gt;"",SUM($J$2:J211),"")</f>
        <v/>
      </c>
      <c r="L211">
        <f ca="1" t="shared" si="7"/>
        <v>45942</v>
      </c>
    </row>
    <row r="212" spans="9:12">
      <c r="I212">
        <f>IFERROR(VLOOKUP(H212,Rates!$A$2:$B$3,2,0),1)</f>
        <v>1</v>
      </c>
      <c r="J212" t="str">
        <f t="shared" si="6"/>
        <v/>
      </c>
      <c r="K212" t="str">
        <f>IF(J212&lt;&gt;"",SUM($J$2:J212),"")</f>
        <v/>
      </c>
      <c r="L212">
        <f ca="1" t="shared" si="7"/>
        <v>45942</v>
      </c>
    </row>
    <row r="213" spans="9:12">
      <c r="I213">
        <f>IFERROR(VLOOKUP(H213,Rates!$A$2:$B$3,2,0),1)</f>
        <v>1</v>
      </c>
      <c r="J213" t="str">
        <f t="shared" si="6"/>
        <v/>
      </c>
      <c r="K213" t="str">
        <f>IF(J213&lt;&gt;"",SUM($J$2:J213),"")</f>
        <v/>
      </c>
      <c r="L213">
        <f ca="1" t="shared" si="7"/>
        <v>45942</v>
      </c>
    </row>
    <row r="214" spans="9:12">
      <c r="I214">
        <f>IFERROR(VLOOKUP(H214,Rates!$A$2:$B$3,2,0),1)</f>
        <v>1</v>
      </c>
      <c r="J214" t="str">
        <f t="shared" si="6"/>
        <v/>
      </c>
      <c r="K214" t="str">
        <f>IF(J214&lt;&gt;"",SUM($J$2:J214),"")</f>
        <v/>
      </c>
      <c r="L214">
        <f ca="1" t="shared" si="7"/>
        <v>45942</v>
      </c>
    </row>
    <row r="215" spans="9:12">
      <c r="I215">
        <f>IFERROR(VLOOKUP(H215,Rates!$A$2:$B$3,2,0),1)</f>
        <v>1</v>
      </c>
      <c r="J215" t="str">
        <f t="shared" si="6"/>
        <v/>
      </c>
      <c r="K215" t="str">
        <f>IF(J215&lt;&gt;"",SUM($J$2:J215),"")</f>
        <v/>
      </c>
      <c r="L215">
        <f ca="1" t="shared" si="7"/>
        <v>45942</v>
      </c>
    </row>
    <row r="216" spans="9:12">
      <c r="I216">
        <f>IFERROR(VLOOKUP(H216,Rates!$A$2:$B$3,2,0),1)</f>
        <v>1</v>
      </c>
      <c r="J216" t="str">
        <f t="shared" si="6"/>
        <v/>
      </c>
      <c r="K216" t="str">
        <f>IF(J216&lt;&gt;"",SUM($J$2:J216),"")</f>
        <v/>
      </c>
      <c r="L216">
        <f ca="1" t="shared" si="7"/>
        <v>45942</v>
      </c>
    </row>
    <row r="217" spans="9:12">
      <c r="I217">
        <f>IFERROR(VLOOKUP(H217,Rates!$A$2:$B$3,2,0),1)</f>
        <v>1</v>
      </c>
      <c r="J217" t="str">
        <f t="shared" si="6"/>
        <v/>
      </c>
      <c r="K217" t="str">
        <f>IF(J217&lt;&gt;"",SUM($J$2:J217),"")</f>
        <v/>
      </c>
      <c r="L217">
        <f ca="1" t="shared" si="7"/>
        <v>45942</v>
      </c>
    </row>
    <row r="218" spans="9:12">
      <c r="I218">
        <f>IFERROR(VLOOKUP(H218,Rates!$A$2:$B$3,2,0),1)</f>
        <v>1</v>
      </c>
      <c r="J218" t="str">
        <f t="shared" si="6"/>
        <v/>
      </c>
      <c r="K218" t="str">
        <f>IF(J218&lt;&gt;"",SUM($J$2:J218),"")</f>
        <v/>
      </c>
      <c r="L218">
        <f ca="1" t="shared" si="7"/>
        <v>45942</v>
      </c>
    </row>
    <row r="219" spans="9:12">
      <c r="I219">
        <f>IFERROR(VLOOKUP(H219,Rates!$A$2:$B$3,2,0),1)</f>
        <v>1</v>
      </c>
      <c r="J219" t="str">
        <f t="shared" si="6"/>
        <v/>
      </c>
      <c r="K219" t="str">
        <f>IF(J219&lt;&gt;"",SUM($J$2:J219),"")</f>
        <v/>
      </c>
      <c r="L219">
        <f ca="1" t="shared" si="7"/>
        <v>45942</v>
      </c>
    </row>
    <row r="220" spans="9:12">
      <c r="I220">
        <f>IFERROR(VLOOKUP(H220,Rates!$A$2:$B$3,2,0),1)</f>
        <v>1</v>
      </c>
      <c r="J220" t="str">
        <f t="shared" si="6"/>
        <v/>
      </c>
      <c r="K220" t="str">
        <f>IF(J220&lt;&gt;"",SUM($J$2:J220),"")</f>
        <v/>
      </c>
      <c r="L220">
        <f ca="1" t="shared" si="7"/>
        <v>45942</v>
      </c>
    </row>
    <row r="221" spans="9:12">
      <c r="I221">
        <f>IFERROR(VLOOKUP(H221,Rates!$A$2:$B$3,2,0),1)</f>
        <v>1</v>
      </c>
      <c r="J221" t="str">
        <f t="shared" si="6"/>
        <v/>
      </c>
      <c r="K221" t="str">
        <f>IF(J221&lt;&gt;"",SUM($J$2:J221),"")</f>
        <v/>
      </c>
      <c r="L221">
        <f ca="1" t="shared" si="7"/>
        <v>45942</v>
      </c>
    </row>
    <row r="222" spans="9:12">
      <c r="I222">
        <f>IFERROR(VLOOKUP(H222,Rates!$A$2:$B$3,2,0),1)</f>
        <v>1</v>
      </c>
      <c r="J222" t="str">
        <f t="shared" si="6"/>
        <v/>
      </c>
      <c r="K222" t="str">
        <f>IF(J222&lt;&gt;"",SUM($J$2:J222),"")</f>
        <v/>
      </c>
      <c r="L222">
        <f ca="1" t="shared" si="7"/>
        <v>45942</v>
      </c>
    </row>
    <row r="223" spans="9:12">
      <c r="I223">
        <f>IFERROR(VLOOKUP(H223,Rates!$A$2:$B$3,2,0),1)</f>
        <v>1</v>
      </c>
      <c r="J223" t="str">
        <f t="shared" si="6"/>
        <v/>
      </c>
      <c r="K223" t="str">
        <f>IF(J223&lt;&gt;"",SUM($J$2:J223),"")</f>
        <v/>
      </c>
      <c r="L223">
        <f ca="1" t="shared" si="7"/>
        <v>45942</v>
      </c>
    </row>
    <row r="224" spans="9:12">
      <c r="I224">
        <f>IFERROR(VLOOKUP(H224,Rates!$A$2:$B$3,2,0),1)</f>
        <v>1</v>
      </c>
      <c r="J224" t="str">
        <f t="shared" si="6"/>
        <v/>
      </c>
      <c r="K224" t="str">
        <f>IF(J224&lt;&gt;"",SUM($J$2:J224),"")</f>
        <v/>
      </c>
      <c r="L224">
        <f ca="1" t="shared" si="7"/>
        <v>45942</v>
      </c>
    </row>
    <row r="225" spans="9:12">
      <c r="I225">
        <f>IFERROR(VLOOKUP(H225,Rates!$A$2:$B$3,2,0),1)</f>
        <v>1</v>
      </c>
      <c r="J225" t="str">
        <f t="shared" si="6"/>
        <v/>
      </c>
      <c r="K225" t="str">
        <f>IF(J225&lt;&gt;"",SUM($J$2:J225),"")</f>
        <v/>
      </c>
      <c r="L225">
        <f ca="1" t="shared" si="7"/>
        <v>45942</v>
      </c>
    </row>
    <row r="226" spans="9:12">
      <c r="I226">
        <f>IFERROR(VLOOKUP(H226,Rates!$A$2:$B$3,2,0),1)</f>
        <v>1</v>
      </c>
      <c r="J226" t="str">
        <f t="shared" si="6"/>
        <v/>
      </c>
      <c r="K226" t="str">
        <f>IF(J226&lt;&gt;"",SUM($J$2:J226),"")</f>
        <v/>
      </c>
      <c r="L226">
        <f ca="1" t="shared" si="7"/>
        <v>45942</v>
      </c>
    </row>
    <row r="227" spans="9:12">
      <c r="I227">
        <f>IFERROR(VLOOKUP(H227,Rates!$A$2:$B$3,2,0),1)</f>
        <v>1</v>
      </c>
      <c r="J227" t="str">
        <f t="shared" si="6"/>
        <v/>
      </c>
      <c r="K227" t="str">
        <f>IF(J227&lt;&gt;"",SUM($J$2:J227),"")</f>
        <v/>
      </c>
      <c r="L227">
        <f ca="1" t="shared" si="7"/>
        <v>45942</v>
      </c>
    </row>
    <row r="228" spans="9:12">
      <c r="I228">
        <f>IFERROR(VLOOKUP(H228,Rates!$A$2:$B$3,2,0),1)</f>
        <v>1</v>
      </c>
      <c r="J228" t="str">
        <f t="shared" si="6"/>
        <v/>
      </c>
      <c r="K228" t="str">
        <f>IF(J228&lt;&gt;"",SUM($J$2:J228),"")</f>
        <v/>
      </c>
      <c r="L228">
        <f ca="1" t="shared" si="7"/>
        <v>45942</v>
      </c>
    </row>
    <row r="229" spans="9:12">
      <c r="I229">
        <f>IFERROR(VLOOKUP(H229,Rates!$A$2:$B$3,2,0),1)</f>
        <v>1</v>
      </c>
      <c r="J229" t="str">
        <f t="shared" si="6"/>
        <v/>
      </c>
      <c r="K229" t="str">
        <f>IF(J229&lt;&gt;"",SUM($J$2:J229),"")</f>
        <v/>
      </c>
      <c r="L229">
        <f ca="1" t="shared" si="7"/>
        <v>45942</v>
      </c>
    </row>
    <row r="230" spans="9:12">
      <c r="I230">
        <f>IFERROR(VLOOKUP(H230,Rates!$A$2:$B$3,2,0),1)</f>
        <v>1</v>
      </c>
      <c r="J230" t="str">
        <f t="shared" si="6"/>
        <v/>
      </c>
      <c r="K230" t="str">
        <f>IF(J230&lt;&gt;"",SUM($J$2:J230),"")</f>
        <v/>
      </c>
      <c r="L230">
        <f ca="1" t="shared" si="7"/>
        <v>45942</v>
      </c>
    </row>
    <row r="231" spans="9:12">
      <c r="I231">
        <f>IFERROR(VLOOKUP(H231,Rates!$A$2:$B$3,2,0),1)</f>
        <v>1</v>
      </c>
      <c r="J231" t="str">
        <f t="shared" si="6"/>
        <v/>
      </c>
      <c r="K231" t="str">
        <f>IF(J231&lt;&gt;"",SUM($J$2:J231),"")</f>
        <v/>
      </c>
      <c r="L231">
        <f ca="1" t="shared" si="7"/>
        <v>45942</v>
      </c>
    </row>
    <row r="232" spans="9:12">
      <c r="I232">
        <f>IFERROR(VLOOKUP(H232,Rates!$A$2:$B$3,2,0),1)</f>
        <v>1</v>
      </c>
      <c r="J232" t="str">
        <f t="shared" si="6"/>
        <v/>
      </c>
      <c r="K232" t="str">
        <f>IF(J232&lt;&gt;"",SUM($J$2:J232),"")</f>
        <v/>
      </c>
      <c r="L232">
        <f ca="1" t="shared" si="7"/>
        <v>45942</v>
      </c>
    </row>
    <row r="233" spans="9:12">
      <c r="I233">
        <f>IFERROR(VLOOKUP(H233,Rates!$A$2:$B$3,2,0),1)</f>
        <v>1</v>
      </c>
      <c r="J233" t="str">
        <f t="shared" si="6"/>
        <v/>
      </c>
      <c r="K233" t="str">
        <f>IF(J233&lt;&gt;"",SUM($J$2:J233),"")</f>
        <v/>
      </c>
      <c r="L233">
        <f ca="1" t="shared" si="7"/>
        <v>45942</v>
      </c>
    </row>
    <row r="234" spans="9:12">
      <c r="I234">
        <f>IFERROR(VLOOKUP(H234,Rates!$A$2:$B$3,2,0),1)</f>
        <v>1</v>
      </c>
      <c r="J234" t="str">
        <f t="shared" si="6"/>
        <v/>
      </c>
      <c r="K234" t="str">
        <f>IF(J234&lt;&gt;"",SUM($J$2:J234),"")</f>
        <v/>
      </c>
      <c r="L234">
        <f ca="1" t="shared" si="7"/>
        <v>45942</v>
      </c>
    </row>
    <row r="235" spans="9:12">
      <c r="I235">
        <f>IFERROR(VLOOKUP(H235,Rates!$A$2:$B$3,2,0),1)</f>
        <v>1</v>
      </c>
      <c r="J235" t="str">
        <f t="shared" si="6"/>
        <v/>
      </c>
      <c r="K235" t="str">
        <f>IF(J235&lt;&gt;"",SUM($J$2:J235),"")</f>
        <v/>
      </c>
      <c r="L235">
        <f ca="1" t="shared" si="7"/>
        <v>45942</v>
      </c>
    </row>
    <row r="236" spans="9:12">
      <c r="I236">
        <f>IFERROR(VLOOKUP(H236,Rates!$A$2:$B$3,2,0),1)</f>
        <v>1</v>
      </c>
      <c r="J236" t="str">
        <f t="shared" si="6"/>
        <v/>
      </c>
      <c r="K236" t="str">
        <f>IF(J236&lt;&gt;"",SUM($J$2:J236),"")</f>
        <v/>
      </c>
      <c r="L236">
        <f ca="1" t="shared" si="7"/>
        <v>45942</v>
      </c>
    </row>
    <row r="237" spans="9:12">
      <c r="I237">
        <f>IFERROR(VLOOKUP(H237,Rates!$A$2:$B$3,2,0),1)</f>
        <v>1</v>
      </c>
      <c r="J237" t="str">
        <f t="shared" si="6"/>
        <v/>
      </c>
      <c r="K237" t="str">
        <f>IF(J237&lt;&gt;"",SUM($J$2:J237),"")</f>
        <v/>
      </c>
      <c r="L237">
        <f ca="1" t="shared" si="7"/>
        <v>45942</v>
      </c>
    </row>
    <row r="238" spans="9:12">
      <c r="I238">
        <f>IFERROR(VLOOKUP(H238,Rates!$A$2:$B$3,2,0),1)</f>
        <v>1</v>
      </c>
      <c r="J238" t="str">
        <f t="shared" si="6"/>
        <v/>
      </c>
      <c r="K238" t="str">
        <f>IF(J238&lt;&gt;"",SUM($J$2:J238),"")</f>
        <v/>
      </c>
      <c r="L238">
        <f ca="1" t="shared" si="7"/>
        <v>45942</v>
      </c>
    </row>
    <row r="239" spans="9:12">
      <c r="I239">
        <f>IFERROR(VLOOKUP(H239,Rates!$A$2:$B$3,2,0),1)</f>
        <v>1</v>
      </c>
      <c r="J239" t="str">
        <f t="shared" si="6"/>
        <v/>
      </c>
      <c r="K239" t="str">
        <f>IF(J239&lt;&gt;"",SUM($J$2:J239),"")</f>
        <v/>
      </c>
      <c r="L239">
        <f ca="1" t="shared" si="7"/>
        <v>45942</v>
      </c>
    </row>
    <row r="240" spans="9:12">
      <c r="I240">
        <f>IFERROR(VLOOKUP(H240,Rates!$A$2:$B$3,2,0),1)</f>
        <v>1</v>
      </c>
      <c r="J240" t="str">
        <f t="shared" si="6"/>
        <v/>
      </c>
      <c r="K240" t="str">
        <f>IF(J240&lt;&gt;"",SUM($J$2:J240),"")</f>
        <v/>
      </c>
      <c r="L240">
        <f ca="1" t="shared" si="7"/>
        <v>45942</v>
      </c>
    </row>
    <row r="241" spans="9:12">
      <c r="I241">
        <f>IFERROR(VLOOKUP(H241,Rates!$A$2:$B$3,2,0),1)</f>
        <v>1</v>
      </c>
      <c r="J241" t="str">
        <f t="shared" si="6"/>
        <v/>
      </c>
      <c r="K241" t="str">
        <f>IF(J241&lt;&gt;"",SUM($J$2:J241),"")</f>
        <v/>
      </c>
      <c r="L241">
        <f ca="1" t="shared" si="7"/>
        <v>45942</v>
      </c>
    </row>
    <row r="242" spans="9:12">
      <c r="I242">
        <f>IFERROR(VLOOKUP(H242,Rates!$A$2:$B$3,2,0),1)</f>
        <v>1</v>
      </c>
      <c r="J242" t="str">
        <f t="shared" si="6"/>
        <v/>
      </c>
      <c r="K242" t="str">
        <f>IF(J242&lt;&gt;"",SUM($J$2:J242),"")</f>
        <v/>
      </c>
      <c r="L242">
        <f ca="1" t="shared" si="7"/>
        <v>45942</v>
      </c>
    </row>
    <row r="243" spans="9:12">
      <c r="I243">
        <f>IFERROR(VLOOKUP(H243,Rates!$A$2:$B$3,2,0),1)</f>
        <v>1</v>
      </c>
      <c r="J243" t="str">
        <f t="shared" si="6"/>
        <v/>
      </c>
      <c r="K243" t="str">
        <f>IF(J243&lt;&gt;"",SUM($J$2:J243),"")</f>
        <v/>
      </c>
      <c r="L243">
        <f ca="1" t="shared" si="7"/>
        <v>45942</v>
      </c>
    </row>
    <row r="244" spans="9:12">
      <c r="I244">
        <f>IFERROR(VLOOKUP(H244,Rates!$A$2:$B$3,2,0),1)</f>
        <v>1</v>
      </c>
      <c r="J244" t="str">
        <f t="shared" si="6"/>
        <v/>
      </c>
      <c r="K244" t="str">
        <f>IF(J244&lt;&gt;"",SUM($J$2:J244),"")</f>
        <v/>
      </c>
      <c r="L244">
        <f ca="1" t="shared" si="7"/>
        <v>45942</v>
      </c>
    </row>
    <row r="245" spans="9:12">
      <c r="I245">
        <f>IFERROR(VLOOKUP(H245,Rates!$A$2:$B$3,2,0),1)</f>
        <v>1</v>
      </c>
      <c r="J245" t="str">
        <f t="shared" si="6"/>
        <v/>
      </c>
      <c r="K245" t="str">
        <f>IF(J245&lt;&gt;"",SUM($J$2:J245),"")</f>
        <v/>
      </c>
      <c r="L245">
        <f ca="1" t="shared" si="7"/>
        <v>45942</v>
      </c>
    </row>
    <row r="246" spans="9:12">
      <c r="I246">
        <f>IFERROR(VLOOKUP(H246,Rates!$A$2:$B$3,2,0),1)</f>
        <v>1</v>
      </c>
      <c r="J246" t="str">
        <f t="shared" si="6"/>
        <v/>
      </c>
      <c r="K246" t="str">
        <f>IF(J246&lt;&gt;"",SUM($J$2:J246),"")</f>
        <v/>
      </c>
      <c r="L246">
        <f ca="1" t="shared" si="7"/>
        <v>45942</v>
      </c>
    </row>
    <row r="247" spans="9:12">
      <c r="I247">
        <f>IFERROR(VLOOKUP(H247,Rates!$A$2:$B$3,2,0),1)</f>
        <v>1</v>
      </c>
      <c r="J247" t="str">
        <f t="shared" si="6"/>
        <v/>
      </c>
      <c r="K247" t="str">
        <f>IF(J247&lt;&gt;"",SUM($J$2:J247),"")</f>
        <v/>
      </c>
      <c r="L247">
        <f ca="1" t="shared" si="7"/>
        <v>45942</v>
      </c>
    </row>
    <row r="248" spans="9:12">
      <c r="I248">
        <f>IFERROR(VLOOKUP(H248,Rates!$A$2:$B$3,2,0),1)</f>
        <v>1</v>
      </c>
      <c r="J248" t="str">
        <f t="shared" si="6"/>
        <v/>
      </c>
      <c r="K248" t="str">
        <f>IF(J248&lt;&gt;"",SUM($J$2:J248),"")</f>
        <v/>
      </c>
      <c r="L248">
        <f ca="1" t="shared" si="7"/>
        <v>45942</v>
      </c>
    </row>
    <row r="249" spans="9:12">
      <c r="I249">
        <f>IFERROR(VLOOKUP(H249,Rates!$A$2:$B$3,2,0),1)</f>
        <v>1</v>
      </c>
      <c r="J249" t="str">
        <f t="shared" si="6"/>
        <v/>
      </c>
      <c r="K249" t="str">
        <f>IF(J249&lt;&gt;"",SUM($J$2:J249),"")</f>
        <v/>
      </c>
      <c r="L249">
        <f ca="1" t="shared" si="7"/>
        <v>45942</v>
      </c>
    </row>
    <row r="250" spans="9:12">
      <c r="I250">
        <f>IFERROR(VLOOKUP(H250,Rates!$A$2:$B$3,2,0),1)</f>
        <v>1</v>
      </c>
      <c r="J250" t="str">
        <f t="shared" si="6"/>
        <v/>
      </c>
      <c r="K250" t="str">
        <f>IF(J250&lt;&gt;"",SUM($J$2:J250),"")</f>
        <v/>
      </c>
      <c r="L250">
        <f ca="1" t="shared" si="7"/>
        <v>45942</v>
      </c>
    </row>
    <row r="251" spans="9:12">
      <c r="I251">
        <f>IFERROR(VLOOKUP(H251,Rates!$A$2:$B$3,2,0),1)</f>
        <v>1</v>
      </c>
      <c r="J251" t="str">
        <f t="shared" si="6"/>
        <v/>
      </c>
      <c r="K251" t="str">
        <f>IF(J251&lt;&gt;"",SUM($J$2:J251),"")</f>
        <v/>
      </c>
      <c r="L251">
        <f ca="1" t="shared" si="7"/>
        <v>45942</v>
      </c>
    </row>
    <row r="252" spans="9:12">
      <c r="I252">
        <f>IFERROR(VLOOKUP(H252,Rates!$A$2:$B$3,2,0),1)</f>
        <v>1</v>
      </c>
      <c r="J252" t="str">
        <f t="shared" si="6"/>
        <v/>
      </c>
      <c r="K252" t="str">
        <f>IF(J252&lt;&gt;"",SUM($J$2:J252),"")</f>
        <v/>
      </c>
      <c r="L252">
        <f ca="1" t="shared" si="7"/>
        <v>45942</v>
      </c>
    </row>
    <row r="253" spans="9:12">
      <c r="I253">
        <f>IFERROR(VLOOKUP(H253,Rates!$A$2:$B$3,2,0),1)</f>
        <v>1</v>
      </c>
      <c r="J253" t="str">
        <f t="shared" si="6"/>
        <v/>
      </c>
      <c r="K253" t="str">
        <f>IF(J253&lt;&gt;"",SUM($J$2:J253),"")</f>
        <v/>
      </c>
      <c r="L253">
        <f ca="1" t="shared" si="7"/>
        <v>45942</v>
      </c>
    </row>
    <row r="254" spans="9:12">
      <c r="I254">
        <f>IFERROR(VLOOKUP(H254,Rates!$A$2:$B$3,2,0),1)</f>
        <v>1</v>
      </c>
      <c r="J254" t="str">
        <f t="shared" si="6"/>
        <v/>
      </c>
      <c r="K254" t="str">
        <f>IF(J254&lt;&gt;"",SUM($J$2:J254),"")</f>
        <v/>
      </c>
      <c r="L254">
        <f ca="1" t="shared" si="7"/>
        <v>45942</v>
      </c>
    </row>
    <row r="255" spans="9:12">
      <c r="I255">
        <f>IFERROR(VLOOKUP(H255,Rates!$A$2:$B$3,2,0),1)</f>
        <v>1</v>
      </c>
      <c r="J255" t="str">
        <f t="shared" si="6"/>
        <v/>
      </c>
      <c r="K255" t="str">
        <f>IF(J255&lt;&gt;"",SUM($J$2:J255),"")</f>
        <v/>
      </c>
      <c r="L255">
        <f ca="1" t="shared" si="7"/>
        <v>45942</v>
      </c>
    </row>
    <row r="256" spans="9:12">
      <c r="I256">
        <f>IFERROR(VLOOKUP(H256,Rates!$A$2:$B$3,2,0),1)</f>
        <v>1</v>
      </c>
      <c r="J256" t="str">
        <f t="shared" si="6"/>
        <v/>
      </c>
      <c r="K256" t="str">
        <f>IF(J256&lt;&gt;"",SUM($J$2:J256),"")</f>
        <v/>
      </c>
      <c r="L256">
        <f ca="1" t="shared" si="7"/>
        <v>45942</v>
      </c>
    </row>
    <row r="257" spans="9:12">
      <c r="I257">
        <f>IFERROR(VLOOKUP(H257,Rates!$A$2:$B$3,2,0),1)</f>
        <v>1</v>
      </c>
      <c r="J257" t="str">
        <f t="shared" si="6"/>
        <v/>
      </c>
      <c r="K257" t="str">
        <f>IF(J257&lt;&gt;"",SUM($J$2:J257),"")</f>
        <v/>
      </c>
      <c r="L257">
        <f ca="1" t="shared" si="7"/>
        <v>45942</v>
      </c>
    </row>
    <row r="258" spans="9:12">
      <c r="I258">
        <f>IFERROR(VLOOKUP(H258,Rates!$A$2:$B$3,2,0),1)</f>
        <v>1</v>
      </c>
      <c r="J258" t="str">
        <f t="shared" ref="J258:J301" si="8">IF(G258&lt;&gt;"",G258*I258,"")</f>
        <v/>
      </c>
      <c r="K258" t="str">
        <f>IF(J258&lt;&gt;"",SUM($J$2:J258),"")</f>
        <v/>
      </c>
      <c r="L258">
        <f ca="1" t="shared" ref="L258:L301" si="9">IF(COUNTA(A258:K258)&gt;0,TODAY(),"")</f>
        <v>45942</v>
      </c>
    </row>
    <row r="259" spans="9:12">
      <c r="I259">
        <f>IFERROR(VLOOKUP(H259,Rates!$A$2:$B$3,2,0),1)</f>
        <v>1</v>
      </c>
      <c r="J259" t="str">
        <f t="shared" si="8"/>
        <v/>
      </c>
      <c r="K259" t="str">
        <f>IF(J259&lt;&gt;"",SUM($J$2:J259),"")</f>
        <v/>
      </c>
      <c r="L259">
        <f ca="1" t="shared" si="9"/>
        <v>45942</v>
      </c>
    </row>
    <row r="260" spans="9:12">
      <c r="I260">
        <f>IFERROR(VLOOKUP(H260,Rates!$A$2:$B$3,2,0),1)</f>
        <v>1</v>
      </c>
      <c r="J260" t="str">
        <f t="shared" si="8"/>
        <v/>
      </c>
      <c r="K260" t="str">
        <f>IF(J260&lt;&gt;"",SUM($J$2:J260),"")</f>
        <v/>
      </c>
      <c r="L260">
        <f ca="1" t="shared" si="9"/>
        <v>45942</v>
      </c>
    </row>
    <row r="261" spans="9:12">
      <c r="I261">
        <f>IFERROR(VLOOKUP(H261,Rates!$A$2:$B$3,2,0),1)</f>
        <v>1</v>
      </c>
      <c r="J261" t="str">
        <f t="shared" si="8"/>
        <v/>
      </c>
      <c r="K261" t="str">
        <f>IF(J261&lt;&gt;"",SUM($J$2:J261),"")</f>
        <v/>
      </c>
      <c r="L261">
        <f ca="1" t="shared" si="9"/>
        <v>45942</v>
      </c>
    </row>
    <row r="262" spans="9:12">
      <c r="I262">
        <f>IFERROR(VLOOKUP(H262,Rates!$A$2:$B$3,2,0),1)</f>
        <v>1</v>
      </c>
      <c r="J262" t="str">
        <f t="shared" si="8"/>
        <v/>
      </c>
      <c r="K262" t="str">
        <f>IF(J262&lt;&gt;"",SUM($J$2:J262),"")</f>
        <v/>
      </c>
      <c r="L262">
        <f ca="1" t="shared" si="9"/>
        <v>45942</v>
      </c>
    </row>
    <row r="263" spans="9:12">
      <c r="I263">
        <f>IFERROR(VLOOKUP(H263,Rates!$A$2:$B$3,2,0),1)</f>
        <v>1</v>
      </c>
      <c r="J263" t="str">
        <f t="shared" si="8"/>
        <v/>
      </c>
      <c r="K263" t="str">
        <f>IF(J263&lt;&gt;"",SUM($J$2:J263),"")</f>
        <v/>
      </c>
      <c r="L263">
        <f ca="1" t="shared" si="9"/>
        <v>45942</v>
      </c>
    </row>
    <row r="264" spans="9:12">
      <c r="I264">
        <f>IFERROR(VLOOKUP(H264,Rates!$A$2:$B$3,2,0),1)</f>
        <v>1</v>
      </c>
      <c r="J264" t="str">
        <f t="shared" si="8"/>
        <v/>
      </c>
      <c r="K264" t="str">
        <f>IF(J264&lt;&gt;"",SUM($J$2:J264),"")</f>
        <v/>
      </c>
      <c r="L264">
        <f ca="1" t="shared" si="9"/>
        <v>45942</v>
      </c>
    </row>
    <row r="265" spans="9:12">
      <c r="I265">
        <f>IFERROR(VLOOKUP(H265,Rates!$A$2:$B$3,2,0),1)</f>
        <v>1</v>
      </c>
      <c r="J265" t="str">
        <f t="shared" si="8"/>
        <v/>
      </c>
      <c r="K265" t="str">
        <f>IF(J265&lt;&gt;"",SUM($J$2:J265),"")</f>
        <v/>
      </c>
      <c r="L265">
        <f ca="1" t="shared" si="9"/>
        <v>45942</v>
      </c>
    </row>
    <row r="266" spans="9:12">
      <c r="I266">
        <f>IFERROR(VLOOKUP(H266,Rates!$A$2:$B$3,2,0),1)</f>
        <v>1</v>
      </c>
      <c r="J266" t="str">
        <f t="shared" si="8"/>
        <v/>
      </c>
      <c r="K266" t="str">
        <f>IF(J266&lt;&gt;"",SUM($J$2:J266),"")</f>
        <v/>
      </c>
      <c r="L266">
        <f ca="1" t="shared" si="9"/>
        <v>45942</v>
      </c>
    </row>
    <row r="267" spans="9:12">
      <c r="I267">
        <f>IFERROR(VLOOKUP(H267,Rates!$A$2:$B$3,2,0),1)</f>
        <v>1</v>
      </c>
      <c r="J267" t="str">
        <f t="shared" si="8"/>
        <v/>
      </c>
      <c r="K267" t="str">
        <f>IF(J267&lt;&gt;"",SUM($J$2:J267),"")</f>
        <v/>
      </c>
      <c r="L267">
        <f ca="1" t="shared" si="9"/>
        <v>45942</v>
      </c>
    </row>
    <row r="268" spans="9:12">
      <c r="I268">
        <f>IFERROR(VLOOKUP(H268,Rates!$A$2:$B$3,2,0),1)</f>
        <v>1</v>
      </c>
      <c r="J268" t="str">
        <f t="shared" si="8"/>
        <v/>
      </c>
      <c r="K268" t="str">
        <f>IF(J268&lt;&gt;"",SUM($J$2:J268),"")</f>
        <v/>
      </c>
      <c r="L268">
        <f ca="1" t="shared" si="9"/>
        <v>45942</v>
      </c>
    </row>
    <row r="269" spans="9:12">
      <c r="I269">
        <f>IFERROR(VLOOKUP(H269,Rates!$A$2:$B$3,2,0),1)</f>
        <v>1</v>
      </c>
      <c r="J269" t="str">
        <f t="shared" si="8"/>
        <v/>
      </c>
      <c r="K269" t="str">
        <f>IF(J269&lt;&gt;"",SUM($J$2:J269),"")</f>
        <v/>
      </c>
      <c r="L269">
        <f ca="1" t="shared" si="9"/>
        <v>45942</v>
      </c>
    </row>
    <row r="270" spans="9:12">
      <c r="I270">
        <f>IFERROR(VLOOKUP(H270,Rates!$A$2:$B$3,2,0),1)</f>
        <v>1</v>
      </c>
      <c r="J270" t="str">
        <f t="shared" si="8"/>
        <v/>
      </c>
      <c r="K270" t="str">
        <f>IF(J270&lt;&gt;"",SUM($J$2:J270),"")</f>
        <v/>
      </c>
      <c r="L270">
        <f ca="1" t="shared" si="9"/>
        <v>45942</v>
      </c>
    </row>
    <row r="271" spans="9:12">
      <c r="I271">
        <f>IFERROR(VLOOKUP(H271,Rates!$A$2:$B$3,2,0),1)</f>
        <v>1</v>
      </c>
      <c r="J271" t="str">
        <f t="shared" si="8"/>
        <v/>
      </c>
      <c r="K271" t="str">
        <f>IF(J271&lt;&gt;"",SUM($J$2:J271),"")</f>
        <v/>
      </c>
      <c r="L271">
        <f ca="1" t="shared" si="9"/>
        <v>45942</v>
      </c>
    </row>
    <row r="272" spans="9:12">
      <c r="I272">
        <f>IFERROR(VLOOKUP(H272,Rates!$A$2:$B$3,2,0),1)</f>
        <v>1</v>
      </c>
      <c r="J272" t="str">
        <f t="shared" si="8"/>
        <v/>
      </c>
      <c r="K272" t="str">
        <f>IF(J272&lt;&gt;"",SUM($J$2:J272),"")</f>
        <v/>
      </c>
      <c r="L272">
        <f ca="1" t="shared" si="9"/>
        <v>45942</v>
      </c>
    </row>
    <row r="273" spans="9:12">
      <c r="I273">
        <f>IFERROR(VLOOKUP(H273,Rates!$A$2:$B$3,2,0),1)</f>
        <v>1</v>
      </c>
      <c r="J273" t="str">
        <f t="shared" si="8"/>
        <v/>
      </c>
      <c r="K273" t="str">
        <f>IF(J273&lt;&gt;"",SUM($J$2:J273),"")</f>
        <v/>
      </c>
      <c r="L273">
        <f ca="1" t="shared" si="9"/>
        <v>45942</v>
      </c>
    </row>
    <row r="274" spans="9:12">
      <c r="I274">
        <f>IFERROR(VLOOKUP(H274,Rates!$A$2:$B$3,2,0),1)</f>
        <v>1</v>
      </c>
      <c r="J274" t="str">
        <f t="shared" si="8"/>
        <v/>
      </c>
      <c r="K274" t="str">
        <f>IF(J274&lt;&gt;"",SUM($J$2:J274),"")</f>
        <v/>
      </c>
      <c r="L274">
        <f ca="1" t="shared" si="9"/>
        <v>45942</v>
      </c>
    </row>
    <row r="275" spans="9:12">
      <c r="I275">
        <f>IFERROR(VLOOKUP(H275,Rates!$A$2:$B$3,2,0),1)</f>
        <v>1</v>
      </c>
      <c r="J275" t="str">
        <f t="shared" si="8"/>
        <v/>
      </c>
      <c r="K275" t="str">
        <f>IF(J275&lt;&gt;"",SUM($J$2:J275),"")</f>
        <v/>
      </c>
      <c r="L275">
        <f ca="1" t="shared" si="9"/>
        <v>45942</v>
      </c>
    </row>
    <row r="276" spans="9:12">
      <c r="I276">
        <f>IFERROR(VLOOKUP(H276,Rates!$A$2:$B$3,2,0),1)</f>
        <v>1</v>
      </c>
      <c r="J276" t="str">
        <f t="shared" si="8"/>
        <v/>
      </c>
      <c r="K276" t="str">
        <f>IF(J276&lt;&gt;"",SUM($J$2:J276),"")</f>
        <v/>
      </c>
      <c r="L276">
        <f ca="1" t="shared" si="9"/>
        <v>45942</v>
      </c>
    </row>
    <row r="277" spans="9:12">
      <c r="I277">
        <f>IFERROR(VLOOKUP(H277,Rates!$A$2:$B$3,2,0),1)</f>
        <v>1</v>
      </c>
      <c r="J277" t="str">
        <f t="shared" si="8"/>
        <v/>
      </c>
      <c r="K277" t="str">
        <f>IF(J277&lt;&gt;"",SUM($J$2:J277),"")</f>
        <v/>
      </c>
      <c r="L277">
        <f ca="1" t="shared" si="9"/>
        <v>45942</v>
      </c>
    </row>
    <row r="278" spans="9:12">
      <c r="I278">
        <f>IFERROR(VLOOKUP(H278,Rates!$A$2:$B$3,2,0),1)</f>
        <v>1</v>
      </c>
      <c r="J278" t="str">
        <f t="shared" si="8"/>
        <v/>
      </c>
      <c r="K278" t="str">
        <f>IF(J278&lt;&gt;"",SUM($J$2:J278),"")</f>
        <v/>
      </c>
      <c r="L278">
        <f ca="1" t="shared" si="9"/>
        <v>45942</v>
      </c>
    </row>
    <row r="279" spans="9:12">
      <c r="I279">
        <f>IFERROR(VLOOKUP(H279,Rates!$A$2:$B$3,2,0),1)</f>
        <v>1</v>
      </c>
      <c r="J279" t="str">
        <f t="shared" si="8"/>
        <v/>
      </c>
      <c r="K279" t="str">
        <f>IF(J279&lt;&gt;"",SUM($J$2:J279),"")</f>
        <v/>
      </c>
      <c r="L279">
        <f ca="1" t="shared" si="9"/>
        <v>45942</v>
      </c>
    </row>
    <row r="280" spans="9:12">
      <c r="I280">
        <f>IFERROR(VLOOKUP(H280,Rates!$A$2:$B$3,2,0),1)</f>
        <v>1</v>
      </c>
      <c r="J280" t="str">
        <f t="shared" si="8"/>
        <v/>
      </c>
      <c r="K280" t="str">
        <f>IF(J280&lt;&gt;"",SUM($J$2:J280),"")</f>
        <v/>
      </c>
      <c r="L280">
        <f ca="1" t="shared" si="9"/>
        <v>45942</v>
      </c>
    </row>
    <row r="281" spans="9:12">
      <c r="I281">
        <f>IFERROR(VLOOKUP(H281,Rates!$A$2:$B$3,2,0),1)</f>
        <v>1</v>
      </c>
      <c r="J281" t="str">
        <f t="shared" si="8"/>
        <v/>
      </c>
      <c r="K281" t="str">
        <f>IF(J281&lt;&gt;"",SUM($J$2:J281),"")</f>
        <v/>
      </c>
      <c r="L281">
        <f ca="1" t="shared" si="9"/>
        <v>45942</v>
      </c>
    </row>
    <row r="282" spans="9:12">
      <c r="I282">
        <f>IFERROR(VLOOKUP(H282,Rates!$A$2:$B$3,2,0),1)</f>
        <v>1</v>
      </c>
      <c r="J282" t="str">
        <f t="shared" si="8"/>
        <v/>
      </c>
      <c r="K282" t="str">
        <f>IF(J282&lt;&gt;"",SUM($J$2:J282),"")</f>
        <v/>
      </c>
      <c r="L282">
        <f ca="1" t="shared" si="9"/>
        <v>45942</v>
      </c>
    </row>
    <row r="283" spans="9:12">
      <c r="I283">
        <f>IFERROR(VLOOKUP(H283,Rates!$A$2:$B$3,2,0),1)</f>
        <v>1</v>
      </c>
      <c r="J283" t="str">
        <f t="shared" si="8"/>
        <v/>
      </c>
      <c r="K283" t="str">
        <f>IF(J283&lt;&gt;"",SUM($J$2:J283),"")</f>
        <v/>
      </c>
      <c r="L283">
        <f ca="1" t="shared" si="9"/>
        <v>45942</v>
      </c>
    </row>
    <row r="284" spans="9:12">
      <c r="I284">
        <f>IFERROR(VLOOKUP(H284,Rates!$A$2:$B$3,2,0),1)</f>
        <v>1</v>
      </c>
      <c r="J284" t="str">
        <f t="shared" si="8"/>
        <v/>
      </c>
      <c r="K284" t="str">
        <f>IF(J284&lt;&gt;"",SUM($J$2:J284),"")</f>
        <v/>
      </c>
      <c r="L284">
        <f ca="1" t="shared" si="9"/>
        <v>45942</v>
      </c>
    </row>
    <row r="285" spans="9:12">
      <c r="I285">
        <f>IFERROR(VLOOKUP(H285,Rates!$A$2:$B$3,2,0),1)</f>
        <v>1</v>
      </c>
      <c r="J285" t="str">
        <f t="shared" si="8"/>
        <v/>
      </c>
      <c r="K285" t="str">
        <f>IF(J285&lt;&gt;"",SUM($J$2:J285),"")</f>
        <v/>
      </c>
      <c r="L285">
        <f ca="1" t="shared" si="9"/>
        <v>45942</v>
      </c>
    </row>
    <row r="286" spans="9:12">
      <c r="I286">
        <f>IFERROR(VLOOKUP(H286,Rates!$A$2:$B$3,2,0),1)</f>
        <v>1</v>
      </c>
      <c r="J286" t="str">
        <f t="shared" si="8"/>
        <v/>
      </c>
      <c r="K286" t="str">
        <f>IF(J286&lt;&gt;"",SUM($J$2:J286),"")</f>
        <v/>
      </c>
      <c r="L286">
        <f ca="1" t="shared" si="9"/>
        <v>45942</v>
      </c>
    </row>
    <row r="287" spans="9:12">
      <c r="I287">
        <f>IFERROR(VLOOKUP(H287,Rates!$A$2:$B$3,2,0),1)</f>
        <v>1</v>
      </c>
      <c r="J287" t="str">
        <f t="shared" si="8"/>
        <v/>
      </c>
      <c r="K287" t="str">
        <f>IF(J287&lt;&gt;"",SUM($J$2:J287),"")</f>
        <v/>
      </c>
      <c r="L287">
        <f ca="1" t="shared" si="9"/>
        <v>45942</v>
      </c>
    </row>
    <row r="288" spans="9:12">
      <c r="I288">
        <f>IFERROR(VLOOKUP(H288,Rates!$A$2:$B$3,2,0),1)</f>
        <v>1</v>
      </c>
      <c r="J288" t="str">
        <f t="shared" si="8"/>
        <v/>
      </c>
      <c r="K288" t="str">
        <f>IF(J288&lt;&gt;"",SUM($J$2:J288),"")</f>
        <v/>
      </c>
      <c r="L288">
        <f ca="1" t="shared" si="9"/>
        <v>45942</v>
      </c>
    </row>
    <row r="289" spans="9:12">
      <c r="I289">
        <f>IFERROR(VLOOKUP(H289,Rates!$A$2:$B$3,2,0),1)</f>
        <v>1</v>
      </c>
      <c r="J289" t="str">
        <f t="shared" si="8"/>
        <v/>
      </c>
      <c r="K289" t="str">
        <f>IF(J289&lt;&gt;"",SUM($J$2:J289),"")</f>
        <v/>
      </c>
      <c r="L289">
        <f ca="1" t="shared" si="9"/>
        <v>45942</v>
      </c>
    </row>
    <row r="290" spans="9:12">
      <c r="I290">
        <f>IFERROR(VLOOKUP(H290,Rates!$A$2:$B$3,2,0),1)</f>
        <v>1</v>
      </c>
      <c r="J290" t="str">
        <f t="shared" si="8"/>
        <v/>
      </c>
      <c r="K290" t="str">
        <f>IF(J290&lt;&gt;"",SUM($J$2:J290),"")</f>
        <v/>
      </c>
      <c r="L290">
        <f ca="1" t="shared" si="9"/>
        <v>45942</v>
      </c>
    </row>
    <row r="291" spans="9:12">
      <c r="I291">
        <f>IFERROR(VLOOKUP(H291,Rates!$A$2:$B$3,2,0),1)</f>
        <v>1</v>
      </c>
      <c r="J291" t="str">
        <f t="shared" si="8"/>
        <v/>
      </c>
      <c r="K291" t="str">
        <f>IF(J291&lt;&gt;"",SUM($J$2:J291),"")</f>
        <v/>
      </c>
      <c r="L291">
        <f ca="1" t="shared" si="9"/>
        <v>45942</v>
      </c>
    </row>
    <row r="292" spans="9:12">
      <c r="I292">
        <f>IFERROR(VLOOKUP(H292,Rates!$A$2:$B$3,2,0),1)</f>
        <v>1</v>
      </c>
      <c r="J292" t="str">
        <f t="shared" si="8"/>
        <v/>
      </c>
      <c r="K292" t="str">
        <f>IF(J292&lt;&gt;"",SUM($J$2:J292),"")</f>
        <v/>
      </c>
      <c r="L292">
        <f ca="1" t="shared" si="9"/>
        <v>45942</v>
      </c>
    </row>
    <row r="293" spans="9:12">
      <c r="I293">
        <f>IFERROR(VLOOKUP(H293,Rates!$A$2:$B$3,2,0),1)</f>
        <v>1</v>
      </c>
      <c r="J293" t="str">
        <f t="shared" si="8"/>
        <v/>
      </c>
      <c r="K293" t="str">
        <f>IF(J293&lt;&gt;"",SUM($J$2:J293),"")</f>
        <v/>
      </c>
      <c r="L293">
        <f ca="1" t="shared" si="9"/>
        <v>45942</v>
      </c>
    </row>
    <row r="294" spans="9:12">
      <c r="I294">
        <f>IFERROR(VLOOKUP(H294,Rates!$A$2:$B$3,2,0),1)</f>
        <v>1</v>
      </c>
      <c r="J294" t="str">
        <f t="shared" si="8"/>
        <v/>
      </c>
      <c r="K294" t="str">
        <f>IF(J294&lt;&gt;"",SUM($J$2:J294),"")</f>
        <v/>
      </c>
      <c r="L294">
        <f ca="1" t="shared" si="9"/>
        <v>45942</v>
      </c>
    </row>
    <row r="295" spans="9:12">
      <c r="I295">
        <f>IFERROR(VLOOKUP(H295,Rates!$A$2:$B$3,2,0),1)</f>
        <v>1</v>
      </c>
      <c r="J295" t="str">
        <f t="shared" si="8"/>
        <v/>
      </c>
      <c r="K295" t="str">
        <f>IF(J295&lt;&gt;"",SUM($J$2:J295),"")</f>
        <v/>
      </c>
      <c r="L295">
        <f ca="1" t="shared" si="9"/>
        <v>45942</v>
      </c>
    </row>
    <row r="296" spans="9:12">
      <c r="I296">
        <f>IFERROR(VLOOKUP(H296,Rates!$A$2:$B$3,2,0),1)</f>
        <v>1</v>
      </c>
      <c r="J296" t="str">
        <f t="shared" si="8"/>
        <v/>
      </c>
      <c r="K296" t="str">
        <f>IF(J296&lt;&gt;"",SUM($J$2:J296),"")</f>
        <v/>
      </c>
      <c r="L296">
        <f ca="1" t="shared" si="9"/>
        <v>45942</v>
      </c>
    </row>
    <row r="297" spans="9:12">
      <c r="I297">
        <f>IFERROR(VLOOKUP(H297,Rates!$A$2:$B$3,2,0),1)</f>
        <v>1</v>
      </c>
      <c r="J297" t="str">
        <f t="shared" si="8"/>
        <v/>
      </c>
      <c r="K297" t="str">
        <f>IF(J297&lt;&gt;"",SUM($J$2:J297),"")</f>
        <v/>
      </c>
      <c r="L297">
        <f ca="1" t="shared" si="9"/>
        <v>45942</v>
      </c>
    </row>
    <row r="298" spans="9:12">
      <c r="I298">
        <f>IFERROR(VLOOKUP(H298,Rates!$A$2:$B$3,2,0),1)</f>
        <v>1</v>
      </c>
      <c r="J298" t="str">
        <f t="shared" si="8"/>
        <v/>
      </c>
      <c r="K298" t="str">
        <f>IF(J298&lt;&gt;"",SUM($J$2:J298),"")</f>
        <v/>
      </c>
      <c r="L298">
        <f ca="1" t="shared" si="9"/>
        <v>45942</v>
      </c>
    </row>
    <row r="299" spans="9:12">
      <c r="I299">
        <f>IFERROR(VLOOKUP(H299,Rates!$A$2:$B$3,2,0),1)</f>
        <v>1</v>
      </c>
      <c r="J299" t="str">
        <f t="shared" si="8"/>
        <v/>
      </c>
      <c r="K299" t="str">
        <f>IF(J299&lt;&gt;"",SUM($J$2:J299),"")</f>
        <v/>
      </c>
      <c r="L299">
        <f ca="1" t="shared" si="9"/>
        <v>45942</v>
      </c>
    </row>
    <row r="300" spans="9:12">
      <c r="I300">
        <f>IFERROR(VLOOKUP(H300,Rates!$A$2:$B$3,2,0),1)</f>
        <v>1</v>
      </c>
      <c r="J300" t="str">
        <f t="shared" si="8"/>
        <v/>
      </c>
      <c r="K300" t="str">
        <f>IF(J300&lt;&gt;"",SUM($J$2:J300),"")</f>
        <v/>
      </c>
      <c r="L300">
        <f ca="1" t="shared" si="9"/>
        <v>45942</v>
      </c>
    </row>
    <row r="301" spans="9:12">
      <c r="I301">
        <f>IFERROR(VLOOKUP(H301,Rates!$A$2:$B$3,2,0),1)</f>
        <v>1</v>
      </c>
      <c r="J301" t="str">
        <f t="shared" si="8"/>
        <v/>
      </c>
      <c r="K301" t="str">
        <f>IF(J301&lt;&gt;"",SUM($J$2:J301),"")</f>
        <v/>
      </c>
      <c r="L301">
        <f ca="1" t="shared" si="9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1"/>
  <sheetViews>
    <sheetView workbookViewId="0">
      <pane ySplit="1" topLeftCell="A2" activePane="bottomLeft" state="frozen"/>
      <selection/>
      <selection pane="bottomLeft" activeCell="D5" sqref="D5"/>
    </sheetView>
  </sheetViews>
  <sheetFormatPr defaultColWidth="9" defaultRowHeight="16.8"/>
  <cols>
    <col min="1" max="1" width="22" customWidth="1"/>
    <col min="2" max="2" width="12" customWidth="1"/>
    <col min="3" max="4" width="16" customWidth="1"/>
    <col min="5" max="5" width="26" customWidth="1"/>
    <col min="6" max="6" width="36" customWidth="1"/>
    <col min="7" max="7" width="12" customWidth="1"/>
    <col min="8" max="9" width="10" customWidth="1"/>
    <col min="10" max="10" width="14" customWidth="1"/>
    <col min="11" max="11" width="16" customWidth="1"/>
    <col min="12" max="12" width="14" customWidth="1"/>
    <col min="14" max="14" width="2" customWidth="1"/>
    <col min="16" max="16" width="2" customWidth="1"/>
  </cols>
  <sheetData>
    <row r="1" spans="1:15">
      <c r="A1" t="s">
        <v>36</v>
      </c>
      <c r="B1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  <c r="O1" t="s">
        <v>91</v>
      </c>
    </row>
    <row r="2" spans="1:15">
      <c r="A2" t="s">
        <v>46</v>
      </c>
      <c r="B2" s="10">
        <v>45839</v>
      </c>
      <c r="F2" t="s">
        <v>64</v>
      </c>
      <c r="G2" s="5">
        <v>8563928</v>
      </c>
      <c r="H2" t="s">
        <v>3</v>
      </c>
      <c r="I2">
        <f>IFERROR(VLOOKUP(H2,Rates!$A$2:$B$3,2,0),1)</f>
        <v>1</v>
      </c>
      <c r="J2">
        <f t="shared" ref="J2:J65" si="0">IF(G2&lt;&gt;"",G2*I2,"")</f>
        <v>8563928</v>
      </c>
      <c r="K2">
        <f>IF(J2&lt;&gt;"",J2,"")</f>
        <v>8563928</v>
      </c>
      <c r="L2">
        <f ca="1" t="shared" ref="L2:L65" si="1">IF(COUNTA(A2:K2)&gt;0,TODAY(),"")</f>
        <v>45942</v>
      </c>
      <c r="O2" t="s">
        <v>5</v>
      </c>
    </row>
    <row r="3" spans="1:15">
      <c r="A3" t="s">
        <v>46</v>
      </c>
      <c r="B3" s="10">
        <v>45841</v>
      </c>
      <c r="C3" t="s">
        <v>17</v>
      </c>
      <c r="F3" t="s">
        <v>17</v>
      </c>
      <c r="G3">
        <v>-1500000</v>
      </c>
      <c r="H3" t="s">
        <v>3</v>
      </c>
      <c r="I3">
        <f>IFERROR(VLOOKUP(H3,Rates!$A$2:$B$3,2,0),1)</f>
        <v>1</v>
      </c>
      <c r="J3">
        <f t="shared" si="0"/>
        <v>-1500000</v>
      </c>
      <c r="K3">
        <f>IF(J3&lt;&gt;"",SUM($J$2:J3),"")</f>
        <v>7063928</v>
      </c>
      <c r="L3">
        <f ca="1" t="shared" si="1"/>
        <v>45942</v>
      </c>
      <c r="O3" t="s">
        <v>6</v>
      </c>
    </row>
    <row r="4" spans="1:15">
      <c r="A4" t="s">
        <v>46</v>
      </c>
      <c r="B4" s="10">
        <v>45848</v>
      </c>
      <c r="C4" t="s">
        <v>20</v>
      </c>
      <c r="D4" t="s">
        <v>29</v>
      </c>
      <c r="F4" t="s">
        <v>92</v>
      </c>
      <c r="G4">
        <v>-1500000</v>
      </c>
      <c r="H4" t="s">
        <v>3</v>
      </c>
      <c r="I4">
        <f>IFERROR(VLOOKUP(H4,Rates!$A$2:$B$3,2,0),1)</f>
        <v>1</v>
      </c>
      <c r="J4">
        <f t="shared" si="0"/>
        <v>-1500000</v>
      </c>
      <c r="K4">
        <f>IF(J4&lt;&gt;"",SUM($J$2:J4),"")</f>
        <v>5563928</v>
      </c>
      <c r="L4">
        <f ca="1" t="shared" si="1"/>
        <v>45942</v>
      </c>
      <c r="O4" t="s">
        <v>7</v>
      </c>
    </row>
    <row r="5" spans="2:15">
      <c r="B5" s="10">
        <v>45855</v>
      </c>
      <c r="C5" t="s">
        <v>19</v>
      </c>
      <c r="D5" t="s">
        <v>29</v>
      </c>
      <c r="G5">
        <v>13711</v>
      </c>
      <c r="I5">
        <f>IFERROR(VLOOKUP(H5,Rates!$A$2:$B$3,2,0),1)</f>
        <v>1</v>
      </c>
      <c r="J5">
        <f t="shared" si="0"/>
        <v>13711</v>
      </c>
      <c r="K5">
        <f>IF(J5&lt;&gt;"",SUM($J$2:J5),"")</f>
        <v>5577639</v>
      </c>
      <c r="L5">
        <f ca="1" t="shared" si="1"/>
        <v>45942</v>
      </c>
      <c r="O5" t="s">
        <v>8</v>
      </c>
    </row>
    <row r="6" spans="2:15">
      <c r="B6" s="10">
        <v>45855</v>
      </c>
      <c r="C6" t="s">
        <v>16</v>
      </c>
      <c r="D6" t="s">
        <v>29</v>
      </c>
      <c r="G6">
        <v>-34</v>
      </c>
      <c r="I6">
        <f>IFERROR(VLOOKUP(H6,Rates!$A$2:$B$3,2,0),1)</f>
        <v>1</v>
      </c>
      <c r="J6">
        <f t="shared" si="0"/>
        <v>-34</v>
      </c>
      <c r="K6">
        <f>IF(J6&lt;&gt;"",SUM($J$2:J6),"")</f>
        <v>5577605</v>
      </c>
      <c r="L6">
        <f ca="1" t="shared" si="1"/>
        <v>45942</v>
      </c>
      <c r="O6" t="s">
        <v>9</v>
      </c>
    </row>
    <row r="7" spans="2:15">
      <c r="B7" s="10">
        <v>45859</v>
      </c>
      <c r="C7" t="s">
        <v>17</v>
      </c>
      <c r="F7" t="s">
        <v>17</v>
      </c>
      <c r="G7">
        <v>-200000</v>
      </c>
      <c r="I7">
        <f>IFERROR(VLOOKUP(H7,Rates!$A$2:$B$3,2,0),1)</f>
        <v>1</v>
      </c>
      <c r="J7">
        <f t="shared" si="0"/>
        <v>-200000</v>
      </c>
      <c r="K7">
        <f>IF(J7&lt;&gt;"",SUM($J$2:J7),"")</f>
        <v>5377605</v>
      </c>
      <c r="L7">
        <f ca="1" t="shared" si="1"/>
        <v>45942</v>
      </c>
      <c r="O7" t="s">
        <v>10</v>
      </c>
    </row>
    <row r="8" spans="2:15">
      <c r="B8" s="10">
        <v>45859</v>
      </c>
      <c r="C8" t="s">
        <v>17</v>
      </c>
      <c r="E8" t="s">
        <v>50</v>
      </c>
      <c r="F8" t="s">
        <v>93</v>
      </c>
      <c r="G8">
        <v>-1200000</v>
      </c>
      <c r="I8">
        <f>IFERROR(VLOOKUP(H8,Rates!$A$2:$B$3,2,0),1)</f>
        <v>1</v>
      </c>
      <c r="J8">
        <f t="shared" si="0"/>
        <v>-1200000</v>
      </c>
      <c r="K8">
        <f>IF(J8&lt;&gt;"",SUM($J$2:J8),"")</f>
        <v>4177605</v>
      </c>
      <c r="L8">
        <f ca="1" t="shared" si="1"/>
        <v>45942</v>
      </c>
      <c r="O8" t="s">
        <v>11</v>
      </c>
    </row>
    <row r="9" spans="2:15">
      <c r="B9" s="10">
        <v>45859</v>
      </c>
      <c r="C9" t="s">
        <v>17</v>
      </c>
      <c r="E9" t="s">
        <v>54</v>
      </c>
      <c r="F9" t="s">
        <v>94</v>
      </c>
      <c r="G9">
        <v>-200000</v>
      </c>
      <c r="I9">
        <f>IFERROR(VLOOKUP(H9,Rates!$A$2:$B$3,2,0),1)</f>
        <v>1</v>
      </c>
      <c r="J9">
        <f t="shared" si="0"/>
        <v>-200000</v>
      </c>
      <c r="K9">
        <f>IF(J9&lt;&gt;"",SUM($J$2:J9),"")</f>
        <v>3977605</v>
      </c>
      <c r="L9">
        <f ca="1" t="shared" si="1"/>
        <v>45942</v>
      </c>
      <c r="O9" t="s">
        <v>12</v>
      </c>
    </row>
    <row r="10" spans="2:15">
      <c r="B10" s="10">
        <v>45859</v>
      </c>
      <c r="C10" t="s">
        <v>17</v>
      </c>
      <c r="E10" t="s">
        <v>54</v>
      </c>
      <c r="F10" t="s">
        <v>95</v>
      </c>
      <c r="G10">
        <v>-1213000</v>
      </c>
      <c r="I10">
        <f>IFERROR(VLOOKUP(H10,Rates!$A$2:$B$3,2,0),1)</f>
        <v>1</v>
      </c>
      <c r="J10">
        <f t="shared" si="0"/>
        <v>-1213000</v>
      </c>
      <c r="K10">
        <f>IF(J10&lt;&gt;"",SUM($J$2:J10),"")</f>
        <v>2764605</v>
      </c>
      <c r="L10">
        <f ca="1" t="shared" si="1"/>
        <v>45942</v>
      </c>
      <c r="O10" t="s">
        <v>13</v>
      </c>
    </row>
    <row r="11" spans="2:15">
      <c r="B11" s="10">
        <v>45859</v>
      </c>
      <c r="C11" t="s">
        <v>17</v>
      </c>
      <c r="E11" t="s">
        <v>54</v>
      </c>
      <c r="F11" t="s">
        <v>96</v>
      </c>
      <c r="G11">
        <v>-900000</v>
      </c>
      <c r="I11">
        <f>IFERROR(VLOOKUP(H11,Rates!$A$2:$B$3,2,0),1)</f>
        <v>1</v>
      </c>
      <c r="J11">
        <f t="shared" si="0"/>
        <v>-900000</v>
      </c>
      <c r="K11">
        <f>IF(J11&lt;&gt;"",SUM($J$2:J11),"")</f>
        <v>1864605</v>
      </c>
      <c r="L11">
        <f ca="1" t="shared" si="1"/>
        <v>45942</v>
      </c>
      <c r="O11" t="s">
        <v>14</v>
      </c>
    </row>
    <row r="12" spans="2:15">
      <c r="B12" s="10">
        <v>45861</v>
      </c>
      <c r="C12" t="s">
        <v>19</v>
      </c>
      <c r="D12" t="s">
        <v>32</v>
      </c>
      <c r="F12" t="s">
        <v>97</v>
      </c>
      <c r="G12">
        <v>4147029</v>
      </c>
      <c r="I12">
        <f>IFERROR(VLOOKUP(H12,Rates!$A$2:$B$3,2,0),1)</f>
        <v>1</v>
      </c>
      <c r="J12">
        <f t="shared" si="0"/>
        <v>4147029</v>
      </c>
      <c r="K12">
        <f>IF(J12&lt;&gt;"",SUM($J$2:J12),"")</f>
        <v>6011634</v>
      </c>
      <c r="L12">
        <f ca="1" t="shared" si="1"/>
        <v>45942</v>
      </c>
      <c r="O12" t="s">
        <v>15</v>
      </c>
    </row>
    <row r="13" spans="2:15">
      <c r="B13" s="10">
        <v>45861</v>
      </c>
      <c r="C13" t="s">
        <v>16</v>
      </c>
      <c r="D13" t="s">
        <v>32</v>
      </c>
      <c r="F13" t="s">
        <v>68</v>
      </c>
      <c r="G13">
        <v>-10367</v>
      </c>
      <c r="I13">
        <f>IFERROR(VLOOKUP(H13,Rates!$A$2:$B$3,2,0),1)</f>
        <v>1</v>
      </c>
      <c r="J13">
        <f t="shared" si="0"/>
        <v>-10367</v>
      </c>
      <c r="K13">
        <f>IF(J13&lt;&gt;"",SUM($J$2:J13),"")</f>
        <v>6001267</v>
      </c>
      <c r="L13">
        <f ca="1" t="shared" si="1"/>
        <v>45942</v>
      </c>
      <c r="O13" t="s">
        <v>16</v>
      </c>
    </row>
    <row r="14" spans="2:15">
      <c r="B14" s="10">
        <v>45861</v>
      </c>
      <c r="C14" t="s">
        <v>17</v>
      </c>
      <c r="E14" t="s">
        <v>39</v>
      </c>
      <c r="F14" t="s">
        <v>98</v>
      </c>
      <c r="G14">
        <v>-2074072</v>
      </c>
      <c r="I14">
        <f>IFERROR(VLOOKUP(H14,Rates!$A$2:$B$3,2,0),1)</f>
        <v>1</v>
      </c>
      <c r="J14">
        <f t="shared" si="0"/>
        <v>-2074072</v>
      </c>
      <c r="K14">
        <f>IF(J14&lt;&gt;"",SUM($J$2:J14),"")</f>
        <v>3927195</v>
      </c>
      <c r="L14">
        <f ca="1" t="shared" si="1"/>
        <v>45942</v>
      </c>
      <c r="O14" t="s">
        <v>17</v>
      </c>
    </row>
    <row r="15" spans="2:15">
      <c r="B15" s="10">
        <v>45863</v>
      </c>
      <c r="C15" t="s">
        <v>17</v>
      </c>
      <c r="E15" t="s">
        <v>54</v>
      </c>
      <c r="F15" t="s">
        <v>96</v>
      </c>
      <c r="G15">
        <v>-2300000</v>
      </c>
      <c r="I15">
        <f>IFERROR(VLOOKUP(H15,Rates!$A$2:$B$3,2,0),1)</f>
        <v>1</v>
      </c>
      <c r="J15">
        <f t="shared" si="0"/>
        <v>-2300000</v>
      </c>
      <c r="K15">
        <f>IF(J15&lt;&gt;"",SUM($J$2:J15),"")</f>
        <v>1627195</v>
      </c>
      <c r="L15">
        <f ca="1" t="shared" si="1"/>
        <v>45942</v>
      </c>
      <c r="O15" t="s">
        <v>18</v>
      </c>
    </row>
    <row r="16" spans="2:15">
      <c r="B16" s="10">
        <v>45863</v>
      </c>
      <c r="C16" t="s">
        <v>17</v>
      </c>
      <c r="E16" t="s">
        <v>48</v>
      </c>
      <c r="F16" t="s">
        <v>17</v>
      </c>
      <c r="G16">
        <v>-800000</v>
      </c>
      <c r="I16">
        <f>IFERROR(VLOOKUP(H16,Rates!$A$2:$B$3,2,0),1)</f>
        <v>1</v>
      </c>
      <c r="J16">
        <f t="shared" si="0"/>
        <v>-800000</v>
      </c>
      <c r="K16">
        <f>IF(J16&lt;&gt;"",SUM($J$2:J16),"")</f>
        <v>827195</v>
      </c>
      <c r="L16">
        <f ca="1" t="shared" si="1"/>
        <v>45942</v>
      </c>
      <c r="O16" t="s">
        <v>19</v>
      </c>
    </row>
    <row r="17" spans="2:15">
      <c r="B17" s="10">
        <v>45868</v>
      </c>
      <c r="C17" t="s">
        <v>19</v>
      </c>
      <c r="D17" t="s">
        <v>29</v>
      </c>
      <c r="F17" t="s">
        <v>99</v>
      </c>
      <c r="G17">
        <v>2584905</v>
      </c>
      <c r="I17">
        <f>IFERROR(VLOOKUP(H17,Rates!$A$2:$B$3,2,0),1)</f>
        <v>1</v>
      </c>
      <c r="J17">
        <f t="shared" si="0"/>
        <v>2584905</v>
      </c>
      <c r="K17">
        <f>IF(J17&lt;&gt;"",SUM($J$2:J17),"")</f>
        <v>3412100</v>
      </c>
      <c r="L17">
        <f ca="1" t="shared" si="1"/>
        <v>45942</v>
      </c>
      <c r="O17" t="s">
        <v>20</v>
      </c>
    </row>
    <row r="18" spans="2:15">
      <c r="B18" s="10">
        <v>45868</v>
      </c>
      <c r="C18" t="s">
        <v>16</v>
      </c>
      <c r="D18" t="s">
        <v>29</v>
      </c>
      <c r="F18" t="s">
        <v>71</v>
      </c>
      <c r="G18">
        <v>-6462</v>
      </c>
      <c r="I18">
        <f>IFERROR(VLOOKUP(H18,Rates!$A$2:$B$3,2,0),1)</f>
        <v>1</v>
      </c>
      <c r="J18">
        <f t="shared" si="0"/>
        <v>-6462</v>
      </c>
      <c r="K18">
        <f>IF(J18&lt;&gt;"",SUM($J$2:J18),"")</f>
        <v>3405638</v>
      </c>
      <c r="L18">
        <f ca="1" t="shared" si="1"/>
        <v>45942</v>
      </c>
      <c r="O18" t="s">
        <v>21</v>
      </c>
    </row>
    <row r="19" spans="2:15">
      <c r="B19" s="10">
        <v>45868</v>
      </c>
      <c r="C19" t="s">
        <v>17</v>
      </c>
      <c r="E19" t="s">
        <v>39</v>
      </c>
      <c r="F19" t="s">
        <v>98</v>
      </c>
      <c r="G19">
        <v>-1292634</v>
      </c>
      <c r="I19">
        <f>IFERROR(VLOOKUP(H19,Rates!$A$2:$B$3,2,0),1)</f>
        <v>1</v>
      </c>
      <c r="J19">
        <f t="shared" si="0"/>
        <v>-1292634</v>
      </c>
      <c r="K19">
        <f>IF(J19&lt;&gt;"",SUM($J$2:J19),"")</f>
        <v>2113004</v>
      </c>
      <c r="L19">
        <f ca="1" t="shared" si="1"/>
        <v>45942</v>
      </c>
      <c r="O19" t="s">
        <v>22</v>
      </c>
    </row>
    <row r="20" spans="9:15">
      <c r="I20">
        <f>IFERROR(VLOOKUP(H20,Rates!$A$2:$B$3,2,0),1)</f>
        <v>1</v>
      </c>
      <c r="J20" t="str">
        <f t="shared" si="0"/>
        <v/>
      </c>
      <c r="K20" t="str">
        <f>IF(J20&lt;&gt;"",SUM($J$2:J20),"")</f>
        <v/>
      </c>
      <c r="L20">
        <f ca="1" t="shared" si="1"/>
        <v>45942</v>
      </c>
      <c r="O20" t="s">
        <v>23</v>
      </c>
    </row>
    <row r="21" spans="9:15">
      <c r="I21">
        <f>IFERROR(VLOOKUP(H21,Rates!$A$2:$B$3,2,0),1)</f>
        <v>1</v>
      </c>
      <c r="J21" t="str">
        <f t="shared" si="0"/>
        <v/>
      </c>
      <c r="K21" t="str">
        <f>IF(J21&lt;&gt;"",SUM($J$2:J21),"")</f>
        <v/>
      </c>
      <c r="L21">
        <f ca="1" t="shared" si="1"/>
        <v>45942</v>
      </c>
      <c r="O21" t="s">
        <v>24</v>
      </c>
    </row>
    <row r="22" spans="9:15">
      <c r="I22">
        <f>IFERROR(VLOOKUP(H22,Rates!$A$2:$B$3,2,0),1)</f>
        <v>1</v>
      </c>
      <c r="J22" t="str">
        <f t="shared" si="0"/>
        <v/>
      </c>
      <c r="K22" t="str">
        <f>IF(J22&lt;&gt;"",SUM($J$2:J22),"")</f>
        <v/>
      </c>
      <c r="L22">
        <f ca="1" t="shared" si="1"/>
        <v>45942</v>
      </c>
      <c r="O22" t="s">
        <v>25</v>
      </c>
    </row>
    <row r="23" spans="9:15">
      <c r="I23">
        <f>IFERROR(VLOOKUP(H23,Rates!$A$2:$B$3,2,0),1)</f>
        <v>1</v>
      </c>
      <c r="J23" t="str">
        <f t="shared" si="0"/>
        <v/>
      </c>
      <c r="K23" t="str">
        <f>IF(J23&lt;&gt;"",SUM($J$2:J23),"")</f>
        <v/>
      </c>
      <c r="L23">
        <f ca="1" t="shared" si="1"/>
        <v>45942</v>
      </c>
      <c r="O23" t="s">
        <v>26</v>
      </c>
    </row>
    <row r="24" spans="9:12">
      <c r="I24">
        <f>IFERROR(VLOOKUP(H24,Rates!$A$2:$B$3,2,0),1)</f>
        <v>1</v>
      </c>
      <c r="J24" t="str">
        <f t="shared" si="0"/>
        <v/>
      </c>
      <c r="K24" t="str">
        <f>IF(J24&lt;&gt;"",SUM($J$2:J24),"")</f>
        <v/>
      </c>
      <c r="L24">
        <f ca="1" t="shared" si="1"/>
        <v>45942</v>
      </c>
    </row>
    <row r="25" spans="9:12">
      <c r="I25">
        <f>IFERROR(VLOOKUP(H25,Rates!$A$2:$B$3,2,0),1)</f>
        <v>1</v>
      </c>
      <c r="J25" t="str">
        <f t="shared" si="0"/>
        <v/>
      </c>
      <c r="K25" t="str">
        <f>IF(J25&lt;&gt;"",SUM($J$2:J25),"")</f>
        <v/>
      </c>
      <c r="L25">
        <f ca="1" t="shared" si="1"/>
        <v>45942</v>
      </c>
    </row>
    <row r="26" spans="9:12">
      <c r="I26">
        <f>IFERROR(VLOOKUP(H26,Rates!$A$2:$B$3,2,0),1)</f>
        <v>1</v>
      </c>
      <c r="J26" t="str">
        <f t="shared" si="0"/>
        <v/>
      </c>
      <c r="K26" t="str">
        <f>IF(J26&lt;&gt;"",SUM($J$2:J26),"")</f>
        <v/>
      </c>
      <c r="L26">
        <f ca="1" t="shared" si="1"/>
        <v>45942</v>
      </c>
    </row>
    <row r="27" spans="9:12">
      <c r="I27">
        <f>IFERROR(VLOOKUP(H27,Rates!$A$2:$B$3,2,0),1)</f>
        <v>1</v>
      </c>
      <c r="J27" t="str">
        <f t="shared" si="0"/>
        <v/>
      </c>
      <c r="K27" t="str">
        <f>IF(J27&lt;&gt;"",SUM($J$2:J27),"")</f>
        <v/>
      </c>
      <c r="L27">
        <f ca="1" t="shared" si="1"/>
        <v>45942</v>
      </c>
    </row>
    <row r="28" spans="9:12">
      <c r="I28">
        <f>IFERROR(VLOOKUP(H28,Rates!$A$2:$B$3,2,0),1)</f>
        <v>1</v>
      </c>
      <c r="J28" t="str">
        <f t="shared" si="0"/>
        <v/>
      </c>
      <c r="K28" t="str">
        <f>IF(J28&lt;&gt;"",SUM($J$2:J28),"")</f>
        <v/>
      </c>
      <c r="L28">
        <f ca="1" t="shared" si="1"/>
        <v>45942</v>
      </c>
    </row>
    <row r="29" spans="9:12">
      <c r="I29">
        <f>IFERROR(VLOOKUP(H29,Rates!$A$2:$B$3,2,0),1)</f>
        <v>1</v>
      </c>
      <c r="J29" t="str">
        <f t="shared" si="0"/>
        <v/>
      </c>
      <c r="K29" t="str">
        <f>IF(J29&lt;&gt;"",SUM($J$2:J29),"")</f>
        <v/>
      </c>
      <c r="L29">
        <f ca="1" t="shared" si="1"/>
        <v>45942</v>
      </c>
    </row>
    <row r="30" spans="9:12">
      <c r="I30">
        <f>IFERROR(VLOOKUP(H30,Rates!$A$2:$B$3,2,0),1)</f>
        <v>1</v>
      </c>
      <c r="J30" t="str">
        <f t="shared" si="0"/>
        <v/>
      </c>
      <c r="K30" t="str">
        <f>IF(J30&lt;&gt;"",SUM($J$2:J30),"")</f>
        <v/>
      </c>
      <c r="L30">
        <f ca="1" t="shared" si="1"/>
        <v>45942</v>
      </c>
    </row>
    <row r="31" spans="9:12">
      <c r="I31">
        <f>IFERROR(VLOOKUP(H31,Rates!$A$2:$B$3,2,0),1)</f>
        <v>1</v>
      </c>
      <c r="J31" t="str">
        <f t="shared" si="0"/>
        <v/>
      </c>
      <c r="K31" t="str">
        <f>IF(J31&lt;&gt;"",SUM($J$2:J31),"")</f>
        <v/>
      </c>
      <c r="L31">
        <f ca="1" t="shared" si="1"/>
        <v>45942</v>
      </c>
    </row>
    <row r="32" spans="9:12">
      <c r="I32">
        <f>IFERROR(VLOOKUP(H32,Rates!$A$2:$B$3,2,0),1)</f>
        <v>1</v>
      </c>
      <c r="J32" t="str">
        <f t="shared" si="0"/>
        <v/>
      </c>
      <c r="K32" t="str">
        <f>IF(J32&lt;&gt;"",SUM($J$2:J32),"")</f>
        <v/>
      </c>
      <c r="L32">
        <f ca="1" t="shared" si="1"/>
        <v>45942</v>
      </c>
    </row>
    <row r="33" spans="9:12">
      <c r="I33">
        <f>IFERROR(VLOOKUP(H33,Rates!$A$2:$B$3,2,0),1)</f>
        <v>1</v>
      </c>
      <c r="J33" t="str">
        <f t="shared" si="0"/>
        <v/>
      </c>
      <c r="K33" t="str">
        <f>IF(J33&lt;&gt;"",SUM($J$2:J33),"")</f>
        <v/>
      </c>
      <c r="L33">
        <f ca="1" t="shared" si="1"/>
        <v>45942</v>
      </c>
    </row>
    <row r="34" spans="9:12">
      <c r="I34">
        <f>IFERROR(VLOOKUP(H34,Rates!$A$2:$B$3,2,0),1)</f>
        <v>1</v>
      </c>
      <c r="J34" t="str">
        <f t="shared" si="0"/>
        <v/>
      </c>
      <c r="K34" t="str">
        <f>IF(J34&lt;&gt;"",SUM($J$2:J34),"")</f>
        <v/>
      </c>
      <c r="L34">
        <f ca="1" t="shared" si="1"/>
        <v>45942</v>
      </c>
    </row>
    <row r="35" spans="9:12">
      <c r="I35">
        <f>IFERROR(VLOOKUP(H35,Rates!$A$2:$B$3,2,0),1)</f>
        <v>1</v>
      </c>
      <c r="J35" t="str">
        <f t="shared" si="0"/>
        <v/>
      </c>
      <c r="K35" t="str">
        <f>IF(J35&lt;&gt;"",SUM($J$2:J35),"")</f>
        <v/>
      </c>
      <c r="L35">
        <f ca="1" t="shared" si="1"/>
        <v>45942</v>
      </c>
    </row>
    <row r="36" spans="9:12">
      <c r="I36">
        <f>IFERROR(VLOOKUP(H36,Rates!$A$2:$B$3,2,0),1)</f>
        <v>1</v>
      </c>
      <c r="J36" t="str">
        <f t="shared" si="0"/>
        <v/>
      </c>
      <c r="K36" t="str">
        <f>IF(J36&lt;&gt;"",SUM($J$2:J36),"")</f>
        <v/>
      </c>
      <c r="L36">
        <f ca="1" t="shared" si="1"/>
        <v>45942</v>
      </c>
    </row>
    <row r="37" spans="9:12">
      <c r="I37">
        <f>IFERROR(VLOOKUP(H37,Rates!$A$2:$B$3,2,0),1)</f>
        <v>1</v>
      </c>
      <c r="J37" t="str">
        <f t="shared" si="0"/>
        <v/>
      </c>
      <c r="K37" t="str">
        <f>IF(J37&lt;&gt;"",SUM($J$2:J37),"")</f>
        <v/>
      </c>
      <c r="L37">
        <f ca="1" t="shared" si="1"/>
        <v>45942</v>
      </c>
    </row>
    <row r="38" spans="9:12">
      <c r="I38">
        <f>IFERROR(VLOOKUP(H38,Rates!$A$2:$B$3,2,0),1)</f>
        <v>1</v>
      </c>
      <c r="J38" t="str">
        <f t="shared" si="0"/>
        <v/>
      </c>
      <c r="K38" t="str">
        <f>IF(J38&lt;&gt;"",SUM($J$2:J38),"")</f>
        <v/>
      </c>
      <c r="L38">
        <f ca="1" t="shared" si="1"/>
        <v>45942</v>
      </c>
    </row>
    <row r="39" spans="9:12">
      <c r="I39">
        <f>IFERROR(VLOOKUP(H39,Rates!$A$2:$B$3,2,0),1)</f>
        <v>1</v>
      </c>
      <c r="J39" t="str">
        <f t="shared" si="0"/>
        <v/>
      </c>
      <c r="K39" t="str">
        <f>IF(J39&lt;&gt;"",SUM($J$2:J39),"")</f>
        <v/>
      </c>
      <c r="L39">
        <f ca="1" t="shared" si="1"/>
        <v>45942</v>
      </c>
    </row>
    <row r="40" spans="9:12">
      <c r="I40">
        <f>IFERROR(VLOOKUP(H40,Rates!$A$2:$B$3,2,0),1)</f>
        <v>1</v>
      </c>
      <c r="J40" t="str">
        <f t="shared" si="0"/>
        <v/>
      </c>
      <c r="K40" t="str">
        <f>IF(J40&lt;&gt;"",SUM($J$2:J40),"")</f>
        <v/>
      </c>
      <c r="L40">
        <f ca="1" t="shared" si="1"/>
        <v>45942</v>
      </c>
    </row>
    <row r="41" spans="9:12">
      <c r="I41">
        <f>IFERROR(VLOOKUP(H41,Rates!$A$2:$B$3,2,0),1)</f>
        <v>1</v>
      </c>
      <c r="J41" t="str">
        <f t="shared" si="0"/>
        <v/>
      </c>
      <c r="K41" t="str">
        <f>IF(J41&lt;&gt;"",SUM($J$2:J41),"")</f>
        <v/>
      </c>
      <c r="L41">
        <f ca="1" t="shared" si="1"/>
        <v>45942</v>
      </c>
    </row>
    <row r="42" spans="9:12">
      <c r="I42">
        <f>IFERROR(VLOOKUP(H42,Rates!$A$2:$B$3,2,0),1)</f>
        <v>1</v>
      </c>
      <c r="J42" t="str">
        <f t="shared" si="0"/>
        <v/>
      </c>
      <c r="K42" t="str">
        <f>IF(J42&lt;&gt;"",SUM($J$2:J42),"")</f>
        <v/>
      </c>
      <c r="L42">
        <f ca="1" t="shared" si="1"/>
        <v>45942</v>
      </c>
    </row>
    <row r="43" spans="9:12">
      <c r="I43">
        <f>IFERROR(VLOOKUP(H43,Rates!$A$2:$B$3,2,0),1)</f>
        <v>1</v>
      </c>
      <c r="J43" t="str">
        <f t="shared" si="0"/>
        <v/>
      </c>
      <c r="K43" t="str">
        <f>IF(J43&lt;&gt;"",SUM($J$2:J43),"")</f>
        <v/>
      </c>
      <c r="L43">
        <f ca="1" t="shared" si="1"/>
        <v>45942</v>
      </c>
    </row>
    <row r="44" spans="9:12">
      <c r="I44">
        <f>IFERROR(VLOOKUP(H44,Rates!$A$2:$B$3,2,0),1)</f>
        <v>1</v>
      </c>
      <c r="J44" t="str">
        <f t="shared" si="0"/>
        <v/>
      </c>
      <c r="K44" t="str">
        <f>IF(J44&lt;&gt;"",SUM($J$2:J44),"")</f>
        <v/>
      </c>
      <c r="L44">
        <f ca="1" t="shared" si="1"/>
        <v>45942</v>
      </c>
    </row>
    <row r="45" spans="9:12">
      <c r="I45">
        <f>IFERROR(VLOOKUP(H45,Rates!$A$2:$B$3,2,0),1)</f>
        <v>1</v>
      </c>
      <c r="J45" t="str">
        <f t="shared" si="0"/>
        <v/>
      </c>
      <c r="K45" t="str">
        <f>IF(J45&lt;&gt;"",SUM($J$2:J45),"")</f>
        <v/>
      </c>
      <c r="L45">
        <f ca="1" t="shared" si="1"/>
        <v>45942</v>
      </c>
    </row>
    <row r="46" spans="9:12">
      <c r="I46">
        <f>IFERROR(VLOOKUP(H46,Rates!$A$2:$B$3,2,0),1)</f>
        <v>1</v>
      </c>
      <c r="J46" t="str">
        <f t="shared" si="0"/>
        <v/>
      </c>
      <c r="K46" t="str">
        <f>IF(J46&lt;&gt;"",SUM($J$2:J46),"")</f>
        <v/>
      </c>
      <c r="L46">
        <f ca="1" t="shared" si="1"/>
        <v>45942</v>
      </c>
    </row>
    <row r="47" spans="9:12">
      <c r="I47">
        <f>IFERROR(VLOOKUP(H47,Rates!$A$2:$B$3,2,0),1)</f>
        <v>1</v>
      </c>
      <c r="J47" t="str">
        <f t="shared" si="0"/>
        <v/>
      </c>
      <c r="K47" t="str">
        <f>IF(J47&lt;&gt;"",SUM($J$2:J47),"")</f>
        <v/>
      </c>
      <c r="L47">
        <f ca="1" t="shared" si="1"/>
        <v>45942</v>
      </c>
    </row>
    <row r="48" spans="9:12">
      <c r="I48">
        <f>IFERROR(VLOOKUP(H48,Rates!$A$2:$B$3,2,0),1)</f>
        <v>1</v>
      </c>
      <c r="J48" t="str">
        <f t="shared" si="0"/>
        <v/>
      </c>
      <c r="K48" t="str">
        <f>IF(J48&lt;&gt;"",SUM($J$2:J48),"")</f>
        <v/>
      </c>
      <c r="L48">
        <f ca="1" t="shared" si="1"/>
        <v>45942</v>
      </c>
    </row>
    <row r="49" spans="9:12">
      <c r="I49">
        <f>IFERROR(VLOOKUP(H49,Rates!$A$2:$B$3,2,0),1)</f>
        <v>1</v>
      </c>
      <c r="J49" t="str">
        <f t="shared" si="0"/>
        <v/>
      </c>
      <c r="K49" t="str">
        <f>IF(J49&lt;&gt;"",SUM($J$2:J49),"")</f>
        <v/>
      </c>
      <c r="L49">
        <f ca="1" t="shared" si="1"/>
        <v>45942</v>
      </c>
    </row>
    <row r="50" spans="9:12">
      <c r="I50">
        <f>IFERROR(VLOOKUP(H50,Rates!$A$2:$B$3,2,0),1)</f>
        <v>1</v>
      </c>
      <c r="J50" t="str">
        <f t="shared" si="0"/>
        <v/>
      </c>
      <c r="K50" t="str">
        <f>IF(J50&lt;&gt;"",SUM($J$2:J50),"")</f>
        <v/>
      </c>
      <c r="L50">
        <f ca="1" t="shared" si="1"/>
        <v>45942</v>
      </c>
    </row>
    <row r="51" spans="9:12">
      <c r="I51">
        <f>IFERROR(VLOOKUP(H51,Rates!$A$2:$B$3,2,0),1)</f>
        <v>1</v>
      </c>
      <c r="J51" t="str">
        <f t="shared" si="0"/>
        <v/>
      </c>
      <c r="K51" t="str">
        <f>IF(J51&lt;&gt;"",SUM($J$2:J51),"")</f>
        <v/>
      </c>
      <c r="L51">
        <f ca="1" t="shared" si="1"/>
        <v>45942</v>
      </c>
    </row>
    <row r="52" spans="9:12">
      <c r="I52">
        <f>IFERROR(VLOOKUP(H52,Rates!$A$2:$B$3,2,0),1)</f>
        <v>1</v>
      </c>
      <c r="J52" t="str">
        <f t="shared" si="0"/>
        <v/>
      </c>
      <c r="K52" t="str">
        <f>IF(J52&lt;&gt;"",SUM($J$2:J52),"")</f>
        <v/>
      </c>
      <c r="L52">
        <f ca="1" t="shared" si="1"/>
        <v>45942</v>
      </c>
    </row>
    <row r="53" spans="9:12">
      <c r="I53">
        <f>IFERROR(VLOOKUP(H53,Rates!$A$2:$B$3,2,0),1)</f>
        <v>1</v>
      </c>
      <c r="J53" t="str">
        <f t="shared" si="0"/>
        <v/>
      </c>
      <c r="K53" t="str">
        <f>IF(J53&lt;&gt;"",SUM($J$2:J53),"")</f>
        <v/>
      </c>
      <c r="L53">
        <f ca="1" t="shared" si="1"/>
        <v>45942</v>
      </c>
    </row>
    <row r="54" spans="9:12">
      <c r="I54">
        <f>IFERROR(VLOOKUP(H54,Rates!$A$2:$B$3,2,0),1)</f>
        <v>1</v>
      </c>
      <c r="J54" t="str">
        <f t="shared" si="0"/>
        <v/>
      </c>
      <c r="K54" t="str">
        <f>IF(J54&lt;&gt;"",SUM($J$2:J54),"")</f>
        <v/>
      </c>
      <c r="L54">
        <f ca="1" t="shared" si="1"/>
        <v>45942</v>
      </c>
    </row>
    <row r="55" spans="9:12">
      <c r="I55">
        <f>IFERROR(VLOOKUP(H55,Rates!$A$2:$B$3,2,0),1)</f>
        <v>1</v>
      </c>
      <c r="J55" t="str">
        <f t="shared" si="0"/>
        <v/>
      </c>
      <c r="K55" t="str">
        <f>IF(J55&lt;&gt;"",SUM($J$2:J55),"")</f>
        <v/>
      </c>
      <c r="L55">
        <f ca="1" t="shared" si="1"/>
        <v>45942</v>
      </c>
    </row>
    <row r="56" spans="9:12">
      <c r="I56">
        <f>IFERROR(VLOOKUP(H56,Rates!$A$2:$B$3,2,0),1)</f>
        <v>1</v>
      </c>
      <c r="J56" t="str">
        <f t="shared" si="0"/>
        <v/>
      </c>
      <c r="K56" t="str">
        <f>IF(J56&lt;&gt;"",SUM($J$2:J56),"")</f>
        <v/>
      </c>
      <c r="L56">
        <f ca="1" t="shared" si="1"/>
        <v>45942</v>
      </c>
    </row>
    <row r="57" spans="9:12">
      <c r="I57">
        <f>IFERROR(VLOOKUP(H57,Rates!$A$2:$B$3,2,0),1)</f>
        <v>1</v>
      </c>
      <c r="J57" t="str">
        <f t="shared" si="0"/>
        <v/>
      </c>
      <c r="K57" t="str">
        <f>IF(J57&lt;&gt;"",SUM($J$2:J57),"")</f>
        <v/>
      </c>
      <c r="L57">
        <f ca="1" t="shared" si="1"/>
        <v>45942</v>
      </c>
    </row>
    <row r="58" spans="9:12">
      <c r="I58">
        <f>IFERROR(VLOOKUP(H58,Rates!$A$2:$B$3,2,0),1)</f>
        <v>1</v>
      </c>
      <c r="J58" t="str">
        <f t="shared" si="0"/>
        <v/>
      </c>
      <c r="K58" t="str">
        <f>IF(J58&lt;&gt;"",SUM($J$2:J58),"")</f>
        <v/>
      </c>
      <c r="L58">
        <f ca="1" t="shared" si="1"/>
        <v>45942</v>
      </c>
    </row>
    <row r="59" spans="9:12">
      <c r="I59">
        <f>IFERROR(VLOOKUP(H59,Rates!$A$2:$B$3,2,0),1)</f>
        <v>1</v>
      </c>
      <c r="J59" t="str">
        <f t="shared" si="0"/>
        <v/>
      </c>
      <c r="K59" t="str">
        <f>IF(J59&lt;&gt;"",SUM($J$2:J59),"")</f>
        <v/>
      </c>
      <c r="L59">
        <f ca="1" t="shared" si="1"/>
        <v>45942</v>
      </c>
    </row>
    <row r="60" spans="9:12">
      <c r="I60">
        <f>IFERROR(VLOOKUP(H60,Rates!$A$2:$B$3,2,0),1)</f>
        <v>1</v>
      </c>
      <c r="J60" t="str">
        <f t="shared" si="0"/>
        <v/>
      </c>
      <c r="K60" t="str">
        <f>IF(J60&lt;&gt;"",SUM($J$2:J60),"")</f>
        <v/>
      </c>
      <c r="L60">
        <f ca="1" t="shared" si="1"/>
        <v>45942</v>
      </c>
    </row>
    <row r="61" spans="9:12">
      <c r="I61">
        <f>IFERROR(VLOOKUP(H61,Rates!$A$2:$B$3,2,0),1)</f>
        <v>1</v>
      </c>
      <c r="J61" t="str">
        <f t="shared" si="0"/>
        <v/>
      </c>
      <c r="K61" t="str">
        <f>IF(J61&lt;&gt;"",SUM($J$2:J61),"")</f>
        <v/>
      </c>
      <c r="L61">
        <f ca="1" t="shared" si="1"/>
        <v>45942</v>
      </c>
    </row>
    <row r="62" spans="9:12">
      <c r="I62">
        <f>IFERROR(VLOOKUP(H62,Rates!$A$2:$B$3,2,0),1)</f>
        <v>1</v>
      </c>
      <c r="J62" t="str">
        <f t="shared" si="0"/>
        <v/>
      </c>
      <c r="K62" t="str">
        <f>IF(J62&lt;&gt;"",SUM($J$2:J62),"")</f>
        <v/>
      </c>
      <c r="L62">
        <f ca="1" t="shared" si="1"/>
        <v>45942</v>
      </c>
    </row>
    <row r="63" spans="9:12">
      <c r="I63">
        <f>IFERROR(VLOOKUP(H63,Rates!$A$2:$B$3,2,0),1)</f>
        <v>1</v>
      </c>
      <c r="J63" t="str">
        <f t="shared" si="0"/>
        <v/>
      </c>
      <c r="K63" t="str">
        <f>IF(J63&lt;&gt;"",SUM($J$2:J63),"")</f>
        <v/>
      </c>
      <c r="L63">
        <f ca="1" t="shared" si="1"/>
        <v>45942</v>
      </c>
    </row>
    <row r="64" spans="9:12">
      <c r="I64">
        <f>IFERROR(VLOOKUP(H64,Rates!$A$2:$B$3,2,0),1)</f>
        <v>1</v>
      </c>
      <c r="J64" t="str">
        <f t="shared" si="0"/>
        <v/>
      </c>
      <c r="K64" t="str">
        <f>IF(J64&lt;&gt;"",SUM($J$2:J64),"")</f>
        <v/>
      </c>
      <c r="L64">
        <f ca="1" t="shared" si="1"/>
        <v>45942</v>
      </c>
    </row>
    <row r="65" spans="9:12">
      <c r="I65">
        <f>IFERROR(VLOOKUP(H65,Rates!$A$2:$B$3,2,0),1)</f>
        <v>1</v>
      </c>
      <c r="J65" t="str">
        <f t="shared" si="0"/>
        <v/>
      </c>
      <c r="K65" t="str">
        <f>IF(J65&lt;&gt;"",SUM($J$2:J65),"")</f>
        <v/>
      </c>
      <c r="L65">
        <f ca="1" t="shared" si="1"/>
        <v>45942</v>
      </c>
    </row>
    <row r="66" spans="9:12">
      <c r="I66">
        <f>IFERROR(VLOOKUP(H66,Rates!$A$2:$B$3,2,0),1)</f>
        <v>1</v>
      </c>
      <c r="J66" t="str">
        <f t="shared" ref="J66:J129" si="2">IF(G66&lt;&gt;"",G66*I66,"")</f>
        <v/>
      </c>
      <c r="K66" t="str">
        <f>IF(J66&lt;&gt;"",SUM($J$2:J66),"")</f>
        <v/>
      </c>
      <c r="L66">
        <f ca="1" t="shared" ref="L66:L129" si="3">IF(COUNTA(A66:K66)&gt;0,TODAY(),"")</f>
        <v>45942</v>
      </c>
    </row>
    <row r="67" spans="9:12">
      <c r="I67">
        <f>IFERROR(VLOOKUP(H67,Rates!$A$2:$B$3,2,0),1)</f>
        <v>1</v>
      </c>
      <c r="J67" t="str">
        <f t="shared" si="2"/>
        <v/>
      </c>
      <c r="K67" t="str">
        <f>IF(J67&lt;&gt;"",SUM($J$2:J67),"")</f>
        <v/>
      </c>
      <c r="L67">
        <f ca="1" t="shared" si="3"/>
        <v>45942</v>
      </c>
    </row>
    <row r="68" spans="9:12">
      <c r="I68">
        <f>IFERROR(VLOOKUP(H68,Rates!$A$2:$B$3,2,0),1)</f>
        <v>1</v>
      </c>
      <c r="J68" t="str">
        <f t="shared" si="2"/>
        <v/>
      </c>
      <c r="K68" t="str">
        <f>IF(J68&lt;&gt;"",SUM($J$2:J68),"")</f>
        <v/>
      </c>
      <c r="L68">
        <f ca="1" t="shared" si="3"/>
        <v>45942</v>
      </c>
    </row>
    <row r="69" spans="9:12">
      <c r="I69">
        <f>IFERROR(VLOOKUP(H69,Rates!$A$2:$B$3,2,0),1)</f>
        <v>1</v>
      </c>
      <c r="J69" t="str">
        <f t="shared" si="2"/>
        <v/>
      </c>
      <c r="K69" t="str">
        <f>IF(J69&lt;&gt;"",SUM($J$2:J69),"")</f>
        <v/>
      </c>
      <c r="L69">
        <f ca="1" t="shared" si="3"/>
        <v>45942</v>
      </c>
    </row>
    <row r="70" spans="9:12">
      <c r="I70">
        <f>IFERROR(VLOOKUP(H70,Rates!$A$2:$B$3,2,0),1)</f>
        <v>1</v>
      </c>
      <c r="J70" t="str">
        <f t="shared" si="2"/>
        <v/>
      </c>
      <c r="K70" t="str">
        <f>IF(J70&lt;&gt;"",SUM($J$2:J70),"")</f>
        <v/>
      </c>
      <c r="L70">
        <f ca="1" t="shared" si="3"/>
        <v>45942</v>
      </c>
    </row>
    <row r="71" spans="9:12">
      <c r="I71">
        <f>IFERROR(VLOOKUP(H71,Rates!$A$2:$B$3,2,0),1)</f>
        <v>1</v>
      </c>
      <c r="J71" t="str">
        <f t="shared" si="2"/>
        <v/>
      </c>
      <c r="K71" t="str">
        <f>IF(J71&lt;&gt;"",SUM($J$2:J71),"")</f>
        <v/>
      </c>
      <c r="L71">
        <f ca="1" t="shared" si="3"/>
        <v>45942</v>
      </c>
    </row>
    <row r="72" spans="9:12">
      <c r="I72">
        <f>IFERROR(VLOOKUP(H72,Rates!$A$2:$B$3,2,0),1)</f>
        <v>1</v>
      </c>
      <c r="J72" t="str">
        <f t="shared" si="2"/>
        <v/>
      </c>
      <c r="K72" t="str">
        <f>IF(J72&lt;&gt;"",SUM($J$2:J72),"")</f>
        <v/>
      </c>
      <c r="L72">
        <f ca="1" t="shared" si="3"/>
        <v>45942</v>
      </c>
    </row>
    <row r="73" spans="9:12">
      <c r="I73">
        <f>IFERROR(VLOOKUP(H73,Rates!$A$2:$B$3,2,0),1)</f>
        <v>1</v>
      </c>
      <c r="J73" t="str">
        <f t="shared" si="2"/>
        <v/>
      </c>
      <c r="K73" t="str">
        <f>IF(J73&lt;&gt;"",SUM($J$2:J73),"")</f>
        <v/>
      </c>
      <c r="L73">
        <f ca="1" t="shared" si="3"/>
        <v>45942</v>
      </c>
    </row>
    <row r="74" spans="9:12">
      <c r="I74">
        <f>IFERROR(VLOOKUP(H74,Rates!$A$2:$B$3,2,0),1)</f>
        <v>1</v>
      </c>
      <c r="J74" t="str">
        <f t="shared" si="2"/>
        <v/>
      </c>
      <c r="K74" t="str">
        <f>IF(J74&lt;&gt;"",SUM($J$2:J74),"")</f>
        <v/>
      </c>
      <c r="L74">
        <f ca="1" t="shared" si="3"/>
        <v>45942</v>
      </c>
    </row>
    <row r="75" spans="9:12">
      <c r="I75">
        <f>IFERROR(VLOOKUP(H75,Rates!$A$2:$B$3,2,0),1)</f>
        <v>1</v>
      </c>
      <c r="J75" t="str">
        <f t="shared" si="2"/>
        <v/>
      </c>
      <c r="K75" t="str">
        <f>IF(J75&lt;&gt;"",SUM($J$2:J75),"")</f>
        <v/>
      </c>
      <c r="L75">
        <f ca="1" t="shared" si="3"/>
        <v>45942</v>
      </c>
    </row>
    <row r="76" spans="9:12">
      <c r="I76">
        <f>IFERROR(VLOOKUP(H76,Rates!$A$2:$B$3,2,0),1)</f>
        <v>1</v>
      </c>
      <c r="J76" t="str">
        <f t="shared" si="2"/>
        <v/>
      </c>
      <c r="K76" t="str">
        <f>IF(J76&lt;&gt;"",SUM($J$2:J76),"")</f>
        <v/>
      </c>
      <c r="L76">
        <f ca="1" t="shared" si="3"/>
        <v>45942</v>
      </c>
    </row>
    <row r="77" spans="9:12">
      <c r="I77">
        <f>IFERROR(VLOOKUP(H77,Rates!$A$2:$B$3,2,0),1)</f>
        <v>1</v>
      </c>
      <c r="J77" t="str">
        <f t="shared" si="2"/>
        <v/>
      </c>
      <c r="K77" t="str">
        <f>IF(J77&lt;&gt;"",SUM($J$2:J77),"")</f>
        <v/>
      </c>
      <c r="L77">
        <f ca="1" t="shared" si="3"/>
        <v>45942</v>
      </c>
    </row>
    <row r="78" spans="9:12">
      <c r="I78">
        <f>IFERROR(VLOOKUP(H78,Rates!$A$2:$B$3,2,0),1)</f>
        <v>1</v>
      </c>
      <c r="J78" t="str">
        <f t="shared" si="2"/>
        <v/>
      </c>
      <c r="K78" t="str">
        <f>IF(J78&lt;&gt;"",SUM($J$2:J78),"")</f>
        <v/>
      </c>
      <c r="L78">
        <f ca="1" t="shared" si="3"/>
        <v>45942</v>
      </c>
    </row>
    <row r="79" spans="9:12">
      <c r="I79">
        <f>IFERROR(VLOOKUP(H79,Rates!$A$2:$B$3,2,0),1)</f>
        <v>1</v>
      </c>
      <c r="J79" t="str">
        <f t="shared" si="2"/>
        <v/>
      </c>
      <c r="K79" t="str">
        <f>IF(J79&lt;&gt;"",SUM($J$2:J79),"")</f>
        <v/>
      </c>
      <c r="L79">
        <f ca="1" t="shared" si="3"/>
        <v>45942</v>
      </c>
    </row>
    <row r="80" spans="9:12">
      <c r="I80">
        <f>IFERROR(VLOOKUP(H80,Rates!$A$2:$B$3,2,0),1)</f>
        <v>1</v>
      </c>
      <c r="J80" t="str">
        <f t="shared" si="2"/>
        <v/>
      </c>
      <c r="K80" t="str">
        <f>IF(J80&lt;&gt;"",SUM($J$2:J80),"")</f>
        <v/>
      </c>
      <c r="L80">
        <f ca="1" t="shared" si="3"/>
        <v>45942</v>
      </c>
    </row>
    <row r="81" spans="9:12">
      <c r="I81">
        <f>IFERROR(VLOOKUP(H81,Rates!$A$2:$B$3,2,0),1)</f>
        <v>1</v>
      </c>
      <c r="J81" t="str">
        <f t="shared" si="2"/>
        <v/>
      </c>
      <c r="K81" t="str">
        <f>IF(J81&lt;&gt;"",SUM($J$2:J81),"")</f>
        <v/>
      </c>
      <c r="L81">
        <f ca="1" t="shared" si="3"/>
        <v>45942</v>
      </c>
    </row>
    <row r="82" spans="9:12">
      <c r="I82">
        <f>IFERROR(VLOOKUP(H82,Rates!$A$2:$B$3,2,0),1)</f>
        <v>1</v>
      </c>
      <c r="J82" t="str">
        <f t="shared" si="2"/>
        <v/>
      </c>
      <c r="K82" t="str">
        <f>IF(J82&lt;&gt;"",SUM($J$2:J82),"")</f>
        <v/>
      </c>
      <c r="L82">
        <f ca="1" t="shared" si="3"/>
        <v>45942</v>
      </c>
    </row>
    <row r="83" spans="9:12">
      <c r="I83">
        <f>IFERROR(VLOOKUP(H83,Rates!$A$2:$B$3,2,0),1)</f>
        <v>1</v>
      </c>
      <c r="J83" t="str">
        <f t="shared" si="2"/>
        <v/>
      </c>
      <c r="K83" t="str">
        <f>IF(J83&lt;&gt;"",SUM($J$2:J83),"")</f>
        <v/>
      </c>
      <c r="L83">
        <f ca="1" t="shared" si="3"/>
        <v>45942</v>
      </c>
    </row>
    <row r="84" spans="9:12">
      <c r="I84">
        <f>IFERROR(VLOOKUP(H84,Rates!$A$2:$B$3,2,0),1)</f>
        <v>1</v>
      </c>
      <c r="J84" t="str">
        <f t="shared" si="2"/>
        <v/>
      </c>
      <c r="K84" t="str">
        <f>IF(J84&lt;&gt;"",SUM($J$2:J84),"")</f>
        <v/>
      </c>
      <c r="L84">
        <f ca="1" t="shared" si="3"/>
        <v>45942</v>
      </c>
    </row>
    <row r="85" spans="9:12">
      <c r="I85">
        <f>IFERROR(VLOOKUP(H85,Rates!$A$2:$B$3,2,0),1)</f>
        <v>1</v>
      </c>
      <c r="J85" t="str">
        <f t="shared" si="2"/>
        <v/>
      </c>
      <c r="K85" t="str">
        <f>IF(J85&lt;&gt;"",SUM($J$2:J85),"")</f>
        <v/>
      </c>
      <c r="L85">
        <f ca="1" t="shared" si="3"/>
        <v>45942</v>
      </c>
    </row>
    <row r="86" spans="9:12">
      <c r="I86">
        <f>IFERROR(VLOOKUP(H86,Rates!$A$2:$B$3,2,0),1)</f>
        <v>1</v>
      </c>
      <c r="J86" t="str">
        <f t="shared" si="2"/>
        <v/>
      </c>
      <c r="K86" t="str">
        <f>IF(J86&lt;&gt;"",SUM($J$2:J86),"")</f>
        <v/>
      </c>
      <c r="L86">
        <f ca="1" t="shared" si="3"/>
        <v>45942</v>
      </c>
    </row>
    <row r="87" spans="9:12">
      <c r="I87">
        <f>IFERROR(VLOOKUP(H87,Rates!$A$2:$B$3,2,0),1)</f>
        <v>1</v>
      </c>
      <c r="J87" t="str">
        <f t="shared" si="2"/>
        <v/>
      </c>
      <c r="K87" t="str">
        <f>IF(J87&lt;&gt;"",SUM($J$2:J87),"")</f>
        <v/>
      </c>
      <c r="L87">
        <f ca="1" t="shared" si="3"/>
        <v>45942</v>
      </c>
    </row>
    <row r="88" spans="9:12">
      <c r="I88">
        <f>IFERROR(VLOOKUP(H88,Rates!$A$2:$B$3,2,0),1)</f>
        <v>1</v>
      </c>
      <c r="J88" t="str">
        <f t="shared" si="2"/>
        <v/>
      </c>
      <c r="K88" t="str">
        <f>IF(J88&lt;&gt;"",SUM($J$2:J88),"")</f>
        <v/>
      </c>
      <c r="L88">
        <f ca="1" t="shared" si="3"/>
        <v>45942</v>
      </c>
    </row>
    <row r="89" spans="9:12">
      <c r="I89">
        <f>IFERROR(VLOOKUP(H89,Rates!$A$2:$B$3,2,0),1)</f>
        <v>1</v>
      </c>
      <c r="J89" t="str">
        <f t="shared" si="2"/>
        <v/>
      </c>
      <c r="K89" t="str">
        <f>IF(J89&lt;&gt;"",SUM($J$2:J89),"")</f>
        <v/>
      </c>
      <c r="L89">
        <f ca="1" t="shared" si="3"/>
        <v>45942</v>
      </c>
    </row>
    <row r="90" spans="9:12">
      <c r="I90">
        <f>IFERROR(VLOOKUP(H90,Rates!$A$2:$B$3,2,0),1)</f>
        <v>1</v>
      </c>
      <c r="J90" t="str">
        <f t="shared" si="2"/>
        <v/>
      </c>
      <c r="K90" t="str">
        <f>IF(J90&lt;&gt;"",SUM($J$2:J90),"")</f>
        <v/>
      </c>
      <c r="L90">
        <f ca="1" t="shared" si="3"/>
        <v>45942</v>
      </c>
    </row>
    <row r="91" spans="9:12">
      <c r="I91">
        <f>IFERROR(VLOOKUP(H91,Rates!$A$2:$B$3,2,0),1)</f>
        <v>1</v>
      </c>
      <c r="J91" t="str">
        <f t="shared" si="2"/>
        <v/>
      </c>
      <c r="K91" t="str">
        <f>IF(J91&lt;&gt;"",SUM($J$2:J91),"")</f>
        <v/>
      </c>
      <c r="L91">
        <f ca="1" t="shared" si="3"/>
        <v>45942</v>
      </c>
    </row>
    <row r="92" spans="9:12">
      <c r="I92">
        <f>IFERROR(VLOOKUP(H92,Rates!$A$2:$B$3,2,0),1)</f>
        <v>1</v>
      </c>
      <c r="J92" t="str">
        <f t="shared" si="2"/>
        <v/>
      </c>
      <c r="K92" t="str">
        <f>IF(J92&lt;&gt;"",SUM($J$2:J92),"")</f>
        <v/>
      </c>
      <c r="L92">
        <f ca="1" t="shared" si="3"/>
        <v>45942</v>
      </c>
    </row>
    <row r="93" spans="9:12">
      <c r="I93">
        <f>IFERROR(VLOOKUP(H93,Rates!$A$2:$B$3,2,0),1)</f>
        <v>1</v>
      </c>
      <c r="J93" t="str">
        <f t="shared" si="2"/>
        <v/>
      </c>
      <c r="K93" t="str">
        <f>IF(J93&lt;&gt;"",SUM($J$2:J93),"")</f>
        <v/>
      </c>
      <c r="L93">
        <f ca="1" t="shared" si="3"/>
        <v>45942</v>
      </c>
    </row>
    <row r="94" spans="9:12">
      <c r="I94">
        <f>IFERROR(VLOOKUP(H94,Rates!$A$2:$B$3,2,0),1)</f>
        <v>1</v>
      </c>
      <c r="J94" t="str">
        <f t="shared" si="2"/>
        <v/>
      </c>
      <c r="K94" t="str">
        <f>IF(J94&lt;&gt;"",SUM($J$2:J94),"")</f>
        <v/>
      </c>
      <c r="L94">
        <f ca="1" t="shared" si="3"/>
        <v>45942</v>
      </c>
    </row>
    <row r="95" spans="9:12">
      <c r="I95">
        <f>IFERROR(VLOOKUP(H95,Rates!$A$2:$B$3,2,0),1)</f>
        <v>1</v>
      </c>
      <c r="J95" t="str">
        <f t="shared" si="2"/>
        <v/>
      </c>
      <c r="K95" t="str">
        <f>IF(J95&lt;&gt;"",SUM($J$2:J95),"")</f>
        <v/>
      </c>
      <c r="L95">
        <f ca="1" t="shared" si="3"/>
        <v>45942</v>
      </c>
    </row>
    <row r="96" spans="9:12">
      <c r="I96">
        <f>IFERROR(VLOOKUP(H96,Rates!$A$2:$B$3,2,0),1)</f>
        <v>1</v>
      </c>
      <c r="J96" t="str">
        <f t="shared" si="2"/>
        <v/>
      </c>
      <c r="K96" t="str">
        <f>IF(J96&lt;&gt;"",SUM($J$2:J96),"")</f>
        <v/>
      </c>
      <c r="L96">
        <f ca="1" t="shared" si="3"/>
        <v>45942</v>
      </c>
    </row>
    <row r="97" spans="9:12">
      <c r="I97">
        <f>IFERROR(VLOOKUP(H97,Rates!$A$2:$B$3,2,0),1)</f>
        <v>1</v>
      </c>
      <c r="J97" t="str">
        <f t="shared" si="2"/>
        <v/>
      </c>
      <c r="K97" t="str">
        <f>IF(J97&lt;&gt;"",SUM($J$2:J97),"")</f>
        <v/>
      </c>
      <c r="L97">
        <f ca="1" t="shared" si="3"/>
        <v>45942</v>
      </c>
    </row>
    <row r="98" spans="9:12">
      <c r="I98">
        <f>IFERROR(VLOOKUP(H98,Rates!$A$2:$B$3,2,0),1)</f>
        <v>1</v>
      </c>
      <c r="J98" t="str">
        <f t="shared" si="2"/>
        <v/>
      </c>
      <c r="K98" t="str">
        <f>IF(J98&lt;&gt;"",SUM($J$2:J98),"")</f>
        <v/>
      </c>
      <c r="L98">
        <f ca="1" t="shared" si="3"/>
        <v>45942</v>
      </c>
    </row>
    <row r="99" spans="9:12">
      <c r="I99">
        <f>IFERROR(VLOOKUP(H99,Rates!$A$2:$B$3,2,0),1)</f>
        <v>1</v>
      </c>
      <c r="J99" t="str">
        <f t="shared" si="2"/>
        <v/>
      </c>
      <c r="K99" t="str">
        <f>IF(J99&lt;&gt;"",SUM($J$2:J99),"")</f>
        <v/>
      </c>
      <c r="L99">
        <f ca="1" t="shared" si="3"/>
        <v>45942</v>
      </c>
    </row>
    <row r="100" spans="9:12">
      <c r="I100">
        <f>IFERROR(VLOOKUP(H100,Rates!$A$2:$B$3,2,0),1)</f>
        <v>1</v>
      </c>
      <c r="J100" t="str">
        <f t="shared" si="2"/>
        <v/>
      </c>
      <c r="K100" t="str">
        <f>IF(J100&lt;&gt;"",SUM($J$2:J100),"")</f>
        <v/>
      </c>
      <c r="L100">
        <f ca="1" t="shared" si="3"/>
        <v>45942</v>
      </c>
    </row>
    <row r="101" spans="9:12">
      <c r="I101">
        <f>IFERROR(VLOOKUP(H101,Rates!$A$2:$B$3,2,0),1)</f>
        <v>1</v>
      </c>
      <c r="J101" t="str">
        <f t="shared" si="2"/>
        <v/>
      </c>
      <c r="K101" t="str">
        <f>IF(J101&lt;&gt;"",SUM($J$2:J101),"")</f>
        <v/>
      </c>
      <c r="L101">
        <f ca="1" t="shared" si="3"/>
        <v>45942</v>
      </c>
    </row>
    <row r="102" spans="9:12">
      <c r="I102">
        <f>IFERROR(VLOOKUP(H102,Rates!$A$2:$B$3,2,0),1)</f>
        <v>1</v>
      </c>
      <c r="J102" t="str">
        <f t="shared" si="2"/>
        <v/>
      </c>
      <c r="K102" t="str">
        <f>IF(J102&lt;&gt;"",SUM($J$2:J102),"")</f>
        <v/>
      </c>
      <c r="L102">
        <f ca="1" t="shared" si="3"/>
        <v>45942</v>
      </c>
    </row>
    <row r="103" spans="9:12">
      <c r="I103">
        <f>IFERROR(VLOOKUP(H103,Rates!$A$2:$B$3,2,0),1)</f>
        <v>1</v>
      </c>
      <c r="J103" t="str">
        <f t="shared" si="2"/>
        <v/>
      </c>
      <c r="K103" t="str">
        <f>IF(J103&lt;&gt;"",SUM($J$2:J103),"")</f>
        <v/>
      </c>
      <c r="L103">
        <f ca="1" t="shared" si="3"/>
        <v>45942</v>
      </c>
    </row>
    <row r="104" spans="9:12">
      <c r="I104">
        <f>IFERROR(VLOOKUP(H104,Rates!$A$2:$B$3,2,0),1)</f>
        <v>1</v>
      </c>
      <c r="J104" t="str">
        <f t="shared" si="2"/>
        <v/>
      </c>
      <c r="K104" t="str">
        <f>IF(J104&lt;&gt;"",SUM($J$2:J104),"")</f>
        <v/>
      </c>
      <c r="L104">
        <f ca="1" t="shared" si="3"/>
        <v>45942</v>
      </c>
    </row>
    <row r="105" spans="9:12">
      <c r="I105">
        <f>IFERROR(VLOOKUP(H105,Rates!$A$2:$B$3,2,0),1)</f>
        <v>1</v>
      </c>
      <c r="J105" t="str">
        <f t="shared" si="2"/>
        <v/>
      </c>
      <c r="K105" t="str">
        <f>IF(J105&lt;&gt;"",SUM($J$2:J105),"")</f>
        <v/>
      </c>
      <c r="L105">
        <f ca="1" t="shared" si="3"/>
        <v>45942</v>
      </c>
    </row>
    <row r="106" spans="9:12">
      <c r="I106">
        <f>IFERROR(VLOOKUP(H106,Rates!$A$2:$B$3,2,0),1)</f>
        <v>1</v>
      </c>
      <c r="J106" t="str">
        <f t="shared" si="2"/>
        <v/>
      </c>
      <c r="K106" t="str">
        <f>IF(J106&lt;&gt;"",SUM($J$2:J106),"")</f>
        <v/>
      </c>
      <c r="L106">
        <f ca="1" t="shared" si="3"/>
        <v>45942</v>
      </c>
    </row>
    <row r="107" spans="9:12">
      <c r="I107">
        <f>IFERROR(VLOOKUP(H107,Rates!$A$2:$B$3,2,0),1)</f>
        <v>1</v>
      </c>
      <c r="J107" t="str">
        <f t="shared" si="2"/>
        <v/>
      </c>
      <c r="K107" t="str">
        <f>IF(J107&lt;&gt;"",SUM($J$2:J107),"")</f>
        <v/>
      </c>
      <c r="L107">
        <f ca="1" t="shared" si="3"/>
        <v>45942</v>
      </c>
    </row>
    <row r="108" spans="9:12">
      <c r="I108">
        <f>IFERROR(VLOOKUP(H108,Rates!$A$2:$B$3,2,0),1)</f>
        <v>1</v>
      </c>
      <c r="J108" t="str">
        <f t="shared" si="2"/>
        <v/>
      </c>
      <c r="K108" t="str">
        <f>IF(J108&lt;&gt;"",SUM($J$2:J108),"")</f>
        <v/>
      </c>
      <c r="L108">
        <f ca="1" t="shared" si="3"/>
        <v>45942</v>
      </c>
    </row>
    <row r="109" spans="9:12">
      <c r="I109">
        <f>IFERROR(VLOOKUP(H109,Rates!$A$2:$B$3,2,0),1)</f>
        <v>1</v>
      </c>
      <c r="J109" t="str">
        <f t="shared" si="2"/>
        <v/>
      </c>
      <c r="K109" t="str">
        <f>IF(J109&lt;&gt;"",SUM($J$2:J109),"")</f>
        <v/>
      </c>
      <c r="L109">
        <f ca="1" t="shared" si="3"/>
        <v>45942</v>
      </c>
    </row>
    <row r="110" spans="9:12">
      <c r="I110">
        <f>IFERROR(VLOOKUP(H110,Rates!$A$2:$B$3,2,0),1)</f>
        <v>1</v>
      </c>
      <c r="J110" t="str">
        <f t="shared" si="2"/>
        <v/>
      </c>
      <c r="K110" t="str">
        <f>IF(J110&lt;&gt;"",SUM($J$2:J110),"")</f>
        <v/>
      </c>
      <c r="L110">
        <f ca="1" t="shared" si="3"/>
        <v>45942</v>
      </c>
    </row>
    <row r="111" spans="9:12">
      <c r="I111">
        <f>IFERROR(VLOOKUP(H111,Rates!$A$2:$B$3,2,0),1)</f>
        <v>1</v>
      </c>
      <c r="J111" t="str">
        <f t="shared" si="2"/>
        <v/>
      </c>
      <c r="K111" t="str">
        <f>IF(J111&lt;&gt;"",SUM($J$2:J111),"")</f>
        <v/>
      </c>
      <c r="L111">
        <f ca="1" t="shared" si="3"/>
        <v>45942</v>
      </c>
    </row>
    <row r="112" spans="9:12">
      <c r="I112">
        <f>IFERROR(VLOOKUP(H112,Rates!$A$2:$B$3,2,0),1)</f>
        <v>1</v>
      </c>
      <c r="J112" t="str">
        <f t="shared" si="2"/>
        <v/>
      </c>
      <c r="K112" t="str">
        <f>IF(J112&lt;&gt;"",SUM($J$2:J112),"")</f>
        <v/>
      </c>
      <c r="L112">
        <f ca="1" t="shared" si="3"/>
        <v>45942</v>
      </c>
    </row>
    <row r="113" spans="9:12">
      <c r="I113">
        <f>IFERROR(VLOOKUP(H113,Rates!$A$2:$B$3,2,0),1)</f>
        <v>1</v>
      </c>
      <c r="J113" t="str">
        <f t="shared" si="2"/>
        <v/>
      </c>
      <c r="K113" t="str">
        <f>IF(J113&lt;&gt;"",SUM($J$2:J113),"")</f>
        <v/>
      </c>
      <c r="L113">
        <f ca="1" t="shared" si="3"/>
        <v>45942</v>
      </c>
    </row>
    <row r="114" spans="9:12">
      <c r="I114">
        <f>IFERROR(VLOOKUP(H114,Rates!$A$2:$B$3,2,0),1)</f>
        <v>1</v>
      </c>
      <c r="J114" t="str">
        <f t="shared" si="2"/>
        <v/>
      </c>
      <c r="K114" t="str">
        <f>IF(J114&lt;&gt;"",SUM($J$2:J114),"")</f>
        <v/>
      </c>
      <c r="L114">
        <f ca="1" t="shared" si="3"/>
        <v>45942</v>
      </c>
    </row>
    <row r="115" spans="9:12">
      <c r="I115">
        <f>IFERROR(VLOOKUP(H115,Rates!$A$2:$B$3,2,0),1)</f>
        <v>1</v>
      </c>
      <c r="J115" t="str">
        <f t="shared" si="2"/>
        <v/>
      </c>
      <c r="K115" t="str">
        <f>IF(J115&lt;&gt;"",SUM($J$2:J115),"")</f>
        <v/>
      </c>
      <c r="L115">
        <f ca="1" t="shared" si="3"/>
        <v>45942</v>
      </c>
    </row>
    <row r="116" spans="9:12">
      <c r="I116">
        <f>IFERROR(VLOOKUP(H116,Rates!$A$2:$B$3,2,0),1)</f>
        <v>1</v>
      </c>
      <c r="J116" t="str">
        <f t="shared" si="2"/>
        <v/>
      </c>
      <c r="K116" t="str">
        <f>IF(J116&lt;&gt;"",SUM($J$2:J116),"")</f>
        <v/>
      </c>
      <c r="L116">
        <f ca="1" t="shared" si="3"/>
        <v>45942</v>
      </c>
    </row>
    <row r="117" spans="9:12">
      <c r="I117">
        <f>IFERROR(VLOOKUP(H117,Rates!$A$2:$B$3,2,0),1)</f>
        <v>1</v>
      </c>
      <c r="J117" t="str">
        <f t="shared" si="2"/>
        <v/>
      </c>
      <c r="K117" t="str">
        <f>IF(J117&lt;&gt;"",SUM($J$2:J117),"")</f>
        <v/>
      </c>
      <c r="L117">
        <f ca="1" t="shared" si="3"/>
        <v>45942</v>
      </c>
    </row>
    <row r="118" spans="9:12">
      <c r="I118">
        <f>IFERROR(VLOOKUP(H118,Rates!$A$2:$B$3,2,0),1)</f>
        <v>1</v>
      </c>
      <c r="J118" t="str">
        <f t="shared" si="2"/>
        <v/>
      </c>
      <c r="K118" t="str">
        <f>IF(J118&lt;&gt;"",SUM($J$2:J118),"")</f>
        <v/>
      </c>
      <c r="L118">
        <f ca="1" t="shared" si="3"/>
        <v>45942</v>
      </c>
    </row>
    <row r="119" spans="9:12">
      <c r="I119">
        <f>IFERROR(VLOOKUP(H119,Rates!$A$2:$B$3,2,0),1)</f>
        <v>1</v>
      </c>
      <c r="J119" t="str">
        <f t="shared" si="2"/>
        <v/>
      </c>
      <c r="K119" t="str">
        <f>IF(J119&lt;&gt;"",SUM($J$2:J119),"")</f>
        <v/>
      </c>
      <c r="L119">
        <f ca="1" t="shared" si="3"/>
        <v>45942</v>
      </c>
    </row>
    <row r="120" spans="9:12">
      <c r="I120">
        <f>IFERROR(VLOOKUP(H120,Rates!$A$2:$B$3,2,0),1)</f>
        <v>1</v>
      </c>
      <c r="J120" t="str">
        <f t="shared" si="2"/>
        <v/>
      </c>
      <c r="K120" t="str">
        <f>IF(J120&lt;&gt;"",SUM($J$2:J120),"")</f>
        <v/>
      </c>
      <c r="L120">
        <f ca="1" t="shared" si="3"/>
        <v>45942</v>
      </c>
    </row>
    <row r="121" spans="9:12">
      <c r="I121">
        <f>IFERROR(VLOOKUP(H121,Rates!$A$2:$B$3,2,0),1)</f>
        <v>1</v>
      </c>
      <c r="J121" t="str">
        <f t="shared" si="2"/>
        <v/>
      </c>
      <c r="K121" t="str">
        <f>IF(J121&lt;&gt;"",SUM($J$2:J121),"")</f>
        <v/>
      </c>
      <c r="L121">
        <f ca="1" t="shared" si="3"/>
        <v>45942</v>
      </c>
    </row>
    <row r="122" spans="9:12">
      <c r="I122">
        <f>IFERROR(VLOOKUP(H122,Rates!$A$2:$B$3,2,0),1)</f>
        <v>1</v>
      </c>
      <c r="J122" t="str">
        <f t="shared" si="2"/>
        <v/>
      </c>
      <c r="K122" t="str">
        <f>IF(J122&lt;&gt;"",SUM($J$2:J122),"")</f>
        <v/>
      </c>
      <c r="L122">
        <f ca="1" t="shared" si="3"/>
        <v>45942</v>
      </c>
    </row>
    <row r="123" spans="9:12">
      <c r="I123">
        <f>IFERROR(VLOOKUP(H123,Rates!$A$2:$B$3,2,0),1)</f>
        <v>1</v>
      </c>
      <c r="J123" t="str">
        <f t="shared" si="2"/>
        <v/>
      </c>
      <c r="K123" t="str">
        <f>IF(J123&lt;&gt;"",SUM($J$2:J123),"")</f>
        <v/>
      </c>
      <c r="L123">
        <f ca="1" t="shared" si="3"/>
        <v>45942</v>
      </c>
    </row>
    <row r="124" spans="9:12">
      <c r="I124">
        <f>IFERROR(VLOOKUP(H124,Rates!$A$2:$B$3,2,0),1)</f>
        <v>1</v>
      </c>
      <c r="J124" t="str">
        <f t="shared" si="2"/>
        <v/>
      </c>
      <c r="K124" t="str">
        <f>IF(J124&lt;&gt;"",SUM($J$2:J124),"")</f>
        <v/>
      </c>
      <c r="L124">
        <f ca="1" t="shared" si="3"/>
        <v>45942</v>
      </c>
    </row>
    <row r="125" spans="9:12">
      <c r="I125">
        <f>IFERROR(VLOOKUP(H125,Rates!$A$2:$B$3,2,0),1)</f>
        <v>1</v>
      </c>
      <c r="J125" t="str">
        <f t="shared" si="2"/>
        <v/>
      </c>
      <c r="K125" t="str">
        <f>IF(J125&lt;&gt;"",SUM($J$2:J125),"")</f>
        <v/>
      </c>
      <c r="L125">
        <f ca="1" t="shared" si="3"/>
        <v>45942</v>
      </c>
    </row>
    <row r="126" spans="9:12">
      <c r="I126">
        <f>IFERROR(VLOOKUP(H126,Rates!$A$2:$B$3,2,0),1)</f>
        <v>1</v>
      </c>
      <c r="J126" t="str">
        <f t="shared" si="2"/>
        <v/>
      </c>
      <c r="K126" t="str">
        <f>IF(J126&lt;&gt;"",SUM($J$2:J126),"")</f>
        <v/>
      </c>
      <c r="L126">
        <f ca="1" t="shared" si="3"/>
        <v>45942</v>
      </c>
    </row>
    <row r="127" spans="9:12">
      <c r="I127">
        <f>IFERROR(VLOOKUP(H127,Rates!$A$2:$B$3,2,0),1)</f>
        <v>1</v>
      </c>
      <c r="J127" t="str">
        <f t="shared" si="2"/>
        <v/>
      </c>
      <c r="K127" t="str">
        <f>IF(J127&lt;&gt;"",SUM($J$2:J127),"")</f>
        <v/>
      </c>
      <c r="L127">
        <f ca="1" t="shared" si="3"/>
        <v>45942</v>
      </c>
    </row>
    <row r="128" spans="9:12">
      <c r="I128">
        <f>IFERROR(VLOOKUP(H128,Rates!$A$2:$B$3,2,0),1)</f>
        <v>1</v>
      </c>
      <c r="J128" t="str">
        <f t="shared" si="2"/>
        <v/>
      </c>
      <c r="K128" t="str">
        <f>IF(J128&lt;&gt;"",SUM($J$2:J128),"")</f>
        <v/>
      </c>
      <c r="L128">
        <f ca="1" t="shared" si="3"/>
        <v>45942</v>
      </c>
    </row>
    <row r="129" spans="9:12">
      <c r="I129">
        <f>IFERROR(VLOOKUP(H129,Rates!$A$2:$B$3,2,0),1)</f>
        <v>1</v>
      </c>
      <c r="J129" t="str">
        <f t="shared" si="2"/>
        <v/>
      </c>
      <c r="K129" t="str">
        <f>IF(J129&lt;&gt;"",SUM($J$2:J129),"")</f>
        <v/>
      </c>
      <c r="L129">
        <f ca="1" t="shared" si="3"/>
        <v>45942</v>
      </c>
    </row>
    <row r="130" spans="9:12">
      <c r="I130">
        <f>IFERROR(VLOOKUP(H130,Rates!$A$2:$B$3,2,0),1)</f>
        <v>1</v>
      </c>
      <c r="J130" t="str">
        <f t="shared" ref="J130:J193" si="4">IF(G130&lt;&gt;"",G130*I130,"")</f>
        <v/>
      </c>
      <c r="K130" t="str">
        <f>IF(J130&lt;&gt;"",SUM($J$2:J130),"")</f>
        <v/>
      </c>
      <c r="L130">
        <f ca="1" t="shared" ref="L130:L193" si="5">IF(COUNTA(A130:K130)&gt;0,TODAY(),"")</f>
        <v>45942</v>
      </c>
    </row>
    <row r="131" spans="9:12">
      <c r="I131">
        <f>IFERROR(VLOOKUP(H131,Rates!$A$2:$B$3,2,0),1)</f>
        <v>1</v>
      </c>
      <c r="J131" t="str">
        <f t="shared" si="4"/>
        <v/>
      </c>
      <c r="K131" t="str">
        <f>IF(J131&lt;&gt;"",SUM($J$2:J131),"")</f>
        <v/>
      </c>
      <c r="L131">
        <f ca="1" t="shared" si="5"/>
        <v>45942</v>
      </c>
    </row>
    <row r="132" spans="9:12">
      <c r="I132">
        <f>IFERROR(VLOOKUP(H132,Rates!$A$2:$B$3,2,0),1)</f>
        <v>1</v>
      </c>
      <c r="J132" t="str">
        <f t="shared" si="4"/>
        <v/>
      </c>
      <c r="K132" t="str">
        <f>IF(J132&lt;&gt;"",SUM($J$2:J132),"")</f>
        <v/>
      </c>
      <c r="L132">
        <f ca="1" t="shared" si="5"/>
        <v>45942</v>
      </c>
    </row>
    <row r="133" spans="9:12">
      <c r="I133">
        <f>IFERROR(VLOOKUP(H133,Rates!$A$2:$B$3,2,0),1)</f>
        <v>1</v>
      </c>
      <c r="J133" t="str">
        <f t="shared" si="4"/>
        <v/>
      </c>
      <c r="K133" t="str">
        <f>IF(J133&lt;&gt;"",SUM($J$2:J133),"")</f>
        <v/>
      </c>
      <c r="L133">
        <f ca="1" t="shared" si="5"/>
        <v>45942</v>
      </c>
    </row>
    <row r="134" spans="9:12">
      <c r="I134">
        <f>IFERROR(VLOOKUP(H134,Rates!$A$2:$B$3,2,0),1)</f>
        <v>1</v>
      </c>
      <c r="J134" t="str">
        <f t="shared" si="4"/>
        <v/>
      </c>
      <c r="K134" t="str">
        <f>IF(J134&lt;&gt;"",SUM($J$2:J134),"")</f>
        <v/>
      </c>
      <c r="L134">
        <f ca="1" t="shared" si="5"/>
        <v>45942</v>
      </c>
    </row>
    <row r="135" spans="9:12">
      <c r="I135">
        <f>IFERROR(VLOOKUP(H135,Rates!$A$2:$B$3,2,0),1)</f>
        <v>1</v>
      </c>
      <c r="J135" t="str">
        <f t="shared" si="4"/>
        <v/>
      </c>
      <c r="K135" t="str">
        <f>IF(J135&lt;&gt;"",SUM($J$2:J135),"")</f>
        <v/>
      </c>
      <c r="L135">
        <f ca="1" t="shared" si="5"/>
        <v>45942</v>
      </c>
    </row>
    <row r="136" spans="9:12">
      <c r="I136">
        <f>IFERROR(VLOOKUP(H136,Rates!$A$2:$B$3,2,0),1)</f>
        <v>1</v>
      </c>
      <c r="J136" t="str">
        <f t="shared" si="4"/>
        <v/>
      </c>
      <c r="K136" t="str">
        <f>IF(J136&lt;&gt;"",SUM($J$2:J136),"")</f>
        <v/>
      </c>
      <c r="L136">
        <f ca="1" t="shared" si="5"/>
        <v>45942</v>
      </c>
    </row>
    <row r="137" spans="9:12">
      <c r="I137">
        <f>IFERROR(VLOOKUP(H137,Rates!$A$2:$B$3,2,0),1)</f>
        <v>1</v>
      </c>
      <c r="J137" t="str">
        <f t="shared" si="4"/>
        <v/>
      </c>
      <c r="K137" t="str">
        <f>IF(J137&lt;&gt;"",SUM($J$2:J137),"")</f>
        <v/>
      </c>
      <c r="L137">
        <f ca="1" t="shared" si="5"/>
        <v>45942</v>
      </c>
    </row>
    <row r="138" spans="9:12">
      <c r="I138">
        <f>IFERROR(VLOOKUP(H138,Rates!$A$2:$B$3,2,0),1)</f>
        <v>1</v>
      </c>
      <c r="J138" t="str">
        <f t="shared" si="4"/>
        <v/>
      </c>
      <c r="K138" t="str">
        <f>IF(J138&lt;&gt;"",SUM($J$2:J138),"")</f>
        <v/>
      </c>
      <c r="L138">
        <f ca="1" t="shared" si="5"/>
        <v>45942</v>
      </c>
    </row>
    <row r="139" spans="9:12">
      <c r="I139">
        <f>IFERROR(VLOOKUP(H139,Rates!$A$2:$B$3,2,0),1)</f>
        <v>1</v>
      </c>
      <c r="J139" t="str">
        <f t="shared" si="4"/>
        <v/>
      </c>
      <c r="K139" t="str">
        <f>IF(J139&lt;&gt;"",SUM($J$2:J139),"")</f>
        <v/>
      </c>
      <c r="L139">
        <f ca="1" t="shared" si="5"/>
        <v>45942</v>
      </c>
    </row>
    <row r="140" spans="9:12">
      <c r="I140">
        <f>IFERROR(VLOOKUP(H140,Rates!$A$2:$B$3,2,0),1)</f>
        <v>1</v>
      </c>
      <c r="J140" t="str">
        <f t="shared" si="4"/>
        <v/>
      </c>
      <c r="K140" t="str">
        <f>IF(J140&lt;&gt;"",SUM($J$2:J140),"")</f>
        <v/>
      </c>
      <c r="L140">
        <f ca="1" t="shared" si="5"/>
        <v>45942</v>
      </c>
    </row>
    <row r="141" spans="9:12">
      <c r="I141">
        <f>IFERROR(VLOOKUP(H141,Rates!$A$2:$B$3,2,0),1)</f>
        <v>1</v>
      </c>
      <c r="J141" t="str">
        <f t="shared" si="4"/>
        <v/>
      </c>
      <c r="K141" t="str">
        <f>IF(J141&lt;&gt;"",SUM($J$2:J141),"")</f>
        <v/>
      </c>
      <c r="L141">
        <f ca="1" t="shared" si="5"/>
        <v>45942</v>
      </c>
    </row>
    <row r="142" spans="9:12">
      <c r="I142">
        <f>IFERROR(VLOOKUP(H142,Rates!$A$2:$B$3,2,0),1)</f>
        <v>1</v>
      </c>
      <c r="J142" t="str">
        <f t="shared" si="4"/>
        <v/>
      </c>
      <c r="K142" t="str">
        <f>IF(J142&lt;&gt;"",SUM($J$2:J142),"")</f>
        <v/>
      </c>
      <c r="L142">
        <f ca="1" t="shared" si="5"/>
        <v>45942</v>
      </c>
    </row>
    <row r="143" spans="9:12">
      <c r="I143">
        <f>IFERROR(VLOOKUP(H143,Rates!$A$2:$B$3,2,0),1)</f>
        <v>1</v>
      </c>
      <c r="J143" t="str">
        <f t="shared" si="4"/>
        <v/>
      </c>
      <c r="K143" t="str">
        <f>IF(J143&lt;&gt;"",SUM($J$2:J143),"")</f>
        <v/>
      </c>
      <c r="L143">
        <f ca="1" t="shared" si="5"/>
        <v>45942</v>
      </c>
    </row>
    <row r="144" spans="9:12">
      <c r="I144">
        <f>IFERROR(VLOOKUP(H144,Rates!$A$2:$B$3,2,0),1)</f>
        <v>1</v>
      </c>
      <c r="J144" t="str">
        <f t="shared" si="4"/>
        <v/>
      </c>
      <c r="K144" t="str">
        <f>IF(J144&lt;&gt;"",SUM($J$2:J144),"")</f>
        <v/>
      </c>
      <c r="L144">
        <f ca="1" t="shared" si="5"/>
        <v>45942</v>
      </c>
    </row>
    <row r="145" spans="9:12">
      <c r="I145">
        <f>IFERROR(VLOOKUP(H145,Rates!$A$2:$B$3,2,0),1)</f>
        <v>1</v>
      </c>
      <c r="J145" t="str">
        <f t="shared" si="4"/>
        <v/>
      </c>
      <c r="K145" t="str">
        <f>IF(J145&lt;&gt;"",SUM($J$2:J145),"")</f>
        <v/>
      </c>
      <c r="L145">
        <f ca="1" t="shared" si="5"/>
        <v>45942</v>
      </c>
    </row>
    <row r="146" spans="9:12">
      <c r="I146">
        <f>IFERROR(VLOOKUP(H146,Rates!$A$2:$B$3,2,0),1)</f>
        <v>1</v>
      </c>
      <c r="J146" t="str">
        <f t="shared" si="4"/>
        <v/>
      </c>
      <c r="K146" t="str">
        <f>IF(J146&lt;&gt;"",SUM($J$2:J146),"")</f>
        <v/>
      </c>
      <c r="L146">
        <f ca="1" t="shared" si="5"/>
        <v>45942</v>
      </c>
    </row>
    <row r="147" spans="9:12">
      <c r="I147">
        <f>IFERROR(VLOOKUP(H147,Rates!$A$2:$B$3,2,0),1)</f>
        <v>1</v>
      </c>
      <c r="J147" t="str">
        <f t="shared" si="4"/>
        <v/>
      </c>
      <c r="K147" t="str">
        <f>IF(J147&lt;&gt;"",SUM($J$2:J147),"")</f>
        <v/>
      </c>
      <c r="L147">
        <f ca="1" t="shared" si="5"/>
        <v>45942</v>
      </c>
    </row>
    <row r="148" spans="9:12">
      <c r="I148">
        <f>IFERROR(VLOOKUP(H148,Rates!$A$2:$B$3,2,0),1)</f>
        <v>1</v>
      </c>
      <c r="J148" t="str">
        <f t="shared" si="4"/>
        <v/>
      </c>
      <c r="K148" t="str">
        <f>IF(J148&lt;&gt;"",SUM($J$2:J148),"")</f>
        <v/>
      </c>
      <c r="L148">
        <f ca="1" t="shared" si="5"/>
        <v>45942</v>
      </c>
    </row>
    <row r="149" spans="9:12">
      <c r="I149">
        <f>IFERROR(VLOOKUP(H149,Rates!$A$2:$B$3,2,0),1)</f>
        <v>1</v>
      </c>
      <c r="J149" t="str">
        <f t="shared" si="4"/>
        <v/>
      </c>
      <c r="K149" t="str">
        <f>IF(J149&lt;&gt;"",SUM($J$2:J149),"")</f>
        <v/>
      </c>
      <c r="L149">
        <f ca="1" t="shared" si="5"/>
        <v>45942</v>
      </c>
    </row>
    <row r="150" spans="9:12">
      <c r="I150">
        <f>IFERROR(VLOOKUP(H150,Rates!$A$2:$B$3,2,0),1)</f>
        <v>1</v>
      </c>
      <c r="J150" t="str">
        <f t="shared" si="4"/>
        <v/>
      </c>
      <c r="K150" t="str">
        <f>IF(J150&lt;&gt;"",SUM($J$2:J150),"")</f>
        <v/>
      </c>
      <c r="L150">
        <f ca="1" t="shared" si="5"/>
        <v>45942</v>
      </c>
    </row>
    <row r="151" spans="9:12">
      <c r="I151">
        <f>IFERROR(VLOOKUP(H151,Rates!$A$2:$B$3,2,0),1)</f>
        <v>1</v>
      </c>
      <c r="J151" t="str">
        <f t="shared" si="4"/>
        <v/>
      </c>
      <c r="K151" t="str">
        <f>IF(J151&lt;&gt;"",SUM($J$2:J151),"")</f>
        <v/>
      </c>
      <c r="L151">
        <f ca="1" t="shared" si="5"/>
        <v>45942</v>
      </c>
    </row>
    <row r="152" spans="9:12">
      <c r="I152">
        <f>IFERROR(VLOOKUP(H152,Rates!$A$2:$B$3,2,0),1)</f>
        <v>1</v>
      </c>
      <c r="J152" t="str">
        <f t="shared" si="4"/>
        <v/>
      </c>
      <c r="K152" t="str">
        <f>IF(J152&lt;&gt;"",SUM($J$2:J152),"")</f>
        <v/>
      </c>
      <c r="L152">
        <f ca="1" t="shared" si="5"/>
        <v>45942</v>
      </c>
    </row>
    <row r="153" spans="9:12">
      <c r="I153">
        <f>IFERROR(VLOOKUP(H153,Rates!$A$2:$B$3,2,0),1)</f>
        <v>1</v>
      </c>
      <c r="J153" t="str">
        <f t="shared" si="4"/>
        <v/>
      </c>
      <c r="K153" t="str">
        <f>IF(J153&lt;&gt;"",SUM($J$2:J153),"")</f>
        <v/>
      </c>
      <c r="L153">
        <f ca="1" t="shared" si="5"/>
        <v>45942</v>
      </c>
    </row>
    <row r="154" spans="9:12">
      <c r="I154">
        <f>IFERROR(VLOOKUP(H154,Rates!$A$2:$B$3,2,0),1)</f>
        <v>1</v>
      </c>
      <c r="J154" t="str">
        <f t="shared" si="4"/>
        <v/>
      </c>
      <c r="K154" t="str">
        <f>IF(J154&lt;&gt;"",SUM($J$2:J154),"")</f>
        <v/>
      </c>
      <c r="L154">
        <f ca="1" t="shared" si="5"/>
        <v>45942</v>
      </c>
    </row>
    <row r="155" spans="9:12">
      <c r="I155">
        <f>IFERROR(VLOOKUP(H155,Rates!$A$2:$B$3,2,0),1)</f>
        <v>1</v>
      </c>
      <c r="J155" t="str">
        <f t="shared" si="4"/>
        <v/>
      </c>
      <c r="K155" t="str">
        <f>IF(J155&lt;&gt;"",SUM($J$2:J155),"")</f>
        <v/>
      </c>
      <c r="L155">
        <f ca="1" t="shared" si="5"/>
        <v>45942</v>
      </c>
    </row>
    <row r="156" spans="9:12">
      <c r="I156">
        <f>IFERROR(VLOOKUP(H156,Rates!$A$2:$B$3,2,0),1)</f>
        <v>1</v>
      </c>
      <c r="J156" t="str">
        <f t="shared" si="4"/>
        <v/>
      </c>
      <c r="K156" t="str">
        <f>IF(J156&lt;&gt;"",SUM($J$2:J156),"")</f>
        <v/>
      </c>
      <c r="L156">
        <f ca="1" t="shared" si="5"/>
        <v>45942</v>
      </c>
    </row>
    <row r="157" spans="9:12">
      <c r="I157">
        <f>IFERROR(VLOOKUP(H157,Rates!$A$2:$B$3,2,0),1)</f>
        <v>1</v>
      </c>
      <c r="J157" t="str">
        <f t="shared" si="4"/>
        <v/>
      </c>
      <c r="K157" t="str">
        <f>IF(J157&lt;&gt;"",SUM($J$2:J157),"")</f>
        <v/>
      </c>
      <c r="L157">
        <f ca="1" t="shared" si="5"/>
        <v>45942</v>
      </c>
    </row>
    <row r="158" spans="9:12">
      <c r="I158">
        <f>IFERROR(VLOOKUP(H158,Rates!$A$2:$B$3,2,0),1)</f>
        <v>1</v>
      </c>
      <c r="J158" t="str">
        <f t="shared" si="4"/>
        <v/>
      </c>
      <c r="K158" t="str">
        <f>IF(J158&lt;&gt;"",SUM($J$2:J158),"")</f>
        <v/>
      </c>
      <c r="L158">
        <f ca="1" t="shared" si="5"/>
        <v>45942</v>
      </c>
    </row>
    <row r="159" spans="9:12">
      <c r="I159">
        <f>IFERROR(VLOOKUP(H159,Rates!$A$2:$B$3,2,0),1)</f>
        <v>1</v>
      </c>
      <c r="J159" t="str">
        <f t="shared" si="4"/>
        <v/>
      </c>
      <c r="K159" t="str">
        <f>IF(J159&lt;&gt;"",SUM($J$2:J159),"")</f>
        <v/>
      </c>
      <c r="L159">
        <f ca="1" t="shared" si="5"/>
        <v>45942</v>
      </c>
    </row>
    <row r="160" spans="9:12">
      <c r="I160">
        <f>IFERROR(VLOOKUP(H160,Rates!$A$2:$B$3,2,0),1)</f>
        <v>1</v>
      </c>
      <c r="J160" t="str">
        <f t="shared" si="4"/>
        <v/>
      </c>
      <c r="K160" t="str">
        <f>IF(J160&lt;&gt;"",SUM($J$2:J160),"")</f>
        <v/>
      </c>
      <c r="L160">
        <f ca="1" t="shared" si="5"/>
        <v>45942</v>
      </c>
    </row>
    <row r="161" spans="9:12">
      <c r="I161">
        <f>IFERROR(VLOOKUP(H161,Rates!$A$2:$B$3,2,0),1)</f>
        <v>1</v>
      </c>
      <c r="J161" t="str">
        <f t="shared" si="4"/>
        <v/>
      </c>
      <c r="K161" t="str">
        <f>IF(J161&lt;&gt;"",SUM($J$2:J161),"")</f>
        <v/>
      </c>
      <c r="L161">
        <f ca="1" t="shared" si="5"/>
        <v>45942</v>
      </c>
    </row>
    <row r="162" spans="9:12">
      <c r="I162">
        <f>IFERROR(VLOOKUP(H162,Rates!$A$2:$B$3,2,0),1)</f>
        <v>1</v>
      </c>
      <c r="J162" t="str">
        <f t="shared" si="4"/>
        <v/>
      </c>
      <c r="K162" t="str">
        <f>IF(J162&lt;&gt;"",SUM($J$2:J162),"")</f>
        <v/>
      </c>
      <c r="L162">
        <f ca="1" t="shared" si="5"/>
        <v>45942</v>
      </c>
    </row>
    <row r="163" spans="9:12">
      <c r="I163">
        <f>IFERROR(VLOOKUP(H163,Rates!$A$2:$B$3,2,0),1)</f>
        <v>1</v>
      </c>
      <c r="J163" t="str">
        <f t="shared" si="4"/>
        <v/>
      </c>
      <c r="K163" t="str">
        <f>IF(J163&lt;&gt;"",SUM($J$2:J163),"")</f>
        <v/>
      </c>
      <c r="L163">
        <f ca="1" t="shared" si="5"/>
        <v>45942</v>
      </c>
    </row>
    <row r="164" spans="9:12">
      <c r="I164">
        <f>IFERROR(VLOOKUP(H164,Rates!$A$2:$B$3,2,0),1)</f>
        <v>1</v>
      </c>
      <c r="J164" t="str">
        <f t="shared" si="4"/>
        <v/>
      </c>
      <c r="K164" t="str">
        <f>IF(J164&lt;&gt;"",SUM($J$2:J164),"")</f>
        <v/>
      </c>
      <c r="L164">
        <f ca="1" t="shared" si="5"/>
        <v>45942</v>
      </c>
    </row>
    <row r="165" spans="9:12">
      <c r="I165">
        <f>IFERROR(VLOOKUP(H165,Rates!$A$2:$B$3,2,0),1)</f>
        <v>1</v>
      </c>
      <c r="J165" t="str">
        <f t="shared" si="4"/>
        <v/>
      </c>
      <c r="K165" t="str">
        <f>IF(J165&lt;&gt;"",SUM($J$2:J165),"")</f>
        <v/>
      </c>
      <c r="L165">
        <f ca="1" t="shared" si="5"/>
        <v>45942</v>
      </c>
    </row>
    <row r="166" spans="9:12">
      <c r="I166">
        <f>IFERROR(VLOOKUP(H166,Rates!$A$2:$B$3,2,0),1)</f>
        <v>1</v>
      </c>
      <c r="J166" t="str">
        <f t="shared" si="4"/>
        <v/>
      </c>
      <c r="K166" t="str">
        <f>IF(J166&lt;&gt;"",SUM($J$2:J166),"")</f>
        <v/>
      </c>
      <c r="L166">
        <f ca="1" t="shared" si="5"/>
        <v>45942</v>
      </c>
    </row>
    <row r="167" spans="9:12">
      <c r="I167">
        <f>IFERROR(VLOOKUP(H167,Rates!$A$2:$B$3,2,0),1)</f>
        <v>1</v>
      </c>
      <c r="J167" t="str">
        <f t="shared" si="4"/>
        <v/>
      </c>
      <c r="K167" t="str">
        <f>IF(J167&lt;&gt;"",SUM($J$2:J167),"")</f>
        <v/>
      </c>
      <c r="L167">
        <f ca="1" t="shared" si="5"/>
        <v>45942</v>
      </c>
    </row>
    <row r="168" spans="9:12">
      <c r="I168">
        <f>IFERROR(VLOOKUP(H168,Rates!$A$2:$B$3,2,0),1)</f>
        <v>1</v>
      </c>
      <c r="J168" t="str">
        <f t="shared" si="4"/>
        <v/>
      </c>
      <c r="K168" t="str">
        <f>IF(J168&lt;&gt;"",SUM($J$2:J168),"")</f>
        <v/>
      </c>
      <c r="L168">
        <f ca="1" t="shared" si="5"/>
        <v>45942</v>
      </c>
    </row>
    <row r="169" spans="9:12">
      <c r="I169">
        <f>IFERROR(VLOOKUP(H169,Rates!$A$2:$B$3,2,0),1)</f>
        <v>1</v>
      </c>
      <c r="J169" t="str">
        <f t="shared" si="4"/>
        <v/>
      </c>
      <c r="K169" t="str">
        <f>IF(J169&lt;&gt;"",SUM($J$2:J169),"")</f>
        <v/>
      </c>
      <c r="L169">
        <f ca="1" t="shared" si="5"/>
        <v>45942</v>
      </c>
    </row>
    <row r="170" spans="9:12">
      <c r="I170">
        <f>IFERROR(VLOOKUP(H170,Rates!$A$2:$B$3,2,0),1)</f>
        <v>1</v>
      </c>
      <c r="J170" t="str">
        <f t="shared" si="4"/>
        <v/>
      </c>
      <c r="K170" t="str">
        <f>IF(J170&lt;&gt;"",SUM($J$2:J170),"")</f>
        <v/>
      </c>
      <c r="L170">
        <f ca="1" t="shared" si="5"/>
        <v>45942</v>
      </c>
    </row>
    <row r="171" spans="9:12">
      <c r="I171">
        <f>IFERROR(VLOOKUP(H171,Rates!$A$2:$B$3,2,0),1)</f>
        <v>1</v>
      </c>
      <c r="J171" t="str">
        <f t="shared" si="4"/>
        <v/>
      </c>
      <c r="K171" t="str">
        <f>IF(J171&lt;&gt;"",SUM($J$2:J171),"")</f>
        <v/>
      </c>
      <c r="L171">
        <f ca="1" t="shared" si="5"/>
        <v>45942</v>
      </c>
    </row>
    <row r="172" spans="9:12">
      <c r="I172">
        <f>IFERROR(VLOOKUP(H172,Rates!$A$2:$B$3,2,0),1)</f>
        <v>1</v>
      </c>
      <c r="J172" t="str">
        <f t="shared" si="4"/>
        <v/>
      </c>
      <c r="K172" t="str">
        <f>IF(J172&lt;&gt;"",SUM($J$2:J172),"")</f>
        <v/>
      </c>
      <c r="L172">
        <f ca="1" t="shared" si="5"/>
        <v>45942</v>
      </c>
    </row>
    <row r="173" spans="9:12">
      <c r="I173">
        <f>IFERROR(VLOOKUP(H173,Rates!$A$2:$B$3,2,0),1)</f>
        <v>1</v>
      </c>
      <c r="J173" t="str">
        <f t="shared" si="4"/>
        <v/>
      </c>
      <c r="K173" t="str">
        <f>IF(J173&lt;&gt;"",SUM($J$2:J173),"")</f>
        <v/>
      </c>
      <c r="L173">
        <f ca="1" t="shared" si="5"/>
        <v>45942</v>
      </c>
    </row>
    <row r="174" spans="9:12">
      <c r="I174">
        <f>IFERROR(VLOOKUP(H174,Rates!$A$2:$B$3,2,0),1)</f>
        <v>1</v>
      </c>
      <c r="J174" t="str">
        <f t="shared" si="4"/>
        <v/>
      </c>
      <c r="K174" t="str">
        <f>IF(J174&lt;&gt;"",SUM($J$2:J174),"")</f>
        <v/>
      </c>
      <c r="L174">
        <f ca="1" t="shared" si="5"/>
        <v>45942</v>
      </c>
    </row>
    <row r="175" spans="9:12">
      <c r="I175">
        <f>IFERROR(VLOOKUP(H175,Rates!$A$2:$B$3,2,0),1)</f>
        <v>1</v>
      </c>
      <c r="J175" t="str">
        <f t="shared" si="4"/>
        <v/>
      </c>
      <c r="K175" t="str">
        <f>IF(J175&lt;&gt;"",SUM($J$2:J175),"")</f>
        <v/>
      </c>
      <c r="L175">
        <f ca="1" t="shared" si="5"/>
        <v>45942</v>
      </c>
    </row>
    <row r="176" spans="9:12">
      <c r="I176">
        <f>IFERROR(VLOOKUP(H176,Rates!$A$2:$B$3,2,0),1)</f>
        <v>1</v>
      </c>
      <c r="J176" t="str">
        <f t="shared" si="4"/>
        <v/>
      </c>
      <c r="K176" t="str">
        <f>IF(J176&lt;&gt;"",SUM($J$2:J176),"")</f>
        <v/>
      </c>
      <c r="L176">
        <f ca="1" t="shared" si="5"/>
        <v>45942</v>
      </c>
    </row>
    <row r="177" spans="9:12">
      <c r="I177">
        <f>IFERROR(VLOOKUP(H177,Rates!$A$2:$B$3,2,0),1)</f>
        <v>1</v>
      </c>
      <c r="J177" t="str">
        <f t="shared" si="4"/>
        <v/>
      </c>
      <c r="K177" t="str">
        <f>IF(J177&lt;&gt;"",SUM($J$2:J177),"")</f>
        <v/>
      </c>
      <c r="L177">
        <f ca="1" t="shared" si="5"/>
        <v>45942</v>
      </c>
    </row>
    <row r="178" spans="9:12">
      <c r="I178">
        <f>IFERROR(VLOOKUP(H178,Rates!$A$2:$B$3,2,0),1)</f>
        <v>1</v>
      </c>
      <c r="J178" t="str">
        <f t="shared" si="4"/>
        <v/>
      </c>
      <c r="K178" t="str">
        <f>IF(J178&lt;&gt;"",SUM($J$2:J178),"")</f>
        <v/>
      </c>
      <c r="L178">
        <f ca="1" t="shared" si="5"/>
        <v>45942</v>
      </c>
    </row>
    <row r="179" spans="9:12">
      <c r="I179">
        <f>IFERROR(VLOOKUP(H179,Rates!$A$2:$B$3,2,0),1)</f>
        <v>1</v>
      </c>
      <c r="J179" t="str">
        <f t="shared" si="4"/>
        <v/>
      </c>
      <c r="K179" t="str">
        <f>IF(J179&lt;&gt;"",SUM($J$2:J179),"")</f>
        <v/>
      </c>
      <c r="L179">
        <f ca="1" t="shared" si="5"/>
        <v>45942</v>
      </c>
    </row>
    <row r="180" spans="9:12">
      <c r="I180">
        <f>IFERROR(VLOOKUP(H180,Rates!$A$2:$B$3,2,0),1)</f>
        <v>1</v>
      </c>
      <c r="J180" t="str">
        <f t="shared" si="4"/>
        <v/>
      </c>
      <c r="K180" t="str">
        <f>IF(J180&lt;&gt;"",SUM($J$2:J180),"")</f>
        <v/>
      </c>
      <c r="L180">
        <f ca="1" t="shared" si="5"/>
        <v>45942</v>
      </c>
    </row>
    <row r="181" spans="9:12">
      <c r="I181">
        <f>IFERROR(VLOOKUP(H181,Rates!$A$2:$B$3,2,0),1)</f>
        <v>1</v>
      </c>
      <c r="J181" t="str">
        <f t="shared" si="4"/>
        <v/>
      </c>
      <c r="K181" t="str">
        <f>IF(J181&lt;&gt;"",SUM($J$2:J181),"")</f>
        <v/>
      </c>
      <c r="L181">
        <f ca="1" t="shared" si="5"/>
        <v>45942</v>
      </c>
    </row>
    <row r="182" spans="9:12">
      <c r="I182">
        <f>IFERROR(VLOOKUP(H182,Rates!$A$2:$B$3,2,0),1)</f>
        <v>1</v>
      </c>
      <c r="J182" t="str">
        <f t="shared" si="4"/>
        <v/>
      </c>
      <c r="K182" t="str">
        <f>IF(J182&lt;&gt;"",SUM($J$2:J182),"")</f>
        <v/>
      </c>
      <c r="L182">
        <f ca="1" t="shared" si="5"/>
        <v>45942</v>
      </c>
    </row>
    <row r="183" spans="9:12">
      <c r="I183">
        <f>IFERROR(VLOOKUP(H183,Rates!$A$2:$B$3,2,0),1)</f>
        <v>1</v>
      </c>
      <c r="J183" t="str">
        <f t="shared" si="4"/>
        <v/>
      </c>
      <c r="K183" t="str">
        <f>IF(J183&lt;&gt;"",SUM($J$2:J183),"")</f>
        <v/>
      </c>
      <c r="L183">
        <f ca="1" t="shared" si="5"/>
        <v>45942</v>
      </c>
    </row>
    <row r="184" spans="9:12">
      <c r="I184">
        <f>IFERROR(VLOOKUP(H184,Rates!$A$2:$B$3,2,0),1)</f>
        <v>1</v>
      </c>
      <c r="J184" t="str">
        <f t="shared" si="4"/>
        <v/>
      </c>
      <c r="K184" t="str">
        <f>IF(J184&lt;&gt;"",SUM($J$2:J184),"")</f>
        <v/>
      </c>
      <c r="L184">
        <f ca="1" t="shared" si="5"/>
        <v>45942</v>
      </c>
    </row>
    <row r="185" spans="9:12">
      <c r="I185">
        <f>IFERROR(VLOOKUP(H185,Rates!$A$2:$B$3,2,0),1)</f>
        <v>1</v>
      </c>
      <c r="J185" t="str">
        <f t="shared" si="4"/>
        <v/>
      </c>
      <c r="K185" t="str">
        <f>IF(J185&lt;&gt;"",SUM($J$2:J185),"")</f>
        <v/>
      </c>
      <c r="L185">
        <f ca="1" t="shared" si="5"/>
        <v>45942</v>
      </c>
    </row>
    <row r="186" spans="9:12">
      <c r="I186">
        <f>IFERROR(VLOOKUP(H186,Rates!$A$2:$B$3,2,0),1)</f>
        <v>1</v>
      </c>
      <c r="J186" t="str">
        <f t="shared" si="4"/>
        <v/>
      </c>
      <c r="K186" t="str">
        <f>IF(J186&lt;&gt;"",SUM($J$2:J186),"")</f>
        <v/>
      </c>
      <c r="L186">
        <f ca="1" t="shared" si="5"/>
        <v>45942</v>
      </c>
    </row>
    <row r="187" spans="9:12">
      <c r="I187">
        <f>IFERROR(VLOOKUP(H187,Rates!$A$2:$B$3,2,0),1)</f>
        <v>1</v>
      </c>
      <c r="J187" t="str">
        <f t="shared" si="4"/>
        <v/>
      </c>
      <c r="K187" t="str">
        <f>IF(J187&lt;&gt;"",SUM($J$2:J187),"")</f>
        <v/>
      </c>
      <c r="L187">
        <f ca="1" t="shared" si="5"/>
        <v>45942</v>
      </c>
    </row>
    <row r="188" spans="9:12">
      <c r="I188">
        <f>IFERROR(VLOOKUP(H188,Rates!$A$2:$B$3,2,0),1)</f>
        <v>1</v>
      </c>
      <c r="J188" t="str">
        <f t="shared" si="4"/>
        <v/>
      </c>
      <c r="K188" t="str">
        <f>IF(J188&lt;&gt;"",SUM($J$2:J188),"")</f>
        <v/>
      </c>
      <c r="L188">
        <f ca="1" t="shared" si="5"/>
        <v>45942</v>
      </c>
    </row>
    <row r="189" spans="9:12">
      <c r="I189">
        <f>IFERROR(VLOOKUP(H189,Rates!$A$2:$B$3,2,0),1)</f>
        <v>1</v>
      </c>
      <c r="J189" t="str">
        <f t="shared" si="4"/>
        <v/>
      </c>
      <c r="K189" t="str">
        <f>IF(J189&lt;&gt;"",SUM($J$2:J189),"")</f>
        <v/>
      </c>
      <c r="L189">
        <f ca="1" t="shared" si="5"/>
        <v>45942</v>
      </c>
    </row>
    <row r="190" spans="9:12">
      <c r="I190">
        <f>IFERROR(VLOOKUP(H190,Rates!$A$2:$B$3,2,0),1)</f>
        <v>1</v>
      </c>
      <c r="J190" t="str">
        <f t="shared" si="4"/>
        <v/>
      </c>
      <c r="K190" t="str">
        <f>IF(J190&lt;&gt;"",SUM($J$2:J190),"")</f>
        <v/>
      </c>
      <c r="L190">
        <f ca="1" t="shared" si="5"/>
        <v>45942</v>
      </c>
    </row>
    <row r="191" spans="9:12">
      <c r="I191">
        <f>IFERROR(VLOOKUP(H191,Rates!$A$2:$B$3,2,0),1)</f>
        <v>1</v>
      </c>
      <c r="J191" t="str">
        <f t="shared" si="4"/>
        <v/>
      </c>
      <c r="K191" t="str">
        <f>IF(J191&lt;&gt;"",SUM($J$2:J191),"")</f>
        <v/>
      </c>
      <c r="L191">
        <f ca="1" t="shared" si="5"/>
        <v>45942</v>
      </c>
    </row>
    <row r="192" spans="9:12">
      <c r="I192">
        <f>IFERROR(VLOOKUP(H192,Rates!$A$2:$B$3,2,0),1)</f>
        <v>1</v>
      </c>
      <c r="J192" t="str">
        <f t="shared" si="4"/>
        <v/>
      </c>
      <c r="K192" t="str">
        <f>IF(J192&lt;&gt;"",SUM($J$2:J192),"")</f>
        <v/>
      </c>
      <c r="L192">
        <f ca="1" t="shared" si="5"/>
        <v>45942</v>
      </c>
    </row>
    <row r="193" spans="9:12">
      <c r="I193">
        <f>IFERROR(VLOOKUP(H193,Rates!$A$2:$B$3,2,0),1)</f>
        <v>1</v>
      </c>
      <c r="J193" t="str">
        <f t="shared" si="4"/>
        <v/>
      </c>
      <c r="K193" t="str">
        <f>IF(J193&lt;&gt;"",SUM($J$2:J193),"")</f>
        <v/>
      </c>
      <c r="L193">
        <f ca="1" t="shared" si="5"/>
        <v>45942</v>
      </c>
    </row>
    <row r="194" spans="9:12">
      <c r="I194">
        <f>IFERROR(VLOOKUP(H194,Rates!$A$2:$B$3,2,0),1)</f>
        <v>1</v>
      </c>
      <c r="J194" t="str">
        <f t="shared" ref="J194:J257" si="6">IF(G194&lt;&gt;"",G194*I194,"")</f>
        <v/>
      </c>
      <c r="K194" t="str">
        <f>IF(J194&lt;&gt;"",SUM($J$2:J194),"")</f>
        <v/>
      </c>
      <c r="L194">
        <f ca="1" t="shared" ref="L194:L257" si="7">IF(COUNTA(A194:K194)&gt;0,TODAY(),"")</f>
        <v>45942</v>
      </c>
    </row>
    <row r="195" spans="9:12">
      <c r="I195">
        <f>IFERROR(VLOOKUP(H195,Rates!$A$2:$B$3,2,0),1)</f>
        <v>1</v>
      </c>
      <c r="J195" t="str">
        <f t="shared" si="6"/>
        <v/>
      </c>
      <c r="K195" t="str">
        <f>IF(J195&lt;&gt;"",SUM($J$2:J195),"")</f>
        <v/>
      </c>
      <c r="L195">
        <f ca="1" t="shared" si="7"/>
        <v>45942</v>
      </c>
    </row>
    <row r="196" spans="9:12">
      <c r="I196">
        <f>IFERROR(VLOOKUP(H196,Rates!$A$2:$B$3,2,0),1)</f>
        <v>1</v>
      </c>
      <c r="J196" t="str">
        <f t="shared" si="6"/>
        <v/>
      </c>
      <c r="K196" t="str">
        <f>IF(J196&lt;&gt;"",SUM($J$2:J196),"")</f>
        <v/>
      </c>
      <c r="L196">
        <f ca="1" t="shared" si="7"/>
        <v>45942</v>
      </c>
    </row>
    <row r="197" spans="9:12">
      <c r="I197">
        <f>IFERROR(VLOOKUP(H197,Rates!$A$2:$B$3,2,0),1)</f>
        <v>1</v>
      </c>
      <c r="J197" t="str">
        <f t="shared" si="6"/>
        <v/>
      </c>
      <c r="K197" t="str">
        <f>IF(J197&lt;&gt;"",SUM($J$2:J197),"")</f>
        <v/>
      </c>
      <c r="L197">
        <f ca="1" t="shared" si="7"/>
        <v>45942</v>
      </c>
    </row>
    <row r="198" spans="9:12">
      <c r="I198">
        <f>IFERROR(VLOOKUP(H198,Rates!$A$2:$B$3,2,0),1)</f>
        <v>1</v>
      </c>
      <c r="J198" t="str">
        <f t="shared" si="6"/>
        <v/>
      </c>
      <c r="K198" t="str">
        <f>IF(J198&lt;&gt;"",SUM($J$2:J198),"")</f>
        <v/>
      </c>
      <c r="L198">
        <f ca="1" t="shared" si="7"/>
        <v>45942</v>
      </c>
    </row>
    <row r="199" spans="9:12">
      <c r="I199">
        <f>IFERROR(VLOOKUP(H199,Rates!$A$2:$B$3,2,0),1)</f>
        <v>1</v>
      </c>
      <c r="J199" t="str">
        <f t="shared" si="6"/>
        <v/>
      </c>
      <c r="K199" t="str">
        <f>IF(J199&lt;&gt;"",SUM($J$2:J199),"")</f>
        <v/>
      </c>
      <c r="L199">
        <f ca="1" t="shared" si="7"/>
        <v>45942</v>
      </c>
    </row>
    <row r="200" spans="9:12">
      <c r="I200">
        <f>IFERROR(VLOOKUP(H200,Rates!$A$2:$B$3,2,0),1)</f>
        <v>1</v>
      </c>
      <c r="J200" t="str">
        <f t="shared" si="6"/>
        <v/>
      </c>
      <c r="K200" t="str">
        <f>IF(J200&lt;&gt;"",SUM($J$2:J200),"")</f>
        <v/>
      </c>
      <c r="L200">
        <f ca="1" t="shared" si="7"/>
        <v>45942</v>
      </c>
    </row>
    <row r="201" spans="9:12">
      <c r="I201">
        <f>IFERROR(VLOOKUP(H201,Rates!$A$2:$B$3,2,0),1)</f>
        <v>1</v>
      </c>
      <c r="J201" t="str">
        <f t="shared" si="6"/>
        <v/>
      </c>
      <c r="K201" t="str">
        <f>IF(J201&lt;&gt;"",SUM($J$2:J201),"")</f>
        <v/>
      </c>
      <c r="L201">
        <f ca="1" t="shared" si="7"/>
        <v>45942</v>
      </c>
    </row>
    <row r="202" spans="9:12">
      <c r="I202">
        <f>IFERROR(VLOOKUP(H202,Rates!$A$2:$B$3,2,0),1)</f>
        <v>1</v>
      </c>
      <c r="J202" t="str">
        <f t="shared" si="6"/>
        <v/>
      </c>
      <c r="K202" t="str">
        <f>IF(J202&lt;&gt;"",SUM($J$2:J202),"")</f>
        <v/>
      </c>
      <c r="L202">
        <f ca="1" t="shared" si="7"/>
        <v>45942</v>
      </c>
    </row>
    <row r="203" spans="9:12">
      <c r="I203">
        <f>IFERROR(VLOOKUP(H203,Rates!$A$2:$B$3,2,0),1)</f>
        <v>1</v>
      </c>
      <c r="J203" t="str">
        <f t="shared" si="6"/>
        <v/>
      </c>
      <c r="K203" t="str">
        <f>IF(J203&lt;&gt;"",SUM($J$2:J203),"")</f>
        <v/>
      </c>
      <c r="L203">
        <f ca="1" t="shared" si="7"/>
        <v>45942</v>
      </c>
    </row>
    <row r="204" spans="9:12">
      <c r="I204">
        <f>IFERROR(VLOOKUP(H204,Rates!$A$2:$B$3,2,0),1)</f>
        <v>1</v>
      </c>
      <c r="J204" t="str">
        <f t="shared" si="6"/>
        <v/>
      </c>
      <c r="K204" t="str">
        <f>IF(J204&lt;&gt;"",SUM($J$2:J204),"")</f>
        <v/>
      </c>
      <c r="L204">
        <f ca="1" t="shared" si="7"/>
        <v>45942</v>
      </c>
    </row>
    <row r="205" spans="9:12">
      <c r="I205">
        <f>IFERROR(VLOOKUP(H205,Rates!$A$2:$B$3,2,0),1)</f>
        <v>1</v>
      </c>
      <c r="J205" t="str">
        <f t="shared" si="6"/>
        <v/>
      </c>
      <c r="K205" t="str">
        <f>IF(J205&lt;&gt;"",SUM($J$2:J205),"")</f>
        <v/>
      </c>
      <c r="L205">
        <f ca="1" t="shared" si="7"/>
        <v>45942</v>
      </c>
    </row>
    <row r="206" spans="9:12">
      <c r="I206">
        <f>IFERROR(VLOOKUP(H206,Rates!$A$2:$B$3,2,0),1)</f>
        <v>1</v>
      </c>
      <c r="J206" t="str">
        <f t="shared" si="6"/>
        <v/>
      </c>
      <c r="K206" t="str">
        <f>IF(J206&lt;&gt;"",SUM($J$2:J206),"")</f>
        <v/>
      </c>
      <c r="L206">
        <f ca="1" t="shared" si="7"/>
        <v>45942</v>
      </c>
    </row>
    <row r="207" spans="9:12">
      <c r="I207">
        <f>IFERROR(VLOOKUP(H207,Rates!$A$2:$B$3,2,0),1)</f>
        <v>1</v>
      </c>
      <c r="J207" t="str">
        <f t="shared" si="6"/>
        <v/>
      </c>
      <c r="K207" t="str">
        <f>IF(J207&lt;&gt;"",SUM($J$2:J207),"")</f>
        <v/>
      </c>
      <c r="L207">
        <f ca="1" t="shared" si="7"/>
        <v>45942</v>
      </c>
    </row>
    <row r="208" spans="9:12">
      <c r="I208">
        <f>IFERROR(VLOOKUP(H208,Rates!$A$2:$B$3,2,0),1)</f>
        <v>1</v>
      </c>
      <c r="J208" t="str">
        <f t="shared" si="6"/>
        <v/>
      </c>
      <c r="K208" t="str">
        <f>IF(J208&lt;&gt;"",SUM($J$2:J208),"")</f>
        <v/>
      </c>
      <c r="L208">
        <f ca="1" t="shared" si="7"/>
        <v>45942</v>
      </c>
    </row>
    <row r="209" spans="9:12">
      <c r="I209">
        <f>IFERROR(VLOOKUP(H209,Rates!$A$2:$B$3,2,0),1)</f>
        <v>1</v>
      </c>
      <c r="J209" t="str">
        <f t="shared" si="6"/>
        <v/>
      </c>
      <c r="K209" t="str">
        <f>IF(J209&lt;&gt;"",SUM($J$2:J209),"")</f>
        <v/>
      </c>
      <c r="L209">
        <f ca="1" t="shared" si="7"/>
        <v>45942</v>
      </c>
    </row>
    <row r="210" spans="9:12">
      <c r="I210">
        <f>IFERROR(VLOOKUP(H210,Rates!$A$2:$B$3,2,0),1)</f>
        <v>1</v>
      </c>
      <c r="J210" t="str">
        <f t="shared" si="6"/>
        <v/>
      </c>
      <c r="K210" t="str">
        <f>IF(J210&lt;&gt;"",SUM($J$2:J210),"")</f>
        <v/>
      </c>
      <c r="L210">
        <f ca="1" t="shared" si="7"/>
        <v>45942</v>
      </c>
    </row>
    <row r="211" spans="9:12">
      <c r="I211">
        <f>IFERROR(VLOOKUP(H211,Rates!$A$2:$B$3,2,0),1)</f>
        <v>1</v>
      </c>
      <c r="J211" t="str">
        <f t="shared" si="6"/>
        <v/>
      </c>
      <c r="K211" t="str">
        <f>IF(J211&lt;&gt;"",SUM($J$2:J211),"")</f>
        <v/>
      </c>
      <c r="L211">
        <f ca="1" t="shared" si="7"/>
        <v>45942</v>
      </c>
    </row>
    <row r="212" spans="9:12">
      <c r="I212">
        <f>IFERROR(VLOOKUP(H212,Rates!$A$2:$B$3,2,0),1)</f>
        <v>1</v>
      </c>
      <c r="J212" t="str">
        <f t="shared" si="6"/>
        <v/>
      </c>
      <c r="K212" t="str">
        <f>IF(J212&lt;&gt;"",SUM($J$2:J212),"")</f>
        <v/>
      </c>
      <c r="L212">
        <f ca="1" t="shared" si="7"/>
        <v>45942</v>
      </c>
    </row>
    <row r="213" spans="9:12">
      <c r="I213">
        <f>IFERROR(VLOOKUP(H213,Rates!$A$2:$B$3,2,0),1)</f>
        <v>1</v>
      </c>
      <c r="J213" t="str">
        <f t="shared" si="6"/>
        <v/>
      </c>
      <c r="K213" t="str">
        <f>IF(J213&lt;&gt;"",SUM($J$2:J213),"")</f>
        <v/>
      </c>
      <c r="L213">
        <f ca="1" t="shared" si="7"/>
        <v>45942</v>
      </c>
    </row>
    <row r="214" spans="9:12">
      <c r="I214">
        <f>IFERROR(VLOOKUP(H214,Rates!$A$2:$B$3,2,0),1)</f>
        <v>1</v>
      </c>
      <c r="J214" t="str">
        <f t="shared" si="6"/>
        <v/>
      </c>
      <c r="K214" t="str">
        <f>IF(J214&lt;&gt;"",SUM($J$2:J214),"")</f>
        <v/>
      </c>
      <c r="L214">
        <f ca="1" t="shared" si="7"/>
        <v>45942</v>
      </c>
    </row>
    <row r="215" spans="9:12">
      <c r="I215">
        <f>IFERROR(VLOOKUP(H215,Rates!$A$2:$B$3,2,0),1)</f>
        <v>1</v>
      </c>
      <c r="J215" t="str">
        <f t="shared" si="6"/>
        <v/>
      </c>
      <c r="K215" t="str">
        <f>IF(J215&lt;&gt;"",SUM($J$2:J215),"")</f>
        <v/>
      </c>
      <c r="L215">
        <f ca="1" t="shared" si="7"/>
        <v>45942</v>
      </c>
    </row>
    <row r="216" spans="9:12">
      <c r="I216">
        <f>IFERROR(VLOOKUP(H216,Rates!$A$2:$B$3,2,0),1)</f>
        <v>1</v>
      </c>
      <c r="J216" t="str">
        <f t="shared" si="6"/>
        <v/>
      </c>
      <c r="K216" t="str">
        <f>IF(J216&lt;&gt;"",SUM($J$2:J216),"")</f>
        <v/>
      </c>
      <c r="L216">
        <f ca="1" t="shared" si="7"/>
        <v>45942</v>
      </c>
    </row>
    <row r="217" spans="9:12">
      <c r="I217">
        <f>IFERROR(VLOOKUP(H217,Rates!$A$2:$B$3,2,0),1)</f>
        <v>1</v>
      </c>
      <c r="J217" t="str">
        <f t="shared" si="6"/>
        <v/>
      </c>
      <c r="K217" t="str">
        <f>IF(J217&lt;&gt;"",SUM($J$2:J217),"")</f>
        <v/>
      </c>
      <c r="L217">
        <f ca="1" t="shared" si="7"/>
        <v>45942</v>
      </c>
    </row>
    <row r="218" spans="9:12">
      <c r="I218">
        <f>IFERROR(VLOOKUP(H218,Rates!$A$2:$B$3,2,0),1)</f>
        <v>1</v>
      </c>
      <c r="J218" t="str">
        <f t="shared" si="6"/>
        <v/>
      </c>
      <c r="K218" t="str">
        <f>IF(J218&lt;&gt;"",SUM($J$2:J218),"")</f>
        <v/>
      </c>
      <c r="L218">
        <f ca="1" t="shared" si="7"/>
        <v>45942</v>
      </c>
    </row>
    <row r="219" spans="9:12">
      <c r="I219">
        <f>IFERROR(VLOOKUP(H219,Rates!$A$2:$B$3,2,0),1)</f>
        <v>1</v>
      </c>
      <c r="J219" t="str">
        <f t="shared" si="6"/>
        <v/>
      </c>
      <c r="K219" t="str">
        <f>IF(J219&lt;&gt;"",SUM($J$2:J219),"")</f>
        <v/>
      </c>
      <c r="L219">
        <f ca="1" t="shared" si="7"/>
        <v>45942</v>
      </c>
    </row>
    <row r="220" spans="9:12">
      <c r="I220">
        <f>IFERROR(VLOOKUP(H220,Rates!$A$2:$B$3,2,0),1)</f>
        <v>1</v>
      </c>
      <c r="J220" t="str">
        <f t="shared" si="6"/>
        <v/>
      </c>
      <c r="K220" t="str">
        <f>IF(J220&lt;&gt;"",SUM($J$2:J220),"")</f>
        <v/>
      </c>
      <c r="L220">
        <f ca="1" t="shared" si="7"/>
        <v>45942</v>
      </c>
    </row>
    <row r="221" spans="9:12">
      <c r="I221">
        <f>IFERROR(VLOOKUP(H221,Rates!$A$2:$B$3,2,0),1)</f>
        <v>1</v>
      </c>
      <c r="J221" t="str">
        <f t="shared" si="6"/>
        <v/>
      </c>
      <c r="K221" t="str">
        <f>IF(J221&lt;&gt;"",SUM($J$2:J221),"")</f>
        <v/>
      </c>
      <c r="L221">
        <f ca="1" t="shared" si="7"/>
        <v>45942</v>
      </c>
    </row>
    <row r="222" spans="9:12">
      <c r="I222">
        <f>IFERROR(VLOOKUP(H222,Rates!$A$2:$B$3,2,0),1)</f>
        <v>1</v>
      </c>
      <c r="J222" t="str">
        <f t="shared" si="6"/>
        <v/>
      </c>
      <c r="K222" t="str">
        <f>IF(J222&lt;&gt;"",SUM($J$2:J222),"")</f>
        <v/>
      </c>
      <c r="L222">
        <f ca="1" t="shared" si="7"/>
        <v>45942</v>
      </c>
    </row>
    <row r="223" spans="9:12">
      <c r="I223">
        <f>IFERROR(VLOOKUP(H223,Rates!$A$2:$B$3,2,0),1)</f>
        <v>1</v>
      </c>
      <c r="J223" t="str">
        <f t="shared" si="6"/>
        <v/>
      </c>
      <c r="K223" t="str">
        <f>IF(J223&lt;&gt;"",SUM($J$2:J223),"")</f>
        <v/>
      </c>
      <c r="L223">
        <f ca="1" t="shared" si="7"/>
        <v>45942</v>
      </c>
    </row>
    <row r="224" spans="9:12">
      <c r="I224">
        <f>IFERROR(VLOOKUP(H224,Rates!$A$2:$B$3,2,0),1)</f>
        <v>1</v>
      </c>
      <c r="J224" t="str">
        <f t="shared" si="6"/>
        <v/>
      </c>
      <c r="K224" t="str">
        <f>IF(J224&lt;&gt;"",SUM($J$2:J224),"")</f>
        <v/>
      </c>
      <c r="L224">
        <f ca="1" t="shared" si="7"/>
        <v>45942</v>
      </c>
    </row>
    <row r="225" spans="9:12">
      <c r="I225">
        <f>IFERROR(VLOOKUP(H225,Rates!$A$2:$B$3,2,0),1)</f>
        <v>1</v>
      </c>
      <c r="J225" t="str">
        <f t="shared" si="6"/>
        <v/>
      </c>
      <c r="K225" t="str">
        <f>IF(J225&lt;&gt;"",SUM($J$2:J225),"")</f>
        <v/>
      </c>
      <c r="L225">
        <f ca="1" t="shared" si="7"/>
        <v>45942</v>
      </c>
    </row>
    <row r="226" spans="9:12">
      <c r="I226">
        <f>IFERROR(VLOOKUP(H226,Rates!$A$2:$B$3,2,0),1)</f>
        <v>1</v>
      </c>
      <c r="J226" t="str">
        <f t="shared" si="6"/>
        <v/>
      </c>
      <c r="K226" t="str">
        <f>IF(J226&lt;&gt;"",SUM($J$2:J226),"")</f>
        <v/>
      </c>
      <c r="L226">
        <f ca="1" t="shared" si="7"/>
        <v>45942</v>
      </c>
    </row>
    <row r="227" spans="9:12">
      <c r="I227">
        <f>IFERROR(VLOOKUP(H227,Rates!$A$2:$B$3,2,0),1)</f>
        <v>1</v>
      </c>
      <c r="J227" t="str">
        <f t="shared" si="6"/>
        <v/>
      </c>
      <c r="K227" t="str">
        <f>IF(J227&lt;&gt;"",SUM($J$2:J227),"")</f>
        <v/>
      </c>
      <c r="L227">
        <f ca="1" t="shared" si="7"/>
        <v>45942</v>
      </c>
    </row>
    <row r="228" spans="9:12">
      <c r="I228">
        <f>IFERROR(VLOOKUP(H228,Rates!$A$2:$B$3,2,0),1)</f>
        <v>1</v>
      </c>
      <c r="J228" t="str">
        <f t="shared" si="6"/>
        <v/>
      </c>
      <c r="K228" t="str">
        <f>IF(J228&lt;&gt;"",SUM($J$2:J228),"")</f>
        <v/>
      </c>
      <c r="L228">
        <f ca="1" t="shared" si="7"/>
        <v>45942</v>
      </c>
    </row>
    <row r="229" spans="9:12">
      <c r="I229">
        <f>IFERROR(VLOOKUP(H229,Rates!$A$2:$B$3,2,0),1)</f>
        <v>1</v>
      </c>
      <c r="J229" t="str">
        <f t="shared" si="6"/>
        <v/>
      </c>
      <c r="K229" t="str">
        <f>IF(J229&lt;&gt;"",SUM($J$2:J229),"")</f>
        <v/>
      </c>
      <c r="L229">
        <f ca="1" t="shared" si="7"/>
        <v>45942</v>
      </c>
    </row>
    <row r="230" spans="9:12">
      <c r="I230">
        <f>IFERROR(VLOOKUP(H230,Rates!$A$2:$B$3,2,0),1)</f>
        <v>1</v>
      </c>
      <c r="J230" t="str">
        <f t="shared" si="6"/>
        <v/>
      </c>
      <c r="K230" t="str">
        <f>IF(J230&lt;&gt;"",SUM($J$2:J230),"")</f>
        <v/>
      </c>
      <c r="L230">
        <f ca="1" t="shared" si="7"/>
        <v>45942</v>
      </c>
    </row>
    <row r="231" spans="9:12">
      <c r="I231">
        <f>IFERROR(VLOOKUP(H231,Rates!$A$2:$B$3,2,0),1)</f>
        <v>1</v>
      </c>
      <c r="J231" t="str">
        <f t="shared" si="6"/>
        <v/>
      </c>
      <c r="K231" t="str">
        <f>IF(J231&lt;&gt;"",SUM($J$2:J231),"")</f>
        <v/>
      </c>
      <c r="L231">
        <f ca="1" t="shared" si="7"/>
        <v>45942</v>
      </c>
    </row>
    <row r="232" spans="9:12">
      <c r="I232">
        <f>IFERROR(VLOOKUP(H232,Rates!$A$2:$B$3,2,0),1)</f>
        <v>1</v>
      </c>
      <c r="J232" t="str">
        <f t="shared" si="6"/>
        <v/>
      </c>
      <c r="K232" t="str">
        <f>IF(J232&lt;&gt;"",SUM($J$2:J232),"")</f>
        <v/>
      </c>
      <c r="L232">
        <f ca="1" t="shared" si="7"/>
        <v>45942</v>
      </c>
    </row>
    <row r="233" spans="9:12">
      <c r="I233">
        <f>IFERROR(VLOOKUP(H233,Rates!$A$2:$B$3,2,0),1)</f>
        <v>1</v>
      </c>
      <c r="J233" t="str">
        <f t="shared" si="6"/>
        <v/>
      </c>
      <c r="K233" t="str">
        <f>IF(J233&lt;&gt;"",SUM($J$2:J233),"")</f>
        <v/>
      </c>
      <c r="L233">
        <f ca="1" t="shared" si="7"/>
        <v>45942</v>
      </c>
    </row>
    <row r="234" spans="9:12">
      <c r="I234">
        <f>IFERROR(VLOOKUP(H234,Rates!$A$2:$B$3,2,0),1)</f>
        <v>1</v>
      </c>
      <c r="J234" t="str">
        <f t="shared" si="6"/>
        <v/>
      </c>
      <c r="K234" t="str">
        <f>IF(J234&lt;&gt;"",SUM($J$2:J234),"")</f>
        <v/>
      </c>
      <c r="L234">
        <f ca="1" t="shared" si="7"/>
        <v>45942</v>
      </c>
    </row>
    <row r="235" spans="9:12">
      <c r="I235">
        <f>IFERROR(VLOOKUP(H235,Rates!$A$2:$B$3,2,0),1)</f>
        <v>1</v>
      </c>
      <c r="J235" t="str">
        <f t="shared" si="6"/>
        <v/>
      </c>
      <c r="K235" t="str">
        <f>IF(J235&lt;&gt;"",SUM($J$2:J235),"")</f>
        <v/>
      </c>
      <c r="L235">
        <f ca="1" t="shared" si="7"/>
        <v>45942</v>
      </c>
    </row>
    <row r="236" spans="9:12">
      <c r="I236">
        <f>IFERROR(VLOOKUP(H236,Rates!$A$2:$B$3,2,0),1)</f>
        <v>1</v>
      </c>
      <c r="J236" t="str">
        <f t="shared" si="6"/>
        <v/>
      </c>
      <c r="K236" t="str">
        <f>IF(J236&lt;&gt;"",SUM($J$2:J236),"")</f>
        <v/>
      </c>
      <c r="L236">
        <f ca="1" t="shared" si="7"/>
        <v>45942</v>
      </c>
    </row>
    <row r="237" spans="9:12">
      <c r="I237">
        <f>IFERROR(VLOOKUP(H237,Rates!$A$2:$B$3,2,0),1)</f>
        <v>1</v>
      </c>
      <c r="J237" t="str">
        <f t="shared" si="6"/>
        <v/>
      </c>
      <c r="K237" t="str">
        <f>IF(J237&lt;&gt;"",SUM($J$2:J237),"")</f>
        <v/>
      </c>
      <c r="L237">
        <f ca="1" t="shared" si="7"/>
        <v>45942</v>
      </c>
    </row>
    <row r="238" spans="9:12">
      <c r="I238">
        <f>IFERROR(VLOOKUP(H238,Rates!$A$2:$B$3,2,0),1)</f>
        <v>1</v>
      </c>
      <c r="J238" t="str">
        <f t="shared" si="6"/>
        <v/>
      </c>
      <c r="K238" t="str">
        <f>IF(J238&lt;&gt;"",SUM($J$2:J238),"")</f>
        <v/>
      </c>
      <c r="L238">
        <f ca="1" t="shared" si="7"/>
        <v>45942</v>
      </c>
    </row>
    <row r="239" spans="9:12">
      <c r="I239">
        <f>IFERROR(VLOOKUP(H239,Rates!$A$2:$B$3,2,0),1)</f>
        <v>1</v>
      </c>
      <c r="J239" t="str">
        <f t="shared" si="6"/>
        <v/>
      </c>
      <c r="K239" t="str">
        <f>IF(J239&lt;&gt;"",SUM($J$2:J239),"")</f>
        <v/>
      </c>
      <c r="L239">
        <f ca="1" t="shared" si="7"/>
        <v>45942</v>
      </c>
    </row>
    <row r="240" spans="9:12">
      <c r="I240">
        <f>IFERROR(VLOOKUP(H240,Rates!$A$2:$B$3,2,0),1)</f>
        <v>1</v>
      </c>
      <c r="J240" t="str">
        <f t="shared" si="6"/>
        <v/>
      </c>
      <c r="K240" t="str">
        <f>IF(J240&lt;&gt;"",SUM($J$2:J240),"")</f>
        <v/>
      </c>
      <c r="L240">
        <f ca="1" t="shared" si="7"/>
        <v>45942</v>
      </c>
    </row>
    <row r="241" spans="9:12">
      <c r="I241">
        <f>IFERROR(VLOOKUP(H241,Rates!$A$2:$B$3,2,0),1)</f>
        <v>1</v>
      </c>
      <c r="J241" t="str">
        <f t="shared" si="6"/>
        <v/>
      </c>
      <c r="K241" t="str">
        <f>IF(J241&lt;&gt;"",SUM($J$2:J241),"")</f>
        <v/>
      </c>
      <c r="L241">
        <f ca="1" t="shared" si="7"/>
        <v>45942</v>
      </c>
    </row>
    <row r="242" spans="9:12">
      <c r="I242">
        <f>IFERROR(VLOOKUP(H242,Rates!$A$2:$B$3,2,0),1)</f>
        <v>1</v>
      </c>
      <c r="J242" t="str">
        <f t="shared" si="6"/>
        <v/>
      </c>
      <c r="K242" t="str">
        <f>IF(J242&lt;&gt;"",SUM($J$2:J242),"")</f>
        <v/>
      </c>
      <c r="L242">
        <f ca="1" t="shared" si="7"/>
        <v>45942</v>
      </c>
    </row>
    <row r="243" spans="9:12">
      <c r="I243">
        <f>IFERROR(VLOOKUP(H243,Rates!$A$2:$B$3,2,0),1)</f>
        <v>1</v>
      </c>
      <c r="J243" t="str">
        <f t="shared" si="6"/>
        <v/>
      </c>
      <c r="K243" t="str">
        <f>IF(J243&lt;&gt;"",SUM($J$2:J243),"")</f>
        <v/>
      </c>
      <c r="L243">
        <f ca="1" t="shared" si="7"/>
        <v>45942</v>
      </c>
    </row>
    <row r="244" spans="9:12">
      <c r="I244">
        <f>IFERROR(VLOOKUP(H244,Rates!$A$2:$B$3,2,0),1)</f>
        <v>1</v>
      </c>
      <c r="J244" t="str">
        <f t="shared" si="6"/>
        <v/>
      </c>
      <c r="K244" t="str">
        <f>IF(J244&lt;&gt;"",SUM($J$2:J244),"")</f>
        <v/>
      </c>
      <c r="L244">
        <f ca="1" t="shared" si="7"/>
        <v>45942</v>
      </c>
    </row>
    <row r="245" spans="9:12">
      <c r="I245">
        <f>IFERROR(VLOOKUP(H245,Rates!$A$2:$B$3,2,0),1)</f>
        <v>1</v>
      </c>
      <c r="J245" t="str">
        <f t="shared" si="6"/>
        <v/>
      </c>
      <c r="K245" t="str">
        <f>IF(J245&lt;&gt;"",SUM($J$2:J245),"")</f>
        <v/>
      </c>
      <c r="L245">
        <f ca="1" t="shared" si="7"/>
        <v>45942</v>
      </c>
    </row>
    <row r="246" spans="9:12">
      <c r="I246">
        <f>IFERROR(VLOOKUP(H246,Rates!$A$2:$B$3,2,0),1)</f>
        <v>1</v>
      </c>
      <c r="J246" t="str">
        <f t="shared" si="6"/>
        <v/>
      </c>
      <c r="K246" t="str">
        <f>IF(J246&lt;&gt;"",SUM($J$2:J246),"")</f>
        <v/>
      </c>
      <c r="L246">
        <f ca="1" t="shared" si="7"/>
        <v>45942</v>
      </c>
    </row>
    <row r="247" spans="9:12">
      <c r="I247">
        <f>IFERROR(VLOOKUP(H247,Rates!$A$2:$B$3,2,0),1)</f>
        <v>1</v>
      </c>
      <c r="J247" t="str">
        <f t="shared" si="6"/>
        <v/>
      </c>
      <c r="K247" t="str">
        <f>IF(J247&lt;&gt;"",SUM($J$2:J247),"")</f>
        <v/>
      </c>
      <c r="L247">
        <f ca="1" t="shared" si="7"/>
        <v>45942</v>
      </c>
    </row>
    <row r="248" spans="9:12">
      <c r="I248">
        <f>IFERROR(VLOOKUP(H248,Rates!$A$2:$B$3,2,0),1)</f>
        <v>1</v>
      </c>
      <c r="J248" t="str">
        <f t="shared" si="6"/>
        <v/>
      </c>
      <c r="K248" t="str">
        <f>IF(J248&lt;&gt;"",SUM($J$2:J248),"")</f>
        <v/>
      </c>
      <c r="L248">
        <f ca="1" t="shared" si="7"/>
        <v>45942</v>
      </c>
    </row>
    <row r="249" spans="9:12">
      <c r="I249">
        <f>IFERROR(VLOOKUP(H249,Rates!$A$2:$B$3,2,0),1)</f>
        <v>1</v>
      </c>
      <c r="J249" t="str">
        <f t="shared" si="6"/>
        <v/>
      </c>
      <c r="K249" t="str">
        <f>IF(J249&lt;&gt;"",SUM($J$2:J249),"")</f>
        <v/>
      </c>
      <c r="L249">
        <f ca="1" t="shared" si="7"/>
        <v>45942</v>
      </c>
    </row>
    <row r="250" spans="9:12">
      <c r="I250">
        <f>IFERROR(VLOOKUP(H250,Rates!$A$2:$B$3,2,0),1)</f>
        <v>1</v>
      </c>
      <c r="J250" t="str">
        <f t="shared" si="6"/>
        <v/>
      </c>
      <c r="K250" t="str">
        <f>IF(J250&lt;&gt;"",SUM($J$2:J250),"")</f>
        <v/>
      </c>
      <c r="L250">
        <f ca="1" t="shared" si="7"/>
        <v>45942</v>
      </c>
    </row>
    <row r="251" spans="9:12">
      <c r="I251">
        <f>IFERROR(VLOOKUP(H251,Rates!$A$2:$B$3,2,0),1)</f>
        <v>1</v>
      </c>
      <c r="J251" t="str">
        <f t="shared" si="6"/>
        <v/>
      </c>
      <c r="K251" t="str">
        <f>IF(J251&lt;&gt;"",SUM($J$2:J251),"")</f>
        <v/>
      </c>
      <c r="L251">
        <f ca="1" t="shared" si="7"/>
        <v>45942</v>
      </c>
    </row>
    <row r="252" spans="9:12">
      <c r="I252">
        <f>IFERROR(VLOOKUP(H252,Rates!$A$2:$B$3,2,0),1)</f>
        <v>1</v>
      </c>
      <c r="J252" t="str">
        <f t="shared" si="6"/>
        <v/>
      </c>
      <c r="K252" t="str">
        <f>IF(J252&lt;&gt;"",SUM($J$2:J252),"")</f>
        <v/>
      </c>
      <c r="L252">
        <f ca="1" t="shared" si="7"/>
        <v>45942</v>
      </c>
    </row>
    <row r="253" spans="9:12">
      <c r="I253">
        <f>IFERROR(VLOOKUP(H253,Rates!$A$2:$B$3,2,0),1)</f>
        <v>1</v>
      </c>
      <c r="J253" t="str">
        <f t="shared" si="6"/>
        <v/>
      </c>
      <c r="K253" t="str">
        <f>IF(J253&lt;&gt;"",SUM($J$2:J253),"")</f>
        <v/>
      </c>
      <c r="L253">
        <f ca="1" t="shared" si="7"/>
        <v>45942</v>
      </c>
    </row>
    <row r="254" spans="9:12">
      <c r="I254">
        <f>IFERROR(VLOOKUP(H254,Rates!$A$2:$B$3,2,0),1)</f>
        <v>1</v>
      </c>
      <c r="J254" t="str">
        <f t="shared" si="6"/>
        <v/>
      </c>
      <c r="K254" t="str">
        <f>IF(J254&lt;&gt;"",SUM($J$2:J254),"")</f>
        <v/>
      </c>
      <c r="L254">
        <f ca="1" t="shared" si="7"/>
        <v>45942</v>
      </c>
    </row>
    <row r="255" spans="9:12">
      <c r="I255">
        <f>IFERROR(VLOOKUP(H255,Rates!$A$2:$B$3,2,0),1)</f>
        <v>1</v>
      </c>
      <c r="J255" t="str">
        <f t="shared" si="6"/>
        <v/>
      </c>
      <c r="K255" t="str">
        <f>IF(J255&lt;&gt;"",SUM($J$2:J255),"")</f>
        <v/>
      </c>
      <c r="L255">
        <f ca="1" t="shared" si="7"/>
        <v>45942</v>
      </c>
    </row>
    <row r="256" spans="9:12">
      <c r="I256">
        <f>IFERROR(VLOOKUP(H256,Rates!$A$2:$B$3,2,0),1)</f>
        <v>1</v>
      </c>
      <c r="J256" t="str">
        <f t="shared" si="6"/>
        <v/>
      </c>
      <c r="K256" t="str">
        <f>IF(J256&lt;&gt;"",SUM($J$2:J256),"")</f>
        <v/>
      </c>
      <c r="L256">
        <f ca="1" t="shared" si="7"/>
        <v>45942</v>
      </c>
    </row>
    <row r="257" spans="9:12">
      <c r="I257">
        <f>IFERROR(VLOOKUP(H257,Rates!$A$2:$B$3,2,0),1)</f>
        <v>1</v>
      </c>
      <c r="J257" t="str">
        <f t="shared" si="6"/>
        <v/>
      </c>
      <c r="K257" t="str">
        <f>IF(J257&lt;&gt;"",SUM($J$2:J257),"")</f>
        <v/>
      </c>
      <c r="L257">
        <f ca="1" t="shared" si="7"/>
        <v>45942</v>
      </c>
    </row>
    <row r="258" spans="9:12">
      <c r="I258">
        <f>IFERROR(VLOOKUP(H258,Rates!$A$2:$B$3,2,0),1)</f>
        <v>1</v>
      </c>
      <c r="J258" t="str">
        <f t="shared" ref="J258:J301" si="8">IF(G258&lt;&gt;"",G258*I258,"")</f>
        <v/>
      </c>
      <c r="K258" t="str">
        <f>IF(J258&lt;&gt;"",SUM($J$2:J258),"")</f>
        <v/>
      </c>
      <c r="L258">
        <f ca="1" t="shared" ref="L258:L301" si="9">IF(COUNTA(A258:K258)&gt;0,TODAY(),"")</f>
        <v>45942</v>
      </c>
    </row>
    <row r="259" spans="9:12">
      <c r="I259">
        <f>IFERROR(VLOOKUP(H259,Rates!$A$2:$B$3,2,0),1)</f>
        <v>1</v>
      </c>
      <c r="J259" t="str">
        <f t="shared" si="8"/>
        <v/>
      </c>
      <c r="K259" t="str">
        <f>IF(J259&lt;&gt;"",SUM($J$2:J259),"")</f>
        <v/>
      </c>
      <c r="L259">
        <f ca="1" t="shared" si="9"/>
        <v>45942</v>
      </c>
    </row>
    <row r="260" spans="9:12">
      <c r="I260">
        <f>IFERROR(VLOOKUP(H260,Rates!$A$2:$B$3,2,0),1)</f>
        <v>1</v>
      </c>
      <c r="J260" t="str">
        <f t="shared" si="8"/>
        <v/>
      </c>
      <c r="K260" t="str">
        <f>IF(J260&lt;&gt;"",SUM($J$2:J260),"")</f>
        <v/>
      </c>
      <c r="L260">
        <f ca="1" t="shared" si="9"/>
        <v>45942</v>
      </c>
    </row>
    <row r="261" spans="9:12">
      <c r="I261">
        <f>IFERROR(VLOOKUP(H261,Rates!$A$2:$B$3,2,0),1)</f>
        <v>1</v>
      </c>
      <c r="J261" t="str">
        <f t="shared" si="8"/>
        <v/>
      </c>
      <c r="K261" t="str">
        <f>IF(J261&lt;&gt;"",SUM($J$2:J261),"")</f>
        <v/>
      </c>
      <c r="L261">
        <f ca="1" t="shared" si="9"/>
        <v>45942</v>
      </c>
    </row>
    <row r="262" spans="9:12">
      <c r="I262">
        <f>IFERROR(VLOOKUP(H262,Rates!$A$2:$B$3,2,0),1)</f>
        <v>1</v>
      </c>
      <c r="J262" t="str">
        <f t="shared" si="8"/>
        <v/>
      </c>
      <c r="K262" t="str">
        <f>IF(J262&lt;&gt;"",SUM($J$2:J262),"")</f>
        <v/>
      </c>
      <c r="L262">
        <f ca="1" t="shared" si="9"/>
        <v>45942</v>
      </c>
    </row>
    <row r="263" spans="9:12">
      <c r="I263">
        <f>IFERROR(VLOOKUP(H263,Rates!$A$2:$B$3,2,0),1)</f>
        <v>1</v>
      </c>
      <c r="J263" t="str">
        <f t="shared" si="8"/>
        <v/>
      </c>
      <c r="K263" t="str">
        <f>IF(J263&lt;&gt;"",SUM($J$2:J263),"")</f>
        <v/>
      </c>
      <c r="L263">
        <f ca="1" t="shared" si="9"/>
        <v>45942</v>
      </c>
    </row>
    <row r="264" spans="9:12">
      <c r="I264">
        <f>IFERROR(VLOOKUP(H264,Rates!$A$2:$B$3,2,0),1)</f>
        <v>1</v>
      </c>
      <c r="J264" t="str">
        <f t="shared" si="8"/>
        <v/>
      </c>
      <c r="K264" t="str">
        <f>IF(J264&lt;&gt;"",SUM($J$2:J264),"")</f>
        <v/>
      </c>
      <c r="L264">
        <f ca="1" t="shared" si="9"/>
        <v>45942</v>
      </c>
    </row>
    <row r="265" spans="9:12">
      <c r="I265">
        <f>IFERROR(VLOOKUP(H265,Rates!$A$2:$B$3,2,0),1)</f>
        <v>1</v>
      </c>
      <c r="J265" t="str">
        <f t="shared" si="8"/>
        <v/>
      </c>
      <c r="K265" t="str">
        <f>IF(J265&lt;&gt;"",SUM($J$2:J265),"")</f>
        <v/>
      </c>
      <c r="L265">
        <f ca="1" t="shared" si="9"/>
        <v>45942</v>
      </c>
    </row>
    <row r="266" spans="9:12">
      <c r="I266">
        <f>IFERROR(VLOOKUP(H266,Rates!$A$2:$B$3,2,0),1)</f>
        <v>1</v>
      </c>
      <c r="J266" t="str">
        <f t="shared" si="8"/>
        <v/>
      </c>
      <c r="K266" t="str">
        <f>IF(J266&lt;&gt;"",SUM($J$2:J266),"")</f>
        <v/>
      </c>
      <c r="L266">
        <f ca="1" t="shared" si="9"/>
        <v>45942</v>
      </c>
    </row>
    <row r="267" spans="9:12">
      <c r="I267">
        <f>IFERROR(VLOOKUP(H267,Rates!$A$2:$B$3,2,0),1)</f>
        <v>1</v>
      </c>
      <c r="J267" t="str">
        <f t="shared" si="8"/>
        <v/>
      </c>
      <c r="K267" t="str">
        <f>IF(J267&lt;&gt;"",SUM($J$2:J267),"")</f>
        <v/>
      </c>
      <c r="L267">
        <f ca="1" t="shared" si="9"/>
        <v>45942</v>
      </c>
    </row>
    <row r="268" spans="9:12">
      <c r="I268">
        <f>IFERROR(VLOOKUP(H268,Rates!$A$2:$B$3,2,0),1)</f>
        <v>1</v>
      </c>
      <c r="J268" t="str">
        <f t="shared" si="8"/>
        <v/>
      </c>
      <c r="K268" t="str">
        <f>IF(J268&lt;&gt;"",SUM($J$2:J268),"")</f>
        <v/>
      </c>
      <c r="L268">
        <f ca="1" t="shared" si="9"/>
        <v>45942</v>
      </c>
    </row>
    <row r="269" spans="9:12">
      <c r="I269">
        <f>IFERROR(VLOOKUP(H269,Rates!$A$2:$B$3,2,0),1)</f>
        <v>1</v>
      </c>
      <c r="J269" t="str">
        <f t="shared" si="8"/>
        <v/>
      </c>
      <c r="K269" t="str">
        <f>IF(J269&lt;&gt;"",SUM($J$2:J269),"")</f>
        <v/>
      </c>
      <c r="L269">
        <f ca="1" t="shared" si="9"/>
        <v>45942</v>
      </c>
    </row>
    <row r="270" spans="9:12">
      <c r="I270">
        <f>IFERROR(VLOOKUP(H270,Rates!$A$2:$B$3,2,0),1)</f>
        <v>1</v>
      </c>
      <c r="J270" t="str">
        <f t="shared" si="8"/>
        <v/>
      </c>
      <c r="K270" t="str">
        <f>IF(J270&lt;&gt;"",SUM($J$2:J270),"")</f>
        <v/>
      </c>
      <c r="L270">
        <f ca="1" t="shared" si="9"/>
        <v>45942</v>
      </c>
    </row>
    <row r="271" spans="9:12">
      <c r="I271">
        <f>IFERROR(VLOOKUP(H271,Rates!$A$2:$B$3,2,0),1)</f>
        <v>1</v>
      </c>
      <c r="J271" t="str">
        <f t="shared" si="8"/>
        <v/>
      </c>
      <c r="K271" t="str">
        <f>IF(J271&lt;&gt;"",SUM($J$2:J271),"")</f>
        <v/>
      </c>
      <c r="L271">
        <f ca="1" t="shared" si="9"/>
        <v>45942</v>
      </c>
    </row>
    <row r="272" spans="9:12">
      <c r="I272">
        <f>IFERROR(VLOOKUP(H272,Rates!$A$2:$B$3,2,0),1)</f>
        <v>1</v>
      </c>
      <c r="J272" t="str">
        <f t="shared" si="8"/>
        <v/>
      </c>
      <c r="K272" t="str">
        <f>IF(J272&lt;&gt;"",SUM($J$2:J272),"")</f>
        <v/>
      </c>
      <c r="L272">
        <f ca="1" t="shared" si="9"/>
        <v>45942</v>
      </c>
    </row>
    <row r="273" spans="9:12">
      <c r="I273">
        <f>IFERROR(VLOOKUP(H273,Rates!$A$2:$B$3,2,0),1)</f>
        <v>1</v>
      </c>
      <c r="J273" t="str">
        <f t="shared" si="8"/>
        <v/>
      </c>
      <c r="K273" t="str">
        <f>IF(J273&lt;&gt;"",SUM($J$2:J273),"")</f>
        <v/>
      </c>
      <c r="L273">
        <f ca="1" t="shared" si="9"/>
        <v>45942</v>
      </c>
    </row>
    <row r="274" spans="9:12">
      <c r="I274">
        <f>IFERROR(VLOOKUP(H274,Rates!$A$2:$B$3,2,0),1)</f>
        <v>1</v>
      </c>
      <c r="J274" t="str">
        <f t="shared" si="8"/>
        <v/>
      </c>
      <c r="K274" t="str">
        <f>IF(J274&lt;&gt;"",SUM($J$2:J274),"")</f>
        <v/>
      </c>
      <c r="L274">
        <f ca="1" t="shared" si="9"/>
        <v>45942</v>
      </c>
    </row>
    <row r="275" spans="9:12">
      <c r="I275">
        <f>IFERROR(VLOOKUP(H275,Rates!$A$2:$B$3,2,0),1)</f>
        <v>1</v>
      </c>
      <c r="J275" t="str">
        <f t="shared" si="8"/>
        <v/>
      </c>
      <c r="K275" t="str">
        <f>IF(J275&lt;&gt;"",SUM($J$2:J275),"")</f>
        <v/>
      </c>
      <c r="L275">
        <f ca="1" t="shared" si="9"/>
        <v>45942</v>
      </c>
    </row>
    <row r="276" spans="9:12">
      <c r="I276">
        <f>IFERROR(VLOOKUP(H276,Rates!$A$2:$B$3,2,0),1)</f>
        <v>1</v>
      </c>
      <c r="J276" t="str">
        <f t="shared" si="8"/>
        <v/>
      </c>
      <c r="K276" t="str">
        <f>IF(J276&lt;&gt;"",SUM($J$2:J276),"")</f>
        <v/>
      </c>
      <c r="L276">
        <f ca="1" t="shared" si="9"/>
        <v>45942</v>
      </c>
    </row>
    <row r="277" spans="9:12">
      <c r="I277">
        <f>IFERROR(VLOOKUP(H277,Rates!$A$2:$B$3,2,0),1)</f>
        <v>1</v>
      </c>
      <c r="J277" t="str">
        <f t="shared" si="8"/>
        <v/>
      </c>
      <c r="K277" t="str">
        <f>IF(J277&lt;&gt;"",SUM($J$2:J277),"")</f>
        <v/>
      </c>
      <c r="L277">
        <f ca="1" t="shared" si="9"/>
        <v>45942</v>
      </c>
    </row>
    <row r="278" spans="9:12">
      <c r="I278">
        <f>IFERROR(VLOOKUP(H278,Rates!$A$2:$B$3,2,0),1)</f>
        <v>1</v>
      </c>
      <c r="J278" t="str">
        <f t="shared" si="8"/>
        <v/>
      </c>
      <c r="K278" t="str">
        <f>IF(J278&lt;&gt;"",SUM($J$2:J278),"")</f>
        <v/>
      </c>
      <c r="L278">
        <f ca="1" t="shared" si="9"/>
        <v>45942</v>
      </c>
    </row>
    <row r="279" spans="9:12">
      <c r="I279">
        <f>IFERROR(VLOOKUP(H279,Rates!$A$2:$B$3,2,0),1)</f>
        <v>1</v>
      </c>
      <c r="J279" t="str">
        <f t="shared" si="8"/>
        <v/>
      </c>
      <c r="K279" t="str">
        <f>IF(J279&lt;&gt;"",SUM($J$2:J279),"")</f>
        <v/>
      </c>
      <c r="L279">
        <f ca="1" t="shared" si="9"/>
        <v>45942</v>
      </c>
    </row>
    <row r="280" spans="9:12">
      <c r="I280">
        <f>IFERROR(VLOOKUP(H280,Rates!$A$2:$B$3,2,0),1)</f>
        <v>1</v>
      </c>
      <c r="J280" t="str">
        <f t="shared" si="8"/>
        <v/>
      </c>
      <c r="K280" t="str">
        <f>IF(J280&lt;&gt;"",SUM($J$2:J280),"")</f>
        <v/>
      </c>
      <c r="L280">
        <f ca="1" t="shared" si="9"/>
        <v>45942</v>
      </c>
    </row>
    <row r="281" spans="9:12">
      <c r="I281">
        <f>IFERROR(VLOOKUP(H281,Rates!$A$2:$B$3,2,0),1)</f>
        <v>1</v>
      </c>
      <c r="J281" t="str">
        <f t="shared" si="8"/>
        <v/>
      </c>
      <c r="K281" t="str">
        <f>IF(J281&lt;&gt;"",SUM($J$2:J281),"")</f>
        <v/>
      </c>
      <c r="L281">
        <f ca="1" t="shared" si="9"/>
        <v>45942</v>
      </c>
    </row>
    <row r="282" spans="9:12">
      <c r="I282">
        <f>IFERROR(VLOOKUP(H282,Rates!$A$2:$B$3,2,0),1)</f>
        <v>1</v>
      </c>
      <c r="J282" t="str">
        <f t="shared" si="8"/>
        <v/>
      </c>
      <c r="K282" t="str">
        <f>IF(J282&lt;&gt;"",SUM($J$2:J282),"")</f>
        <v/>
      </c>
      <c r="L282">
        <f ca="1" t="shared" si="9"/>
        <v>45942</v>
      </c>
    </row>
    <row r="283" spans="9:12">
      <c r="I283">
        <f>IFERROR(VLOOKUP(H283,Rates!$A$2:$B$3,2,0),1)</f>
        <v>1</v>
      </c>
      <c r="J283" t="str">
        <f t="shared" si="8"/>
        <v/>
      </c>
      <c r="K283" t="str">
        <f>IF(J283&lt;&gt;"",SUM($J$2:J283),"")</f>
        <v/>
      </c>
      <c r="L283">
        <f ca="1" t="shared" si="9"/>
        <v>45942</v>
      </c>
    </row>
    <row r="284" spans="9:12">
      <c r="I284">
        <f>IFERROR(VLOOKUP(H284,Rates!$A$2:$B$3,2,0),1)</f>
        <v>1</v>
      </c>
      <c r="J284" t="str">
        <f t="shared" si="8"/>
        <v/>
      </c>
      <c r="K284" t="str">
        <f>IF(J284&lt;&gt;"",SUM($J$2:J284),"")</f>
        <v/>
      </c>
      <c r="L284">
        <f ca="1" t="shared" si="9"/>
        <v>45942</v>
      </c>
    </row>
    <row r="285" spans="9:12">
      <c r="I285">
        <f>IFERROR(VLOOKUP(H285,Rates!$A$2:$B$3,2,0),1)</f>
        <v>1</v>
      </c>
      <c r="J285" t="str">
        <f t="shared" si="8"/>
        <v/>
      </c>
      <c r="K285" t="str">
        <f>IF(J285&lt;&gt;"",SUM($J$2:J285),"")</f>
        <v/>
      </c>
      <c r="L285">
        <f ca="1" t="shared" si="9"/>
        <v>45942</v>
      </c>
    </row>
    <row r="286" spans="9:12">
      <c r="I286">
        <f>IFERROR(VLOOKUP(H286,Rates!$A$2:$B$3,2,0),1)</f>
        <v>1</v>
      </c>
      <c r="J286" t="str">
        <f t="shared" si="8"/>
        <v/>
      </c>
      <c r="K286" t="str">
        <f>IF(J286&lt;&gt;"",SUM($J$2:J286),"")</f>
        <v/>
      </c>
      <c r="L286">
        <f ca="1" t="shared" si="9"/>
        <v>45942</v>
      </c>
    </row>
    <row r="287" spans="9:12">
      <c r="I287">
        <f>IFERROR(VLOOKUP(H287,Rates!$A$2:$B$3,2,0),1)</f>
        <v>1</v>
      </c>
      <c r="J287" t="str">
        <f t="shared" si="8"/>
        <v/>
      </c>
      <c r="K287" t="str">
        <f>IF(J287&lt;&gt;"",SUM($J$2:J287),"")</f>
        <v/>
      </c>
      <c r="L287">
        <f ca="1" t="shared" si="9"/>
        <v>45942</v>
      </c>
    </row>
    <row r="288" spans="9:12">
      <c r="I288">
        <f>IFERROR(VLOOKUP(H288,Rates!$A$2:$B$3,2,0),1)</f>
        <v>1</v>
      </c>
      <c r="J288" t="str">
        <f t="shared" si="8"/>
        <v/>
      </c>
      <c r="K288" t="str">
        <f>IF(J288&lt;&gt;"",SUM($J$2:J288),"")</f>
        <v/>
      </c>
      <c r="L288">
        <f ca="1" t="shared" si="9"/>
        <v>45942</v>
      </c>
    </row>
    <row r="289" spans="9:12">
      <c r="I289">
        <f>IFERROR(VLOOKUP(H289,Rates!$A$2:$B$3,2,0),1)</f>
        <v>1</v>
      </c>
      <c r="J289" t="str">
        <f t="shared" si="8"/>
        <v/>
      </c>
      <c r="K289" t="str">
        <f>IF(J289&lt;&gt;"",SUM($J$2:J289),"")</f>
        <v/>
      </c>
      <c r="L289">
        <f ca="1" t="shared" si="9"/>
        <v>45942</v>
      </c>
    </row>
    <row r="290" spans="9:12">
      <c r="I290">
        <f>IFERROR(VLOOKUP(H290,Rates!$A$2:$B$3,2,0),1)</f>
        <v>1</v>
      </c>
      <c r="J290" t="str">
        <f t="shared" si="8"/>
        <v/>
      </c>
      <c r="K290" t="str">
        <f>IF(J290&lt;&gt;"",SUM($J$2:J290),"")</f>
        <v/>
      </c>
      <c r="L290">
        <f ca="1" t="shared" si="9"/>
        <v>45942</v>
      </c>
    </row>
    <row r="291" spans="9:12">
      <c r="I291">
        <f>IFERROR(VLOOKUP(H291,Rates!$A$2:$B$3,2,0),1)</f>
        <v>1</v>
      </c>
      <c r="J291" t="str">
        <f t="shared" si="8"/>
        <v/>
      </c>
      <c r="K291" t="str">
        <f>IF(J291&lt;&gt;"",SUM($J$2:J291),"")</f>
        <v/>
      </c>
      <c r="L291">
        <f ca="1" t="shared" si="9"/>
        <v>45942</v>
      </c>
    </row>
    <row r="292" spans="9:12">
      <c r="I292">
        <f>IFERROR(VLOOKUP(H292,Rates!$A$2:$B$3,2,0),1)</f>
        <v>1</v>
      </c>
      <c r="J292" t="str">
        <f t="shared" si="8"/>
        <v/>
      </c>
      <c r="K292" t="str">
        <f>IF(J292&lt;&gt;"",SUM($J$2:J292),"")</f>
        <v/>
      </c>
      <c r="L292">
        <f ca="1" t="shared" si="9"/>
        <v>45942</v>
      </c>
    </row>
    <row r="293" spans="9:12">
      <c r="I293">
        <f>IFERROR(VLOOKUP(H293,Rates!$A$2:$B$3,2,0),1)</f>
        <v>1</v>
      </c>
      <c r="J293" t="str">
        <f t="shared" si="8"/>
        <v/>
      </c>
      <c r="K293" t="str">
        <f>IF(J293&lt;&gt;"",SUM($J$2:J293),"")</f>
        <v/>
      </c>
      <c r="L293">
        <f ca="1" t="shared" si="9"/>
        <v>45942</v>
      </c>
    </row>
    <row r="294" spans="9:12">
      <c r="I294">
        <f>IFERROR(VLOOKUP(H294,Rates!$A$2:$B$3,2,0),1)</f>
        <v>1</v>
      </c>
      <c r="J294" t="str">
        <f t="shared" si="8"/>
        <v/>
      </c>
      <c r="K294" t="str">
        <f>IF(J294&lt;&gt;"",SUM($J$2:J294),"")</f>
        <v/>
      </c>
      <c r="L294">
        <f ca="1" t="shared" si="9"/>
        <v>45942</v>
      </c>
    </row>
    <row r="295" spans="9:12">
      <c r="I295">
        <f>IFERROR(VLOOKUP(H295,Rates!$A$2:$B$3,2,0),1)</f>
        <v>1</v>
      </c>
      <c r="J295" t="str">
        <f t="shared" si="8"/>
        <v/>
      </c>
      <c r="K295" t="str">
        <f>IF(J295&lt;&gt;"",SUM($J$2:J295),"")</f>
        <v/>
      </c>
      <c r="L295">
        <f ca="1" t="shared" si="9"/>
        <v>45942</v>
      </c>
    </row>
    <row r="296" spans="9:12">
      <c r="I296">
        <f>IFERROR(VLOOKUP(H296,Rates!$A$2:$B$3,2,0),1)</f>
        <v>1</v>
      </c>
      <c r="J296" t="str">
        <f t="shared" si="8"/>
        <v/>
      </c>
      <c r="K296" t="str">
        <f>IF(J296&lt;&gt;"",SUM($J$2:J296),"")</f>
        <v/>
      </c>
      <c r="L296">
        <f ca="1" t="shared" si="9"/>
        <v>45942</v>
      </c>
    </row>
    <row r="297" spans="9:12">
      <c r="I297">
        <f>IFERROR(VLOOKUP(H297,Rates!$A$2:$B$3,2,0),1)</f>
        <v>1</v>
      </c>
      <c r="J297" t="str">
        <f t="shared" si="8"/>
        <v/>
      </c>
      <c r="K297" t="str">
        <f>IF(J297&lt;&gt;"",SUM($J$2:J297),"")</f>
        <v/>
      </c>
      <c r="L297">
        <f ca="1" t="shared" si="9"/>
        <v>45942</v>
      </c>
    </row>
    <row r="298" spans="9:12">
      <c r="I298">
        <f>IFERROR(VLOOKUP(H298,Rates!$A$2:$B$3,2,0),1)</f>
        <v>1</v>
      </c>
      <c r="J298" t="str">
        <f t="shared" si="8"/>
        <v/>
      </c>
      <c r="K298" t="str">
        <f>IF(J298&lt;&gt;"",SUM($J$2:J298),"")</f>
        <v/>
      </c>
      <c r="L298">
        <f ca="1" t="shared" si="9"/>
        <v>45942</v>
      </c>
    </row>
    <row r="299" spans="9:12">
      <c r="I299">
        <f>IFERROR(VLOOKUP(H299,Rates!$A$2:$B$3,2,0),1)</f>
        <v>1</v>
      </c>
      <c r="J299" t="str">
        <f t="shared" si="8"/>
        <v/>
      </c>
      <c r="K299" t="str">
        <f>IF(J299&lt;&gt;"",SUM($J$2:J299),"")</f>
        <v/>
      </c>
      <c r="L299">
        <f ca="1" t="shared" si="9"/>
        <v>45942</v>
      </c>
    </row>
    <row r="300" spans="9:12">
      <c r="I300">
        <f>IFERROR(VLOOKUP(H300,Rates!$A$2:$B$3,2,0),1)</f>
        <v>1</v>
      </c>
      <c r="J300" t="str">
        <f t="shared" si="8"/>
        <v/>
      </c>
      <c r="K300" t="str">
        <f>IF(J300&lt;&gt;"",SUM($J$2:J300),"")</f>
        <v/>
      </c>
      <c r="L300">
        <f ca="1" t="shared" si="9"/>
        <v>45942</v>
      </c>
    </row>
    <row r="301" spans="9:12">
      <c r="I301">
        <f>IFERROR(VLOOKUP(H301,Rates!$A$2:$B$3,2,0),1)</f>
        <v>1</v>
      </c>
      <c r="J301" t="str">
        <f t="shared" si="8"/>
        <v/>
      </c>
      <c r="K301" t="str">
        <f>IF(J301&lt;&gt;"",SUM($J$2:J301),"")</f>
        <v/>
      </c>
      <c r="L301">
        <f ca="1" t="shared" si="9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1"/>
  <sheetViews>
    <sheetView workbookViewId="0">
      <pane ySplit="1" topLeftCell="A2" activePane="bottomLeft" state="frozen"/>
      <selection/>
      <selection pane="bottomLeft" activeCell="F14" sqref="F14"/>
    </sheetView>
  </sheetViews>
  <sheetFormatPr defaultColWidth="9" defaultRowHeight="16.8"/>
  <cols>
    <col min="1" max="1" width="22" customWidth="1"/>
    <col min="2" max="2" width="12" customWidth="1"/>
    <col min="3" max="4" width="16" customWidth="1"/>
    <col min="5" max="5" width="26" customWidth="1"/>
    <col min="6" max="6" width="36" customWidth="1"/>
    <col min="7" max="7" width="12" customWidth="1"/>
    <col min="8" max="9" width="10" customWidth="1"/>
    <col min="10" max="10" width="14" customWidth="1"/>
    <col min="11" max="11" width="16" customWidth="1"/>
    <col min="12" max="12" width="14" customWidth="1"/>
    <col min="14" max="14" width="2" customWidth="1"/>
    <col min="16" max="16" width="2" customWidth="1"/>
  </cols>
  <sheetData>
    <row r="1" spans="1:15">
      <c r="A1" t="s">
        <v>36</v>
      </c>
      <c r="B1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  <c r="O1" t="s">
        <v>91</v>
      </c>
    </row>
    <row r="2" spans="1:15">
      <c r="A2" t="s">
        <v>47</v>
      </c>
      <c r="B2" s="10">
        <v>45839</v>
      </c>
      <c r="F2" t="s">
        <v>64</v>
      </c>
      <c r="G2" s="5">
        <v>1602846</v>
      </c>
      <c r="H2" t="s">
        <v>3</v>
      </c>
      <c r="I2">
        <f>IFERROR(VLOOKUP(H2,Rates!$A$2:$B$3,2,0),1)</f>
        <v>1</v>
      </c>
      <c r="J2">
        <f t="shared" ref="J2:J65" si="0">IF(G2&lt;&gt;"",G2*I2,"")</f>
        <v>1602846</v>
      </c>
      <c r="K2">
        <f>IF(J2&lt;&gt;"",J2,"")</f>
        <v>1602846</v>
      </c>
      <c r="L2">
        <f ca="1" t="shared" ref="L2:L65" si="1">IF(COUNTA(A2:K2)&gt;0,TODAY(),"")</f>
        <v>45942</v>
      </c>
      <c r="O2" t="s">
        <v>5</v>
      </c>
    </row>
    <row r="3" spans="1:15">
      <c r="A3" t="s">
        <v>47</v>
      </c>
      <c r="B3" s="10">
        <v>45853</v>
      </c>
      <c r="C3" t="s">
        <v>17</v>
      </c>
      <c r="E3" t="s">
        <v>48</v>
      </c>
      <c r="G3" s="5">
        <v>-1000000</v>
      </c>
      <c r="H3" t="s">
        <v>3</v>
      </c>
      <c r="I3">
        <f>IFERROR(VLOOKUP(H3,Rates!$A$2:$B$3,2,0),1)</f>
        <v>1</v>
      </c>
      <c r="J3">
        <f t="shared" si="0"/>
        <v>-1000000</v>
      </c>
      <c r="K3">
        <f>IF(J3&lt;&gt;"",SUM($J$2:J3),"")</f>
        <v>602846</v>
      </c>
      <c r="L3">
        <f ca="1" t="shared" si="1"/>
        <v>45942</v>
      </c>
      <c r="O3" t="s">
        <v>6</v>
      </c>
    </row>
    <row r="4" spans="1:15">
      <c r="A4" t="s">
        <v>47</v>
      </c>
      <c r="B4" s="10">
        <v>45853</v>
      </c>
      <c r="C4" t="s">
        <v>17</v>
      </c>
      <c r="E4" t="s">
        <v>48</v>
      </c>
      <c r="G4" s="5">
        <v>-500000</v>
      </c>
      <c r="H4" t="s">
        <v>3</v>
      </c>
      <c r="I4">
        <f>IFERROR(VLOOKUP(H4,Rates!$A$2:$B$3,2,0),1)</f>
        <v>1</v>
      </c>
      <c r="J4">
        <f t="shared" si="0"/>
        <v>-500000</v>
      </c>
      <c r="K4">
        <f>IF(J4&lt;&gt;"",SUM($J$2:J4),"")</f>
        <v>102846</v>
      </c>
      <c r="L4">
        <f ca="1" t="shared" si="1"/>
        <v>45942</v>
      </c>
      <c r="O4" t="s">
        <v>7</v>
      </c>
    </row>
    <row r="5" spans="1:15">
      <c r="A5" t="s">
        <v>47</v>
      </c>
      <c r="B5" s="10">
        <v>45861</v>
      </c>
      <c r="C5" t="s">
        <v>19</v>
      </c>
      <c r="D5" t="s">
        <v>35</v>
      </c>
      <c r="F5" t="s">
        <v>97</v>
      </c>
      <c r="G5" s="5">
        <v>965618</v>
      </c>
      <c r="H5" t="s">
        <v>3</v>
      </c>
      <c r="I5">
        <f>IFERROR(VLOOKUP(H5,Rates!$A$2:$B$3,2,0),1)</f>
        <v>1</v>
      </c>
      <c r="J5">
        <f t="shared" si="0"/>
        <v>965618</v>
      </c>
      <c r="K5">
        <f>IF(J5&lt;&gt;"",SUM($J$2:J5),"")</f>
        <v>1068464</v>
      </c>
      <c r="L5">
        <f ca="1" t="shared" si="1"/>
        <v>45942</v>
      </c>
      <c r="O5" t="s">
        <v>8</v>
      </c>
    </row>
    <row r="6" spans="1:15">
      <c r="A6" t="s">
        <v>47</v>
      </c>
      <c r="B6" s="10">
        <v>45861</v>
      </c>
      <c r="C6" t="s">
        <v>16</v>
      </c>
      <c r="D6" t="s">
        <v>35</v>
      </c>
      <c r="F6" t="s">
        <v>71</v>
      </c>
      <c r="G6" s="5">
        <v>-2414</v>
      </c>
      <c r="H6" t="s">
        <v>3</v>
      </c>
      <c r="I6">
        <f>IFERROR(VLOOKUP(H6,Rates!$A$2:$B$3,2,0),1)</f>
        <v>1</v>
      </c>
      <c r="J6">
        <f t="shared" si="0"/>
        <v>-2414</v>
      </c>
      <c r="K6">
        <f>IF(J6&lt;&gt;"",SUM($J$2:J6),"")</f>
        <v>1066050</v>
      </c>
      <c r="L6">
        <f ca="1" t="shared" si="1"/>
        <v>45942</v>
      </c>
      <c r="O6" t="s">
        <v>9</v>
      </c>
    </row>
    <row r="7" spans="9:15">
      <c r="I7">
        <f>IFERROR(VLOOKUP(H7,Rates!$A$2:$B$3,2,0),1)</f>
        <v>1</v>
      </c>
      <c r="J7" t="str">
        <f t="shared" si="0"/>
        <v/>
      </c>
      <c r="K7" t="str">
        <f>IF(J7&lt;&gt;"",SUM($J$2:J7),"")</f>
        <v/>
      </c>
      <c r="L7">
        <f ca="1" t="shared" si="1"/>
        <v>45942</v>
      </c>
      <c r="O7" t="s">
        <v>10</v>
      </c>
    </row>
    <row r="8" spans="9:15">
      <c r="I8">
        <f>IFERROR(VLOOKUP(H8,Rates!$A$2:$B$3,2,0),1)</f>
        <v>1</v>
      </c>
      <c r="J8" t="str">
        <f t="shared" si="0"/>
        <v/>
      </c>
      <c r="K8" t="str">
        <f>IF(J8&lt;&gt;"",SUM($J$2:J8),"")</f>
        <v/>
      </c>
      <c r="L8">
        <f ca="1" t="shared" si="1"/>
        <v>45942</v>
      </c>
      <c r="O8" t="s">
        <v>11</v>
      </c>
    </row>
    <row r="9" spans="9:15">
      <c r="I9">
        <f>IFERROR(VLOOKUP(H9,Rates!$A$2:$B$3,2,0),1)</f>
        <v>1</v>
      </c>
      <c r="J9" t="str">
        <f t="shared" si="0"/>
        <v/>
      </c>
      <c r="K9" t="str">
        <f>IF(J9&lt;&gt;"",SUM($J$2:J9),"")</f>
        <v/>
      </c>
      <c r="L9">
        <f ca="1" t="shared" si="1"/>
        <v>45942</v>
      </c>
      <c r="O9" t="s">
        <v>12</v>
      </c>
    </row>
    <row r="10" spans="9:15">
      <c r="I10">
        <f>IFERROR(VLOOKUP(H10,Rates!$A$2:$B$3,2,0),1)</f>
        <v>1</v>
      </c>
      <c r="J10" t="str">
        <f t="shared" si="0"/>
        <v/>
      </c>
      <c r="K10" t="str">
        <f>IF(J10&lt;&gt;"",SUM($J$2:J10),"")</f>
        <v/>
      </c>
      <c r="L10">
        <f ca="1" t="shared" si="1"/>
        <v>45942</v>
      </c>
      <c r="O10" t="s">
        <v>13</v>
      </c>
    </row>
    <row r="11" spans="9:15">
      <c r="I11">
        <f>IFERROR(VLOOKUP(H11,Rates!$A$2:$B$3,2,0),1)</f>
        <v>1</v>
      </c>
      <c r="J11" t="str">
        <f t="shared" si="0"/>
        <v/>
      </c>
      <c r="K11" t="str">
        <f>IF(J11&lt;&gt;"",SUM($J$2:J11),"")</f>
        <v/>
      </c>
      <c r="L11">
        <f ca="1" t="shared" si="1"/>
        <v>45942</v>
      </c>
      <c r="O11" t="s">
        <v>14</v>
      </c>
    </row>
    <row r="12" spans="9:15">
      <c r="I12">
        <f>IFERROR(VLOOKUP(H12,Rates!$A$2:$B$3,2,0),1)</f>
        <v>1</v>
      </c>
      <c r="J12" t="str">
        <f t="shared" si="0"/>
        <v/>
      </c>
      <c r="K12" t="str">
        <f>IF(J12&lt;&gt;"",SUM($J$2:J12),"")</f>
        <v/>
      </c>
      <c r="L12">
        <f ca="1" t="shared" si="1"/>
        <v>45942</v>
      </c>
      <c r="O12" t="s">
        <v>15</v>
      </c>
    </row>
    <row r="13" spans="9:15">
      <c r="I13">
        <f>IFERROR(VLOOKUP(H13,Rates!$A$2:$B$3,2,0),1)</f>
        <v>1</v>
      </c>
      <c r="J13" t="str">
        <f t="shared" si="0"/>
        <v/>
      </c>
      <c r="K13" t="str">
        <f>IF(J13&lt;&gt;"",SUM($J$2:J13),"")</f>
        <v/>
      </c>
      <c r="L13">
        <f ca="1" t="shared" si="1"/>
        <v>45942</v>
      </c>
      <c r="O13" t="s">
        <v>16</v>
      </c>
    </row>
    <row r="14" spans="9:15">
      <c r="I14">
        <f>IFERROR(VLOOKUP(H14,Rates!$A$2:$B$3,2,0),1)</f>
        <v>1</v>
      </c>
      <c r="J14" t="str">
        <f t="shared" si="0"/>
        <v/>
      </c>
      <c r="K14" t="str">
        <f>IF(J14&lt;&gt;"",SUM($J$2:J14),"")</f>
        <v/>
      </c>
      <c r="L14">
        <f ca="1" t="shared" si="1"/>
        <v>45942</v>
      </c>
      <c r="O14" t="s">
        <v>17</v>
      </c>
    </row>
    <row r="15" spans="9:15">
      <c r="I15">
        <f>IFERROR(VLOOKUP(H15,Rates!$A$2:$B$3,2,0),1)</f>
        <v>1</v>
      </c>
      <c r="J15" t="str">
        <f t="shared" si="0"/>
        <v/>
      </c>
      <c r="K15" t="str">
        <f>IF(J15&lt;&gt;"",SUM($J$2:J15),"")</f>
        <v/>
      </c>
      <c r="L15">
        <f ca="1" t="shared" si="1"/>
        <v>45942</v>
      </c>
      <c r="O15" t="s">
        <v>18</v>
      </c>
    </row>
    <row r="16" spans="9:15">
      <c r="I16">
        <f>IFERROR(VLOOKUP(H16,Rates!$A$2:$B$3,2,0),1)</f>
        <v>1</v>
      </c>
      <c r="J16" t="str">
        <f t="shared" si="0"/>
        <v/>
      </c>
      <c r="K16" t="str">
        <f>IF(J16&lt;&gt;"",SUM($J$2:J16),"")</f>
        <v/>
      </c>
      <c r="L16">
        <f ca="1" t="shared" si="1"/>
        <v>45942</v>
      </c>
      <c r="O16" t="s">
        <v>19</v>
      </c>
    </row>
    <row r="17" spans="9:15">
      <c r="I17">
        <f>IFERROR(VLOOKUP(H17,Rates!$A$2:$B$3,2,0),1)</f>
        <v>1</v>
      </c>
      <c r="J17" t="str">
        <f t="shared" si="0"/>
        <v/>
      </c>
      <c r="K17" t="str">
        <f>IF(J17&lt;&gt;"",SUM($J$2:J17),"")</f>
        <v/>
      </c>
      <c r="L17">
        <f ca="1" t="shared" si="1"/>
        <v>45942</v>
      </c>
      <c r="O17" t="s">
        <v>20</v>
      </c>
    </row>
    <row r="18" spans="9:15">
      <c r="I18">
        <f>IFERROR(VLOOKUP(H18,Rates!$A$2:$B$3,2,0),1)</f>
        <v>1</v>
      </c>
      <c r="J18" t="str">
        <f t="shared" si="0"/>
        <v/>
      </c>
      <c r="K18" t="str">
        <f>IF(J18&lt;&gt;"",SUM($J$2:J18),"")</f>
        <v/>
      </c>
      <c r="L18">
        <f ca="1" t="shared" si="1"/>
        <v>45942</v>
      </c>
      <c r="O18" t="s">
        <v>21</v>
      </c>
    </row>
    <row r="19" spans="9:15">
      <c r="I19">
        <f>IFERROR(VLOOKUP(H19,Rates!$A$2:$B$3,2,0),1)</f>
        <v>1</v>
      </c>
      <c r="J19" t="str">
        <f t="shared" si="0"/>
        <v/>
      </c>
      <c r="K19" t="str">
        <f>IF(J19&lt;&gt;"",SUM($J$2:J19),"")</f>
        <v/>
      </c>
      <c r="L19">
        <f ca="1" t="shared" si="1"/>
        <v>45942</v>
      </c>
      <c r="O19" t="s">
        <v>22</v>
      </c>
    </row>
    <row r="20" spans="9:15">
      <c r="I20">
        <f>IFERROR(VLOOKUP(H20,Rates!$A$2:$B$3,2,0),1)</f>
        <v>1</v>
      </c>
      <c r="J20" t="str">
        <f t="shared" si="0"/>
        <v/>
      </c>
      <c r="K20" t="str">
        <f>IF(J20&lt;&gt;"",SUM($J$2:J20),"")</f>
        <v/>
      </c>
      <c r="L20">
        <f ca="1" t="shared" si="1"/>
        <v>45942</v>
      </c>
      <c r="O20" t="s">
        <v>23</v>
      </c>
    </row>
    <row r="21" spans="9:15">
      <c r="I21">
        <f>IFERROR(VLOOKUP(H21,Rates!$A$2:$B$3,2,0),1)</f>
        <v>1</v>
      </c>
      <c r="J21" t="str">
        <f t="shared" si="0"/>
        <v/>
      </c>
      <c r="K21" t="str">
        <f>IF(J21&lt;&gt;"",SUM($J$2:J21),"")</f>
        <v/>
      </c>
      <c r="L21">
        <f ca="1" t="shared" si="1"/>
        <v>45942</v>
      </c>
      <c r="O21" t="s">
        <v>24</v>
      </c>
    </row>
    <row r="22" spans="9:15">
      <c r="I22">
        <f>IFERROR(VLOOKUP(H22,Rates!$A$2:$B$3,2,0),1)</f>
        <v>1</v>
      </c>
      <c r="J22" t="str">
        <f t="shared" si="0"/>
        <v/>
      </c>
      <c r="K22" t="str">
        <f>IF(J22&lt;&gt;"",SUM($J$2:J22),"")</f>
        <v/>
      </c>
      <c r="L22">
        <f ca="1" t="shared" si="1"/>
        <v>45942</v>
      </c>
      <c r="O22" t="s">
        <v>25</v>
      </c>
    </row>
    <row r="23" spans="9:15">
      <c r="I23">
        <f>IFERROR(VLOOKUP(H23,Rates!$A$2:$B$3,2,0),1)</f>
        <v>1</v>
      </c>
      <c r="J23" t="str">
        <f t="shared" si="0"/>
        <v/>
      </c>
      <c r="K23" t="str">
        <f>IF(J23&lt;&gt;"",SUM($J$2:J23),"")</f>
        <v/>
      </c>
      <c r="L23">
        <f ca="1" t="shared" si="1"/>
        <v>45942</v>
      </c>
      <c r="O23" t="s">
        <v>26</v>
      </c>
    </row>
    <row r="24" spans="9:12">
      <c r="I24">
        <f>IFERROR(VLOOKUP(H24,Rates!$A$2:$B$3,2,0),1)</f>
        <v>1</v>
      </c>
      <c r="J24" t="str">
        <f t="shared" si="0"/>
        <v/>
      </c>
      <c r="K24" t="str">
        <f>IF(J24&lt;&gt;"",SUM($J$2:J24),"")</f>
        <v/>
      </c>
      <c r="L24">
        <f ca="1" t="shared" si="1"/>
        <v>45942</v>
      </c>
    </row>
    <row r="25" spans="9:12">
      <c r="I25">
        <f>IFERROR(VLOOKUP(H25,Rates!$A$2:$B$3,2,0),1)</f>
        <v>1</v>
      </c>
      <c r="J25" t="str">
        <f t="shared" si="0"/>
        <v/>
      </c>
      <c r="K25" t="str">
        <f>IF(J25&lt;&gt;"",SUM($J$2:J25),"")</f>
        <v/>
      </c>
      <c r="L25">
        <f ca="1" t="shared" si="1"/>
        <v>45942</v>
      </c>
    </row>
    <row r="26" spans="9:12">
      <c r="I26">
        <f>IFERROR(VLOOKUP(H26,Rates!$A$2:$B$3,2,0),1)</f>
        <v>1</v>
      </c>
      <c r="J26" t="str">
        <f t="shared" si="0"/>
        <v/>
      </c>
      <c r="K26" t="str">
        <f>IF(J26&lt;&gt;"",SUM($J$2:J26),"")</f>
        <v/>
      </c>
      <c r="L26">
        <f ca="1" t="shared" si="1"/>
        <v>45942</v>
      </c>
    </row>
    <row r="27" spans="9:12">
      <c r="I27">
        <f>IFERROR(VLOOKUP(H27,Rates!$A$2:$B$3,2,0),1)</f>
        <v>1</v>
      </c>
      <c r="J27" t="str">
        <f t="shared" si="0"/>
        <v/>
      </c>
      <c r="K27" t="str">
        <f>IF(J27&lt;&gt;"",SUM($J$2:J27),"")</f>
        <v/>
      </c>
      <c r="L27">
        <f ca="1" t="shared" si="1"/>
        <v>45942</v>
      </c>
    </row>
    <row r="28" spans="9:12">
      <c r="I28">
        <f>IFERROR(VLOOKUP(H28,Rates!$A$2:$B$3,2,0),1)</f>
        <v>1</v>
      </c>
      <c r="J28" t="str">
        <f t="shared" si="0"/>
        <v/>
      </c>
      <c r="K28" t="str">
        <f>IF(J28&lt;&gt;"",SUM($J$2:J28),"")</f>
        <v/>
      </c>
      <c r="L28">
        <f ca="1" t="shared" si="1"/>
        <v>45942</v>
      </c>
    </row>
    <row r="29" spans="9:12">
      <c r="I29">
        <f>IFERROR(VLOOKUP(H29,Rates!$A$2:$B$3,2,0),1)</f>
        <v>1</v>
      </c>
      <c r="J29" t="str">
        <f t="shared" si="0"/>
        <v/>
      </c>
      <c r="K29" t="str">
        <f>IF(J29&lt;&gt;"",SUM($J$2:J29),"")</f>
        <v/>
      </c>
      <c r="L29">
        <f ca="1" t="shared" si="1"/>
        <v>45942</v>
      </c>
    </row>
    <row r="30" spans="9:12">
      <c r="I30">
        <f>IFERROR(VLOOKUP(H30,Rates!$A$2:$B$3,2,0),1)</f>
        <v>1</v>
      </c>
      <c r="J30" t="str">
        <f t="shared" si="0"/>
        <v/>
      </c>
      <c r="K30" t="str">
        <f>IF(J30&lt;&gt;"",SUM($J$2:J30),"")</f>
        <v/>
      </c>
      <c r="L30">
        <f ca="1" t="shared" si="1"/>
        <v>45942</v>
      </c>
    </row>
    <row r="31" spans="9:12">
      <c r="I31">
        <f>IFERROR(VLOOKUP(H31,Rates!$A$2:$B$3,2,0),1)</f>
        <v>1</v>
      </c>
      <c r="J31" t="str">
        <f t="shared" si="0"/>
        <v/>
      </c>
      <c r="K31" t="str">
        <f>IF(J31&lt;&gt;"",SUM($J$2:J31),"")</f>
        <v/>
      </c>
      <c r="L31">
        <f ca="1" t="shared" si="1"/>
        <v>45942</v>
      </c>
    </row>
    <row r="32" spans="9:12">
      <c r="I32">
        <f>IFERROR(VLOOKUP(H32,Rates!$A$2:$B$3,2,0),1)</f>
        <v>1</v>
      </c>
      <c r="J32" t="str">
        <f t="shared" si="0"/>
        <v/>
      </c>
      <c r="K32" t="str">
        <f>IF(J32&lt;&gt;"",SUM($J$2:J32),"")</f>
        <v/>
      </c>
      <c r="L32">
        <f ca="1" t="shared" si="1"/>
        <v>45942</v>
      </c>
    </row>
    <row r="33" spans="9:12">
      <c r="I33">
        <f>IFERROR(VLOOKUP(H33,Rates!$A$2:$B$3,2,0),1)</f>
        <v>1</v>
      </c>
      <c r="J33" t="str">
        <f t="shared" si="0"/>
        <v/>
      </c>
      <c r="K33" t="str">
        <f>IF(J33&lt;&gt;"",SUM($J$2:J33),"")</f>
        <v/>
      </c>
      <c r="L33">
        <f ca="1" t="shared" si="1"/>
        <v>45942</v>
      </c>
    </row>
    <row r="34" spans="9:12">
      <c r="I34">
        <f>IFERROR(VLOOKUP(H34,Rates!$A$2:$B$3,2,0),1)</f>
        <v>1</v>
      </c>
      <c r="J34" t="str">
        <f t="shared" si="0"/>
        <v/>
      </c>
      <c r="K34" t="str">
        <f>IF(J34&lt;&gt;"",SUM($J$2:J34),"")</f>
        <v/>
      </c>
      <c r="L34">
        <f ca="1" t="shared" si="1"/>
        <v>45942</v>
      </c>
    </row>
    <row r="35" spans="9:12">
      <c r="I35">
        <f>IFERROR(VLOOKUP(H35,Rates!$A$2:$B$3,2,0),1)</f>
        <v>1</v>
      </c>
      <c r="J35" t="str">
        <f t="shared" si="0"/>
        <v/>
      </c>
      <c r="K35" t="str">
        <f>IF(J35&lt;&gt;"",SUM($J$2:J35),"")</f>
        <v/>
      </c>
      <c r="L35">
        <f ca="1" t="shared" si="1"/>
        <v>45942</v>
      </c>
    </row>
    <row r="36" spans="9:12">
      <c r="I36">
        <f>IFERROR(VLOOKUP(H36,Rates!$A$2:$B$3,2,0),1)</f>
        <v>1</v>
      </c>
      <c r="J36" t="str">
        <f t="shared" si="0"/>
        <v/>
      </c>
      <c r="K36" t="str">
        <f>IF(J36&lt;&gt;"",SUM($J$2:J36),"")</f>
        <v/>
      </c>
      <c r="L36">
        <f ca="1" t="shared" si="1"/>
        <v>45942</v>
      </c>
    </row>
    <row r="37" spans="9:12">
      <c r="I37">
        <f>IFERROR(VLOOKUP(H37,Rates!$A$2:$B$3,2,0),1)</f>
        <v>1</v>
      </c>
      <c r="J37" t="str">
        <f t="shared" si="0"/>
        <v/>
      </c>
      <c r="K37" t="str">
        <f>IF(J37&lt;&gt;"",SUM($J$2:J37),"")</f>
        <v/>
      </c>
      <c r="L37">
        <f ca="1" t="shared" si="1"/>
        <v>45942</v>
      </c>
    </row>
    <row r="38" spans="9:12">
      <c r="I38">
        <f>IFERROR(VLOOKUP(H38,Rates!$A$2:$B$3,2,0),1)</f>
        <v>1</v>
      </c>
      <c r="J38" t="str">
        <f t="shared" si="0"/>
        <v/>
      </c>
      <c r="K38" t="str">
        <f>IF(J38&lt;&gt;"",SUM($J$2:J38),"")</f>
        <v/>
      </c>
      <c r="L38">
        <f ca="1" t="shared" si="1"/>
        <v>45942</v>
      </c>
    </row>
    <row r="39" spans="9:12">
      <c r="I39">
        <f>IFERROR(VLOOKUP(H39,Rates!$A$2:$B$3,2,0),1)</f>
        <v>1</v>
      </c>
      <c r="J39" t="str">
        <f t="shared" si="0"/>
        <v/>
      </c>
      <c r="K39" t="str">
        <f>IF(J39&lt;&gt;"",SUM($J$2:J39),"")</f>
        <v/>
      </c>
      <c r="L39">
        <f ca="1" t="shared" si="1"/>
        <v>45942</v>
      </c>
    </row>
    <row r="40" spans="9:12">
      <c r="I40">
        <f>IFERROR(VLOOKUP(H40,Rates!$A$2:$B$3,2,0),1)</f>
        <v>1</v>
      </c>
      <c r="J40" t="str">
        <f t="shared" si="0"/>
        <v/>
      </c>
      <c r="K40" t="str">
        <f>IF(J40&lt;&gt;"",SUM($J$2:J40),"")</f>
        <v/>
      </c>
      <c r="L40">
        <f ca="1" t="shared" si="1"/>
        <v>45942</v>
      </c>
    </row>
    <row r="41" spans="9:12">
      <c r="I41">
        <f>IFERROR(VLOOKUP(H41,Rates!$A$2:$B$3,2,0),1)</f>
        <v>1</v>
      </c>
      <c r="J41" t="str">
        <f t="shared" si="0"/>
        <v/>
      </c>
      <c r="K41" t="str">
        <f>IF(J41&lt;&gt;"",SUM($J$2:J41),"")</f>
        <v/>
      </c>
      <c r="L41">
        <f ca="1" t="shared" si="1"/>
        <v>45942</v>
      </c>
    </row>
    <row r="42" spans="9:12">
      <c r="I42">
        <f>IFERROR(VLOOKUP(H42,Rates!$A$2:$B$3,2,0),1)</f>
        <v>1</v>
      </c>
      <c r="J42" t="str">
        <f t="shared" si="0"/>
        <v/>
      </c>
      <c r="K42" t="str">
        <f>IF(J42&lt;&gt;"",SUM($J$2:J42),"")</f>
        <v/>
      </c>
      <c r="L42">
        <f ca="1" t="shared" si="1"/>
        <v>45942</v>
      </c>
    </row>
    <row r="43" spans="9:12">
      <c r="I43">
        <f>IFERROR(VLOOKUP(H43,Rates!$A$2:$B$3,2,0),1)</f>
        <v>1</v>
      </c>
      <c r="J43" t="str">
        <f t="shared" si="0"/>
        <v/>
      </c>
      <c r="K43" t="str">
        <f>IF(J43&lt;&gt;"",SUM($J$2:J43),"")</f>
        <v/>
      </c>
      <c r="L43">
        <f ca="1" t="shared" si="1"/>
        <v>45942</v>
      </c>
    </row>
    <row r="44" spans="9:12">
      <c r="I44">
        <f>IFERROR(VLOOKUP(H44,Rates!$A$2:$B$3,2,0),1)</f>
        <v>1</v>
      </c>
      <c r="J44" t="str">
        <f t="shared" si="0"/>
        <v/>
      </c>
      <c r="K44" t="str">
        <f>IF(J44&lt;&gt;"",SUM($J$2:J44),"")</f>
        <v/>
      </c>
      <c r="L44">
        <f ca="1" t="shared" si="1"/>
        <v>45942</v>
      </c>
    </row>
    <row r="45" spans="9:12">
      <c r="I45">
        <f>IFERROR(VLOOKUP(H45,Rates!$A$2:$B$3,2,0),1)</f>
        <v>1</v>
      </c>
      <c r="J45" t="str">
        <f t="shared" si="0"/>
        <v/>
      </c>
      <c r="K45" t="str">
        <f>IF(J45&lt;&gt;"",SUM($J$2:J45),"")</f>
        <v/>
      </c>
      <c r="L45">
        <f ca="1" t="shared" si="1"/>
        <v>45942</v>
      </c>
    </row>
    <row r="46" spans="9:12">
      <c r="I46">
        <f>IFERROR(VLOOKUP(H46,Rates!$A$2:$B$3,2,0),1)</f>
        <v>1</v>
      </c>
      <c r="J46" t="str">
        <f t="shared" si="0"/>
        <v/>
      </c>
      <c r="K46" t="str">
        <f>IF(J46&lt;&gt;"",SUM($J$2:J46),"")</f>
        <v/>
      </c>
      <c r="L46">
        <f ca="1" t="shared" si="1"/>
        <v>45942</v>
      </c>
    </row>
    <row r="47" spans="9:12">
      <c r="I47">
        <f>IFERROR(VLOOKUP(H47,Rates!$A$2:$B$3,2,0),1)</f>
        <v>1</v>
      </c>
      <c r="J47" t="str">
        <f t="shared" si="0"/>
        <v/>
      </c>
      <c r="K47" t="str">
        <f>IF(J47&lt;&gt;"",SUM($J$2:J47),"")</f>
        <v/>
      </c>
      <c r="L47">
        <f ca="1" t="shared" si="1"/>
        <v>45942</v>
      </c>
    </row>
    <row r="48" spans="9:12">
      <c r="I48">
        <f>IFERROR(VLOOKUP(H48,Rates!$A$2:$B$3,2,0),1)</f>
        <v>1</v>
      </c>
      <c r="J48" t="str">
        <f t="shared" si="0"/>
        <v/>
      </c>
      <c r="K48" t="str">
        <f>IF(J48&lt;&gt;"",SUM($J$2:J48),"")</f>
        <v/>
      </c>
      <c r="L48">
        <f ca="1" t="shared" si="1"/>
        <v>45942</v>
      </c>
    </row>
    <row r="49" spans="9:12">
      <c r="I49">
        <f>IFERROR(VLOOKUP(H49,Rates!$A$2:$B$3,2,0),1)</f>
        <v>1</v>
      </c>
      <c r="J49" t="str">
        <f t="shared" si="0"/>
        <v/>
      </c>
      <c r="K49" t="str">
        <f>IF(J49&lt;&gt;"",SUM($J$2:J49),"")</f>
        <v/>
      </c>
      <c r="L49">
        <f ca="1" t="shared" si="1"/>
        <v>45942</v>
      </c>
    </row>
    <row r="50" spans="9:12">
      <c r="I50">
        <f>IFERROR(VLOOKUP(H50,Rates!$A$2:$B$3,2,0),1)</f>
        <v>1</v>
      </c>
      <c r="J50" t="str">
        <f t="shared" si="0"/>
        <v/>
      </c>
      <c r="K50" t="str">
        <f>IF(J50&lt;&gt;"",SUM($J$2:J50),"")</f>
        <v/>
      </c>
      <c r="L50">
        <f ca="1" t="shared" si="1"/>
        <v>45942</v>
      </c>
    </row>
    <row r="51" spans="9:12">
      <c r="I51">
        <f>IFERROR(VLOOKUP(H51,Rates!$A$2:$B$3,2,0),1)</f>
        <v>1</v>
      </c>
      <c r="J51" t="str">
        <f t="shared" si="0"/>
        <v/>
      </c>
      <c r="K51" t="str">
        <f>IF(J51&lt;&gt;"",SUM($J$2:J51),"")</f>
        <v/>
      </c>
      <c r="L51">
        <f ca="1" t="shared" si="1"/>
        <v>45942</v>
      </c>
    </row>
    <row r="52" spans="9:12">
      <c r="I52">
        <f>IFERROR(VLOOKUP(H52,Rates!$A$2:$B$3,2,0),1)</f>
        <v>1</v>
      </c>
      <c r="J52" t="str">
        <f t="shared" si="0"/>
        <v/>
      </c>
      <c r="K52" t="str">
        <f>IF(J52&lt;&gt;"",SUM($J$2:J52),"")</f>
        <v/>
      </c>
      <c r="L52">
        <f ca="1" t="shared" si="1"/>
        <v>45942</v>
      </c>
    </row>
    <row r="53" spans="9:12">
      <c r="I53">
        <f>IFERROR(VLOOKUP(H53,Rates!$A$2:$B$3,2,0),1)</f>
        <v>1</v>
      </c>
      <c r="J53" t="str">
        <f t="shared" si="0"/>
        <v/>
      </c>
      <c r="K53" t="str">
        <f>IF(J53&lt;&gt;"",SUM($J$2:J53),"")</f>
        <v/>
      </c>
      <c r="L53">
        <f ca="1" t="shared" si="1"/>
        <v>45942</v>
      </c>
    </row>
    <row r="54" spans="9:12">
      <c r="I54">
        <f>IFERROR(VLOOKUP(H54,Rates!$A$2:$B$3,2,0),1)</f>
        <v>1</v>
      </c>
      <c r="J54" t="str">
        <f t="shared" si="0"/>
        <v/>
      </c>
      <c r="K54" t="str">
        <f>IF(J54&lt;&gt;"",SUM($J$2:J54),"")</f>
        <v/>
      </c>
      <c r="L54">
        <f ca="1" t="shared" si="1"/>
        <v>45942</v>
      </c>
    </row>
    <row r="55" spans="9:12">
      <c r="I55">
        <f>IFERROR(VLOOKUP(H55,Rates!$A$2:$B$3,2,0),1)</f>
        <v>1</v>
      </c>
      <c r="J55" t="str">
        <f t="shared" si="0"/>
        <v/>
      </c>
      <c r="K55" t="str">
        <f>IF(J55&lt;&gt;"",SUM($J$2:J55),"")</f>
        <v/>
      </c>
      <c r="L55">
        <f ca="1" t="shared" si="1"/>
        <v>45942</v>
      </c>
    </row>
    <row r="56" spans="9:12">
      <c r="I56">
        <f>IFERROR(VLOOKUP(H56,Rates!$A$2:$B$3,2,0),1)</f>
        <v>1</v>
      </c>
      <c r="J56" t="str">
        <f t="shared" si="0"/>
        <v/>
      </c>
      <c r="K56" t="str">
        <f>IF(J56&lt;&gt;"",SUM($J$2:J56),"")</f>
        <v/>
      </c>
      <c r="L56">
        <f ca="1" t="shared" si="1"/>
        <v>45942</v>
      </c>
    </row>
    <row r="57" spans="9:12">
      <c r="I57">
        <f>IFERROR(VLOOKUP(H57,Rates!$A$2:$B$3,2,0),1)</f>
        <v>1</v>
      </c>
      <c r="J57" t="str">
        <f t="shared" si="0"/>
        <v/>
      </c>
      <c r="K57" t="str">
        <f>IF(J57&lt;&gt;"",SUM($J$2:J57),"")</f>
        <v/>
      </c>
      <c r="L57">
        <f ca="1" t="shared" si="1"/>
        <v>45942</v>
      </c>
    </row>
    <row r="58" spans="9:12">
      <c r="I58">
        <f>IFERROR(VLOOKUP(H58,Rates!$A$2:$B$3,2,0),1)</f>
        <v>1</v>
      </c>
      <c r="J58" t="str">
        <f t="shared" si="0"/>
        <v/>
      </c>
      <c r="K58" t="str">
        <f>IF(J58&lt;&gt;"",SUM($J$2:J58),"")</f>
        <v/>
      </c>
      <c r="L58">
        <f ca="1" t="shared" si="1"/>
        <v>45942</v>
      </c>
    </row>
    <row r="59" spans="9:12">
      <c r="I59">
        <f>IFERROR(VLOOKUP(H59,Rates!$A$2:$B$3,2,0),1)</f>
        <v>1</v>
      </c>
      <c r="J59" t="str">
        <f t="shared" si="0"/>
        <v/>
      </c>
      <c r="K59" t="str">
        <f>IF(J59&lt;&gt;"",SUM($J$2:J59),"")</f>
        <v/>
      </c>
      <c r="L59">
        <f ca="1" t="shared" si="1"/>
        <v>45942</v>
      </c>
    </row>
    <row r="60" spans="9:12">
      <c r="I60">
        <f>IFERROR(VLOOKUP(H60,Rates!$A$2:$B$3,2,0),1)</f>
        <v>1</v>
      </c>
      <c r="J60" t="str">
        <f t="shared" si="0"/>
        <v/>
      </c>
      <c r="K60" t="str">
        <f>IF(J60&lt;&gt;"",SUM($J$2:J60),"")</f>
        <v/>
      </c>
      <c r="L60">
        <f ca="1" t="shared" si="1"/>
        <v>45942</v>
      </c>
    </row>
    <row r="61" spans="9:12">
      <c r="I61">
        <f>IFERROR(VLOOKUP(H61,Rates!$A$2:$B$3,2,0),1)</f>
        <v>1</v>
      </c>
      <c r="J61" t="str">
        <f t="shared" si="0"/>
        <v/>
      </c>
      <c r="K61" t="str">
        <f>IF(J61&lt;&gt;"",SUM($J$2:J61),"")</f>
        <v/>
      </c>
      <c r="L61">
        <f ca="1" t="shared" si="1"/>
        <v>45942</v>
      </c>
    </row>
    <row r="62" spans="9:12">
      <c r="I62">
        <f>IFERROR(VLOOKUP(H62,Rates!$A$2:$B$3,2,0),1)</f>
        <v>1</v>
      </c>
      <c r="J62" t="str">
        <f t="shared" si="0"/>
        <v/>
      </c>
      <c r="K62" t="str">
        <f>IF(J62&lt;&gt;"",SUM($J$2:J62),"")</f>
        <v/>
      </c>
      <c r="L62">
        <f ca="1" t="shared" si="1"/>
        <v>45942</v>
      </c>
    </row>
    <row r="63" spans="9:12">
      <c r="I63">
        <f>IFERROR(VLOOKUP(H63,Rates!$A$2:$B$3,2,0),1)</f>
        <v>1</v>
      </c>
      <c r="J63" t="str">
        <f t="shared" si="0"/>
        <v/>
      </c>
      <c r="K63" t="str">
        <f>IF(J63&lt;&gt;"",SUM($J$2:J63),"")</f>
        <v/>
      </c>
      <c r="L63">
        <f ca="1" t="shared" si="1"/>
        <v>45942</v>
      </c>
    </row>
    <row r="64" spans="9:12">
      <c r="I64">
        <f>IFERROR(VLOOKUP(H64,Rates!$A$2:$B$3,2,0),1)</f>
        <v>1</v>
      </c>
      <c r="J64" t="str">
        <f t="shared" si="0"/>
        <v/>
      </c>
      <c r="K64" t="str">
        <f>IF(J64&lt;&gt;"",SUM($J$2:J64),"")</f>
        <v/>
      </c>
      <c r="L64">
        <f ca="1" t="shared" si="1"/>
        <v>45942</v>
      </c>
    </row>
    <row r="65" spans="9:12">
      <c r="I65">
        <f>IFERROR(VLOOKUP(H65,Rates!$A$2:$B$3,2,0),1)</f>
        <v>1</v>
      </c>
      <c r="J65" t="str">
        <f t="shared" si="0"/>
        <v/>
      </c>
      <c r="K65" t="str">
        <f>IF(J65&lt;&gt;"",SUM($J$2:J65),"")</f>
        <v/>
      </c>
      <c r="L65">
        <f ca="1" t="shared" si="1"/>
        <v>45942</v>
      </c>
    </row>
    <row r="66" spans="9:12">
      <c r="I66">
        <f>IFERROR(VLOOKUP(H66,Rates!$A$2:$B$3,2,0),1)</f>
        <v>1</v>
      </c>
      <c r="J66" t="str">
        <f t="shared" ref="J66:J129" si="2">IF(G66&lt;&gt;"",G66*I66,"")</f>
        <v/>
      </c>
      <c r="K66" t="str">
        <f>IF(J66&lt;&gt;"",SUM($J$2:J66),"")</f>
        <v/>
      </c>
      <c r="L66">
        <f ca="1" t="shared" ref="L66:L129" si="3">IF(COUNTA(A66:K66)&gt;0,TODAY(),"")</f>
        <v>45942</v>
      </c>
    </row>
    <row r="67" spans="9:12">
      <c r="I67">
        <f>IFERROR(VLOOKUP(H67,Rates!$A$2:$B$3,2,0),1)</f>
        <v>1</v>
      </c>
      <c r="J67" t="str">
        <f t="shared" si="2"/>
        <v/>
      </c>
      <c r="K67" t="str">
        <f>IF(J67&lt;&gt;"",SUM($J$2:J67),"")</f>
        <v/>
      </c>
      <c r="L67">
        <f ca="1" t="shared" si="3"/>
        <v>45942</v>
      </c>
    </row>
    <row r="68" spans="9:12">
      <c r="I68">
        <f>IFERROR(VLOOKUP(H68,Rates!$A$2:$B$3,2,0),1)</f>
        <v>1</v>
      </c>
      <c r="J68" t="str">
        <f t="shared" si="2"/>
        <v/>
      </c>
      <c r="K68" t="str">
        <f>IF(J68&lt;&gt;"",SUM($J$2:J68),"")</f>
        <v/>
      </c>
      <c r="L68">
        <f ca="1" t="shared" si="3"/>
        <v>45942</v>
      </c>
    </row>
    <row r="69" spans="9:12">
      <c r="I69">
        <f>IFERROR(VLOOKUP(H69,Rates!$A$2:$B$3,2,0),1)</f>
        <v>1</v>
      </c>
      <c r="J69" t="str">
        <f t="shared" si="2"/>
        <v/>
      </c>
      <c r="K69" t="str">
        <f>IF(J69&lt;&gt;"",SUM($J$2:J69),"")</f>
        <v/>
      </c>
      <c r="L69">
        <f ca="1" t="shared" si="3"/>
        <v>45942</v>
      </c>
    </row>
    <row r="70" spans="9:12">
      <c r="I70">
        <f>IFERROR(VLOOKUP(H70,Rates!$A$2:$B$3,2,0),1)</f>
        <v>1</v>
      </c>
      <c r="J70" t="str">
        <f t="shared" si="2"/>
        <v/>
      </c>
      <c r="K70" t="str">
        <f>IF(J70&lt;&gt;"",SUM($J$2:J70),"")</f>
        <v/>
      </c>
      <c r="L70">
        <f ca="1" t="shared" si="3"/>
        <v>45942</v>
      </c>
    </row>
    <row r="71" spans="9:12">
      <c r="I71">
        <f>IFERROR(VLOOKUP(H71,Rates!$A$2:$B$3,2,0),1)</f>
        <v>1</v>
      </c>
      <c r="J71" t="str">
        <f t="shared" si="2"/>
        <v/>
      </c>
      <c r="K71" t="str">
        <f>IF(J71&lt;&gt;"",SUM($J$2:J71),"")</f>
        <v/>
      </c>
      <c r="L71">
        <f ca="1" t="shared" si="3"/>
        <v>45942</v>
      </c>
    </row>
    <row r="72" spans="9:12">
      <c r="I72">
        <f>IFERROR(VLOOKUP(H72,Rates!$A$2:$B$3,2,0),1)</f>
        <v>1</v>
      </c>
      <c r="J72" t="str">
        <f t="shared" si="2"/>
        <v/>
      </c>
      <c r="K72" t="str">
        <f>IF(J72&lt;&gt;"",SUM($J$2:J72),"")</f>
        <v/>
      </c>
      <c r="L72">
        <f ca="1" t="shared" si="3"/>
        <v>45942</v>
      </c>
    </row>
    <row r="73" spans="9:12">
      <c r="I73">
        <f>IFERROR(VLOOKUP(H73,Rates!$A$2:$B$3,2,0),1)</f>
        <v>1</v>
      </c>
      <c r="J73" t="str">
        <f t="shared" si="2"/>
        <v/>
      </c>
      <c r="K73" t="str">
        <f>IF(J73&lt;&gt;"",SUM($J$2:J73),"")</f>
        <v/>
      </c>
      <c r="L73">
        <f ca="1" t="shared" si="3"/>
        <v>45942</v>
      </c>
    </row>
    <row r="74" spans="9:12">
      <c r="I74">
        <f>IFERROR(VLOOKUP(H74,Rates!$A$2:$B$3,2,0),1)</f>
        <v>1</v>
      </c>
      <c r="J74" t="str">
        <f t="shared" si="2"/>
        <v/>
      </c>
      <c r="K74" t="str">
        <f>IF(J74&lt;&gt;"",SUM($J$2:J74),"")</f>
        <v/>
      </c>
      <c r="L74">
        <f ca="1" t="shared" si="3"/>
        <v>45942</v>
      </c>
    </row>
    <row r="75" spans="9:12">
      <c r="I75">
        <f>IFERROR(VLOOKUP(H75,Rates!$A$2:$B$3,2,0),1)</f>
        <v>1</v>
      </c>
      <c r="J75" t="str">
        <f t="shared" si="2"/>
        <v/>
      </c>
      <c r="K75" t="str">
        <f>IF(J75&lt;&gt;"",SUM($J$2:J75),"")</f>
        <v/>
      </c>
      <c r="L75">
        <f ca="1" t="shared" si="3"/>
        <v>45942</v>
      </c>
    </row>
    <row r="76" spans="9:12">
      <c r="I76">
        <f>IFERROR(VLOOKUP(H76,Rates!$A$2:$B$3,2,0),1)</f>
        <v>1</v>
      </c>
      <c r="J76" t="str">
        <f t="shared" si="2"/>
        <v/>
      </c>
      <c r="K76" t="str">
        <f>IF(J76&lt;&gt;"",SUM($J$2:J76),"")</f>
        <v/>
      </c>
      <c r="L76">
        <f ca="1" t="shared" si="3"/>
        <v>45942</v>
      </c>
    </row>
    <row r="77" spans="9:12">
      <c r="I77">
        <f>IFERROR(VLOOKUP(H77,Rates!$A$2:$B$3,2,0),1)</f>
        <v>1</v>
      </c>
      <c r="J77" t="str">
        <f t="shared" si="2"/>
        <v/>
      </c>
      <c r="K77" t="str">
        <f>IF(J77&lt;&gt;"",SUM($J$2:J77),"")</f>
        <v/>
      </c>
      <c r="L77">
        <f ca="1" t="shared" si="3"/>
        <v>45942</v>
      </c>
    </row>
    <row r="78" spans="9:12">
      <c r="I78">
        <f>IFERROR(VLOOKUP(H78,Rates!$A$2:$B$3,2,0),1)</f>
        <v>1</v>
      </c>
      <c r="J78" t="str">
        <f t="shared" si="2"/>
        <v/>
      </c>
      <c r="K78" t="str">
        <f>IF(J78&lt;&gt;"",SUM($J$2:J78),"")</f>
        <v/>
      </c>
      <c r="L78">
        <f ca="1" t="shared" si="3"/>
        <v>45942</v>
      </c>
    </row>
    <row r="79" spans="9:12">
      <c r="I79">
        <f>IFERROR(VLOOKUP(H79,Rates!$A$2:$B$3,2,0),1)</f>
        <v>1</v>
      </c>
      <c r="J79" t="str">
        <f t="shared" si="2"/>
        <v/>
      </c>
      <c r="K79" t="str">
        <f>IF(J79&lt;&gt;"",SUM($J$2:J79),"")</f>
        <v/>
      </c>
      <c r="L79">
        <f ca="1" t="shared" si="3"/>
        <v>45942</v>
      </c>
    </row>
    <row r="80" spans="9:12">
      <c r="I80">
        <f>IFERROR(VLOOKUP(H80,Rates!$A$2:$B$3,2,0),1)</f>
        <v>1</v>
      </c>
      <c r="J80" t="str">
        <f t="shared" si="2"/>
        <v/>
      </c>
      <c r="K80" t="str">
        <f>IF(J80&lt;&gt;"",SUM($J$2:J80),"")</f>
        <v/>
      </c>
      <c r="L80">
        <f ca="1" t="shared" si="3"/>
        <v>45942</v>
      </c>
    </row>
    <row r="81" spans="9:12">
      <c r="I81">
        <f>IFERROR(VLOOKUP(H81,Rates!$A$2:$B$3,2,0),1)</f>
        <v>1</v>
      </c>
      <c r="J81" t="str">
        <f t="shared" si="2"/>
        <v/>
      </c>
      <c r="K81" t="str">
        <f>IF(J81&lt;&gt;"",SUM($J$2:J81),"")</f>
        <v/>
      </c>
      <c r="L81">
        <f ca="1" t="shared" si="3"/>
        <v>45942</v>
      </c>
    </row>
    <row r="82" spans="9:12">
      <c r="I82">
        <f>IFERROR(VLOOKUP(H82,Rates!$A$2:$B$3,2,0),1)</f>
        <v>1</v>
      </c>
      <c r="J82" t="str">
        <f t="shared" si="2"/>
        <v/>
      </c>
      <c r="K82" t="str">
        <f>IF(J82&lt;&gt;"",SUM($J$2:J82),"")</f>
        <v/>
      </c>
      <c r="L82">
        <f ca="1" t="shared" si="3"/>
        <v>45942</v>
      </c>
    </row>
    <row r="83" spans="9:12">
      <c r="I83">
        <f>IFERROR(VLOOKUP(H83,Rates!$A$2:$B$3,2,0),1)</f>
        <v>1</v>
      </c>
      <c r="J83" t="str">
        <f t="shared" si="2"/>
        <v/>
      </c>
      <c r="K83" t="str">
        <f>IF(J83&lt;&gt;"",SUM($J$2:J83),"")</f>
        <v/>
      </c>
      <c r="L83">
        <f ca="1" t="shared" si="3"/>
        <v>45942</v>
      </c>
    </row>
    <row r="84" spans="9:12">
      <c r="I84">
        <f>IFERROR(VLOOKUP(H84,Rates!$A$2:$B$3,2,0),1)</f>
        <v>1</v>
      </c>
      <c r="J84" t="str">
        <f t="shared" si="2"/>
        <v/>
      </c>
      <c r="K84" t="str">
        <f>IF(J84&lt;&gt;"",SUM($J$2:J84),"")</f>
        <v/>
      </c>
      <c r="L84">
        <f ca="1" t="shared" si="3"/>
        <v>45942</v>
      </c>
    </row>
    <row r="85" spans="9:12">
      <c r="I85">
        <f>IFERROR(VLOOKUP(H85,Rates!$A$2:$B$3,2,0),1)</f>
        <v>1</v>
      </c>
      <c r="J85" t="str">
        <f t="shared" si="2"/>
        <v/>
      </c>
      <c r="K85" t="str">
        <f>IF(J85&lt;&gt;"",SUM($J$2:J85),"")</f>
        <v/>
      </c>
      <c r="L85">
        <f ca="1" t="shared" si="3"/>
        <v>45942</v>
      </c>
    </row>
    <row r="86" spans="9:12">
      <c r="I86">
        <f>IFERROR(VLOOKUP(H86,Rates!$A$2:$B$3,2,0),1)</f>
        <v>1</v>
      </c>
      <c r="J86" t="str">
        <f t="shared" si="2"/>
        <v/>
      </c>
      <c r="K86" t="str">
        <f>IF(J86&lt;&gt;"",SUM($J$2:J86),"")</f>
        <v/>
      </c>
      <c r="L86">
        <f ca="1" t="shared" si="3"/>
        <v>45942</v>
      </c>
    </row>
    <row r="87" spans="9:12">
      <c r="I87">
        <f>IFERROR(VLOOKUP(H87,Rates!$A$2:$B$3,2,0),1)</f>
        <v>1</v>
      </c>
      <c r="J87" t="str">
        <f t="shared" si="2"/>
        <v/>
      </c>
      <c r="K87" t="str">
        <f>IF(J87&lt;&gt;"",SUM($J$2:J87),"")</f>
        <v/>
      </c>
      <c r="L87">
        <f ca="1" t="shared" si="3"/>
        <v>45942</v>
      </c>
    </row>
    <row r="88" spans="9:12">
      <c r="I88">
        <f>IFERROR(VLOOKUP(H88,Rates!$A$2:$B$3,2,0),1)</f>
        <v>1</v>
      </c>
      <c r="J88" t="str">
        <f t="shared" si="2"/>
        <v/>
      </c>
      <c r="K88" t="str">
        <f>IF(J88&lt;&gt;"",SUM($J$2:J88),"")</f>
        <v/>
      </c>
      <c r="L88">
        <f ca="1" t="shared" si="3"/>
        <v>45942</v>
      </c>
    </row>
    <row r="89" spans="9:12">
      <c r="I89">
        <f>IFERROR(VLOOKUP(H89,Rates!$A$2:$B$3,2,0),1)</f>
        <v>1</v>
      </c>
      <c r="J89" t="str">
        <f t="shared" si="2"/>
        <v/>
      </c>
      <c r="K89" t="str">
        <f>IF(J89&lt;&gt;"",SUM($J$2:J89),"")</f>
        <v/>
      </c>
      <c r="L89">
        <f ca="1" t="shared" si="3"/>
        <v>45942</v>
      </c>
    </row>
    <row r="90" spans="9:12">
      <c r="I90">
        <f>IFERROR(VLOOKUP(H90,Rates!$A$2:$B$3,2,0),1)</f>
        <v>1</v>
      </c>
      <c r="J90" t="str">
        <f t="shared" si="2"/>
        <v/>
      </c>
      <c r="K90" t="str">
        <f>IF(J90&lt;&gt;"",SUM($J$2:J90),"")</f>
        <v/>
      </c>
      <c r="L90">
        <f ca="1" t="shared" si="3"/>
        <v>45942</v>
      </c>
    </row>
    <row r="91" spans="9:12">
      <c r="I91">
        <f>IFERROR(VLOOKUP(H91,Rates!$A$2:$B$3,2,0),1)</f>
        <v>1</v>
      </c>
      <c r="J91" t="str">
        <f t="shared" si="2"/>
        <v/>
      </c>
      <c r="K91" t="str">
        <f>IF(J91&lt;&gt;"",SUM($J$2:J91),"")</f>
        <v/>
      </c>
      <c r="L91">
        <f ca="1" t="shared" si="3"/>
        <v>45942</v>
      </c>
    </row>
    <row r="92" spans="9:12">
      <c r="I92">
        <f>IFERROR(VLOOKUP(H92,Rates!$A$2:$B$3,2,0),1)</f>
        <v>1</v>
      </c>
      <c r="J92" t="str">
        <f t="shared" si="2"/>
        <v/>
      </c>
      <c r="K92" t="str">
        <f>IF(J92&lt;&gt;"",SUM($J$2:J92),"")</f>
        <v/>
      </c>
      <c r="L92">
        <f ca="1" t="shared" si="3"/>
        <v>45942</v>
      </c>
    </row>
    <row r="93" spans="9:12">
      <c r="I93">
        <f>IFERROR(VLOOKUP(H93,Rates!$A$2:$B$3,2,0),1)</f>
        <v>1</v>
      </c>
      <c r="J93" t="str">
        <f t="shared" si="2"/>
        <v/>
      </c>
      <c r="K93" t="str">
        <f>IF(J93&lt;&gt;"",SUM($J$2:J93),"")</f>
        <v/>
      </c>
      <c r="L93">
        <f ca="1" t="shared" si="3"/>
        <v>45942</v>
      </c>
    </row>
    <row r="94" spans="9:12">
      <c r="I94">
        <f>IFERROR(VLOOKUP(H94,Rates!$A$2:$B$3,2,0),1)</f>
        <v>1</v>
      </c>
      <c r="J94" t="str">
        <f t="shared" si="2"/>
        <v/>
      </c>
      <c r="K94" t="str">
        <f>IF(J94&lt;&gt;"",SUM($J$2:J94),"")</f>
        <v/>
      </c>
      <c r="L94">
        <f ca="1" t="shared" si="3"/>
        <v>45942</v>
      </c>
    </row>
    <row r="95" spans="9:12">
      <c r="I95">
        <f>IFERROR(VLOOKUP(H95,Rates!$A$2:$B$3,2,0),1)</f>
        <v>1</v>
      </c>
      <c r="J95" t="str">
        <f t="shared" si="2"/>
        <v/>
      </c>
      <c r="K95" t="str">
        <f>IF(J95&lt;&gt;"",SUM($J$2:J95),"")</f>
        <v/>
      </c>
      <c r="L95">
        <f ca="1" t="shared" si="3"/>
        <v>45942</v>
      </c>
    </row>
    <row r="96" spans="9:12">
      <c r="I96">
        <f>IFERROR(VLOOKUP(H96,Rates!$A$2:$B$3,2,0),1)</f>
        <v>1</v>
      </c>
      <c r="J96" t="str">
        <f t="shared" si="2"/>
        <v/>
      </c>
      <c r="K96" t="str">
        <f>IF(J96&lt;&gt;"",SUM($J$2:J96),"")</f>
        <v/>
      </c>
      <c r="L96">
        <f ca="1" t="shared" si="3"/>
        <v>45942</v>
      </c>
    </row>
    <row r="97" spans="9:12">
      <c r="I97">
        <f>IFERROR(VLOOKUP(H97,Rates!$A$2:$B$3,2,0),1)</f>
        <v>1</v>
      </c>
      <c r="J97" t="str">
        <f t="shared" si="2"/>
        <v/>
      </c>
      <c r="K97" t="str">
        <f>IF(J97&lt;&gt;"",SUM($J$2:J97),"")</f>
        <v/>
      </c>
      <c r="L97">
        <f ca="1" t="shared" si="3"/>
        <v>45942</v>
      </c>
    </row>
    <row r="98" spans="9:12">
      <c r="I98">
        <f>IFERROR(VLOOKUP(H98,Rates!$A$2:$B$3,2,0),1)</f>
        <v>1</v>
      </c>
      <c r="J98" t="str">
        <f t="shared" si="2"/>
        <v/>
      </c>
      <c r="K98" t="str">
        <f>IF(J98&lt;&gt;"",SUM($J$2:J98),"")</f>
        <v/>
      </c>
      <c r="L98">
        <f ca="1" t="shared" si="3"/>
        <v>45942</v>
      </c>
    </row>
    <row r="99" spans="9:12">
      <c r="I99">
        <f>IFERROR(VLOOKUP(H99,Rates!$A$2:$B$3,2,0),1)</f>
        <v>1</v>
      </c>
      <c r="J99" t="str">
        <f t="shared" si="2"/>
        <v/>
      </c>
      <c r="K99" t="str">
        <f>IF(J99&lt;&gt;"",SUM($J$2:J99),"")</f>
        <v/>
      </c>
      <c r="L99">
        <f ca="1" t="shared" si="3"/>
        <v>45942</v>
      </c>
    </row>
    <row r="100" spans="9:12">
      <c r="I100">
        <f>IFERROR(VLOOKUP(H100,Rates!$A$2:$B$3,2,0),1)</f>
        <v>1</v>
      </c>
      <c r="J100" t="str">
        <f t="shared" si="2"/>
        <v/>
      </c>
      <c r="K100" t="str">
        <f>IF(J100&lt;&gt;"",SUM($J$2:J100),"")</f>
        <v/>
      </c>
      <c r="L100">
        <f ca="1" t="shared" si="3"/>
        <v>45942</v>
      </c>
    </row>
    <row r="101" spans="9:12">
      <c r="I101">
        <f>IFERROR(VLOOKUP(H101,Rates!$A$2:$B$3,2,0),1)</f>
        <v>1</v>
      </c>
      <c r="J101" t="str">
        <f t="shared" si="2"/>
        <v/>
      </c>
      <c r="K101" t="str">
        <f>IF(J101&lt;&gt;"",SUM($J$2:J101),"")</f>
        <v/>
      </c>
      <c r="L101">
        <f ca="1" t="shared" si="3"/>
        <v>45942</v>
      </c>
    </row>
    <row r="102" spans="9:12">
      <c r="I102">
        <f>IFERROR(VLOOKUP(H102,Rates!$A$2:$B$3,2,0),1)</f>
        <v>1</v>
      </c>
      <c r="J102" t="str">
        <f t="shared" si="2"/>
        <v/>
      </c>
      <c r="K102" t="str">
        <f>IF(J102&lt;&gt;"",SUM($J$2:J102),"")</f>
        <v/>
      </c>
      <c r="L102">
        <f ca="1" t="shared" si="3"/>
        <v>45942</v>
      </c>
    </row>
    <row r="103" spans="9:12">
      <c r="I103">
        <f>IFERROR(VLOOKUP(H103,Rates!$A$2:$B$3,2,0),1)</f>
        <v>1</v>
      </c>
      <c r="J103" t="str">
        <f t="shared" si="2"/>
        <v/>
      </c>
      <c r="K103" t="str">
        <f>IF(J103&lt;&gt;"",SUM($J$2:J103),"")</f>
        <v/>
      </c>
      <c r="L103">
        <f ca="1" t="shared" si="3"/>
        <v>45942</v>
      </c>
    </row>
    <row r="104" spans="9:12">
      <c r="I104">
        <f>IFERROR(VLOOKUP(H104,Rates!$A$2:$B$3,2,0),1)</f>
        <v>1</v>
      </c>
      <c r="J104" t="str">
        <f t="shared" si="2"/>
        <v/>
      </c>
      <c r="K104" t="str">
        <f>IF(J104&lt;&gt;"",SUM($J$2:J104),"")</f>
        <v/>
      </c>
      <c r="L104">
        <f ca="1" t="shared" si="3"/>
        <v>45942</v>
      </c>
    </row>
    <row r="105" spans="9:12">
      <c r="I105">
        <f>IFERROR(VLOOKUP(H105,Rates!$A$2:$B$3,2,0),1)</f>
        <v>1</v>
      </c>
      <c r="J105" t="str">
        <f t="shared" si="2"/>
        <v/>
      </c>
      <c r="K105" t="str">
        <f>IF(J105&lt;&gt;"",SUM($J$2:J105),"")</f>
        <v/>
      </c>
      <c r="L105">
        <f ca="1" t="shared" si="3"/>
        <v>45942</v>
      </c>
    </row>
    <row r="106" spans="9:12">
      <c r="I106">
        <f>IFERROR(VLOOKUP(H106,Rates!$A$2:$B$3,2,0),1)</f>
        <v>1</v>
      </c>
      <c r="J106" t="str">
        <f t="shared" si="2"/>
        <v/>
      </c>
      <c r="K106" t="str">
        <f>IF(J106&lt;&gt;"",SUM($J$2:J106),"")</f>
        <v/>
      </c>
      <c r="L106">
        <f ca="1" t="shared" si="3"/>
        <v>45942</v>
      </c>
    </row>
    <row r="107" spans="9:12">
      <c r="I107">
        <f>IFERROR(VLOOKUP(H107,Rates!$A$2:$B$3,2,0),1)</f>
        <v>1</v>
      </c>
      <c r="J107" t="str">
        <f t="shared" si="2"/>
        <v/>
      </c>
      <c r="K107" t="str">
        <f>IF(J107&lt;&gt;"",SUM($J$2:J107),"")</f>
        <v/>
      </c>
      <c r="L107">
        <f ca="1" t="shared" si="3"/>
        <v>45942</v>
      </c>
    </row>
    <row r="108" spans="9:12">
      <c r="I108">
        <f>IFERROR(VLOOKUP(H108,Rates!$A$2:$B$3,2,0),1)</f>
        <v>1</v>
      </c>
      <c r="J108" t="str">
        <f t="shared" si="2"/>
        <v/>
      </c>
      <c r="K108" t="str">
        <f>IF(J108&lt;&gt;"",SUM($J$2:J108),"")</f>
        <v/>
      </c>
      <c r="L108">
        <f ca="1" t="shared" si="3"/>
        <v>45942</v>
      </c>
    </row>
    <row r="109" spans="9:12">
      <c r="I109">
        <f>IFERROR(VLOOKUP(H109,Rates!$A$2:$B$3,2,0),1)</f>
        <v>1</v>
      </c>
      <c r="J109" t="str">
        <f t="shared" si="2"/>
        <v/>
      </c>
      <c r="K109" t="str">
        <f>IF(J109&lt;&gt;"",SUM($J$2:J109),"")</f>
        <v/>
      </c>
      <c r="L109">
        <f ca="1" t="shared" si="3"/>
        <v>45942</v>
      </c>
    </row>
    <row r="110" spans="9:12">
      <c r="I110">
        <f>IFERROR(VLOOKUP(H110,Rates!$A$2:$B$3,2,0),1)</f>
        <v>1</v>
      </c>
      <c r="J110" t="str">
        <f t="shared" si="2"/>
        <v/>
      </c>
      <c r="K110" t="str">
        <f>IF(J110&lt;&gt;"",SUM($J$2:J110),"")</f>
        <v/>
      </c>
      <c r="L110">
        <f ca="1" t="shared" si="3"/>
        <v>45942</v>
      </c>
    </row>
    <row r="111" spans="9:12">
      <c r="I111">
        <f>IFERROR(VLOOKUP(H111,Rates!$A$2:$B$3,2,0),1)</f>
        <v>1</v>
      </c>
      <c r="J111" t="str">
        <f t="shared" si="2"/>
        <v/>
      </c>
      <c r="K111" t="str">
        <f>IF(J111&lt;&gt;"",SUM($J$2:J111),"")</f>
        <v/>
      </c>
      <c r="L111">
        <f ca="1" t="shared" si="3"/>
        <v>45942</v>
      </c>
    </row>
    <row r="112" spans="9:12">
      <c r="I112">
        <f>IFERROR(VLOOKUP(H112,Rates!$A$2:$B$3,2,0),1)</f>
        <v>1</v>
      </c>
      <c r="J112" t="str">
        <f t="shared" si="2"/>
        <v/>
      </c>
      <c r="K112" t="str">
        <f>IF(J112&lt;&gt;"",SUM($J$2:J112),"")</f>
        <v/>
      </c>
      <c r="L112">
        <f ca="1" t="shared" si="3"/>
        <v>45942</v>
      </c>
    </row>
    <row r="113" spans="9:12">
      <c r="I113">
        <f>IFERROR(VLOOKUP(H113,Rates!$A$2:$B$3,2,0),1)</f>
        <v>1</v>
      </c>
      <c r="J113" t="str">
        <f t="shared" si="2"/>
        <v/>
      </c>
      <c r="K113" t="str">
        <f>IF(J113&lt;&gt;"",SUM($J$2:J113),"")</f>
        <v/>
      </c>
      <c r="L113">
        <f ca="1" t="shared" si="3"/>
        <v>45942</v>
      </c>
    </row>
    <row r="114" spans="9:12">
      <c r="I114">
        <f>IFERROR(VLOOKUP(H114,Rates!$A$2:$B$3,2,0),1)</f>
        <v>1</v>
      </c>
      <c r="J114" t="str">
        <f t="shared" si="2"/>
        <v/>
      </c>
      <c r="K114" t="str">
        <f>IF(J114&lt;&gt;"",SUM($J$2:J114),"")</f>
        <v/>
      </c>
      <c r="L114">
        <f ca="1" t="shared" si="3"/>
        <v>45942</v>
      </c>
    </row>
    <row r="115" spans="9:12">
      <c r="I115">
        <f>IFERROR(VLOOKUP(H115,Rates!$A$2:$B$3,2,0),1)</f>
        <v>1</v>
      </c>
      <c r="J115" t="str">
        <f t="shared" si="2"/>
        <v/>
      </c>
      <c r="K115" t="str">
        <f>IF(J115&lt;&gt;"",SUM($J$2:J115),"")</f>
        <v/>
      </c>
      <c r="L115">
        <f ca="1" t="shared" si="3"/>
        <v>45942</v>
      </c>
    </row>
    <row r="116" spans="9:12">
      <c r="I116">
        <f>IFERROR(VLOOKUP(H116,Rates!$A$2:$B$3,2,0),1)</f>
        <v>1</v>
      </c>
      <c r="J116" t="str">
        <f t="shared" si="2"/>
        <v/>
      </c>
      <c r="K116" t="str">
        <f>IF(J116&lt;&gt;"",SUM($J$2:J116),"")</f>
        <v/>
      </c>
      <c r="L116">
        <f ca="1" t="shared" si="3"/>
        <v>45942</v>
      </c>
    </row>
    <row r="117" spans="9:12">
      <c r="I117">
        <f>IFERROR(VLOOKUP(H117,Rates!$A$2:$B$3,2,0),1)</f>
        <v>1</v>
      </c>
      <c r="J117" t="str">
        <f t="shared" si="2"/>
        <v/>
      </c>
      <c r="K117" t="str">
        <f>IF(J117&lt;&gt;"",SUM($J$2:J117),"")</f>
        <v/>
      </c>
      <c r="L117">
        <f ca="1" t="shared" si="3"/>
        <v>45942</v>
      </c>
    </row>
    <row r="118" spans="9:12">
      <c r="I118">
        <f>IFERROR(VLOOKUP(H118,Rates!$A$2:$B$3,2,0),1)</f>
        <v>1</v>
      </c>
      <c r="J118" t="str">
        <f t="shared" si="2"/>
        <v/>
      </c>
      <c r="K118" t="str">
        <f>IF(J118&lt;&gt;"",SUM($J$2:J118),"")</f>
        <v/>
      </c>
      <c r="L118">
        <f ca="1" t="shared" si="3"/>
        <v>45942</v>
      </c>
    </row>
    <row r="119" spans="9:12">
      <c r="I119">
        <f>IFERROR(VLOOKUP(H119,Rates!$A$2:$B$3,2,0),1)</f>
        <v>1</v>
      </c>
      <c r="J119" t="str">
        <f t="shared" si="2"/>
        <v/>
      </c>
      <c r="K119" t="str">
        <f>IF(J119&lt;&gt;"",SUM($J$2:J119),"")</f>
        <v/>
      </c>
      <c r="L119">
        <f ca="1" t="shared" si="3"/>
        <v>45942</v>
      </c>
    </row>
    <row r="120" spans="9:12">
      <c r="I120">
        <f>IFERROR(VLOOKUP(H120,Rates!$A$2:$B$3,2,0),1)</f>
        <v>1</v>
      </c>
      <c r="J120" t="str">
        <f t="shared" si="2"/>
        <v/>
      </c>
      <c r="K120" t="str">
        <f>IF(J120&lt;&gt;"",SUM($J$2:J120),"")</f>
        <v/>
      </c>
      <c r="L120">
        <f ca="1" t="shared" si="3"/>
        <v>45942</v>
      </c>
    </row>
    <row r="121" spans="9:12">
      <c r="I121">
        <f>IFERROR(VLOOKUP(H121,Rates!$A$2:$B$3,2,0),1)</f>
        <v>1</v>
      </c>
      <c r="J121" t="str">
        <f t="shared" si="2"/>
        <v/>
      </c>
      <c r="K121" t="str">
        <f>IF(J121&lt;&gt;"",SUM($J$2:J121),"")</f>
        <v/>
      </c>
      <c r="L121">
        <f ca="1" t="shared" si="3"/>
        <v>45942</v>
      </c>
    </row>
    <row r="122" spans="9:12">
      <c r="I122">
        <f>IFERROR(VLOOKUP(H122,Rates!$A$2:$B$3,2,0),1)</f>
        <v>1</v>
      </c>
      <c r="J122" t="str">
        <f t="shared" si="2"/>
        <v/>
      </c>
      <c r="K122" t="str">
        <f>IF(J122&lt;&gt;"",SUM($J$2:J122),"")</f>
        <v/>
      </c>
      <c r="L122">
        <f ca="1" t="shared" si="3"/>
        <v>45942</v>
      </c>
    </row>
    <row r="123" spans="9:12">
      <c r="I123">
        <f>IFERROR(VLOOKUP(H123,Rates!$A$2:$B$3,2,0),1)</f>
        <v>1</v>
      </c>
      <c r="J123" t="str">
        <f t="shared" si="2"/>
        <v/>
      </c>
      <c r="K123" t="str">
        <f>IF(J123&lt;&gt;"",SUM($J$2:J123),"")</f>
        <v/>
      </c>
      <c r="L123">
        <f ca="1" t="shared" si="3"/>
        <v>45942</v>
      </c>
    </row>
    <row r="124" spans="9:12">
      <c r="I124">
        <f>IFERROR(VLOOKUP(H124,Rates!$A$2:$B$3,2,0),1)</f>
        <v>1</v>
      </c>
      <c r="J124" t="str">
        <f t="shared" si="2"/>
        <v/>
      </c>
      <c r="K124" t="str">
        <f>IF(J124&lt;&gt;"",SUM($J$2:J124),"")</f>
        <v/>
      </c>
      <c r="L124">
        <f ca="1" t="shared" si="3"/>
        <v>45942</v>
      </c>
    </row>
    <row r="125" spans="9:12">
      <c r="I125">
        <f>IFERROR(VLOOKUP(H125,Rates!$A$2:$B$3,2,0),1)</f>
        <v>1</v>
      </c>
      <c r="J125" t="str">
        <f t="shared" si="2"/>
        <v/>
      </c>
      <c r="K125" t="str">
        <f>IF(J125&lt;&gt;"",SUM($J$2:J125),"")</f>
        <v/>
      </c>
      <c r="L125">
        <f ca="1" t="shared" si="3"/>
        <v>45942</v>
      </c>
    </row>
    <row r="126" spans="9:12">
      <c r="I126">
        <f>IFERROR(VLOOKUP(H126,Rates!$A$2:$B$3,2,0),1)</f>
        <v>1</v>
      </c>
      <c r="J126" t="str">
        <f t="shared" si="2"/>
        <v/>
      </c>
      <c r="K126" t="str">
        <f>IF(J126&lt;&gt;"",SUM($J$2:J126),"")</f>
        <v/>
      </c>
      <c r="L126">
        <f ca="1" t="shared" si="3"/>
        <v>45942</v>
      </c>
    </row>
    <row r="127" spans="9:12">
      <c r="I127">
        <f>IFERROR(VLOOKUP(H127,Rates!$A$2:$B$3,2,0),1)</f>
        <v>1</v>
      </c>
      <c r="J127" t="str">
        <f t="shared" si="2"/>
        <v/>
      </c>
      <c r="K127" t="str">
        <f>IF(J127&lt;&gt;"",SUM($J$2:J127),"")</f>
        <v/>
      </c>
      <c r="L127">
        <f ca="1" t="shared" si="3"/>
        <v>45942</v>
      </c>
    </row>
    <row r="128" spans="9:12">
      <c r="I128">
        <f>IFERROR(VLOOKUP(H128,Rates!$A$2:$B$3,2,0),1)</f>
        <v>1</v>
      </c>
      <c r="J128" t="str">
        <f t="shared" si="2"/>
        <v/>
      </c>
      <c r="K128" t="str">
        <f>IF(J128&lt;&gt;"",SUM($J$2:J128),"")</f>
        <v/>
      </c>
      <c r="L128">
        <f ca="1" t="shared" si="3"/>
        <v>45942</v>
      </c>
    </row>
    <row r="129" spans="9:12">
      <c r="I129">
        <f>IFERROR(VLOOKUP(H129,Rates!$A$2:$B$3,2,0),1)</f>
        <v>1</v>
      </c>
      <c r="J129" t="str">
        <f t="shared" si="2"/>
        <v/>
      </c>
      <c r="K129" t="str">
        <f>IF(J129&lt;&gt;"",SUM($J$2:J129),"")</f>
        <v/>
      </c>
      <c r="L129">
        <f ca="1" t="shared" si="3"/>
        <v>45942</v>
      </c>
    </row>
    <row r="130" spans="9:12">
      <c r="I130">
        <f>IFERROR(VLOOKUP(H130,Rates!$A$2:$B$3,2,0),1)</f>
        <v>1</v>
      </c>
      <c r="J130" t="str">
        <f t="shared" ref="J130:J193" si="4">IF(G130&lt;&gt;"",G130*I130,"")</f>
        <v/>
      </c>
      <c r="K130" t="str">
        <f>IF(J130&lt;&gt;"",SUM($J$2:J130),"")</f>
        <v/>
      </c>
      <c r="L130">
        <f ca="1" t="shared" ref="L130:L193" si="5">IF(COUNTA(A130:K130)&gt;0,TODAY(),"")</f>
        <v>45942</v>
      </c>
    </row>
    <row r="131" spans="9:12">
      <c r="I131">
        <f>IFERROR(VLOOKUP(H131,Rates!$A$2:$B$3,2,0),1)</f>
        <v>1</v>
      </c>
      <c r="J131" t="str">
        <f t="shared" si="4"/>
        <v/>
      </c>
      <c r="K131" t="str">
        <f>IF(J131&lt;&gt;"",SUM($J$2:J131),"")</f>
        <v/>
      </c>
      <c r="L131">
        <f ca="1" t="shared" si="5"/>
        <v>45942</v>
      </c>
    </row>
    <row r="132" spans="9:12">
      <c r="I132">
        <f>IFERROR(VLOOKUP(H132,Rates!$A$2:$B$3,2,0),1)</f>
        <v>1</v>
      </c>
      <c r="J132" t="str">
        <f t="shared" si="4"/>
        <v/>
      </c>
      <c r="K132" t="str">
        <f>IF(J132&lt;&gt;"",SUM($J$2:J132),"")</f>
        <v/>
      </c>
      <c r="L132">
        <f ca="1" t="shared" si="5"/>
        <v>45942</v>
      </c>
    </row>
    <row r="133" spans="9:12">
      <c r="I133">
        <f>IFERROR(VLOOKUP(H133,Rates!$A$2:$B$3,2,0),1)</f>
        <v>1</v>
      </c>
      <c r="J133" t="str">
        <f t="shared" si="4"/>
        <v/>
      </c>
      <c r="K133" t="str">
        <f>IF(J133&lt;&gt;"",SUM($J$2:J133),"")</f>
        <v/>
      </c>
      <c r="L133">
        <f ca="1" t="shared" si="5"/>
        <v>45942</v>
      </c>
    </row>
    <row r="134" spans="9:12">
      <c r="I134">
        <f>IFERROR(VLOOKUP(H134,Rates!$A$2:$B$3,2,0),1)</f>
        <v>1</v>
      </c>
      <c r="J134" t="str">
        <f t="shared" si="4"/>
        <v/>
      </c>
      <c r="K134" t="str">
        <f>IF(J134&lt;&gt;"",SUM($J$2:J134),"")</f>
        <v/>
      </c>
      <c r="L134">
        <f ca="1" t="shared" si="5"/>
        <v>45942</v>
      </c>
    </row>
    <row r="135" spans="9:12">
      <c r="I135">
        <f>IFERROR(VLOOKUP(H135,Rates!$A$2:$B$3,2,0),1)</f>
        <v>1</v>
      </c>
      <c r="J135" t="str">
        <f t="shared" si="4"/>
        <v/>
      </c>
      <c r="K135" t="str">
        <f>IF(J135&lt;&gt;"",SUM($J$2:J135),"")</f>
        <v/>
      </c>
      <c r="L135">
        <f ca="1" t="shared" si="5"/>
        <v>45942</v>
      </c>
    </row>
    <row r="136" spans="9:12">
      <c r="I136">
        <f>IFERROR(VLOOKUP(H136,Rates!$A$2:$B$3,2,0),1)</f>
        <v>1</v>
      </c>
      <c r="J136" t="str">
        <f t="shared" si="4"/>
        <v/>
      </c>
      <c r="K136" t="str">
        <f>IF(J136&lt;&gt;"",SUM($J$2:J136),"")</f>
        <v/>
      </c>
      <c r="L136">
        <f ca="1" t="shared" si="5"/>
        <v>45942</v>
      </c>
    </row>
    <row r="137" spans="9:12">
      <c r="I137">
        <f>IFERROR(VLOOKUP(H137,Rates!$A$2:$B$3,2,0),1)</f>
        <v>1</v>
      </c>
      <c r="J137" t="str">
        <f t="shared" si="4"/>
        <v/>
      </c>
      <c r="K137" t="str">
        <f>IF(J137&lt;&gt;"",SUM($J$2:J137),"")</f>
        <v/>
      </c>
      <c r="L137">
        <f ca="1" t="shared" si="5"/>
        <v>45942</v>
      </c>
    </row>
    <row r="138" spans="9:12">
      <c r="I138">
        <f>IFERROR(VLOOKUP(H138,Rates!$A$2:$B$3,2,0),1)</f>
        <v>1</v>
      </c>
      <c r="J138" t="str">
        <f t="shared" si="4"/>
        <v/>
      </c>
      <c r="K138" t="str">
        <f>IF(J138&lt;&gt;"",SUM($J$2:J138),"")</f>
        <v/>
      </c>
      <c r="L138">
        <f ca="1" t="shared" si="5"/>
        <v>45942</v>
      </c>
    </row>
    <row r="139" spans="9:12">
      <c r="I139">
        <f>IFERROR(VLOOKUP(H139,Rates!$A$2:$B$3,2,0),1)</f>
        <v>1</v>
      </c>
      <c r="J139" t="str">
        <f t="shared" si="4"/>
        <v/>
      </c>
      <c r="K139" t="str">
        <f>IF(J139&lt;&gt;"",SUM($J$2:J139),"")</f>
        <v/>
      </c>
      <c r="L139">
        <f ca="1" t="shared" si="5"/>
        <v>45942</v>
      </c>
    </row>
    <row r="140" spans="9:12">
      <c r="I140">
        <f>IFERROR(VLOOKUP(H140,Rates!$A$2:$B$3,2,0),1)</f>
        <v>1</v>
      </c>
      <c r="J140" t="str">
        <f t="shared" si="4"/>
        <v/>
      </c>
      <c r="K140" t="str">
        <f>IF(J140&lt;&gt;"",SUM($J$2:J140),"")</f>
        <v/>
      </c>
      <c r="L140">
        <f ca="1" t="shared" si="5"/>
        <v>45942</v>
      </c>
    </row>
    <row r="141" spans="9:12">
      <c r="I141">
        <f>IFERROR(VLOOKUP(H141,Rates!$A$2:$B$3,2,0),1)</f>
        <v>1</v>
      </c>
      <c r="J141" t="str">
        <f t="shared" si="4"/>
        <v/>
      </c>
      <c r="K141" t="str">
        <f>IF(J141&lt;&gt;"",SUM($J$2:J141),"")</f>
        <v/>
      </c>
      <c r="L141">
        <f ca="1" t="shared" si="5"/>
        <v>45942</v>
      </c>
    </row>
    <row r="142" spans="9:12">
      <c r="I142">
        <f>IFERROR(VLOOKUP(H142,Rates!$A$2:$B$3,2,0),1)</f>
        <v>1</v>
      </c>
      <c r="J142" t="str">
        <f t="shared" si="4"/>
        <v/>
      </c>
      <c r="K142" t="str">
        <f>IF(J142&lt;&gt;"",SUM($J$2:J142),"")</f>
        <v/>
      </c>
      <c r="L142">
        <f ca="1" t="shared" si="5"/>
        <v>45942</v>
      </c>
    </row>
    <row r="143" spans="9:12">
      <c r="I143">
        <f>IFERROR(VLOOKUP(H143,Rates!$A$2:$B$3,2,0),1)</f>
        <v>1</v>
      </c>
      <c r="J143" t="str">
        <f t="shared" si="4"/>
        <v/>
      </c>
      <c r="K143" t="str">
        <f>IF(J143&lt;&gt;"",SUM($J$2:J143),"")</f>
        <v/>
      </c>
      <c r="L143">
        <f ca="1" t="shared" si="5"/>
        <v>45942</v>
      </c>
    </row>
    <row r="144" spans="9:12">
      <c r="I144">
        <f>IFERROR(VLOOKUP(H144,Rates!$A$2:$B$3,2,0),1)</f>
        <v>1</v>
      </c>
      <c r="J144" t="str">
        <f t="shared" si="4"/>
        <v/>
      </c>
      <c r="K144" t="str">
        <f>IF(J144&lt;&gt;"",SUM($J$2:J144),"")</f>
        <v/>
      </c>
      <c r="L144">
        <f ca="1" t="shared" si="5"/>
        <v>45942</v>
      </c>
    </row>
    <row r="145" spans="9:12">
      <c r="I145">
        <f>IFERROR(VLOOKUP(H145,Rates!$A$2:$B$3,2,0),1)</f>
        <v>1</v>
      </c>
      <c r="J145" t="str">
        <f t="shared" si="4"/>
        <v/>
      </c>
      <c r="K145" t="str">
        <f>IF(J145&lt;&gt;"",SUM($J$2:J145),"")</f>
        <v/>
      </c>
      <c r="L145">
        <f ca="1" t="shared" si="5"/>
        <v>45942</v>
      </c>
    </row>
    <row r="146" spans="9:12">
      <c r="I146">
        <f>IFERROR(VLOOKUP(H146,Rates!$A$2:$B$3,2,0),1)</f>
        <v>1</v>
      </c>
      <c r="J146" t="str">
        <f t="shared" si="4"/>
        <v/>
      </c>
      <c r="K146" t="str">
        <f>IF(J146&lt;&gt;"",SUM($J$2:J146),"")</f>
        <v/>
      </c>
      <c r="L146">
        <f ca="1" t="shared" si="5"/>
        <v>45942</v>
      </c>
    </row>
    <row r="147" spans="9:12">
      <c r="I147">
        <f>IFERROR(VLOOKUP(H147,Rates!$A$2:$B$3,2,0),1)</f>
        <v>1</v>
      </c>
      <c r="J147" t="str">
        <f t="shared" si="4"/>
        <v/>
      </c>
      <c r="K147" t="str">
        <f>IF(J147&lt;&gt;"",SUM($J$2:J147),"")</f>
        <v/>
      </c>
      <c r="L147">
        <f ca="1" t="shared" si="5"/>
        <v>45942</v>
      </c>
    </row>
    <row r="148" spans="9:12">
      <c r="I148">
        <f>IFERROR(VLOOKUP(H148,Rates!$A$2:$B$3,2,0),1)</f>
        <v>1</v>
      </c>
      <c r="J148" t="str">
        <f t="shared" si="4"/>
        <v/>
      </c>
      <c r="K148" t="str">
        <f>IF(J148&lt;&gt;"",SUM($J$2:J148),"")</f>
        <v/>
      </c>
      <c r="L148">
        <f ca="1" t="shared" si="5"/>
        <v>45942</v>
      </c>
    </row>
    <row r="149" spans="9:12">
      <c r="I149">
        <f>IFERROR(VLOOKUP(H149,Rates!$A$2:$B$3,2,0),1)</f>
        <v>1</v>
      </c>
      <c r="J149" t="str">
        <f t="shared" si="4"/>
        <v/>
      </c>
      <c r="K149" t="str">
        <f>IF(J149&lt;&gt;"",SUM($J$2:J149),"")</f>
        <v/>
      </c>
      <c r="L149">
        <f ca="1" t="shared" si="5"/>
        <v>45942</v>
      </c>
    </row>
    <row r="150" spans="9:12">
      <c r="I150">
        <f>IFERROR(VLOOKUP(H150,Rates!$A$2:$B$3,2,0),1)</f>
        <v>1</v>
      </c>
      <c r="J150" t="str">
        <f t="shared" si="4"/>
        <v/>
      </c>
      <c r="K150" t="str">
        <f>IF(J150&lt;&gt;"",SUM($J$2:J150),"")</f>
        <v/>
      </c>
      <c r="L150">
        <f ca="1" t="shared" si="5"/>
        <v>45942</v>
      </c>
    </row>
    <row r="151" spans="9:12">
      <c r="I151">
        <f>IFERROR(VLOOKUP(H151,Rates!$A$2:$B$3,2,0),1)</f>
        <v>1</v>
      </c>
      <c r="J151" t="str">
        <f t="shared" si="4"/>
        <v/>
      </c>
      <c r="K151" t="str">
        <f>IF(J151&lt;&gt;"",SUM($J$2:J151),"")</f>
        <v/>
      </c>
      <c r="L151">
        <f ca="1" t="shared" si="5"/>
        <v>45942</v>
      </c>
    </row>
    <row r="152" spans="9:12">
      <c r="I152">
        <f>IFERROR(VLOOKUP(H152,Rates!$A$2:$B$3,2,0),1)</f>
        <v>1</v>
      </c>
      <c r="J152" t="str">
        <f t="shared" si="4"/>
        <v/>
      </c>
      <c r="K152" t="str">
        <f>IF(J152&lt;&gt;"",SUM($J$2:J152),"")</f>
        <v/>
      </c>
      <c r="L152">
        <f ca="1" t="shared" si="5"/>
        <v>45942</v>
      </c>
    </row>
    <row r="153" spans="9:12">
      <c r="I153">
        <f>IFERROR(VLOOKUP(H153,Rates!$A$2:$B$3,2,0),1)</f>
        <v>1</v>
      </c>
      <c r="J153" t="str">
        <f t="shared" si="4"/>
        <v/>
      </c>
      <c r="K153" t="str">
        <f>IF(J153&lt;&gt;"",SUM($J$2:J153),"")</f>
        <v/>
      </c>
      <c r="L153">
        <f ca="1" t="shared" si="5"/>
        <v>45942</v>
      </c>
    </row>
    <row r="154" spans="9:12">
      <c r="I154">
        <f>IFERROR(VLOOKUP(H154,Rates!$A$2:$B$3,2,0),1)</f>
        <v>1</v>
      </c>
      <c r="J154" t="str">
        <f t="shared" si="4"/>
        <v/>
      </c>
      <c r="K154" t="str">
        <f>IF(J154&lt;&gt;"",SUM($J$2:J154),"")</f>
        <v/>
      </c>
      <c r="L154">
        <f ca="1" t="shared" si="5"/>
        <v>45942</v>
      </c>
    </row>
    <row r="155" spans="9:12">
      <c r="I155">
        <f>IFERROR(VLOOKUP(H155,Rates!$A$2:$B$3,2,0),1)</f>
        <v>1</v>
      </c>
      <c r="J155" t="str">
        <f t="shared" si="4"/>
        <v/>
      </c>
      <c r="K155" t="str">
        <f>IF(J155&lt;&gt;"",SUM($J$2:J155),"")</f>
        <v/>
      </c>
      <c r="L155">
        <f ca="1" t="shared" si="5"/>
        <v>45942</v>
      </c>
    </row>
    <row r="156" spans="9:12">
      <c r="I156">
        <f>IFERROR(VLOOKUP(H156,Rates!$A$2:$B$3,2,0),1)</f>
        <v>1</v>
      </c>
      <c r="J156" t="str">
        <f t="shared" si="4"/>
        <v/>
      </c>
      <c r="K156" t="str">
        <f>IF(J156&lt;&gt;"",SUM($J$2:J156),"")</f>
        <v/>
      </c>
      <c r="L156">
        <f ca="1" t="shared" si="5"/>
        <v>45942</v>
      </c>
    </row>
    <row r="157" spans="9:12">
      <c r="I157">
        <f>IFERROR(VLOOKUP(H157,Rates!$A$2:$B$3,2,0),1)</f>
        <v>1</v>
      </c>
      <c r="J157" t="str">
        <f t="shared" si="4"/>
        <v/>
      </c>
      <c r="K157" t="str">
        <f>IF(J157&lt;&gt;"",SUM($J$2:J157),"")</f>
        <v/>
      </c>
      <c r="L157">
        <f ca="1" t="shared" si="5"/>
        <v>45942</v>
      </c>
    </row>
    <row r="158" spans="9:12">
      <c r="I158">
        <f>IFERROR(VLOOKUP(H158,Rates!$A$2:$B$3,2,0),1)</f>
        <v>1</v>
      </c>
      <c r="J158" t="str">
        <f t="shared" si="4"/>
        <v/>
      </c>
      <c r="K158" t="str">
        <f>IF(J158&lt;&gt;"",SUM($J$2:J158),"")</f>
        <v/>
      </c>
      <c r="L158">
        <f ca="1" t="shared" si="5"/>
        <v>45942</v>
      </c>
    </row>
    <row r="159" spans="9:12">
      <c r="I159">
        <f>IFERROR(VLOOKUP(H159,Rates!$A$2:$B$3,2,0),1)</f>
        <v>1</v>
      </c>
      <c r="J159" t="str">
        <f t="shared" si="4"/>
        <v/>
      </c>
      <c r="K159" t="str">
        <f>IF(J159&lt;&gt;"",SUM($J$2:J159),"")</f>
        <v/>
      </c>
      <c r="L159">
        <f ca="1" t="shared" si="5"/>
        <v>45942</v>
      </c>
    </row>
    <row r="160" spans="9:12">
      <c r="I160">
        <f>IFERROR(VLOOKUP(H160,Rates!$A$2:$B$3,2,0),1)</f>
        <v>1</v>
      </c>
      <c r="J160" t="str">
        <f t="shared" si="4"/>
        <v/>
      </c>
      <c r="K160" t="str">
        <f>IF(J160&lt;&gt;"",SUM($J$2:J160),"")</f>
        <v/>
      </c>
      <c r="L160">
        <f ca="1" t="shared" si="5"/>
        <v>45942</v>
      </c>
    </row>
    <row r="161" spans="9:12">
      <c r="I161">
        <f>IFERROR(VLOOKUP(H161,Rates!$A$2:$B$3,2,0),1)</f>
        <v>1</v>
      </c>
      <c r="J161" t="str">
        <f t="shared" si="4"/>
        <v/>
      </c>
      <c r="K161" t="str">
        <f>IF(J161&lt;&gt;"",SUM($J$2:J161),"")</f>
        <v/>
      </c>
      <c r="L161">
        <f ca="1" t="shared" si="5"/>
        <v>45942</v>
      </c>
    </row>
    <row r="162" spans="9:12">
      <c r="I162">
        <f>IFERROR(VLOOKUP(H162,Rates!$A$2:$B$3,2,0),1)</f>
        <v>1</v>
      </c>
      <c r="J162" t="str">
        <f t="shared" si="4"/>
        <v/>
      </c>
      <c r="K162" t="str">
        <f>IF(J162&lt;&gt;"",SUM($J$2:J162),"")</f>
        <v/>
      </c>
      <c r="L162">
        <f ca="1" t="shared" si="5"/>
        <v>45942</v>
      </c>
    </row>
    <row r="163" spans="9:12">
      <c r="I163">
        <f>IFERROR(VLOOKUP(H163,Rates!$A$2:$B$3,2,0),1)</f>
        <v>1</v>
      </c>
      <c r="J163" t="str">
        <f t="shared" si="4"/>
        <v/>
      </c>
      <c r="K163" t="str">
        <f>IF(J163&lt;&gt;"",SUM($J$2:J163),"")</f>
        <v/>
      </c>
      <c r="L163">
        <f ca="1" t="shared" si="5"/>
        <v>45942</v>
      </c>
    </row>
    <row r="164" spans="9:12">
      <c r="I164">
        <f>IFERROR(VLOOKUP(H164,Rates!$A$2:$B$3,2,0),1)</f>
        <v>1</v>
      </c>
      <c r="J164" t="str">
        <f t="shared" si="4"/>
        <v/>
      </c>
      <c r="K164" t="str">
        <f>IF(J164&lt;&gt;"",SUM($J$2:J164),"")</f>
        <v/>
      </c>
      <c r="L164">
        <f ca="1" t="shared" si="5"/>
        <v>45942</v>
      </c>
    </row>
    <row r="165" spans="9:12">
      <c r="I165">
        <f>IFERROR(VLOOKUP(H165,Rates!$A$2:$B$3,2,0),1)</f>
        <v>1</v>
      </c>
      <c r="J165" t="str">
        <f t="shared" si="4"/>
        <v/>
      </c>
      <c r="K165" t="str">
        <f>IF(J165&lt;&gt;"",SUM($J$2:J165),"")</f>
        <v/>
      </c>
      <c r="L165">
        <f ca="1" t="shared" si="5"/>
        <v>45942</v>
      </c>
    </row>
    <row r="166" spans="9:12">
      <c r="I166">
        <f>IFERROR(VLOOKUP(H166,Rates!$A$2:$B$3,2,0),1)</f>
        <v>1</v>
      </c>
      <c r="J166" t="str">
        <f t="shared" si="4"/>
        <v/>
      </c>
      <c r="K166" t="str">
        <f>IF(J166&lt;&gt;"",SUM($J$2:J166),"")</f>
        <v/>
      </c>
      <c r="L166">
        <f ca="1" t="shared" si="5"/>
        <v>45942</v>
      </c>
    </row>
    <row r="167" spans="9:12">
      <c r="I167">
        <f>IFERROR(VLOOKUP(H167,Rates!$A$2:$B$3,2,0),1)</f>
        <v>1</v>
      </c>
      <c r="J167" t="str">
        <f t="shared" si="4"/>
        <v/>
      </c>
      <c r="K167" t="str">
        <f>IF(J167&lt;&gt;"",SUM($J$2:J167),"")</f>
        <v/>
      </c>
      <c r="L167">
        <f ca="1" t="shared" si="5"/>
        <v>45942</v>
      </c>
    </row>
    <row r="168" spans="9:12">
      <c r="I168">
        <f>IFERROR(VLOOKUP(H168,Rates!$A$2:$B$3,2,0),1)</f>
        <v>1</v>
      </c>
      <c r="J168" t="str">
        <f t="shared" si="4"/>
        <v/>
      </c>
      <c r="K168" t="str">
        <f>IF(J168&lt;&gt;"",SUM($J$2:J168),"")</f>
        <v/>
      </c>
      <c r="L168">
        <f ca="1" t="shared" si="5"/>
        <v>45942</v>
      </c>
    </row>
    <row r="169" spans="9:12">
      <c r="I169">
        <f>IFERROR(VLOOKUP(H169,Rates!$A$2:$B$3,2,0),1)</f>
        <v>1</v>
      </c>
      <c r="J169" t="str">
        <f t="shared" si="4"/>
        <v/>
      </c>
      <c r="K169" t="str">
        <f>IF(J169&lt;&gt;"",SUM($J$2:J169),"")</f>
        <v/>
      </c>
      <c r="L169">
        <f ca="1" t="shared" si="5"/>
        <v>45942</v>
      </c>
    </row>
    <row r="170" spans="9:12">
      <c r="I170">
        <f>IFERROR(VLOOKUP(H170,Rates!$A$2:$B$3,2,0),1)</f>
        <v>1</v>
      </c>
      <c r="J170" t="str">
        <f t="shared" si="4"/>
        <v/>
      </c>
      <c r="K170" t="str">
        <f>IF(J170&lt;&gt;"",SUM($J$2:J170),"")</f>
        <v/>
      </c>
      <c r="L170">
        <f ca="1" t="shared" si="5"/>
        <v>45942</v>
      </c>
    </row>
    <row r="171" spans="9:12">
      <c r="I171">
        <f>IFERROR(VLOOKUP(H171,Rates!$A$2:$B$3,2,0),1)</f>
        <v>1</v>
      </c>
      <c r="J171" t="str">
        <f t="shared" si="4"/>
        <v/>
      </c>
      <c r="K171" t="str">
        <f>IF(J171&lt;&gt;"",SUM($J$2:J171),"")</f>
        <v/>
      </c>
      <c r="L171">
        <f ca="1" t="shared" si="5"/>
        <v>45942</v>
      </c>
    </row>
    <row r="172" spans="9:12">
      <c r="I172">
        <f>IFERROR(VLOOKUP(H172,Rates!$A$2:$B$3,2,0),1)</f>
        <v>1</v>
      </c>
      <c r="J172" t="str">
        <f t="shared" si="4"/>
        <v/>
      </c>
      <c r="K172" t="str">
        <f>IF(J172&lt;&gt;"",SUM($J$2:J172),"")</f>
        <v/>
      </c>
      <c r="L172">
        <f ca="1" t="shared" si="5"/>
        <v>45942</v>
      </c>
    </row>
    <row r="173" spans="9:12">
      <c r="I173">
        <f>IFERROR(VLOOKUP(H173,Rates!$A$2:$B$3,2,0),1)</f>
        <v>1</v>
      </c>
      <c r="J173" t="str">
        <f t="shared" si="4"/>
        <v/>
      </c>
      <c r="K173" t="str">
        <f>IF(J173&lt;&gt;"",SUM($J$2:J173),"")</f>
        <v/>
      </c>
      <c r="L173">
        <f ca="1" t="shared" si="5"/>
        <v>45942</v>
      </c>
    </row>
    <row r="174" spans="9:12">
      <c r="I174">
        <f>IFERROR(VLOOKUP(H174,Rates!$A$2:$B$3,2,0),1)</f>
        <v>1</v>
      </c>
      <c r="J174" t="str">
        <f t="shared" si="4"/>
        <v/>
      </c>
      <c r="K174" t="str">
        <f>IF(J174&lt;&gt;"",SUM($J$2:J174),"")</f>
        <v/>
      </c>
      <c r="L174">
        <f ca="1" t="shared" si="5"/>
        <v>45942</v>
      </c>
    </row>
    <row r="175" spans="9:12">
      <c r="I175">
        <f>IFERROR(VLOOKUP(H175,Rates!$A$2:$B$3,2,0),1)</f>
        <v>1</v>
      </c>
      <c r="J175" t="str">
        <f t="shared" si="4"/>
        <v/>
      </c>
      <c r="K175" t="str">
        <f>IF(J175&lt;&gt;"",SUM($J$2:J175),"")</f>
        <v/>
      </c>
      <c r="L175">
        <f ca="1" t="shared" si="5"/>
        <v>45942</v>
      </c>
    </row>
    <row r="176" spans="9:12">
      <c r="I176">
        <f>IFERROR(VLOOKUP(H176,Rates!$A$2:$B$3,2,0),1)</f>
        <v>1</v>
      </c>
      <c r="J176" t="str">
        <f t="shared" si="4"/>
        <v/>
      </c>
      <c r="K176" t="str">
        <f>IF(J176&lt;&gt;"",SUM($J$2:J176),"")</f>
        <v/>
      </c>
      <c r="L176">
        <f ca="1" t="shared" si="5"/>
        <v>45942</v>
      </c>
    </row>
    <row r="177" spans="9:12">
      <c r="I177">
        <f>IFERROR(VLOOKUP(H177,Rates!$A$2:$B$3,2,0),1)</f>
        <v>1</v>
      </c>
      <c r="J177" t="str">
        <f t="shared" si="4"/>
        <v/>
      </c>
      <c r="K177" t="str">
        <f>IF(J177&lt;&gt;"",SUM($J$2:J177),"")</f>
        <v/>
      </c>
      <c r="L177">
        <f ca="1" t="shared" si="5"/>
        <v>45942</v>
      </c>
    </row>
    <row r="178" spans="9:12">
      <c r="I178">
        <f>IFERROR(VLOOKUP(H178,Rates!$A$2:$B$3,2,0),1)</f>
        <v>1</v>
      </c>
      <c r="J178" t="str">
        <f t="shared" si="4"/>
        <v/>
      </c>
      <c r="K178" t="str">
        <f>IF(J178&lt;&gt;"",SUM($J$2:J178),"")</f>
        <v/>
      </c>
      <c r="L178">
        <f ca="1" t="shared" si="5"/>
        <v>45942</v>
      </c>
    </row>
    <row r="179" spans="9:12">
      <c r="I179">
        <f>IFERROR(VLOOKUP(H179,Rates!$A$2:$B$3,2,0),1)</f>
        <v>1</v>
      </c>
      <c r="J179" t="str">
        <f t="shared" si="4"/>
        <v/>
      </c>
      <c r="K179" t="str">
        <f>IF(J179&lt;&gt;"",SUM($J$2:J179),"")</f>
        <v/>
      </c>
      <c r="L179">
        <f ca="1" t="shared" si="5"/>
        <v>45942</v>
      </c>
    </row>
    <row r="180" spans="9:12">
      <c r="I180">
        <f>IFERROR(VLOOKUP(H180,Rates!$A$2:$B$3,2,0),1)</f>
        <v>1</v>
      </c>
      <c r="J180" t="str">
        <f t="shared" si="4"/>
        <v/>
      </c>
      <c r="K180" t="str">
        <f>IF(J180&lt;&gt;"",SUM($J$2:J180),"")</f>
        <v/>
      </c>
      <c r="L180">
        <f ca="1" t="shared" si="5"/>
        <v>45942</v>
      </c>
    </row>
    <row r="181" spans="9:12">
      <c r="I181">
        <f>IFERROR(VLOOKUP(H181,Rates!$A$2:$B$3,2,0),1)</f>
        <v>1</v>
      </c>
      <c r="J181" t="str">
        <f t="shared" si="4"/>
        <v/>
      </c>
      <c r="K181" t="str">
        <f>IF(J181&lt;&gt;"",SUM($J$2:J181),"")</f>
        <v/>
      </c>
      <c r="L181">
        <f ca="1" t="shared" si="5"/>
        <v>45942</v>
      </c>
    </row>
    <row r="182" spans="9:12">
      <c r="I182">
        <f>IFERROR(VLOOKUP(H182,Rates!$A$2:$B$3,2,0),1)</f>
        <v>1</v>
      </c>
      <c r="J182" t="str">
        <f t="shared" si="4"/>
        <v/>
      </c>
      <c r="K182" t="str">
        <f>IF(J182&lt;&gt;"",SUM($J$2:J182),"")</f>
        <v/>
      </c>
      <c r="L182">
        <f ca="1" t="shared" si="5"/>
        <v>45942</v>
      </c>
    </row>
    <row r="183" spans="9:12">
      <c r="I183">
        <f>IFERROR(VLOOKUP(H183,Rates!$A$2:$B$3,2,0),1)</f>
        <v>1</v>
      </c>
      <c r="J183" t="str">
        <f t="shared" si="4"/>
        <v/>
      </c>
      <c r="K183" t="str">
        <f>IF(J183&lt;&gt;"",SUM($J$2:J183),"")</f>
        <v/>
      </c>
      <c r="L183">
        <f ca="1" t="shared" si="5"/>
        <v>45942</v>
      </c>
    </row>
    <row r="184" spans="9:12">
      <c r="I184">
        <f>IFERROR(VLOOKUP(H184,Rates!$A$2:$B$3,2,0),1)</f>
        <v>1</v>
      </c>
      <c r="J184" t="str">
        <f t="shared" si="4"/>
        <v/>
      </c>
      <c r="K184" t="str">
        <f>IF(J184&lt;&gt;"",SUM($J$2:J184),"")</f>
        <v/>
      </c>
      <c r="L184">
        <f ca="1" t="shared" si="5"/>
        <v>45942</v>
      </c>
    </row>
    <row r="185" spans="9:12">
      <c r="I185">
        <f>IFERROR(VLOOKUP(H185,Rates!$A$2:$B$3,2,0),1)</f>
        <v>1</v>
      </c>
      <c r="J185" t="str">
        <f t="shared" si="4"/>
        <v/>
      </c>
      <c r="K185" t="str">
        <f>IF(J185&lt;&gt;"",SUM($J$2:J185),"")</f>
        <v/>
      </c>
      <c r="L185">
        <f ca="1" t="shared" si="5"/>
        <v>45942</v>
      </c>
    </row>
    <row r="186" spans="9:12">
      <c r="I186">
        <f>IFERROR(VLOOKUP(H186,Rates!$A$2:$B$3,2,0),1)</f>
        <v>1</v>
      </c>
      <c r="J186" t="str">
        <f t="shared" si="4"/>
        <v/>
      </c>
      <c r="K186" t="str">
        <f>IF(J186&lt;&gt;"",SUM($J$2:J186),"")</f>
        <v/>
      </c>
      <c r="L186">
        <f ca="1" t="shared" si="5"/>
        <v>45942</v>
      </c>
    </row>
    <row r="187" spans="9:12">
      <c r="I187">
        <f>IFERROR(VLOOKUP(H187,Rates!$A$2:$B$3,2,0),1)</f>
        <v>1</v>
      </c>
      <c r="J187" t="str">
        <f t="shared" si="4"/>
        <v/>
      </c>
      <c r="K187" t="str">
        <f>IF(J187&lt;&gt;"",SUM($J$2:J187),"")</f>
        <v/>
      </c>
      <c r="L187">
        <f ca="1" t="shared" si="5"/>
        <v>45942</v>
      </c>
    </row>
    <row r="188" spans="9:12">
      <c r="I188">
        <f>IFERROR(VLOOKUP(H188,Rates!$A$2:$B$3,2,0),1)</f>
        <v>1</v>
      </c>
      <c r="J188" t="str">
        <f t="shared" si="4"/>
        <v/>
      </c>
      <c r="K188" t="str">
        <f>IF(J188&lt;&gt;"",SUM($J$2:J188),"")</f>
        <v/>
      </c>
      <c r="L188">
        <f ca="1" t="shared" si="5"/>
        <v>45942</v>
      </c>
    </row>
    <row r="189" spans="9:12">
      <c r="I189">
        <f>IFERROR(VLOOKUP(H189,Rates!$A$2:$B$3,2,0),1)</f>
        <v>1</v>
      </c>
      <c r="J189" t="str">
        <f t="shared" si="4"/>
        <v/>
      </c>
      <c r="K189" t="str">
        <f>IF(J189&lt;&gt;"",SUM($J$2:J189),"")</f>
        <v/>
      </c>
      <c r="L189">
        <f ca="1" t="shared" si="5"/>
        <v>45942</v>
      </c>
    </row>
    <row r="190" spans="9:12">
      <c r="I190">
        <f>IFERROR(VLOOKUP(H190,Rates!$A$2:$B$3,2,0),1)</f>
        <v>1</v>
      </c>
      <c r="J190" t="str">
        <f t="shared" si="4"/>
        <v/>
      </c>
      <c r="K190" t="str">
        <f>IF(J190&lt;&gt;"",SUM($J$2:J190),"")</f>
        <v/>
      </c>
      <c r="L190">
        <f ca="1" t="shared" si="5"/>
        <v>45942</v>
      </c>
    </row>
    <row r="191" spans="9:12">
      <c r="I191">
        <f>IFERROR(VLOOKUP(H191,Rates!$A$2:$B$3,2,0),1)</f>
        <v>1</v>
      </c>
      <c r="J191" t="str">
        <f t="shared" si="4"/>
        <v/>
      </c>
      <c r="K191" t="str">
        <f>IF(J191&lt;&gt;"",SUM($J$2:J191),"")</f>
        <v/>
      </c>
      <c r="L191">
        <f ca="1" t="shared" si="5"/>
        <v>45942</v>
      </c>
    </row>
    <row r="192" spans="9:12">
      <c r="I192">
        <f>IFERROR(VLOOKUP(H192,Rates!$A$2:$B$3,2,0),1)</f>
        <v>1</v>
      </c>
      <c r="J192" t="str">
        <f t="shared" si="4"/>
        <v/>
      </c>
      <c r="K192" t="str">
        <f>IF(J192&lt;&gt;"",SUM($J$2:J192),"")</f>
        <v/>
      </c>
      <c r="L192">
        <f ca="1" t="shared" si="5"/>
        <v>45942</v>
      </c>
    </row>
    <row r="193" spans="9:12">
      <c r="I193">
        <f>IFERROR(VLOOKUP(H193,Rates!$A$2:$B$3,2,0),1)</f>
        <v>1</v>
      </c>
      <c r="J193" t="str">
        <f t="shared" si="4"/>
        <v/>
      </c>
      <c r="K193" t="str">
        <f>IF(J193&lt;&gt;"",SUM($J$2:J193),"")</f>
        <v/>
      </c>
      <c r="L193">
        <f ca="1" t="shared" si="5"/>
        <v>45942</v>
      </c>
    </row>
    <row r="194" spans="9:12">
      <c r="I194">
        <f>IFERROR(VLOOKUP(H194,Rates!$A$2:$B$3,2,0),1)</f>
        <v>1</v>
      </c>
      <c r="J194" t="str">
        <f t="shared" ref="J194:J257" si="6">IF(G194&lt;&gt;"",G194*I194,"")</f>
        <v/>
      </c>
      <c r="K194" t="str">
        <f>IF(J194&lt;&gt;"",SUM($J$2:J194),"")</f>
        <v/>
      </c>
      <c r="L194">
        <f ca="1" t="shared" ref="L194:L257" si="7">IF(COUNTA(A194:K194)&gt;0,TODAY(),"")</f>
        <v>45942</v>
      </c>
    </row>
    <row r="195" spans="9:12">
      <c r="I195">
        <f>IFERROR(VLOOKUP(H195,Rates!$A$2:$B$3,2,0),1)</f>
        <v>1</v>
      </c>
      <c r="J195" t="str">
        <f t="shared" si="6"/>
        <v/>
      </c>
      <c r="K195" t="str">
        <f>IF(J195&lt;&gt;"",SUM($J$2:J195),"")</f>
        <v/>
      </c>
      <c r="L195">
        <f ca="1" t="shared" si="7"/>
        <v>45942</v>
      </c>
    </row>
    <row r="196" spans="9:12">
      <c r="I196">
        <f>IFERROR(VLOOKUP(H196,Rates!$A$2:$B$3,2,0),1)</f>
        <v>1</v>
      </c>
      <c r="J196" t="str">
        <f t="shared" si="6"/>
        <v/>
      </c>
      <c r="K196" t="str">
        <f>IF(J196&lt;&gt;"",SUM($J$2:J196),"")</f>
        <v/>
      </c>
      <c r="L196">
        <f ca="1" t="shared" si="7"/>
        <v>45942</v>
      </c>
    </row>
    <row r="197" spans="9:12">
      <c r="I197">
        <f>IFERROR(VLOOKUP(H197,Rates!$A$2:$B$3,2,0),1)</f>
        <v>1</v>
      </c>
      <c r="J197" t="str">
        <f t="shared" si="6"/>
        <v/>
      </c>
      <c r="K197" t="str">
        <f>IF(J197&lt;&gt;"",SUM($J$2:J197),"")</f>
        <v/>
      </c>
      <c r="L197">
        <f ca="1" t="shared" si="7"/>
        <v>45942</v>
      </c>
    </row>
    <row r="198" spans="9:12">
      <c r="I198">
        <f>IFERROR(VLOOKUP(H198,Rates!$A$2:$B$3,2,0),1)</f>
        <v>1</v>
      </c>
      <c r="J198" t="str">
        <f t="shared" si="6"/>
        <v/>
      </c>
      <c r="K198" t="str">
        <f>IF(J198&lt;&gt;"",SUM($J$2:J198),"")</f>
        <v/>
      </c>
      <c r="L198">
        <f ca="1" t="shared" si="7"/>
        <v>45942</v>
      </c>
    </row>
    <row r="199" spans="9:12">
      <c r="I199">
        <f>IFERROR(VLOOKUP(H199,Rates!$A$2:$B$3,2,0),1)</f>
        <v>1</v>
      </c>
      <c r="J199" t="str">
        <f t="shared" si="6"/>
        <v/>
      </c>
      <c r="K199" t="str">
        <f>IF(J199&lt;&gt;"",SUM($J$2:J199),"")</f>
        <v/>
      </c>
      <c r="L199">
        <f ca="1" t="shared" si="7"/>
        <v>45942</v>
      </c>
    </row>
    <row r="200" spans="9:12">
      <c r="I200">
        <f>IFERROR(VLOOKUP(H200,Rates!$A$2:$B$3,2,0),1)</f>
        <v>1</v>
      </c>
      <c r="J200" t="str">
        <f t="shared" si="6"/>
        <v/>
      </c>
      <c r="K200" t="str">
        <f>IF(J200&lt;&gt;"",SUM($J$2:J200),"")</f>
        <v/>
      </c>
      <c r="L200">
        <f ca="1" t="shared" si="7"/>
        <v>45942</v>
      </c>
    </row>
    <row r="201" spans="9:12">
      <c r="I201">
        <f>IFERROR(VLOOKUP(H201,Rates!$A$2:$B$3,2,0),1)</f>
        <v>1</v>
      </c>
      <c r="J201" t="str">
        <f t="shared" si="6"/>
        <v/>
      </c>
      <c r="K201" t="str">
        <f>IF(J201&lt;&gt;"",SUM($J$2:J201),"")</f>
        <v/>
      </c>
      <c r="L201">
        <f ca="1" t="shared" si="7"/>
        <v>45942</v>
      </c>
    </row>
    <row r="202" spans="9:12">
      <c r="I202">
        <f>IFERROR(VLOOKUP(H202,Rates!$A$2:$B$3,2,0),1)</f>
        <v>1</v>
      </c>
      <c r="J202" t="str">
        <f t="shared" si="6"/>
        <v/>
      </c>
      <c r="K202" t="str">
        <f>IF(J202&lt;&gt;"",SUM($J$2:J202),"")</f>
        <v/>
      </c>
      <c r="L202">
        <f ca="1" t="shared" si="7"/>
        <v>45942</v>
      </c>
    </row>
    <row r="203" spans="9:12">
      <c r="I203">
        <f>IFERROR(VLOOKUP(H203,Rates!$A$2:$B$3,2,0),1)</f>
        <v>1</v>
      </c>
      <c r="J203" t="str">
        <f t="shared" si="6"/>
        <v/>
      </c>
      <c r="K203" t="str">
        <f>IF(J203&lt;&gt;"",SUM($J$2:J203),"")</f>
        <v/>
      </c>
      <c r="L203">
        <f ca="1" t="shared" si="7"/>
        <v>45942</v>
      </c>
    </row>
    <row r="204" spans="9:12">
      <c r="I204">
        <f>IFERROR(VLOOKUP(H204,Rates!$A$2:$B$3,2,0),1)</f>
        <v>1</v>
      </c>
      <c r="J204" t="str">
        <f t="shared" si="6"/>
        <v/>
      </c>
      <c r="K204" t="str">
        <f>IF(J204&lt;&gt;"",SUM($J$2:J204),"")</f>
        <v/>
      </c>
      <c r="L204">
        <f ca="1" t="shared" si="7"/>
        <v>45942</v>
      </c>
    </row>
    <row r="205" spans="9:12">
      <c r="I205">
        <f>IFERROR(VLOOKUP(H205,Rates!$A$2:$B$3,2,0),1)</f>
        <v>1</v>
      </c>
      <c r="J205" t="str">
        <f t="shared" si="6"/>
        <v/>
      </c>
      <c r="K205" t="str">
        <f>IF(J205&lt;&gt;"",SUM($J$2:J205),"")</f>
        <v/>
      </c>
      <c r="L205">
        <f ca="1" t="shared" si="7"/>
        <v>45942</v>
      </c>
    </row>
    <row r="206" spans="9:12">
      <c r="I206">
        <f>IFERROR(VLOOKUP(H206,Rates!$A$2:$B$3,2,0),1)</f>
        <v>1</v>
      </c>
      <c r="J206" t="str">
        <f t="shared" si="6"/>
        <v/>
      </c>
      <c r="K206" t="str">
        <f>IF(J206&lt;&gt;"",SUM($J$2:J206),"")</f>
        <v/>
      </c>
      <c r="L206">
        <f ca="1" t="shared" si="7"/>
        <v>45942</v>
      </c>
    </row>
    <row r="207" spans="9:12">
      <c r="I207">
        <f>IFERROR(VLOOKUP(H207,Rates!$A$2:$B$3,2,0),1)</f>
        <v>1</v>
      </c>
      <c r="J207" t="str">
        <f t="shared" si="6"/>
        <v/>
      </c>
      <c r="K207" t="str">
        <f>IF(J207&lt;&gt;"",SUM($J$2:J207),"")</f>
        <v/>
      </c>
      <c r="L207">
        <f ca="1" t="shared" si="7"/>
        <v>45942</v>
      </c>
    </row>
    <row r="208" spans="9:12">
      <c r="I208">
        <f>IFERROR(VLOOKUP(H208,Rates!$A$2:$B$3,2,0),1)</f>
        <v>1</v>
      </c>
      <c r="J208" t="str">
        <f t="shared" si="6"/>
        <v/>
      </c>
      <c r="K208" t="str">
        <f>IF(J208&lt;&gt;"",SUM($J$2:J208),"")</f>
        <v/>
      </c>
      <c r="L208">
        <f ca="1" t="shared" si="7"/>
        <v>45942</v>
      </c>
    </row>
    <row r="209" spans="9:12">
      <c r="I209">
        <f>IFERROR(VLOOKUP(H209,Rates!$A$2:$B$3,2,0),1)</f>
        <v>1</v>
      </c>
      <c r="J209" t="str">
        <f t="shared" si="6"/>
        <v/>
      </c>
      <c r="K209" t="str">
        <f>IF(J209&lt;&gt;"",SUM($J$2:J209),"")</f>
        <v/>
      </c>
      <c r="L209">
        <f ca="1" t="shared" si="7"/>
        <v>45942</v>
      </c>
    </row>
    <row r="210" spans="9:12">
      <c r="I210">
        <f>IFERROR(VLOOKUP(H210,Rates!$A$2:$B$3,2,0),1)</f>
        <v>1</v>
      </c>
      <c r="J210" t="str">
        <f t="shared" si="6"/>
        <v/>
      </c>
      <c r="K210" t="str">
        <f>IF(J210&lt;&gt;"",SUM($J$2:J210),"")</f>
        <v/>
      </c>
      <c r="L210">
        <f ca="1" t="shared" si="7"/>
        <v>45942</v>
      </c>
    </row>
    <row r="211" spans="9:12">
      <c r="I211">
        <f>IFERROR(VLOOKUP(H211,Rates!$A$2:$B$3,2,0),1)</f>
        <v>1</v>
      </c>
      <c r="J211" t="str">
        <f t="shared" si="6"/>
        <v/>
      </c>
      <c r="K211" t="str">
        <f>IF(J211&lt;&gt;"",SUM($J$2:J211),"")</f>
        <v/>
      </c>
      <c r="L211">
        <f ca="1" t="shared" si="7"/>
        <v>45942</v>
      </c>
    </row>
    <row r="212" spans="9:12">
      <c r="I212">
        <f>IFERROR(VLOOKUP(H212,Rates!$A$2:$B$3,2,0),1)</f>
        <v>1</v>
      </c>
      <c r="J212" t="str">
        <f t="shared" si="6"/>
        <v/>
      </c>
      <c r="K212" t="str">
        <f>IF(J212&lt;&gt;"",SUM($J$2:J212),"")</f>
        <v/>
      </c>
      <c r="L212">
        <f ca="1" t="shared" si="7"/>
        <v>45942</v>
      </c>
    </row>
    <row r="213" spans="9:12">
      <c r="I213">
        <f>IFERROR(VLOOKUP(H213,Rates!$A$2:$B$3,2,0),1)</f>
        <v>1</v>
      </c>
      <c r="J213" t="str">
        <f t="shared" si="6"/>
        <v/>
      </c>
      <c r="K213" t="str">
        <f>IF(J213&lt;&gt;"",SUM($J$2:J213),"")</f>
        <v/>
      </c>
      <c r="L213">
        <f ca="1" t="shared" si="7"/>
        <v>45942</v>
      </c>
    </row>
    <row r="214" spans="9:12">
      <c r="I214">
        <f>IFERROR(VLOOKUP(H214,Rates!$A$2:$B$3,2,0),1)</f>
        <v>1</v>
      </c>
      <c r="J214" t="str">
        <f t="shared" si="6"/>
        <v/>
      </c>
      <c r="K214" t="str">
        <f>IF(J214&lt;&gt;"",SUM($J$2:J214),"")</f>
        <v/>
      </c>
      <c r="L214">
        <f ca="1" t="shared" si="7"/>
        <v>45942</v>
      </c>
    </row>
    <row r="215" spans="9:12">
      <c r="I215">
        <f>IFERROR(VLOOKUP(H215,Rates!$A$2:$B$3,2,0),1)</f>
        <v>1</v>
      </c>
      <c r="J215" t="str">
        <f t="shared" si="6"/>
        <v/>
      </c>
      <c r="K215" t="str">
        <f>IF(J215&lt;&gt;"",SUM($J$2:J215),"")</f>
        <v/>
      </c>
      <c r="L215">
        <f ca="1" t="shared" si="7"/>
        <v>45942</v>
      </c>
    </row>
    <row r="216" spans="9:12">
      <c r="I216">
        <f>IFERROR(VLOOKUP(H216,Rates!$A$2:$B$3,2,0),1)</f>
        <v>1</v>
      </c>
      <c r="J216" t="str">
        <f t="shared" si="6"/>
        <v/>
      </c>
      <c r="K216" t="str">
        <f>IF(J216&lt;&gt;"",SUM($J$2:J216),"")</f>
        <v/>
      </c>
      <c r="L216">
        <f ca="1" t="shared" si="7"/>
        <v>45942</v>
      </c>
    </row>
    <row r="217" spans="9:12">
      <c r="I217">
        <f>IFERROR(VLOOKUP(H217,Rates!$A$2:$B$3,2,0),1)</f>
        <v>1</v>
      </c>
      <c r="J217" t="str">
        <f t="shared" si="6"/>
        <v/>
      </c>
      <c r="K217" t="str">
        <f>IF(J217&lt;&gt;"",SUM($J$2:J217),"")</f>
        <v/>
      </c>
      <c r="L217">
        <f ca="1" t="shared" si="7"/>
        <v>45942</v>
      </c>
    </row>
    <row r="218" spans="9:12">
      <c r="I218">
        <f>IFERROR(VLOOKUP(H218,Rates!$A$2:$B$3,2,0),1)</f>
        <v>1</v>
      </c>
      <c r="J218" t="str">
        <f t="shared" si="6"/>
        <v/>
      </c>
      <c r="K218" t="str">
        <f>IF(J218&lt;&gt;"",SUM($J$2:J218),"")</f>
        <v/>
      </c>
      <c r="L218">
        <f ca="1" t="shared" si="7"/>
        <v>45942</v>
      </c>
    </row>
    <row r="219" spans="9:12">
      <c r="I219">
        <f>IFERROR(VLOOKUP(H219,Rates!$A$2:$B$3,2,0),1)</f>
        <v>1</v>
      </c>
      <c r="J219" t="str">
        <f t="shared" si="6"/>
        <v/>
      </c>
      <c r="K219" t="str">
        <f>IF(J219&lt;&gt;"",SUM($J$2:J219),"")</f>
        <v/>
      </c>
      <c r="L219">
        <f ca="1" t="shared" si="7"/>
        <v>45942</v>
      </c>
    </row>
    <row r="220" spans="9:12">
      <c r="I220">
        <f>IFERROR(VLOOKUP(H220,Rates!$A$2:$B$3,2,0),1)</f>
        <v>1</v>
      </c>
      <c r="J220" t="str">
        <f t="shared" si="6"/>
        <v/>
      </c>
      <c r="K220" t="str">
        <f>IF(J220&lt;&gt;"",SUM($J$2:J220),"")</f>
        <v/>
      </c>
      <c r="L220">
        <f ca="1" t="shared" si="7"/>
        <v>45942</v>
      </c>
    </row>
    <row r="221" spans="9:12">
      <c r="I221">
        <f>IFERROR(VLOOKUP(H221,Rates!$A$2:$B$3,2,0),1)</f>
        <v>1</v>
      </c>
      <c r="J221" t="str">
        <f t="shared" si="6"/>
        <v/>
      </c>
      <c r="K221" t="str">
        <f>IF(J221&lt;&gt;"",SUM($J$2:J221),"")</f>
        <v/>
      </c>
      <c r="L221">
        <f ca="1" t="shared" si="7"/>
        <v>45942</v>
      </c>
    </row>
    <row r="222" spans="9:12">
      <c r="I222">
        <f>IFERROR(VLOOKUP(H222,Rates!$A$2:$B$3,2,0),1)</f>
        <v>1</v>
      </c>
      <c r="J222" t="str">
        <f t="shared" si="6"/>
        <v/>
      </c>
      <c r="K222" t="str">
        <f>IF(J222&lt;&gt;"",SUM($J$2:J222),"")</f>
        <v/>
      </c>
      <c r="L222">
        <f ca="1" t="shared" si="7"/>
        <v>45942</v>
      </c>
    </row>
    <row r="223" spans="9:12">
      <c r="I223">
        <f>IFERROR(VLOOKUP(H223,Rates!$A$2:$B$3,2,0),1)</f>
        <v>1</v>
      </c>
      <c r="J223" t="str">
        <f t="shared" si="6"/>
        <v/>
      </c>
      <c r="K223" t="str">
        <f>IF(J223&lt;&gt;"",SUM($J$2:J223),"")</f>
        <v/>
      </c>
      <c r="L223">
        <f ca="1" t="shared" si="7"/>
        <v>45942</v>
      </c>
    </row>
    <row r="224" spans="9:12">
      <c r="I224">
        <f>IFERROR(VLOOKUP(H224,Rates!$A$2:$B$3,2,0),1)</f>
        <v>1</v>
      </c>
      <c r="J224" t="str">
        <f t="shared" si="6"/>
        <v/>
      </c>
      <c r="K224" t="str">
        <f>IF(J224&lt;&gt;"",SUM($J$2:J224),"")</f>
        <v/>
      </c>
      <c r="L224">
        <f ca="1" t="shared" si="7"/>
        <v>45942</v>
      </c>
    </row>
    <row r="225" spans="9:12">
      <c r="I225">
        <f>IFERROR(VLOOKUP(H225,Rates!$A$2:$B$3,2,0),1)</f>
        <v>1</v>
      </c>
      <c r="J225" t="str">
        <f t="shared" si="6"/>
        <v/>
      </c>
      <c r="K225" t="str">
        <f>IF(J225&lt;&gt;"",SUM($J$2:J225),"")</f>
        <v/>
      </c>
      <c r="L225">
        <f ca="1" t="shared" si="7"/>
        <v>45942</v>
      </c>
    </row>
    <row r="226" spans="9:12">
      <c r="I226">
        <f>IFERROR(VLOOKUP(H226,Rates!$A$2:$B$3,2,0),1)</f>
        <v>1</v>
      </c>
      <c r="J226" t="str">
        <f t="shared" si="6"/>
        <v/>
      </c>
      <c r="K226" t="str">
        <f>IF(J226&lt;&gt;"",SUM($J$2:J226),"")</f>
        <v/>
      </c>
      <c r="L226">
        <f ca="1" t="shared" si="7"/>
        <v>45942</v>
      </c>
    </row>
    <row r="227" spans="9:12">
      <c r="I227">
        <f>IFERROR(VLOOKUP(H227,Rates!$A$2:$B$3,2,0),1)</f>
        <v>1</v>
      </c>
      <c r="J227" t="str">
        <f t="shared" si="6"/>
        <v/>
      </c>
      <c r="K227" t="str">
        <f>IF(J227&lt;&gt;"",SUM($J$2:J227),"")</f>
        <v/>
      </c>
      <c r="L227">
        <f ca="1" t="shared" si="7"/>
        <v>45942</v>
      </c>
    </row>
    <row r="228" spans="9:12">
      <c r="I228">
        <f>IFERROR(VLOOKUP(H228,Rates!$A$2:$B$3,2,0),1)</f>
        <v>1</v>
      </c>
      <c r="J228" t="str">
        <f t="shared" si="6"/>
        <v/>
      </c>
      <c r="K228" t="str">
        <f>IF(J228&lt;&gt;"",SUM($J$2:J228),"")</f>
        <v/>
      </c>
      <c r="L228">
        <f ca="1" t="shared" si="7"/>
        <v>45942</v>
      </c>
    </row>
    <row r="229" spans="9:12">
      <c r="I229">
        <f>IFERROR(VLOOKUP(H229,Rates!$A$2:$B$3,2,0),1)</f>
        <v>1</v>
      </c>
      <c r="J229" t="str">
        <f t="shared" si="6"/>
        <v/>
      </c>
      <c r="K229" t="str">
        <f>IF(J229&lt;&gt;"",SUM($J$2:J229),"")</f>
        <v/>
      </c>
      <c r="L229">
        <f ca="1" t="shared" si="7"/>
        <v>45942</v>
      </c>
    </row>
    <row r="230" spans="9:12">
      <c r="I230">
        <f>IFERROR(VLOOKUP(H230,Rates!$A$2:$B$3,2,0),1)</f>
        <v>1</v>
      </c>
      <c r="J230" t="str">
        <f t="shared" si="6"/>
        <v/>
      </c>
      <c r="K230" t="str">
        <f>IF(J230&lt;&gt;"",SUM($J$2:J230),"")</f>
        <v/>
      </c>
      <c r="L230">
        <f ca="1" t="shared" si="7"/>
        <v>45942</v>
      </c>
    </row>
    <row r="231" spans="9:12">
      <c r="I231">
        <f>IFERROR(VLOOKUP(H231,Rates!$A$2:$B$3,2,0),1)</f>
        <v>1</v>
      </c>
      <c r="J231" t="str">
        <f t="shared" si="6"/>
        <v/>
      </c>
      <c r="K231" t="str">
        <f>IF(J231&lt;&gt;"",SUM($J$2:J231),"")</f>
        <v/>
      </c>
      <c r="L231">
        <f ca="1" t="shared" si="7"/>
        <v>45942</v>
      </c>
    </row>
    <row r="232" spans="9:12">
      <c r="I232">
        <f>IFERROR(VLOOKUP(H232,Rates!$A$2:$B$3,2,0),1)</f>
        <v>1</v>
      </c>
      <c r="J232" t="str">
        <f t="shared" si="6"/>
        <v/>
      </c>
      <c r="K232" t="str">
        <f>IF(J232&lt;&gt;"",SUM($J$2:J232),"")</f>
        <v/>
      </c>
      <c r="L232">
        <f ca="1" t="shared" si="7"/>
        <v>45942</v>
      </c>
    </row>
    <row r="233" spans="9:12">
      <c r="I233">
        <f>IFERROR(VLOOKUP(H233,Rates!$A$2:$B$3,2,0),1)</f>
        <v>1</v>
      </c>
      <c r="J233" t="str">
        <f t="shared" si="6"/>
        <v/>
      </c>
      <c r="K233" t="str">
        <f>IF(J233&lt;&gt;"",SUM($J$2:J233),"")</f>
        <v/>
      </c>
      <c r="L233">
        <f ca="1" t="shared" si="7"/>
        <v>45942</v>
      </c>
    </row>
    <row r="234" spans="9:12">
      <c r="I234">
        <f>IFERROR(VLOOKUP(H234,Rates!$A$2:$B$3,2,0),1)</f>
        <v>1</v>
      </c>
      <c r="J234" t="str">
        <f t="shared" si="6"/>
        <v/>
      </c>
      <c r="K234" t="str">
        <f>IF(J234&lt;&gt;"",SUM($J$2:J234),"")</f>
        <v/>
      </c>
      <c r="L234">
        <f ca="1" t="shared" si="7"/>
        <v>45942</v>
      </c>
    </row>
    <row r="235" spans="9:12">
      <c r="I235">
        <f>IFERROR(VLOOKUP(H235,Rates!$A$2:$B$3,2,0),1)</f>
        <v>1</v>
      </c>
      <c r="J235" t="str">
        <f t="shared" si="6"/>
        <v/>
      </c>
      <c r="K235" t="str">
        <f>IF(J235&lt;&gt;"",SUM($J$2:J235),"")</f>
        <v/>
      </c>
      <c r="L235">
        <f ca="1" t="shared" si="7"/>
        <v>45942</v>
      </c>
    </row>
    <row r="236" spans="9:12">
      <c r="I236">
        <f>IFERROR(VLOOKUP(H236,Rates!$A$2:$B$3,2,0),1)</f>
        <v>1</v>
      </c>
      <c r="J236" t="str">
        <f t="shared" si="6"/>
        <v/>
      </c>
      <c r="K236" t="str">
        <f>IF(J236&lt;&gt;"",SUM($J$2:J236),"")</f>
        <v/>
      </c>
      <c r="L236">
        <f ca="1" t="shared" si="7"/>
        <v>45942</v>
      </c>
    </row>
    <row r="237" spans="9:12">
      <c r="I237">
        <f>IFERROR(VLOOKUP(H237,Rates!$A$2:$B$3,2,0),1)</f>
        <v>1</v>
      </c>
      <c r="J237" t="str">
        <f t="shared" si="6"/>
        <v/>
      </c>
      <c r="K237" t="str">
        <f>IF(J237&lt;&gt;"",SUM($J$2:J237),"")</f>
        <v/>
      </c>
      <c r="L237">
        <f ca="1" t="shared" si="7"/>
        <v>45942</v>
      </c>
    </row>
    <row r="238" spans="9:12">
      <c r="I238">
        <f>IFERROR(VLOOKUP(H238,Rates!$A$2:$B$3,2,0),1)</f>
        <v>1</v>
      </c>
      <c r="J238" t="str">
        <f t="shared" si="6"/>
        <v/>
      </c>
      <c r="K238" t="str">
        <f>IF(J238&lt;&gt;"",SUM($J$2:J238),"")</f>
        <v/>
      </c>
      <c r="L238">
        <f ca="1" t="shared" si="7"/>
        <v>45942</v>
      </c>
    </row>
    <row r="239" spans="9:12">
      <c r="I239">
        <f>IFERROR(VLOOKUP(H239,Rates!$A$2:$B$3,2,0),1)</f>
        <v>1</v>
      </c>
      <c r="J239" t="str">
        <f t="shared" si="6"/>
        <v/>
      </c>
      <c r="K239" t="str">
        <f>IF(J239&lt;&gt;"",SUM($J$2:J239),"")</f>
        <v/>
      </c>
      <c r="L239">
        <f ca="1" t="shared" si="7"/>
        <v>45942</v>
      </c>
    </row>
    <row r="240" spans="9:12">
      <c r="I240">
        <f>IFERROR(VLOOKUP(H240,Rates!$A$2:$B$3,2,0),1)</f>
        <v>1</v>
      </c>
      <c r="J240" t="str">
        <f t="shared" si="6"/>
        <v/>
      </c>
      <c r="K240" t="str">
        <f>IF(J240&lt;&gt;"",SUM($J$2:J240),"")</f>
        <v/>
      </c>
      <c r="L240">
        <f ca="1" t="shared" si="7"/>
        <v>45942</v>
      </c>
    </row>
    <row r="241" spans="9:12">
      <c r="I241">
        <f>IFERROR(VLOOKUP(H241,Rates!$A$2:$B$3,2,0),1)</f>
        <v>1</v>
      </c>
      <c r="J241" t="str">
        <f t="shared" si="6"/>
        <v/>
      </c>
      <c r="K241" t="str">
        <f>IF(J241&lt;&gt;"",SUM($J$2:J241),"")</f>
        <v/>
      </c>
      <c r="L241">
        <f ca="1" t="shared" si="7"/>
        <v>45942</v>
      </c>
    </row>
    <row r="242" spans="9:12">
      <c r="I242">
        <f>IFERROR(VLOOKUP(H242,Rates!$A$2:$B$3,2,0),1)</f>
        <v>1</v>
      </c>
      <c r="J242" t="str">
        <f t="shared" si="6"/>
        <v/>
      </c>
      <c r="K242" t="str">
        <f>IF(J242&lt;&gt;"",SUM($J$2:J242),"")</f>
        <v/>
      </c>
      <c r="L242">
        <f ca="1" t="shared" si="7"/>
        <v>45942</v>
      </c>
    </row>
    <row r="243" spans="9:12">
      <c r="I243">
        <f>IFERROR(VLOOKUP(H243,Rates!$A$2:$B$3,2,0),1)</f>
        <v>1</v>
      </c>
      <c r="J243" t="str">
        <f t="shared" si="6"/>
        <v/>
      </c>
      <c r="K243" t="str">
        <f>IF(J243&lt;&gt;"",SUM($J$2:J243),"")</f>
        <v/>
      </c>
      <c r="L243">
        <f ca="1" t="shared" si="7"/>
        <v>45942</v>
      </c>
    </row>
    <row r="244" spans="9:12">
      <c r="I244">
        <f>IFERROR(VLOOKUP(H244,Rates!$A$2:$B$3,2,0),1)</f>
        <v>1</v>
      </c>
      <c r="J244" t="str">
        <f t="shared" si="6"/>
        <v/>
      </c>
      <c r="K244" t="str">
        <f>IF(J244&lt;&gt;"",SUM($J$2:J244),"")</f>
        <v/>
      </c>
      <c r="L244">
        <f ca="1" t="shared" si="7"/>
        <v>45942</v>
      </c>
    </row>
    <row r="245" spans="9:12">
      <c r="I245">
        <f>IFERROR(VLOOKUP(H245,Rates!$A$2:$B$3,2,0),1)</f>
        <v>1</v>
      </c>
      <c r="J245" t="str">
        <f t="shared" si="6"/>
        <v/>
      </c>
      <c r="K245" t="str">
        <f>IF(J245&lt;&gt;"",SUM($J$2:J245),"")</f>
        <v/>
      </c>
      <c r="L245">
        <f ca="1" t="shared" si="7"/>
        <v>45942</v>
      </c>
    </row>
    <row r="246" spans="9:12">
      <c r="I246">
        <f>IFERROR(VLOOKUP(H246,Rates!$A$2:$B$3,2,0),1)</f>
        <v>1</v>
      </c>
      <c r="J246" t="str">
        <f t="shared" si="6"/>
        <v/>
      </c>
      <c r="K246" t="str">
        <f>IF(J246&lt;&gt;"",SUM($J$2:J246),"")</f>
        <v/>
      </c>
      <c r="L246">
        <f ca="1" t="shared" si="7"/>
        <v>45942</v>
      </c>
    </row>
    <row r="247" spans="9:12">
      <c r="I247">
        <f>IFERROR(VLOOKUP(H247,Rates!$A$2:$B$3,2,0),1)</f>
        <v>1</v>
      </c>
      <c r="J247" t="str">
        <f t="shared" si="6"/>
        <v/>
      </c>
      <c r="K247" t="str">
        <f>IF(J247&lt;&gt;"",SUM($J$2:J247),"")</f>
        <v/>
      </c>
      <c r="L247">
        <f ca="1" t="shared" si="7"/>
        <v>45942</v>
      </c>
    </row>
    <row r="248" spans="9:12">
      <c r="I248">
        <f>IFERROR(VLOOKUP(H248,Rates!$A$2:$B$3,2,0),1)</f>
        <v>1</v>
      </c>
      <c r="J248" t="str">
        <f t="shared" si="6"/>
        <v/>
      </c>
      <c r="K248" t="str">
        <f>IF(J248&lt;&gt;"",SUM($J$2:J248),"")</f>
        <v/>
      </c>
      <c r="L248">
        <f ca="1" t="shared" si="7"/>
        <v>45942</v>
      </c>
    </row>
    <row r="249" spans="9:12">
      <c r="I249">
        <f>IFERROR(VLOOKUP(H249,Rates!$A$2:$B$3,2,0),1)</f>
        <v>1</v>
      </c>
      <c r="J249" t="str">
        <f t="shared" si="6"/>
        <v/>
      </c>
      <c r="K249" t="str">
        <f>IF(J249&lt;&gt;"",SUM($J$2:J249),"")</f>
        <v/>
      </c>
      <c r="L249">
        <f ca="1" t="shared" si="7"/>
        <v>45942</v>
      </c>
    </row>
    <row r="250" spans="9:12">
      <c r="I250">
        <f>IFERROR(VLOOKUP(H250,Rates!$A$2:$B$3,2,0),1)</f>
        <v>1</v>
      </c>
      <c r="J250" t="str">
        <f t="shared" si="6"/>
        <v/>
      </c>
      <c r="K250" t="str">
        <f>IF(J250&lt;&gt;"",SUM($J$2:J250),"")</f>
        <v/>
      </c>
      <c r="L250">
        <f ca="1" t="shared" si="7"/>
        <v>45942</v>
      </c>
    </row>
    <row r="251" spans="9:12">
      <c r="I251">
        <f>IFERROR(VLOOKUP(H251,Rates!$A$2:$B$3,2,0),1)</f>
        <v>1</v>
      </c>
      <c r="J251" t="str">
        <f t="shared" si="6"/>
        <v/>
      </c>
      <c r="K251" t="str">
        <f>IF(J251&lt;&gt;"",SUM($J$2:J251),"")</f>
        <v/>
      </c>
      <c r="L251">
        <f ca="1" t="shared" si="7"/>
        <v>45942</v>
      </c>
    </row>
    <row r="252" spans="9:12">
      <c r="I252">
        <f>IFERROR(VLOOKUP(H252,Rates!$A$2:$B$3,2,0),1)</f>
        <v>1</v>
      </c>
      <c r="J252" t="str">
        <f t="shared" si="6"/>
        <v/>
      </c>
      <c r="K252" t="str">
        <f>IF(J252&lt;&gt;"",SUM($J$2:J252),"")</f>
        <v/>
      </c>
      <c r="L252">
        <f ca="1" t="shared" si="7"/>
        <v>45942</v>
      </c>
    </row>
    <row r="253" spans="9:12">
      <c r="I253">
        <f>IFERROR(VLOOKUP(H253,Rates!$A$2:$B$3,2,0),1)</f>
        <v>1</v>
      </c>
      <c r="J253" t="str">
        <f t="shared" si="6"/>
        <v/>
      </c>
      <c r="K253" t="str">
        <f>IF(J253&lt;&gt;"",SUM($J$2:J253),"")</f>
        <v/>
      </c>
      <c r="L253">
        <f ca="1" t="shared" si="7"/>
        <v>45942</v>
      </c>
    </row>
    <row r="254" spans="9:12">
      <c r="I254">
        <f>IFERROR(VLOOKUP(H254,Rates!$A$2:$B$3,2,0),1)</f>
        <v>1</v>
      </c>
      <c r="J254" t="str">
        <f t="shared" si="6"/>
        <v/>
      </c>
      <c r="K254" t="str">
        <f>IF(J254&lt;&gt;"",SUM($J$2:J254),"")</f>
        <v/>
      </c>
      <c r="L254">
        <f ca="1" t="shared" si="7"/>
        <v>45942</v>
      </c>
    </row>
    <row r="255" spans="9:12">
      <c r="I255">
        <f>IFERROR(VLOOKUP(H255,Rates!$A$2:$B$3,2,0),1)</f>
        <v>1</v>
      </c>
      <c r="J255" t="str">
        <f t="shared" si="6"/>
        <v/>
      </c>
      <c r="K255" t="str">
        <f>IF(J255&lt;&gt;"",SUM($J$2:J255),"")</f>
        <v/>
      </c>
      <c r="L255">
        <f ca="1" t="shared" si="7"/>
        <v>45942</v>
      </c>
    </row>
    <row r="256" spans="9:12">
      <c r="I256">
        <f>IFERROR(VLOOKUP(H256,Rates!$A$2:$B$3,2,0),1)</f>
        <v>1</v>
      </c>
      <c r="J256" t="str">
        <f t="shared" si="6"/>
        <v/>
      </c>
      <c r="K256" t="str">
        <f>IF(J256&lt;&gt;"",SUM($J$2:J256),"")</f>
        <v/>
      </c>
      <c r="L256">
        <f ca="1" t="shared" si="7"/>
        <v>45942</v>
      </c>
    </row>
    <row r="257" spans="9:12">
      <c r="I257">
        <f>IFERROR(VLOOKUP(H257,Rates!$A$2:$B$3,2,0),1)</f>
        <v>1</v>
      </c>
      <c r="J257" t="str">
        <f t="shared" si="6"/>
        <v/>
      </c>
      <c r="K257" t="str">
        <f>IF(J257&lt;&gt;"",SUM($J$2:J257),"")</f>
        <v/>
      </c>
      <c r="L257">
        <f ca="1" t="shared" si="7"/>
        <v>45942</v>
      </c>
    </row>
    <row r="258" spans="9:12">
      <c r="I258">
        <f>IFERROR(VLOOKUP(H258,Rates!$A$2:$B$3,2,0),1)</f>
        <v>1</v>
      </c>
      <c r="J258" t="str">
        <f t="shared" ref="J258:J301" si="8">IF(G258&lt;&gt;"",G258*I258,"")</f>
        <v/>
      </c>
      <c r="K258" t="str">
        <f>IF(J258&lt;&gt;"",SUM($J$2:J258),"")</f>
        <v/>
      </c>
      <c r="L258">
        <f ca="1" t="shared" ref="L258:L301" si="9">IF(COUNTA(A258:K258)&gt;0,TODAY(),"")</f>
        <v>45942</v>
      </c>
    </row>
    <row r="259" spans="9:12">
      <c r="I259">
        <f>IFERROR(VLOOKUP(H259,Rates!$A$2:$B$3,2,0),1)</f>
        <v>1</v>
      </c>
      <c r="J259" t="str">
        <f t="shared" si="8"/>
        <v/>
      </c>
      <c r="K259" t="str">
        <f>IF(J259&lt;&gt;"",SUM($J$2:J259),"")</f>
        <v/>
      </c>
      <c r="L259">
        <f ca="1" t="shared" si="9"/>
        <v>45942</v>
      </c>
    </row>
    <row r="260" spans="9:12">
      <c r="I260">
        <f>IFERROR(VLOOKUP(H260,Rates!$A$2:$B$3,2,0),1)</f>
        <v>1</v>
      </c>
      <c r="J260" t="str">
        <f t="shared" si="8"/>
        <v/>
      </c>
      <c r="K260" t="str">
        <f>IF(J260&lt;&gt;"",SUM($J$2:J260),"")</f>
        <v/>
      </c>
      <c r="L260">
        <f ca="1" t="shared" si="9"/>
        <v>45942</v>
      </c>
    </row>
    <row r="261" spans="9:12">
      <c r="I261">
        <f>IFERROR(VLOOKUP(H261,Rates!$A$2:$B$3,2,0),1)</f>
        <v>1</v>
      </c>
      <c r="J261" t="str">
        <f t="shared" si="8"/>
        <v/>
      </c>
      <c r="K261" t="str">
        <f>IF(J261&lt;&gt;"",SUM($J$2:J261),"")</f>
        <v/>
      </c>
      <c r="L261">
        <f ca="1" t="shared" si="9"/>
        <v>45942</v>
      </c>
    </row>
    <row r="262" spans="9:12">
      <c r="I262">
        <f>IFERROR(VLOOKUP(H262,Rates!$A$2:$B$3,2,0),1)</f>
        <v>1</v>
      </c>
      <c r="J262" t="str">
        <f t="shared" si="8"/>
        <v/>
      </c>
      <c r="K262" t="str">
        <f>IF(J262&lt;&gt;"",SUM($J$2:J262),"")</f>
        <v/>
      </c>
      <c r="L262">
        <f ca="1" t="shared" si="9"/>
        <v>45942</v>
      </c>
    </row>
    <row r="263" spans="9:12">
      <c r="I263">
        <f>IFERROR(VLOOKUP(H263,Rates!$A$2:$B$3,2,0),1)</f>
        <v>1</v>
      </c>
      <c r="J263" t="str">
        <f t="shared" si="8"/>
        <v/>
      </c>
      <c r="K263" t="str">
        <f>IF(J263&lt;&gt;"",SUM($J$2:J263),"")</f>
        <v/>
      </c>
      <c r="L263">
        <f ca="1" t="shared" si="9"/>
        <v>45942</v>
      </c>
    </row>
    <row r="264" spans="9:12">
      <c r="I264">
        <f>IFERROR(VLOOKUP(H264,Rates!$A$2:$B$3,2,0),1)</f>
        <v>1</v>
      </c>
      <c r="J264" t="str">
        <f t="shared" si="8"/>
        <v/>
      </c>
      <c r="K264" t="str">
        <f>IF(J264&lt;&gt;"",SUM($J$2:J264),"")</f>
        <v/>
      </c>
      <c r="L264">
        <f ca="1" t="shared" si="9"/>
        <v>45942</v>
      </c>
    </row>
    <row r="265" spans="9:12">
      <c r="I265">
        <f>IFERROR(VLOOKUP(H265,Rates!$A$2:$B$3,2,0),1)</f>
        <v>1</v>
      </c>
      <c r="J265" t="str">
        <f t="shared" si="8"/>
        <v/>
      </c>
      <c r="K265" t="str">
        <f>IF(J265&lt;&gt;"",SUM($J$2:J265),"")</f>
        <v/>
      </c>
      <c r="L265">
        <f ca="1" t="shared" si="9"/>
        <v>45942</v>
      </c>
    </row>
    <row r="266" spans="9:12">
      <c r="I266">
        <f>IFERROR(VLOOKUP(H266,Rates!$A$2:$B$3,2,0),1)</f>
        <v>1</v>
      </c>
      <c r="J266" t="str">
        <f t="shared" si="8"/>
        <v/>
      </c>
      <c r="K266" t="str">
        <f>IF(J266&lt;&gt;"",SUM($J$2:J266),"")</f>
        <v/>
      </c>
      <c r="L266">
        <f ca="1" t="shared" si="9"/>
        <v>45942</v>
      </c>
    </row>
    <row r="267" spans="9:12">
      <c r="I267">
        <f>IFERROR(VLOOKUP(H267,Rates!$A$2:$B$3,2,0),1)</f>
        <v>1</v>
      </c>
      <c r="J267" t="str">
        <f t="shared" si="8"/>
        <v/>
      </c>
      <c r="K267" t="str">
        <f>IF(J267&lt;&gt;"",SUM($J$2:J267),"")</f>
        <v/>
      </c>
      <c r="L267">
        <f ca="1" t="shared" si="9"/>
        <v>45942</v>
      </c>
    </row>
    <row r="268" spans="9:12">
      <c r="I268">
        <f>IFERROR(VLOOKUP(H268,Rates!$A$2:$B$3,2,0),1)</f>
        <v>1</v>
      </c>
      <c r="J268" t="str">
        <f t="shared" si="8"/>
        <v/>
      </c>
      <c r="K268" t="str">
        <f>IF(J268&lt;&gt;"",SUM($J$2:J268),"")</f>
        <v/>
      </c>
      <c r="L268">
        <f ca="1" t="shared" si="9"/>
        <v>45942</v>
      </c>
    </row>
    <row r="269" spans="9:12">
      <c r="I269">
        <f>IFERROR(VLOOKUP(H269,Rates!$A$2:$B$3,2,0),1)</f>
        <v>1</v>
      </c>
      <c r="J269" t="str">
        <f t="shared" si="8"/>
        <v/>
      </c>
      <c r="K269" t="str">
        <f>IF(J269&lt;&gt;"",SUM($J$2:J269),"")</f>
        <v/>
      </c>
      <c r="L269">
        <f ca="1" t="shared" si="9"/>
        <v>45942</v>
      </c>
    </row>
    <row r="270" spans="9:12">
      <c r="I270">
        <f>IFERROR(VLOOKUP(H270,Rates!$A$2:$B$3,2,0),1)</f>
        <v>1</v>
      </c>
      <c r="J270" t="str">
        <f t="shared" si="8"/>
        <v/>
      </c>
      <c r="K270" t="str">
        <f>IF(J270&lt;&gt;"",SUM($J$2:J270),"")</f>
        <v/>
      </c>
      <c r="L270">
        <f ca="1" t="shared" si="9"/>
        <v>45942</v>
      </c>
    </row>
    <row r="271" spans="9:12">
      <c r="I271">
        <f>IFERROR(VLOOKUP(H271,Rates!$A$2:$B$3,2,0),1)</f>
        <v>1</v>
      </c>
      <c r="J271" t="str">
        <f t="shared" si="8"/>
        <v/>
      </c>
      <c r="K271" t="str">
        <f>IF(J271&lt;&gt;"",SUM($J$2:J271),"")</f>
        <v/>
      </c>
      <c r="L271">
        <f ca="1" t="shared" si="9"/>
        <v>45942</v>
      </c>
    </row>
    <row r="272" spans="9:12">
      <c r="I272">
        <f>IFERROR(VLOOKUP(H272,Rates!$A$2:$B$3,2,0),1)</f>
        <v>1</v>
      </c>
      <c r="J272" t="str">
        <f t="shared" si="8"/>
        <v/>
      </c>
      <c r="K272" t="str">
        <f>IF(J272&lt;&gt;"",SUM($J$2:J272),"")</f>
        <v/>
      </c>
      <c r="L272">
        <f ca="1" t="shared" si="9"/>
        <v>45942</v>
      </c>
    </row>
    <row r="273" spans="9:12">
      <c r="I273">
        <f>IFERROR(VLOOKUP(H273,Rates!$A$2:$B$3,2,0),1)</f>
        <v>1</v>
      </c>
      <c r="J273" t="str">
        <f t="shared" si="8"/>
        <v/>
      </c>
      <c r="K273" t="str">
        <f>IF(J273&lt;&gt;"",SUM($J$2:J273),"")</f>
        <v/>
      </c>
      <c r="L273">
        <f ca="1" t="shared" si="9"/>
        <v>45942</v>
      </c>
    </row>
    <row r="274" spans="9:12">
      <c r="I274">
        <f>IFERROR(VLOOKUP(H274,Rates!$A$2:$B$3,2,0),1)</f>
        <v>1</v>
      </c>
      <c r="J274" t="str">
        <f t="shared" si="8"/>
        <v/>
      </c>
      <c r="K274" t="str">
        <f>IF(J274&lt;&gt;"",SUM($J$2:J274),"")</f>
        <v/>
      </c>
      <c r="L274">
        <f ca="1" t="shared" si="9"/>
        <v>45942</v>
      </c>
    </row>
    <row r="275" spans="9:12">
      <c r="I275">
        <f>IFERROR(VLOOKUP(H275,Rates!$A$2:$B$3,2,0),1)</f>
        <v>1</v>
      </c>
      <c r="J275" t="str">
        <f t="shared" si="8"/>
        <v/>
      </c>
      <c r="K275" t="str">
        <f>IF(J275&lt;&gt;"",SUM($J$2:J275),"")</f>
        <v/>
      </c>
      <c r="L275">
        <f ca="1" t="shared" si="9"/>
        <v>45942</v>
      </c>
    </row>
    <row r="276" spans="9:12">
      <c r="I276">
        <f>IFERROR(VLOOKUP(H276,Rates!$A$2:$B$3,2,0),1)</f>
        <v>1</v>
      </c>
      <c r="J276" t="str">
        <f t="shared" si="8"/>
        <v/>
      </c>
      <c r="K276" t="str">
        <f>IF(J276&lt;&gt;"",SUM($J$2:J276),"")</f>
        <v/>
      </c>
      <c r="L276">
        <f ca="1" t="shared" si="9"/>
        <v>45942</v>
      </c>
    </row>
    <row r="277" spans="9:12">
      <c r="I277">
        <f>IFERROR(VLOOKUP(H277,Rates!$A$2:$B$3,2,0),1)</f>
        <v>1</v>
      </c>
      <c r="J277" t="str">
        <f t="shared" si="8"/>
        <v/>
      </c>
      <c r="K277" t="str">
        <f>IF(J277&lt;&gt;"",SUM($J$2:J277),"")</f>
        <v/>
      </c>
      <c r="L277">
        <f ca="1" t="shared" si="9"/>
        <v>45942</v>
      </c>
    </row>
    <row r="278" spans="9:12">
      <c r="I278">
        <f>IFERROR(VLOOKUP(H278,Rates!$A$2:$B$3,2,0),1)</f>
        <v>1</v>
      </c>
      <c r="J278" t="str">
        <f t="shared" si="8"/>
        <v/>
      </c>
      <c r="K278" t="str">
        <f>IF(J278&lt;&gt;"",SUM($J$2:J278),"")</f>
        <v/>
      </c>
      <c r="L278">
        <f ca="1" t="shared" si="9"/>
        <v>45942</v>
      </c>
    </row>
    <row r="279" spans="9:12">
      <c r="I279">
        <f>IFERROR(VLOOKUP(H279,Rates!$A$2:$B$3,2,0),1)</f>
        <v>1</v>
      </c>
      <c r="J279" t="str">
        <f t="shared" si="8"/>
        <v/>
      </c>
      <c r="K279" t="str">
        <f>IF(J279&lt;&gt;"",SUM($J$2:J279),"")</f>
        <v/>
      </c>
      <c r="L279">
        <f ca="1" t="shared" si="9"/>
        <v>45942</v>
      </c>
    </row>
    <row r="280" spans="9:12">
      <c r="I280">
        <f>IFERROR(VLOOKUP(H280,Rates!$A$2:$B$3,2,0),1)</f>
        <v>1</v>
      </c>
      <c r="J280" t="str">
        <f t="shared" si="8"/>
        <v/>
      </c>
      <c r="K280" t="str">
        <f>IF(J280&lt;&gt;"",SUM($J$2:J280),"")</f>
        <v/>
      </c>
      <c r="L280">
        <f ca="1" t="shared" si="9"/>
        <v>45942</v>
      </c>
    </row>
    <row r="281" spans="9:12">
      <c r="I281">
        <f>IFERROR(VLOOKUP(H281,Rates!$A$2:$B$3,2,0),1)</f>
        <v>1</v>
      </c>
      <c r="J281" t="str">
        <f t="shared" si="8"/>
        <v/>
      </c>
      <c r="K281" t="str">
        <f>IF(J281&lt;&gt;"",SUM($J$2:J281),"")</f>
        <v/>
      </c>
      <c r="L281">
        <f ca="1" t="shared" si="9"/>
        <v>45942</v>
      </c>
    </row>
    <row r="282" spans="9:12">
      <c r="I282">
        <f>IFERROR(VLOOKUP(H282,Rates!$A$2:$B$3,2,0),1)</f>
        <v>1</v>
      </c>
      <c r="J282" t="str">
        <f t="shared" si="8"/>
        <v/>
      </c>
      <c r="K282" t="str">
        <f>IF(J282&lt;&gt;"",SUM($J$2:J282),"")</f>
        <v/>
      </c>
      <c r="L282">
        <f ca="1" t="shared" si="9"/>
        <v>45942</v>
      </c>
    </row>
    <row r="283" spans="9:12">
      <c r="I283">
        <f>IFERROR(VLOOKUP(H283,Rates!$A$2:$B$3,2,0),1)</f>
        <v>1</v>
      </c>
      <c r="J283" t="str">
        <f t="shared" si="8"/>
        <v/>
      </c>
      <c r="K283" t="str">
        <f>IF(J283&lt;&gt;"",SUM($J$2:J283),"")</f>
        <v/>
      </c>
      <c r="L283">
        <f ca="1" t="shared" si="9"/>
        <v>45942</v>
      </c>
    </row>
    <row r="284" spans="9:12">
      <c r="I284">
        <f>IFERROR(VLOOKUP(H284,Rates!$A$2:$B$3,2,0),1)</f>
        <v>1</v>
      </c>
      <c r="J284" t="str">
        <f t="shared" si="8"/>
        <v/>
      </c>
      <c r="K284" t="str">
        <f>IF(J284&lt;&gt;"",SUM($J$2:J284),"")</f>
        <v/>
      </c>
      <c r="L284">
        <f ca="1" t="shared" si="9"/>
        <v>45942</v>
      </c>
    </row>
    <row r="285" spans="9:12">
      <c r="I285">
        <f>IFERROR(VLOOKUP(H285,Rates!$A$2:$B$3,2,0),1)</f>
        <v>1</v>
      </c>
      <c r="J285" t="str">
        <f t="shared" si="8"/>
        <v/>
      </c>
      <c r="K285" t="str">
        <f>IF(J285&lt;&gt;"",SUM($J$2:J285),"")</f>
        <v/>
      </c>
      <c r="L285">
        <f ca="1" t="shared" si="9"/>
        <v>45942</v>
      </c>
    </row>
    <row r="286" spans="9:12">
      <c r="I286">
        <f>IFERROR(VLOOKUP(H286,Rates!$A$2:$B$3,2,0),1)</f>
        <v>1</v>
      </c>
      <c r="J286" t="str">
        <f t="shared" si="8"/>
        <v/>
      </c>
      <c r="K286" t="str">
        <f>IF(J286&lt;&gt;"",SUM($J$2:J286),"")</f>
        <v/>
      </c>
      <c r="L286">
        <f ca="1" t="shared" si="9"/>
        <v>45942</v>
      </c>
    </row>
    <row r="287" spans="9:12">
      <c r="I287">
        <f>IFERROR(VLOOKUP(H287,Rates!$A$2:$B$3,2,0),1)</f>
        <v>1</v>
      </c>
      <c r="J287" t="str">
        <f t="shared" si="8"/>
        <v/>
      </c>
      <c r="K287" t="str">
        <f>IF(J287&lt;&gt;"",SUM($J$2:J287),"")</f>
        <v/>
      </c>
      <c r="L287">
        <f ca="1" t="shared" si="9"/>
        <v>45942</v>
      </c>
    </row>
    <row r="288" spans="9:12">
      <c r="I288">
        <f>IFERROR(VLOOKUP(H288,Rates!$A$2:$B$3,2,0),1)</f>
        <v>1</v>
      </c>
      <c r="J288" t="str">
        <f t="shared" si="8"/>
        <v/>
      </c>
      <c r="K288" t="str">
        <f>IF(J288&lt;&gt;"",SUM($J$2:J288),"")</f>
        <v/>
      </c>
      <c r="L288">
        <f ca="1" t="shared" si="9"/>
        <v>45942</v>
      </c>
    </row>
    <row r="289" spans="9:12">
      <c r="I289">
        <f>IFERROR(VLOOKUP(H289,Rates!$A$2:$B$3,2,0),1)</f>
        <v>1</v>
      </c>
      <c r="J289" t="str">
        <f t="shared" si="8"/>
        <v/>
      </c>
      <c r="K289" t="str">
        <f>IF(J289&lt;&gt;"",SUM($J$2:J289),"")</f>
        <v/>
      </c>
      <c r="L289">
        <f ca="1" t="shared" si="9"/>
        <v>45942</v>
      </c>
    </row>
    <row r="290" spans="9:12">
      <c r="I290">
        <f>IFERROR(VLOOKUP(H290,Rates!$A$2:$B$3,2,0),1)</f>
        <v>1</v>
      </c>
      <c r="J290" t="str">
        <f t="shared" si="8"/>
        <v/>
      </c>
      <c r="K290" t="str">
        <f>IF(J290&lt;&gt;"",SUM($J$2:J290),"")</f>
        <v/>
      </c>
      <c r="L290">
        <f ca="1" t="shared" si="9"/>
        <v>45942</v>
      </c>
    </row>
    <row r="291" spans="9:12">
      <c r="I291">
        <f>IFERROR(VLOOKUP(H291,Rates!$A$2:$B$3,2,0),1)</f>
        <v>1</v>
      </c>
      <c r="J291" t="str">
        <f t="shared" si="8"/>
        <v/>
      </c>
      <c r="K291" t="str">
        <f>IF(J291&lt;&gt;"",SUM($J$2:J291),"")</f>
        <v/>
      </c>
      <c r="L291">
        <f ca="1" t="shared" si="9"/>
        <v>45942</v>
      </c>
    </row>
    <row r="292" spans="9:12">
      <c r="I292">
        <f>IFERROR(VLOOKUP(H292,Rates!$A$2:$B$3,2,0),1)</f>
        <v>1</v>
      </c>
      <c r="J292" t="str">
        <f t="shared" si="8"/>
        <v/>
      </c>
      <c r="K292" t="str">
        <f>IF(J292&lt;&gt;"",SUM($J$2:J292),"")</f>
        <v/>
      </c>
      <c r="L292">
        <f ca="1" t="shared" si="9"/>
        <v>45942</v>
      </c>
    </row>
    <row r="293" spans="9:12">
      <c r="I293">
        <f>IFERROR(VLOOKUP(H293,Rates!$A$2:$B$3,2,0),1)</f>
        <v>1</v>
      </c>
      <c r="J293" t="str">
        <f t="shared" si="8"/>
        <v/>
      </c>
      <c r="K293" t="str">
        <f>IF(J293&lt;&gt;"",SUM($J$2:J293),"")</f>
        <v/>
      </c>
      <c r="L293">
        <f ca="1" t="shared" si="9"/>
        <v>45942</v>
      </c>
    </row>
    <row r="294" spans="9:12">
      <c r="I294">
        <f>IFERROR(VLOOKUP(H294,Rates!$A$2:$B$3,2,0),1)</f>
        <v>1</v>
      </c>
      <c r="J294" t="str">
        <f t="shared" si="8"/>
        <v/>
      </c>
      <c r="K294" t="str">
        <f>IF(J294&lt;&gt;"",SUM($J$2:J294),"")</f>
        <v/>
      </c>
      <c r="L294">
        <f ca="1" t="shared" si="9"/>
        <v>45942</v>
      </c>
    </row>
    <row r="295" spans="9:12">
      <c r="I295">
        <f>IFERROR(VLOOKUP(H295,Rates!$A$2:$B$3,2,0),1)</f>
        <v>1</v>
      </c>
      <c r="J295" t="str">
        <f t="shared" si="8"/>
        <v/>
      </c>
      <c r="K295" t="str">
        <f>IF(J295&lt;&gt;"",SUM($J$2:J295),"")</f>
        <v/>
      </c>
      <c r="L295">
        <f ca="1" t="shared" si="9"/>
        <v>45942</v>
      </c>
    </row>
    <row r="296" spans="9:12">
      <c r="I296">
        <f>IFERROR(VLOOKUP(H296,Rates!$A$2:$B$3,2,0),1)</f>
        <v>1</v>
      </c>
      <c r="J296" t="str">
        <f t="shared" si="8"/>
        <v/>
      </c>
      <c r="K296" t="str">
        <f>IF(J296&lt;&gt;"",SUM($J$2:J296),"")</f>
        <v/>
      </c>
      <c r="L296">
        <f ca="1" t="shared" si="9"/>
        <v>45942</v>
      </c>
    </row>
    <row r="297" spans="9:12">
      <c r="I297">
        <f>IFERROR(VLOOKUP(H297,Rates!$A$2:$B$3,2,0),1)</f>
        <v>1</v>
      </c>
      <c r="J297" t="str">
        <f t="shared" si="8"/>
        <v/>
      </c>
      <c r="K297" t="str">
        <f>IF(J297&lt;&gt;"",SUM($J$2:J297),"")</f>
        <v/>
      </c>
      <c r="L297">
        <f ca="1" t="shared" si="9"/>
        <v>45942</v>
      </c>
    </row>
    <row r="298" spans="9:12">
      <c r="I298">
        <f>IFERROR(VLOOKUP(H298,Rates!$A$2:$B$3,2,0),1)</f>
        <v>1</v>
      </c>
      <c r="J298" t="str">
        <f t="shared" si="8"/>
        <v/>
      </c>
      <c r="K298" t="str">
        <f>IF(J298&lt;&gt;"",SUM($J$2:J298),"")</f>
        <v/>
      </c>
      <c r="L298">
        <f ca="1" t="shared" si="9"/>
        <v>45942</v>
      </c>
    </row>
    <row r="299" spans="9:12">
      <c r="I299">
        <f>IFERROR(VLOOKUP(H299,Rates!$A$2:$B$3,2,0),1)</f>
        <v>1</v>
      </c>
      <c r="J299" t="str">
        <f t="shared" si="8"/>
        <v/>
      </c>
      <c r="K299" t="str">
        <f>IF(J299&lt;&gt;"",SUM($J$2:J299),"")</f>
        <v/>
      </c>
      <c r="L299">
        <f ca="1" t="shared" si="9"/>
        <v>45942</v>
      </c>
    </row>
    <row r="300" spans="9:12">
      <c r="I300">
        <f>IFERROR(VLOOKUP(H300,Rates!$A$2:$B$3,2,0),1)</f>
        <v>1</v>
      </c>
      <c r="J300" t="str">
        <f t="shared" si="8"/>
        <v/>
      </c>
      <c r="K300" t="str">
        <f>IF(J300&lt;&gt;"",SUM($J$2:J300),"")</f>
        <v/>
      </c>
      <c r="L300">
        <f ca="1" t="shared" si="9"/>
        <v>45942</v>
      </c>
    </row>
    <row r="301" spans="9:12">
      <c r="I301">
        <f>IFERROR(VLOOKUP(H301,Rates!$A$2:$B$3,2,0),1)</f>
        <v>1</v>
      </c>
      <c r="J301" t="str">
        <f t="shared" si="8"/>
        <v/>
      </c>
      <c r="K301" t="str">
        <f>IF(J301&lt;&gt;"",SUM($J$2:J301),"")</f>
        <v/>
      </c>
      <c r="L301">
        <f ca="1" t="shared" si="9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1"/>
  <sheetViews>
    <sheetView workbookViewId="0">
      <pane ySplit="1" topLeftCell="A2" activePane="bottomLeft" state="frozen"/>
      <selection/>
      <selection pane="bottomLeft" activeCell="E21" sqref="E21"/>
    </sheetView>
  </sheetViews>
  <sheetFormatPr defaultColWidth="9" defaultRowHeight="16.8"/>
  <cols>
    <col min="1" max="1" width="22" customWidth="1"/>
    <col min="2" max="2" width="12" customWidth="1"/>
    <col min="3" max="4" width="16" customWidth="1"/>
    <col min="5" max="5" width="26" customWidth="1"/>
    <col min="6" max="6" width="36" customWidth="1"/>
    <col min="7" max="7" width="12" customWidth="1"/>
    <col min="8" max="9" width="10" customWidth="1"/>
    <col min="10" max="10" width="14" customWidth="1"/>
    <col min="11" max="11" width="16" customWidth="1"/>
    <col min="12" max="12" width="14" customWidth="1"/>
    <col min="14" max="14" width="2" customWidth="1"/>
    <col min="16" max="16" width="2" customWidth="1"/>
  </cols>
  <sheetData>
    <row r="1" spans="1:15">
      <c r="A1" t="s">
        <v>36</v>
      </c>
      <c r="B1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  <c r="O1" t="s">
        <v>91</v>
      </c>
    </row>
    <row r="2" spans="1:15">
      <c r="A2" t="s">
        <v>48</v>
      </c>
      <c r="B2" s="9" t="s">
        <v>77</v>
      </c>
      <c r="H2" t="s">
        <v>3</v>
      </c>
      <c r="I2">
        <f>IFERROR(VLOOKUP(H2,Rates!$A$2:$B$3,2,0),1)</f>
        <v>1</v>
      </c>
      <c r="J2" t="str">
        <f t="shared" ref="J2:J65" si="0">IF(G2&lt;&gt;"",G2*I2,"")</f>
        <v/>
      </c>
      <c r="K2" t="str">
        <f>IF(J2&lt;&gt;"",J2,"")</f>
        <v/>
      </c>
      <c r="L2">
        <f ca="1" t="shared" ref="L2:L65" si="1">IF(COUNTA(A2:K2)&gt;0,TODAY(),"")</f>
        <v>45942</v>
      </c>
      <c r="O2" t="s">
        <v>5</v>
      </c>
    </row>
    <row r="3" spans="1:15">
      <c r="A3" t="s">
        <v>48</v>
      </c>
      <c r="B3" s="9" t="s">
        <v>77</v>
      </c>
      <c r="H3" t="s">
        <v>3</v>
      </c>
      <c r="I3">
        <f>IFERROR(VLOOKUP(H3,Rates!$A$2:$B$3,2,0),1)</f>
        <v>1</v>
      </c>
      <c r="J3" t="str">
        <f t="shared" si="0"/>
        <v/>
      </c>
      <c r="K3" t="str">
        <f>IF(J3&lt;&gt;"",SUM($J$2:J3),"")</f>
        <v/>
      </c>
      <c r="L3">
        <f ca="1" t="shared" si="1"/>
        <v>45942</v>
      </c>
      <c r="O3" t="s">
        <v>6</v>
      </c>
    </row>
    <row r="4" spans="1:15">
      <c r="A4" t="s">
        <v>48</v>
      </c>
      <c r="B4" s="9" t="s">
        <v>77</v>
      </c>
      <c r="H4" t="s">
        <v>3</v>
      </c>
      <c r="I4">
        <f>IFERROR(VLOOKUP(H4,Rates!$A$2:$B$3,2,0),1)</f>
        <v>1</v>
      </c>
      <c r="J4" t="str">
        <f t="shared" si="0"/>
        <v/>
      </c>
      <c r="K4" t="str">
        <f>IF(J4&lt;&gt;"",SUM($J$2:J4),"")</f>
        <v/>
      </c>
      <c r="L4">
        <f ca="1" t="shared" si="1"/>
        <v>45942</v>
      </c>
      <c r="O4" t="s">
        <v>7</v>
      </c>
    </row>
    <row r="5" spans="2:15">
      <c r="B5" s="9" t="s">
        <v>77</v>
      </c>
      <c r="I5">
        <f>IFERROR(VLOOKUP(H5,Rates!$A$2:$B$3,2,0),1)</f>
        <v>1</v>
      </c>
      <c r="J5" t="str">
        <f t="shared" si="0"/>
        <v/>
      </c>
      <c r="K5" t="str">
        <f>IF(J5&lt;&gt;"",SUM($J$2:J5),"")</f>
        <v/>
      </c>
      <c r="L5">
        <f ca="1" t="shared" si="1"/>
        <v>45942</v>
      </c>
      <c r="O5" t="s">
        <v>8</v>
      </c>
    </row>
    <row r="6" spans="2:15">
      <c r="B6" s="9" t="s">
        <v>77</v>
      </c>
      <c r="I6">
        <f>IFERROR(VLOOKUP(H6,Rates!$A$2:$B$3,2,0),1)</f>
        <v>1</v>
      </c>
      <c r="J6" t="str">
        <f t="shared" si="0"/>
        <v/>
      </c>
      <c r="K6" t="str">
        <f>IF(J6&lt;&gt;"",SUM($J$2:J6),"")</f>
        <v/>
      </c>
      <c r="L6">
        <f ca="1" t="shared" si="1"/>
        <v>45942</v>
      </c>
      <c r="O6" t="s">
        <v>9</v>
      </c>
    </row>
    <row r="7" spans="2:15">
      <c r="B7" s="9" t="s">
        <v>77</v>
      </c>
      <c r="I7">
        <f>IFERROR(VLOOKUP(H7,Rates!$A$2:$B$3,2,0),1)</f>
        <v>1</v>
      </c>
      <c r="J7" t="str">
        <f t="shared" si="0"/>
        <v/>
      </c>
      <c r="K7" t="str">
        <f>IF(J7&lt;&gt;"",SUM($J$2:J7),"")</f>
        <v/>
      </c>
      <c r="L7">
        <f ca="1" t="shared" si="1"/>
        <v>45942</v>
      </c>
      <c r="O7" t="s">
        <v>10</v>
      </c>
    </row>
    <row r="8" spans="2:15">
      <c r="B8" s="9" t="s">
        <v>77</v>
      </c>
      <c r="I8">
        <f>IFERROR(VLOOKUP(H8,Rates!$A$2:$B$3,2,0),1)</f>
        <v>1</v>
      </c>
      <c r="J8" t="str">
        <f t="shared" si="0"/>
        <v/>
      </c>
      <c r="K8" t="str">
        <f>IF(J8&lt;&gt;"",SUM($J$2:J8),"")</f>
        <v/>
      </c>
      <c r="L8">
        <f ca="1" t="shared" si="1"/>
        <v>45942</v>
      </c>
      <c r="O8" t="s">
        <v>11</v>
      </c>
    </row>
    <row r="9" spans="2:15">
      <c r="B9" s="9" t="s">
        <v>77</v>
      </c>
      <c r="I9">
        <f>IFERROR(VLOOKUP(H9,Rates!$A$2:$B$3,2,0),1)</f>
        <v>1</v>
      </c>
      <c r="J9" t="str">
        <f t="shared" si="0"/>
        <v/>
      </c>
      <c r="K9" t="str">
        <f>IF(J9&lt;&gt;"",SUM($J$2:J9),"")</f>
        <v/>
      </c>
      <c r="L9">
        <f ca="1" t="shared" si="1"/>
        <v>45942</v>
      </c>
      <c r="O9" t="s">
        <v>12</v>
      </c>
    </row>
    <row r="10" spans="2:15">
      <c r="B10" s="9" t="s">
        <v>77</v>
      </c>
      <c r="I10">
        <f>IFERROR(VLOOKUP(H10,Rates!$A$2:$B$3,2,0),1)</f>
        <v>1</v>
      </c>
      <c r="J10" t="str">
        <f t="shared" si="0"/>
        <v/>
      </c>
      <c r="K10" t="str">
        <f>IF(J10&lt;&gt;"",SUM($J$2:J10),"")</f>
        <v/>
      </c>
      <c r="L10">
        <f ca="1" t="shared" si="1"/>
        <v>45942</v>
      </c>
      <c r="O10" t="s">
        <v>13</v>
      </c>
    </row>
    <row r="11" spans="2:15">
      <c r="B11" s="9" t="s">
        <v>77</v>
      </c>
      <c r="I11">
        <f>IFERROR(VLOOKUP(H11,Rates!$A$2:$B$3,2,0),1)</f>
        <v>1</v>
      </c>
      <c r="J11" t="str">
        <f t="shared" si="0"/>
        <v/>
      </c>
      <c r="K11" t="str">
        <f>IF(J11&lt;&gt;"",SUM($J$2:J11),"")</f>
        <v/>
      </c>
      <c r="L11">
        <f ca="1" t="shared" si="1"/>
        <v>45942</v>
      </c>
      <c r="O11" t="s">
        <v>14</v>
      </c>
    </row>
    <row r="12" spans="2:15">
      <c r="B12" s="9" t="s">
        <v>77</v>
      </c>
      <c r="I12">
        <f>IFERROR(VLOOKUP(H12,Rates!$A$2:$B$3,2,0),1)</f>
        <v>1</v>
      </c>
      <c r="J12" t="str">
        <f t="shared" si="0"/>
        <v/>
      </c>
      <c r="K12" t="str">
        <f>IF(J12&lt;&gt;"",SUM($J$2:J12),"")</f>
        <v/>
      </c>
      <c r="L12">
        <f ca="1" t="shared" si="1"/>
        <v>45942</v>
      </c>
      <c r="O12" t="s">
        <v>15</v>
      </c>
    </row>
    <row r="13" spans="2:15">
      <c r="B13" s="9" t="s">
        <v>100</v>
      </c>
      <c r="I13">
        <f>IFERROR(VLOOKUP(H13,Rates!$A$2:$B$3,2,0),1)</f>
        <v>1</v>
      </c>
      <c r="J13" t="str">
        <f t="shared" si="0"/>
        <v/>
      </c>
      <c r="K13" t="str">
        <f>IF(J13&lt;&gt;"",SUM($J$2:J13),"")</f>
        <v/>
      </c>
      <c r="L13">
        <f ca="1" t="shared" si="1"/>
        <v>45942</v>
      </c>
      <c r="O13" t="s">
        <v>16</v>
      </c>
    </row>
    <row r="14" spans="2:15">
      <c r="B14" s="9" t="s">
        <v>100</v>
      </c>
      <c r="I14">
        <f>IFERROR(VLOOKUP(H14,Rates!$A$2:$B$3,2,0),1)</f>
        <v>1</v>
      </c>
      <c r="J14" t="str">
        <f t="shared" si="0"/>
        <v/>
      </c>
      <c r="K14" t="str">
        <f>IF(J14&lt;&gt;"",SUM($J$2:J14),"")</f>
        <v/>
      </c>
      <c r="L14">
        <f ca="1" t="shared" si="1"/>
        <v>45942</v>
      </c>
      <c r="O14" t="s">
        <v>17</v>
      </c>
    </row>
    <row r="15" spans="2:15">
      <c r="B15" s="9" t="s">
        <v>100</v>
      </c>
      <c r="I15">
        <f>IFERROR(VLOOKUP(H15,Rates!$A$2:$B$3,2,0),1)</f>
        <v>1</v>
      </c>
      <c r="J15" t="str">
        <f t="shared" si="0"/>
        <v/>
      </c>
      <c r="K15" t="str">
        <f>IF(J15&lt;&gt;"",SUM($J$2:J15),"")</f>
        <v/>
      </c>
      <c r="L15">
        <f ca="1" t="shared" si="1"/>
        <v>45942</v>
      </c>
      <c r="O15" t="s">
        <v>18</v>
      </c>
    </row>
    <row r="16" spans="2:15">
      <c r="B16" s="9" t="s">
        <v>100</v>
      </c>
      <c r="I16">
        <f>IFERROR(VLOOKUP(H16,Rates!$A$2:$B$3,2,0),1)</f>
        <v>1</v>
      </c>
      <c r="J16" t="str">
        <f t="shared" si="0"/>
        <v/>
      </c>
      <c r="K16" t="str">
        <f>IF(J16&lt;&gt;"",SUM($J$2:J16),"")</f>
        <v/>
      </c>
      <c r="L16">
        <f ca="1" t="shared" si="1"/>
        <v>45942</v>
      </c>
      <c r="O16" t="s">
        <v>19</v>
      </c>
    </row>
    <row r="17" spans="2:15">
      <c r="B17" s="9" t="s">
        <v>100</v>
      </c>
      <c r="I17">
        <f>IFERROR(VLOOKUP(H17,Rates!$A$2:$B$3,2,0),1)</f>
        <v>1</v>
      </c>
      <c r="J17" t="str">
        <f t="shared" si="0"/>
        <v/>
      </c>
      <c r="K17" t="str">
        <f>IF(J17&lt;&gt;"",SUM($J$2:J17),"")</f>
        <v/>
      </c>
      <c r="L17">
        <f ca="1" t="shared" si="1"/>
        <v>45942</v>
      </c>
      <c r="O17" t="s">
        <v>20</v>
      </c>
    </row>
    <row r="18" spans="2:15">
      <c r="B18" s="9" t="s">
        <v>100</v>
      </c>
      <c r="I18">
        <f>IFERROR(VLOOKUP(H18,Rates!$A$2:$B$3,2,0),1)</f>
        <v>1</v>
      </c>
      <c r="J18" t="str">
        <f t="shared" si="0"/>
        <v/>
      </c>
      <c r="K18" t="str">
        <f>IF(J18&lt;&gt;"",SUM($J$2:J18),"")</f>
        <v/>
      </c>
      <c r="L18">
        <f ca="1" t="shared" si="1"/>
        <v>45942</v>
      </c>
      <c r="O18" t="s">
        <v>21</v>
      </c>
    </row>
    <row r="19" spans="2:15">
      <c r="B19" s="9" t="s">
        <v>100</v>
      </c>
      <c r="I19">
        <f>IFERROR(VLOOKUP(H19,Rates!$A$2:$B$3,2,0),1)</f>
        <v>1</v>
      </c>
      <c r="J19" t="str">
        <f t="shared" si="0"/>
        <v/>
      </c>
      <c r="K19" t="str">
        <f>IF(J19&lt;&gt;"",SUM($J$2:J19),"")</f>
        <v/>
      </c>
      <c r="L19">
        <f ca="1" t="shared" si="1"/>
        <v>45942</v>
      </c>
      <c r="O19" t="s">
        <v>22</v>
      </c>
    </row>
    <row r="20" spans="2:15">
      <c r="B20" s="9" t="s">
        <v>100</v>
      </c>
      <c r="I20">
        <f>IFERROR(VLOOKUP(H20,Rates!$A$2:$B$3,2,0),1)</f>
        <v>1</v>
      </c>
      <c r="J20" t="str">
        <f t="shared" si="0"/>
        <v/>
      </c>
      <c r="K20" t="str">
        <f>IF(J20&lt;&gt;"",SUM($J$2:J20),"")</f>
        <v/>
      </c>
      <c r="L20">
        <f ca="1" t="shared" si="1"/>
        <v>45942</v>
      </c>
      <c r="O20" t="s">
        <v>23</v>
      </c>
    </row>
    <row r="21" spans="2:15">
      <c r="B21" s="9" t="s">
        <v>100</v>
      </c>
      <c r="I21">
        <f>IFERROR(VLOOKUP(H21,Rates!$A$2:$B$3,2,0),1)</f>
        <v>1</v>
      </c>
      <c r="J21" t="str">
        <f t="shared" si="0"/>
        <v/>
      </c>
      <c r="K21" t="str">
        <f>IF(J21&lt;&gt;"",SUM($J$2:J21),"")</f>
        <v/>
      </c>
      <c r="L21">
        <f ca="1" t="shared" si="1"/>
        <v>45942</v>
      </c>
      <c r="O21" t="s">
        <v>24</v>
      </c>
    </row>
    <row r="22" spans="2:15">
      <c r="B22" s="9" t="s">
        <v>100</v>
      </c>
      <c r="I22">
        <f>IFERROR(VLOOKUP(H22,Rates!$A$2:$B$3,2,0),1)</f>
        <v>1</v>
      </c>
      <c r="J22" t="str">
        <f t="shared" si="0"/>
        <v/>
      </c>
      <c r="K22" t="str">
        <f>IF(J22&lt;&gt;"",SUM($J$2:J22),"")</f>
        <v/>
      </c>
      <c r="L22">
        <f ca="1" t="shared" si="1"/>
        <v>45942</v>
      </c>
      <c r="O22" t="s">
        <v>25</v>
      </c>
    </row>
    <row r="23" spans="2:15">
      <c r="B23" s="9" t="s">
        <v>100</v>
      </c>
      <c r="I23">
        <f>IFERROR(VLOOKUP(H23,Rates!$A$2:$B$3,2,0),1)</f>
        <v>1</v>
      </c>
      <c r="J23" t="str">
        <f t="shared" si="0"/>
        <v/>
      </c>
      <c r="K23" t="str">
        <f>IF(J23&lt;&gt;"",SUM($J$2:J23),"")</f>
        <v/>
      </c>
      <c r="L23">
        <f ca="1" t="shared" si="1"/>
        <v>45942</v>
      </c>
      <c r="O23" t="s">
        <v>26</v>
      </c>
    </row>
    <row r="24" spans="2:12">
      <c r="B24" s="9" t="s">
        <v>100</v>
      </c>
      <c r="I24">
        <f>IFERROR(VLOOKUP(H24,Rates!$A$2:$B$3,2,0),1)</f>
        <v>1</v>
      </c>
      <c r="J24" t="str">
        <f t="shared" si="0"/>
        <v/>
      </c>
      <c r="K24" t="str">
        <f>IF(J24&lt;&gt;"",SUM($J$2:J24),"")</f>
        <v/>
      </c>
      <c r="L24">
        <f ca="1" t="shared" si="1"/>
        <v>45942</v>
      </c>
    </row>
    <row r="25" spans="2:12">
      <c r="B25" s="9" t="s">
        <v>100</v>
      </c>
      <c r="I25">
        <f>IFERROR(VLOOKUP(H25,Rates!$A$2:$B$3,2,0),1)</f>
        <v>1</v>
      </c>
      <c r="J25" t="str">
        <f t="shared" si="0"/>
        <v/>
      </c>
      <c r="K25" t="str">
        <f>IF(J25&lt;&gt;"",SUM($J$2:J25),"")</f>
        <v/>
      </c>
      <c r="L25">
        <f ca="1" t="shared" si="1"/>
        <v>45942</v>
      </c>
    </row>
    <row r="26" spans="2:12">
      <c r="B26" s="9" t="s">
        <v>100</v>
      </c>
      <c r="I26">
        <f>IFERROR(VLOOKUP(H26,Rates!$A$2:$B$3,2,0),1)</f>
        <v>1</v>
      </c>
      <c r="J26" t="str">
        <f t="shared" si="0"/>
        <v/>
      </c>
      <c r="K26" t="str">
        <f>IF(J26&lt;&gt;"",SUM($J$2:J26),"")</f>
        <v/>
      </c>
      <c r="L26">
        <f ca="1" t="shared" si="1"/>
        <v>45942</v>
      </c>
    </row>
    <row r="27" spans="2:12">
      <c r="B27" s="9" t="s">
        <v>100</v>
      </c>
      <c r="I27">
        <f>IFERROR(VLOOKUP(H27,Rates!$A$2:$B$3,2,0),1)</f>
        <v>1</v>
      </c>
      <c r="J27" t="str">
        <f t="shared" si="0"/>
        <v/>
      </c>
      <c r="K27" t="str">
        <f>IF(J27&lt;&gt;"",SUM($J$2:J27),"")</f>
        <v/>
      </c>
      <c r="L27">
        <f ca="1" t="shared" si="1"/>
        <v>45942</v>
      </c>
    </row>
    <row r="28" spans="2:12">
      <c r="B28" s="9" t="s">
        <v>101</v>
      </c>
      <c r="I28">
        <f>IFERROR(VLOOKUP(H28,Rates!$A$2:$B$3,2,0),1)</f>
        <v>1</v>
      </c>
      <c r="J28" t="str">
        <f t="shared" si="0"/>
        <v/>
      </c>
      <c r="K28" t="str">
        <f>IF(J28&lt;&gt;"",SUM($J$2:J28),"")</f>
        <v/>
      </c>
      <c r="L28">
        <f ca="1" t="shared" si="1"/>
        <v>45942</v>
      </c>
    </row>
    <row r="29" spans="2:12">
      <c r="B29" s="9" t="s">
        <v>101</v>
      </c>
      <c r="I29">
        <f>IFERROR(VLOOKUP(H29,Rates!$A$2:$B$3,2,0),1)</f>
        <v>1</v>
      </c>
      <c r="J29" t="str">
        <f t="shared" si="0"/>
        <v/>
      </c>
      <c r="K29" t="str">
        <f>IF(J29&lt;&gt;"",SUM($J$2:J29),"")</f>
        <v/>
      </c>
      <c r="L29">
        <f ca="1" t="shared" si="1"/>
        <v>45942</v>
      </c>
    </row>
    <row r="30" spans="2:12">
      <c r="B30" s="9" t="s">
        <v>101</v>
      </c>
      <c r="I30">
        <f>IFERROR(VLOOKUP(H30,Rates!$A$2:$B$3,2,0),1)</f>
        <v>1</v>
      </c>
      <c r="J30" t="str">
        <f t="shared" si="0"/>
        <v/>
      </c>
      <c r="K30" t="str">
        <f>IF(J30&lt;&gt;"",SUM($J$2:J30),"")</f>
        <v/>
      </c>
      <c r="L30">
        <f ca="1" t="shared" si="1"/>
        <v>45942</v>
      </c>
    </row>
    <row r="31" spans="2:12">
      <c r="B31" s="9" t="s">
        <v>101</v>
      </c>
      <c r="I31">
        <f>IFERROR(VLOOKUP(H31,Rates!$A$2:$B$3,2,0),1)</f>
        <v>1</v>
      </c>
      <c r="J31" t="str">
        <f t="shared" si="0"/>
        <v/>
      </c>
      <c r="K31" t="str">
        <f>IF(J31&lt;&gt;"",SUM($J$2:J31),"")</f>
        <v/>
      </c>
      <c r="L31">
        <f ca="1" t="shared" si="1"/>
        <v>45942</v>
      </c>
    </row>
    <row r="32" spans="2:12">
      <c r="B32" s="9" t="s">
        <v>101</v>
      </c>
      <c r="I32">
        <f>IFERROR(VLOOKUP(H32,Rates!$A$2:$B$3,2,0),1)</f>
        <v>1</v>
      </c>
      <c r="J32" t="str">
        <f t="shared" si="0"/>
        <v/>
      </c>
      <c r="K32" t="str">
        <f>IF(J32&lt;&gt;"",SUM($J$2:J32),"")</f>
        <v/>
      </c>
      <c r="L32">
        <f ca="1" t="shared" si="1"/>
        <v>45942</v>
      </c>
    </row>
    <row r="33" spans="2:12">
      <c r="B33" s="9" t="s">
        <v>101</v>
      </c>
      <c r="I33">
        <f>IFERROR(VLOOKUP(H33,Rates!$A$2:$B$3,2,0),1)</f>
        <v>1</v>
      </c>
      <c r="J33" t="str">
        <f t="shared" si="0"/>
        <v/>
      </c>
      <c r="K33" t="str">
        <f>IF(J33&lt;&gt;"",SUM($J$2:J33),"")</f>
        <v/>
      </c>
      <c r="L33">
        <f ca="1" t="shared" si="1"/>
        <v>45942</v>
      </c>
    </row>
    <row r="34" spans="2:12">
      <c r="B34" s="9" t="s">
        <v>101</v>
      </c>
      <c r="I34">
        <f>IFERROR(VLOOKUP(H34,Rates!$A$2:$B$3,2,0),1)</f>
        <v>1</v>
      </c>
      <c r="J34" t="str">
        <f t="shared" si="0"/>
        <v/>
      </c>
      <c r="K34" t="str">
        <f>IF(J34&lt;&gt;"",SUM($J$2:J34),"")</f>
        <v/>
      </c>
      <c r="L34">
        <f ca="1" t="shared" si="1"/>
        <v>45942</v>
      </c>
    </row>
    <row r="35" spans="2:12">
      <c r="B35" s="9" t="s">
        <v>101</v>
      </c>
      <c r="I35">
        <f>IFERROR(VLOOKUP(H35,Rates!$A$2:$B$3,2,0),1)</f>
        <v>1</v>
      </c>
      <c r="J35" t="str">
        <f t="shared" si="0"/>
        <v/>
      </c>
      <c r="K35" t="str">
        <f>IF(J35&lt;&gt;"",SUM($J$2:J35),"")</f>
        <v/>
      </c>
      <c r="L35">
        <f ca="1" t="shared" si="1"/>
        <v>45942</v>
      </c>
    </row>
    <row r="36" spans="2:12">
      <c r="B36" s="9" t="s">
        <v>101</v>
      </c>
      <c r="I36">
        <f>IFERROR(VLOOKUP(H36,Rates!$A$2:$B$3,2,0),1)</f>
        <v>1</v>
      </c>
      <c r="J36" t="str">
        <f t="shared" si="0"/>
        <v/>
      </c>
      <c r="K36" t="str">
        <f>IF(J36&lt;&gt;"",SUM($J$2:J36),"")</f>
        <v/>
      </c>
      <c r="L36">
        <f ca="1" t="shared" si="1"/>
        <v>45942</v>
      </c>
    </row>
    <row r="37" spans="2:12">
      <c r="B37" s="9" t="s">
        <v>101</v>
      </c>
      <c r="I37">
        <f>IFERROR(VLOOKUP(H37,Rates!$A$2:$B$3,2,0),1)</f>
        <v>1</v>
      </c>
      <c r="J37" t="str">
        <f t="shared" si="0"/>
        <v/>
      </c>
      <c r="K37" t="str">
        <f>IF(J37&lt;&gt;"",SUM($J$2:J37),"")</f>
        <v/>
      </c>
      <c r="L37">
        <f ca="1" t="shared" si="1"/>
        <v>45942</v>
      </c>
    </row>
    <row r="38" spans="2:12">
      <c r="B38" s="9" t="s">
        <v>101</v>
      </c>
      <c r="I38">
        <f>IFERROR(VLOOKUP(H38,Rates!$A$2:$B$3,2,0),1)</f>
        <v>1</v>
      </c>
      <c r="J38" t="str">
        <f t="shared" si="0"/>
        <v/>
      </c>
      <c r="K38" t="str">
        <f>IF(J38&lt;&gt;"",SUM($J$2:J38),"")</f>
        <v/>
      </c>
      <c r="L38">
        <f ca="1" t="shared" si="1"/>
        <v>45942</v>
      </c>
    </row>
    <row r="39" spans="2:12">
      <c r="B39" s="9" t="s">
        <v>102</v>
      </c>
      <c r="I39">
        <f>IFERROR(VLOOKUP(H39,Rates!$A$2:$B$3,2,0),1)</f>
        <v>1</v>
      </c>
      <c r="J39" t="str">
        <f t="shared" si="0"/>
        <v/>
      </c>
      <c r="K39" t="str">
        <f>IF(J39&lt;&gt;"",SUM($J$2:J39),"")</f>
        <v/>
      </c>
      <c r="L39">
        <f ca="1" t="shared" si="1"/>
        <v>45942</v>
      </c>
    </row>
    <row r="40" spans="2:12">
      <c r="B40" s="9" t="s">
        <v>102</v>
      </c>
      <c r="I40">
        <f>IFERROR(VLOOKUP(H40,Rates!$A$2:$B$3,2,0),1)</f>
        <v>1</v>
      </c>
      <c r="J40" t="str">
        <f t="shared" si="0"/>
        <v/>
      </c>
      <c r="K40" t="str">
        <f>IF(J40&lt;&gt;"",SUM($J$2:J40),"")</f>
        <v/>
      </c>
      <c r="L40">
        <f ca="1" t="shared" si="1"/>
        <v>45942</v>
      </c>
    </row>
    <row r="41" spans="2:12">
      <c r="B41" s="9" t="s">
        <v>102</v>
      </c>
      <c r="I41">
        <f>IFERROR(VLOOKUP(H41,Rates!$A$2:$B$3,2,0),1)</f>
        <v>1</v>
      </c>
      <c r="J41" t="str">
        <f t="shared" si="0"/>
        <v/>
      </c>
      <c r="K41" t="str">
        <f>IF(J41&lt;&gt;"",SUM($J$2:J41),"")</f>
        <v/>
      </c>
      <c r="L41">
        <f ca="1" t="shared" si="1"/>
        <v>45942</v>
      </c>
    </row>
    <row r="42" spans="2:12">
      <c r="B42" s="9" t="s">
        <v>102</v>
      </c>
      <c r="I42">
        <f>IFERROR(VLOOKUP(H42,Rates!$A$2:$B$3,2,0),1)</f>
        <v>1</v>
      </c>
      <c r="J42" t="str">
        <f t="shared" si="0"/>
        <v/>
      </c>
      <c r="K42" t="str">
        <f>IF(J42&lt;&gt;"",SUM($J$2:J42),"")</f>
        <v/>
      </c>
      <c r="L42">
        <f ca="1" t="shared" si="1"/>
        <v>45942</v>
      </c>
    </row>
    <row r="43" spans="2:12">
      <c r="B43" s="9" t="s">
        <v>102</v>
      </c>
      <c r="I43">
        <f>IFERROR(VLOOKUP(H43,Rates!$A$2:$B$3,2,0),1)</f>
        <v>1</v>
      </c>
      <c r="J43" t="str">
        <f t="shared" si="0"/>
        <v/>
      </c>
      <c r="K43" t="str">
        <f>IF(J43&lt;&gt;"",SUM($J$2:J43),"")</f>
        <v/>
      </c>
      <c r="L43">
        <f ca="1" t="shared" si="1"/>
        <v>45942</v>
      </c>
    </row>
    <row r="44" spans="2:12">
      <c r="B44" s="9" t="s">
        <v>102</v>
      </c>
      <c r="I44">
        <f>IFERROR(VLOOKUP(H44,Rates!$A$2:$B$3,2,0),1)</f>
        <v>1</v>
      </c>
      <c r="J44" t="str">
        <f t="shared" si="0"/>
        <v/>
      </c>
      <c r="K44" t="str">
        <f>IF(J44&lt;&gt;"",SUM($J$2:J44),"")</f>
        <v/>
      </c>
      <c r="L44">
        <f ca="1" t="shared" si="1"/>
        <v>45942</v>
      </c>
    </row>
    <row r="45" spans="2:12">
      <c r="B45" s="9" t="s">
        <v>102</v>
      </c>
      <c r="I45">
        <f>IFERROR(VLOOKUP(H45,Rates!$A$2:$B$3,2,0),1)</f>
        <v>1</v>
      </c>
      <c r="J45" t="str">
        <f t="shared" si="0"/>
        <v/>
      </c>
      <c r="K45" t="str">
        <f>IF(J45&lt;&gt;"",SUM($J$2:J45),"")</f>
        <v/>
      </c>
      <c r="L45">
        <f ca="1" t="shared" si="1"/>
        <v>45942</v>
      </c>
    </row>
    <row r="46" spans="2:12">
      <c r="B46" s="9" t="s">
        <v>102</v>
      </c>
      <c r="I46">
        <f>IFERROR(VLOOKUP(H46,Rates!$A$2:$B$3,2,0),1)</f>
        <v>1</v>
      </c>
      <c r="J46" t="str">
        <f t="shared" si="0"/>
        <v/>
      </c>
      <c r="K46" t="str">
        <f>IF(J46&lt;&gt;"",SUM($J$2:J46),"")</f>
        <v/>
      </c>
      <c r="L46">
        <f ca="1" t="shared" si="1"/>
        <v>45942</v>
      </c>
    </row>
    <row r="47" spans="2:12">
      <c r="B47" s="9" t="s">
        <v>102</v>
      </c>
      <c r="I47">
        <f>IFERROR(VLOOKUP(H47,Rates!$A$2:$B$3,2,0),1)</f>
        <v>1</v>
      </c>
      <c r="J47" t="str">
        <f t="shared" si="0"/>
        <v/>
      </c>
      <c r="K47" t="str">
        <f>IF(J47&lt;&gt;"",SUM($J$2:J47),"")</f>
        <v/>
      </c>
      <c r="L47">
        <f ca="1" t="shared" si="1"/>
        <v>45942</v>
      </c>
    </row>
    <row r="48" spans="2:12">
      <c r="B48" s="9" t="s">
        <v>102</v>
      </c>
      <c r="I48">
        <f>IFERROR(VLOOKUP(H48,Rates!$A$2:$B$3,2,0),1)</f>
        <v>1</v>
      </c>
      <c r="J48" t="str">
        <f t="shared" si="0"/>
        <v/>
      </c>
      <c r="K48" t="str">
        <f>IF(J48&lt;&gt;"",SUM($J$2:J48),"")</f>
        <v/>
      </c>
      <c r="L48">
        <f ca="1" t="shared" si="1"/>
        <v>45942</v>
      </c>
    </row>
    <row r="49" spans="2:12">
      <c r="B49" s="9" t="s">
        <v>102</v>
      </c>
      <c r="I49">
        <f>IFERROR(VLOOKUP(H49,Rates!$A$2:$B$3,2,0),1)</f>
        <v>1</v>
      </c>
      <c r="J49" t="str">
        <f t="shared" si="0"/>
        <v/>
      </c>
      <c r="K49" t="str">
        <f>IF(J49&lt;&gt;"",SUM($J$2:J49),"")</f>
        <v/>
      </c>
      <c r="L49">
        <f ca="1" t="shared" si="1"/>
        <v>45942</v>
      </c>
    </row>
    <row r="50" spans="2:12">
      <c r="B50" s="9" t="s">
        <v>102</v>
      </c>
      <c r="I50">
        <f>IFERROR(VLOOKUP(H50,Rates!$A$2:$B$3,2,0),1)</f>
        <v>1</v>
      </c>
      <c r="J50" t="str">
        <f t="shared" si="0"/>
        <v/>
      </c>
      <c r="K50" t="str">
        <f>IF(J50&lt;&gt;"",SUM($J$2:J50),"")</f>
        <v/>
      </c>
      <c r="L50">
        <f ca="1" t="shared" si="1"/>
        <v>45942</v>
      </c>
    </row>
    <row r="51" spans="2:12">
      <c r="B51" s="9" t="s">
        <v>102</v>
      </c>
      <c r="I51">
        <f>IFERROR(VLOOKUP(H51,Rates!$A$2:$B$3,2,0),1)</f>
        <v>1</v>
      </c>
      <c r="J51" t="str">
        <f t="shared" si="0"/>
        <v/>
      </c>
      <c r="K51" t="str">
        <f>IF(J51&lt;&gt;"",SUM($J$2:J51),"")</f>
        <v/>
      </c>
      <c r="L51">
        <f ca="1" t="shared" si="1"/>
        <v>45942</v>
      </c>
    </row>
    <row r="52" spans="2:12">
      <c r="B52" s="9" t="s">
        <v>102</v>
      </c>
      <c r="I52">
        <f>IFERROR(VLOOKUP(H52,Rates!$A$2:$B$3,2,0),1)</f>
        <v>1</v>
      </c>
      <c r="J52" t="str">
        <f t="shared" si="0"/>
        <v/>
      </c>
      <c r="K52" t="str">
        <f>IF(J52&lt;&gt;"",SUM($J$2:J52),"")</f>
        <v/>
      </c>
      <c r="L52">
        <f ca="1" t="shared" si="1"/>
        <v>45942</v>
      </c>
    </row>
    <row r="53" spans="2:12">
      <c r="B53" s="9" t="s">
        <v>102</v>
      </c>
      <c r="I53">
        <f>IFERROR(VLOOKUP(H53,Rates!$A$2:$B$3,2,0),1)</f>
        <v>1</v>
      </c>
      <c r="J53" t="str">
        <f t="shared" si="0"/>
        <v/>
      </c>
      <c r="K53" t="str">
        <f>IF(J53&lt;&gt;"",SUM($J$2:J53),"")</f>
        <v/>
      </c>
      <c r="L53">
        <f ca="1" t="shared" si="1"/>
        <v>45942</v>
      </c>
    </row>
    <row r="54" spans="2:12">
      <c r="B54" s="9" t="s">
        <v>102</v>
      </c>
      <c r="I54">
        <f>IFERROR(VLOOKUP(H54,Rates!$A$2:$B$3,2,0),1)</f>
        <v>1</v>
      </c>
      <c r="J54" t="str">
        <f t="shared" si="0"/>
        <v/>
      </c>
      <c r="K54" t="str">
        <f>IF(J54&lt;&gt;"",SUM($J$2:J54),"")</f>
        <v/>
      </c>
      <c r="L54">
        <f ca="1" t="shared" si="1"/>
        <v>45942</v>
      </c>
    </row>
    <row r="55" spans="2:12">
      <c r="B55" s="9" t="s">
        <v>102</v>
      </c>
      <c r="I55">
        <f>IFERROR(VLOOKUP(H55,Rates!$A$2:$B$3,2,0),1)</f>
        <v>1</v>
      </c>
      <c r="J55" t="str">
        <f t="shared" si="0"/>
        <v/>
      </c>
      <c r="K55" t="str">
        <f>IF(J55&lt;&gt;"",SUM($J$2:J55),"")</f>
        <v/>
      </c>
      <c r="L55">
        <f ca="1" t="shared" si="1"/>
        <v>45942</v>
      </c>
    </row>
    <row r="56" spans="2:12">
      <c r="B56" s="9" t="s">
        <v>102</v>
      </c>
      <c r="I56">
        <f>IFERROR(VLOOKUP(H56,Rates!$A$2:$B$3,2,0),1)</f>
        <v>1</v>
      </c>
      <c r="J56" t="str">
        <f t="shared" si="0"/>
        <v/>
      </c>
      <c r="K56" t="str">
        <f>IF(J56&lt;&gt;"",SUM($J$2:J56),"")</f>
        <v/>
      </c>
      <c r="L56">
        <f ca="1" t="shared" si="1"/>
        <v>45942</v>
      </c>
    </row>
    <row r="57" spans="2:12">
      <c r="B57" s="9" t="s">
        <v>102</v>
      </c>
      <c r="I57">
        <f>IFERROR(VLOOKUP(H57,Rates!$A$2:$B$3,2,0),1)</f>
        <v>1</v>
      </c>
      <c r="J57" t="str">
        <f t="shared" si="0"/>
        <v/>
      </c>
      <c r="K57" t="str">
        <f>IF(J57&lt;&gt;"",SUM($J$2:J57),"")</f>
        <v/>
      </c>
      <c r="L57">
        <f ca="1" t="shared" si="1"/>
        <v>45942</v>
      </c>
    </row>
    <row r="58" spans="2:12">
      <c r="B58" s="9" t="s">
        <v>102</v>
      </c>
      <c r="I58">
        <f>IFERROR(VLOOKUP(H58,Rates!$A$2:$B$3,2,0),1)</f>
        <v>1</v>
      </c>
      <c r="J58" t="str">
        <f t="shared" si="0"/>
        <v/>
      </c>
      <c r="K58" t="str">
        <f>IF(J58&lt;&gt;"",SUM($J$2:J58),"")</f>
        <v/>
      </c>
      <c r="L58">
        <f ca="1" t="shared" si="1"/>
        <v>45942</v>
      </c>
    </row>
    <row r="59" spans="2:12">
      <c r="B59" s="9" t="s">
        <v>102</v>
      </c>
      <c r="I59">
        <f>IFERROR(VLOOKUP(H59,Rates!$A$2:$B$3,2,0),1)</f>
        <v>1</v>
      </c>
      <c r="J59" t="str">
        <f t="shared" si="0"/>
        <v/>
      </c>
      <c r="K59" t="str">
        <f>IF(J59&lt;&gt;"",SUM($J$2:J59),"")</f>
        <v/>
      </c>
      <c r="L59">
        <f ca="1" t="shared" si="1"/>
        <v>45942</v>
      </c>
    </row>
    <row r="60" spans="2:12">
      <c r="B60" s="9" t="s">
        <v>102</v>
      </c>
      <c r="I60">
        <f>IFERROR(VLOOKUP(H60,Rates!$A$2:$B$3,2,0),1)</f>
        <v>1</v>
      </c>
      <c r="J60" t="str">
        <f t="shared" si="0"/>
        <v/>
      </c>
      <c r="K60" t="str">
        <f>IF(J60&lt;&gt;"",SUM($J$2:J60),"")</f>
        <v/>
      </c>
      <c r="L60">
        <f ca="1" t="shared" si="1"/>
        <v>45942</v>
      </c>
    </row>
    <row r="61" spans="2:12">
      <c r="B61" s="9" t="s">
        <v>102</v>
      </c>
      <c r="I61">
        <f>IFERROR(VLOOKUP(H61,Rates!$A$2:$B$3,2,0),1)</f>
        <v>1</v>
      </c>
      <c r="J61" t="str">
        <f t="shared" si="0"/>
        <v/>
      </c>
      <c r="K61" t="str">
        <f>IF(J61&lt;&gt;"",SUM($J$2:J61),"")</f>
        <v/>
      </c>
      <c r="L61">
        <f ca="1" t="shared" si="1"/>
        <v>45942</v>
      </c>
    </row>
    <row r="62" spans="2:12">
      <c r="B62" s="9" t="s">
        <v>102</v>
      </c>
      <c r="I62">
        <f>IFERROR(VLOOKUP(H62,Rates!$A$2:$B$3,2,0),1)</f>
        <v>1</v>
      </c>
      <c r="J62" t="str">
        <f t="shared" si="0"/>
        <v/>
      </c>
      <c r="K62" t="str">
        <f>IF(J62&lt;&gt;"",SUM($J$2:J62),"")</f>
        <v/>
      </c>
      <c r="L62">
        <f ca="1" t="shared" si="1"/>
        <v>45942</v>
      </c>
    </row>
    <row r="63" spans="2:12">
      <c r="B63" s="9" t="s">
        <v>102</v>
      </c>
      <c r="I63">
        <f>IFERROR(VLOOKUP(H63,Rates!$A$2:$B$3,2,0),1)</f>
        <v>1</v>
      </c>
      <c r="J63" t="str">
        <f t="shared" si="0"/>
        <v/>
      </c>
      <c r="K63" t="str">
        <f>IF(J63&lt;&gt;"",SUM($J$2:J63),"")</f>
        <v/>
      </c>
      <c r="L63">
        <f ca="1" t="shared" si="1"/>
        <v>45942</v>
      </c>
    </row>
    <row r="64" spans="2:12">
      <c r="B64" s="9" t="s">
        <v>103</v>
      </c>
      <c r="I64">
        <f>IFERROR(VLOOKUP(H64,Rates!$A$2:$B$3,2,0),1)</f>
        <v>1</v>
      </c>
      <c r="J64" t="str">
        <f t="shared" si="0"/>
        <v/>
      </c>
      <c r="K64" t="str">
        <f>IF(J64&lt;&gt;"",SUM($J$2:J64),"")</f>
        <v/>
      </c>
      <c r="L64">
        <f ca="1" t="shared" si="1"/>
        <v>45942</v>
      </c>
    </row>
    <row r="65" spans="2:12">
      <c r="B65" s="9" t="s">
        <v>103</v>
      </c>
      <c r="I65">
        <f>IFERROR(VLOOKUP(H65,Rates!$A$2:$B$3,2,0),1)</f>
        <v>1</v>
      </c>
      <c r="J65" t="str">
        <f t="shared" si="0"/>
        <v/>
      </c>
      <c r="K65" t="str">
        <f>IF(J65&lt;&gt;"",SUM($J$2:J65),"")</f>
        <v/>
      </c>
      <c r="L65">
        <f ca="1" t="shared" si="1"/>
        <v>45942</v>
      </c>
    </row>
    <row r="66" spans="2:12">
      <c r="B66" s="9" t="s">
        <v>103</v>
      </c>
      <c r="I66">
        <f>IFERROR(VLOOKUP(H66,Rates!$A$2:$B$3,2,0),1)</f>
        <v>1</v>
      </c>
      <c r="J66" t="str">
        <f t="shared" ref="J66:J129" si="2">IF(G66&lt;&gt;"",G66*I66,"")</f>
        <v/>
      </c>
      <c r="K66" t="str">
        <f>IF(J66&lt;&gt;"",SUM($J$2:J66),"")</f>
        <v/>
      </c>
      <c r="L66">
        <f ca="1" t="shared" ref="L66:L129" si="3">IF(COUNTA(A66:K66)&gt;0,TODAY(),"")</f>
        <v>45942</v>
      </c>
    </row>
    <row r="67" spans="2:12">
      <c r="B67" s="9" t="s">
        <v>103</v>
      </c>
      <c r="I67">
        <f>IFERROR(VLOOKUP(H67,Rates!$A$2:$B$3,2,0),1)</f>
        <v>1</v>
      </c>
      <c r="J67" t="str">
        <f t="shared" si="2"/>
        <v/>
      </c>
      <c r="K67" t="str">
        <f>IF(J67&lt;&gt;"",SUM($J$2:J67),"")</f>
        <v/>
      </c>
      <c r="L67">
        <f ca="1" t="shared" si="3"/>
        <v>45942</v>
      </c>
    </row>
    <row r="68" spans="2:12">
      <c r="B68" s="9" t="s">
        <v>103</v>
      </c>
      <c r="I68">
        <f>IFERROR(VLOOKUP(H68,Rates!$A$2:$B$3,2,0),1)</f>
        <v>1</v>
      </c>
      <c r="J68" t="str">
        <f t="shared" si="2"/>
        <v/>
      </c>
      <c r="K68" t="str">
        <f>IF(J68&lt;&gt;"",SUM($J$2:J68),"")</f>
        <v/>
      </c>
      <c r="L68">
        <f ca="1" t="shared" si="3"/>
        <v>45942</v>
      </c>
    </row>
    <row r="69" spans="2:12">
      <c r="B69" s="9" t="s">
        <v>103</v>
      </c>
      <c r="I69">
        <f>IFERROR(VLOOKUP(H69,Rates!$A$2:$B$3,2,0),1)</f>
        <v>1</v>
      </c>
      <c r="J69" t="str">
        <f t="shared" si="2"/>
        <v/>
      </c>
      <c r="K69" t="str">
        <f>IF(J69&lt;&gt;"",SUM($J$2:J69),"")</f>
        <v/>
      </c>
      <c r="L69">
        <f ca="1" t="shared" si="3"/>
        <v>45942</v>
      </c>
    </row>
    <row r="70" spans="2:12">
      <c r="B70" s="9" t="s">
        <v>103</v>
      </c>
      <c r="I70">
        <f>IFERROR(VLOOKUP(H70,Rates!$A$2:$B$3,2,0),1)</f>
        <v>1</v>
      </c>
      <c r="J70" t="str">
        <f t="shared" si="2"/>
        <v/>
      </c>
      <c r="K70" t="str">
        <f>IF(J70&lt;&gt;"",SUM($J$2:J70),"")</f>
        <v/>
      </c>
      <c r="L70">
        <f ca="1" t="shared" si="3"/>
        <v>45942</v>
      </c>
    </row>
    <row r="71" spans="2:12">
      <c r="B71" s="9" t="s">
        <v>103</v>
      </c>
      <c r="I71">
        <f>IFERROR(VLOOKUP(H71,Rates!$A$2:$B$3,2,0),1)</f>
        <v>1</v>
      </c>
      <c r="J71" t="str">
        <f t="shared" si="2"/>
        <v/>
      </c>
      <c r="K71" t="str">
        <f>IF(J71&lt;&gt;"",SUM($J$2:J71),"")</f>
        <v/>
      </c>
      <c r="L71">
        <f ca="1" t="shared" si="3"/>
        <v>45942</v>
      </c>
    </row>
    <row r="72" spans="2:12">
      <c r="B72" s="9" t="s">
        <v>104</v>
      </c>
      <c r="I72">
        <f>IFERROR(VLOOKUP(H72,Rates!$A$2:$B$3,2,0),1)</f>
        <v>1</v>
      </c>
      <c r="J72" t="str">
        <f t="shared" si="2"/>
        <v/>
      </c>
      <c r="K72" t="str">
        <f>IF(J72&lt;&gt;"",SUM($J$2:J72),"")</f>
        <v/>
      </c>
      <c r="L72">
        <f ca="1" t="shared" si="3"/>
        <v>45942</v>
      </c>
    </row>
    <row r="73" spans="2:12">
      <c r="B73" s="9" t="s">
        <v>104</v>
      </c>
      <c r="I73">
        <f>IFERROR(VLOOKUP(H73,Rates!$A$2:$B$3,2,0),1)</f>
        <v>1</v>
      </c>
      <c r="J73" t="str">
        <f t="shared" si="2"/>
        <v/>
      </c>
      <c r="K73" t="str">
        <f>IF(J73&lt;&gt;"",SUM($J$2:J73),"")</f>
        <v/>
      </c>
      <c r="L73">
        <f ca="1" t="shared" si="3"/>
        <v>45942</v>
      </c>
    </row>
    <row r="74" spans="2:12">
      <c r="B74" s="9" t="s">
        <v>104</v>
      </c>
      <c r="I74">
        <f>IFERROR(VLOOKUP(H74,Rates!$A$2:$B$3,2,0),1)</f>
        <v>1</v>
      </c>
      <c r="J74" t="str">
        <f t="shared" si="2"/>
        <v/>
      </c>
      <c r="K74" t="str">
        <f>IF(J74&lt;&gt;"",SUM($J$2:J74),"")</f>
        <v/>
      </c>
      <c r="L74">
        <f ca="1" t="shared" si="3"/>
        <v>45942</v>
      </c>
    </row>
    <row r="75" spans="2:12">
      <c r="B75" s="9" t="s">
        <v>104</v>
      </c>
      <c r="I75">
        <f>IFERROR(VLOOKUP(H75,Rates!$A$2:$B$3,2,0),1)</f>
        <v>1</v>
      </c>
      <c r="J75" t="str">
        <f t="shared" si="2"/>
        <v/>
      </c>
      <c r="K75" t="str">
        <f>IF(J75&lt;&gt;"",SUM($J$2:J75),"")</f>
        <v/>
      </c>
      <c r="L75">
        <f ca="1" t="shared" si="3"/>
        <v>45942</v>
      </c>
    </row>
    <row r="76" spans="2:12">
      <c r="B76" s="9" t="s">
        <v>104</v>
      </c>
      <c r="I76">
        <f>IFERROR(VLOOKUP(H76,Rates!$A$2:$B$3,2,0),1)</f>
        <v>1</v>
      </c>
      <c r="J76" t="str">
        <f t="shared" si="2"/>
        <v/>
      </c>
      <c r="K76" t="str">
        <f>IF(J76&lt;&gt;"",SUM($J$2:J76),"")</f>
        <v/>
      </c>
      <c r="L76">
        <f ca="1" t="shared" si="3"/>
        <v>45942</v>
      </c>
    </row>
    <row r="77" spans="2:12">
      <c r="B77" s="9" t="s">
        <v>104</v>
      </c>
      <c r="I77">
        <f>IFERROR(VLOOKUP(H77,Rates!$A$2:$B$3,2,0),1)</f>
        <v>1</v>
      </c>
      <c r="J77" t="str">
        <f t="shared" si="2"/>
        <v/>
      </c>
      <c r="K77" t="str">
        <f>IF(J77&lt;&gt;"",SUM($J$2:J77),"")</f>
        <v/>
      </c>
      <c r="L77">
        <f ca="1" t="shared" si="3"/>
        <v>45942</v>
      </c>
    </row>
    <row r="78" spans="2:12">
      <c r="B78" s="9" t="s">
        <v>104</v>
      </c>
      <c r="I78">
        <f>IFERROR(VLOOKUP(H78,Rates!$A$2:$B$3,2,0),1)</f>
        <v>1</v>
      </c>
      <c r="J78" t="str">
        <f t="shared" si="2"/>
        <v/>
      </c>
      <c r="K78" t="str">
        <f>IF(J78&lt;&gt;"",SUM($J$2:J78),"")</f>
        <v/>
      </c>
      <c r="L78">
        <f ca="1" t="shared" si="3"/>
        <v>45942</v>
      </c>
    </row>
    <row r="79" spans="2:12">
      <c r="B79" s="9" t="s">
        <v>104</v>
      </c>
      <c r="I79">
        <f>IFERROR(VLOOKUP(H79,Rates!$A$2:$B$3,2,0),1)</f>
        <v>1</v>
      </c>
      <c r="J79" t="str">
        <f t="shared" si="2"/>
        <v/>
      </c>
      <c r="K79" t="str">
        <f>IF(J79&lt;&gt;"",SUM($J$2:J79),"")</f>
        <v/>
      </c>
      <c r="L79">
        <f ca="1" t="shared" si="3"/>
        <v>45942</v>
      </c>
    </row>
    <row r="80" spans="2:12">
      <c r="B80" s="9" t="s">
        <v>104</v>
      </c>
      <c r="I80">
        <f>IFERROR(VLOOKUP(H80,Rates!$A$2:$B$3,2,0),1)</f>
        <v>1</v>
      </c>
      <c r="J80" t="str">
        <f t="shared" si="2"/>
        <v/>
      </c>
      <c r="K80" t="str">
        <f>IF(J80&lt;&gt;"",SUM($J$2:J80),"")</f>
        <v/>
      </c>
      <c r="L80">
        <f ca="1" t="shared" si="3"/>
        <v>45942</v>
      </c>
    </row>
    <row r="81" spans="2:12">
      <c r="B81" s="9" t="s">
        <v>105</v>
      </c>
      <c r="I81">
        <f>IFERROR(VLOOKUP(H81,Rates!$A$2:$B$3,2,0),1)</f>
        <v>1</v>
      </c>
      <c r="J81" t="str">
        <f t="shared" si="2"/>
        <v/>
      </c>
      <c r="K81" t="str">
        <f>IF(J81&lt;&gt;"",SUM($J$2:J81),"")</f>
        <v/>
      </c>
      <c r="L81">
        <f ca="1" t="shared" si="3"/>
        <v>45942</v>
      </c>
    </row>
    <row r="82" spans="2:12">
      <c r="B82" s="9" t="s">
        <v>105</v>
      </c>
      <c r="I82">
        <f>IFERROR(VLOOKUP(H82,Rates!$A$2:$B$3,2,0),1)</f>
        <v>1</v>
      </c>
      <c r="J82" t="str">
        <f t="shared" si="2"/>
        <v/>
      </c>
      <c r="K82" t="str">
        <f>IF(J82&lt;&gt;"",SUM($J$2:J82),"")</f>
        <v/>
      </c>
      <c r="L82">
        <f ca="1" t="shared" si="3"/>
        <v>45942</v>
      </c>
    </row>
    <row r="83" spans="2:12">
      <c r="B83" s="9" t="s">
        <v>105</v>
      </c>
      <c r="I83">
        <f>IFERROR(VLOOKUP(H83,Rates!$A$2:$B$3,2,0),1)</f>
        <v>1</v>
      </c>
      <c r="J83" t="str">
        <f t="shared" si="2"/>
        <v/>
      </c>
      <c r="K83" t="str">
        <f>IF(J83&lt;&gt;"",SUM($J$2:J83),"")</f>
        <v/>
      </c>
      <c r="L83">
        <f ca="1" t="shared" si="3"/>
        <v>45942</v>
      </c>
    </row>
    <row r="84" spans="2:12">
      <c r="B84" s="9" t="s">
        <v>105</v>
      </c>
      <c r="I84">
        <f>IFERROR(VLOOKUP(H84,Rates!$A$2:$B$3,2,0),1)</f>
        <v>1</v>
      </c>
      <c r="J84" t="str">
        <f t="shared" si="2"/>
        <v/>
      </c>
      <c r="K84" t="str">
        <f>IF(J84&lt;&gt;"",SUM($J$2:J84),"")</f>
        <v/>
      </c>
      <c r="L84">
        <f ca="1" t="shared" si="3"/>
        <v>45942</v>
      </c>
    </row>
    <row r="85" spans="2:12">
      <c r="B85" s="9" t="s">
        <v>105</v>
      </c>
      <c r="I85">
        <f>IFERROR(VLOOKUP(H85,Rates!$A$2:$B$3,2,0),1)</f>
        <v>1</v>
      </c>
      <c r="J85" t="str">
        <f t="shared" si="2"/>
        <v/>
      </c>
      <c r="K85" t="str">
        <f>IF(J85&lt;&gt;"",SUM($J$2:J85),"")</f>
        <v/>
      </c>
      <c r="L85">
        <f ca="1" t="shared" si="3"/>
        <v>45942</v>
      </c>
    </row>
    <row r="86" spans="2:12">
      <c r="B86" s="9" t="s">
        <v>105</v>
      </c>
      <c r="I86">
        <f>IFERROR(VLOOKUP(H86,Rates!$A$2:$B$3,2,0),1)</f>
        <v>1</v>
      </c>
      <c r="J86" t="str">
        <f t="shared" si="2"/>
        <v/>
      </c>
      <c r="K86" t="str">
        <f>IF(J86&lt;&gt;"",SUM($J$2:J86),"")</f>
        <v/>
      </c>
      <c r="L86">
        <f ca="1" t="shared" si="3"/>
        <v>45942</v>
      </c>
    </row>
    <row r="87" spans="2:12">
      <c r="B87" s="9" t="s">
        <v>105</v>
      </c>
      <c r="I87">
        <f>IFERROR(VLOOKUP(H87,Rates!$A$2:$B$3,2,0),1)</f>
        <v>1</v>
      </c>
      <c r="J87" t="str">
        <f t="shared" si="2"/>
        <v/>
      </c>
      <c r="K87" t="str">
        <f>IF(J87&lt;&gt;"",SUM($J$2:J87),"")</f>
        <v/>
      </c>
      <c r="L87">
        <f ca="1" t="shared" si="3"/>
        <v>45942</v>
      </c>
    </row>
    <row r="88" spans="2:12">
      <c r="B88" s="9" t="s">
        <v>105</v>
      </c>
      <c r="I88">
        <f>IFERROR(VLOOKUP(H88,Rates!$A$2:$B$3,2,0),1)</f>
        <v>1</v>
      </c>
      <c r="J88" t="str">
        <f t="shared" si="2"/>
        <v/>
      </c>
      <c r="K88" t="str">
        <f>IF(J88&lt;&gt;"",SUM($J$2:J88),"")</f>
        <v/>
      </c>
      <c r="L88">
        <f ca="1" t="shared" si="3"/>
        <v>45942</v>
      </c>
    </row>
    <row r="89" spans="2:12">
      <c r="B89" s="9" t="s">
        <v>106</v>
      </c>
      <c r="I89">
        <f>IFERROR(VLOOKUP(H89,Rates!$A$2:$B$3,2,0),1)</f>
        <v>1</v>
      </c>
      <c r="J89" t="str">
        <f t="shared" si="2"/>
        <v/>
      </c>
      <c r="K89" t="str">
        <f>IF(J89&lt;&gt;"",SUM($J$2:J89),"")</f>
        <v/>
      </c>
      <c r="L89">
        <f ca="1" t="shared" si="3"/>
        <v>45942</v>
      </c>
    </row>
    <row r="90" spans="2:12">
      <c r="B90" s="9" t="s">
        <v>106</v>
      </c>
      <c r="I90">
        <f>IFERROR(VLOOKUP(H90,Rates!$A$2:$B$3,2,0),1)</f>
        <v>1</v>
      </c>
      <c r="J90" t="str">
        <f t="shared" si="2"/>
        <v/>
      </c>
      <c r="K90" t="str">
        <f>IF(J90&lt;&gt;"",SUM($J$2:J90),"")</f>
        <v/>
      </c>
      <c r="L90">
        <f ca="1" t="shared" si="3"/>
        <v>45942</v>
      </c>
    </row>
    <row r="91" spans="2:12">
      <c r="B91" s="9" t="s">
        <v>106</v>
      </c>
      <c r="I91">
        <f>IFERROR(VLOOKUP(H91,Rates!$A$2:$B$3,2,0),1)</f>
        <v>1</v>
      </c>
      <c r="J91" t="str">
        <f t="shared" si="2"/>
        <v/>
      </c>
      <c r="K91" t="str">
        <f>IF(J91&lt;&gt;"",SUM($J$2:J91),"")</f>
        <v/>
      </c>
      <c r="L91">
        <f ca="1" t="shared" si="3"/>
        <v>45942</v>
      </c>
    </row>
    <row r="92" spans="2:12">
      <c r="B92" s="9" t="s">
        <v>106</v>
      </c>
      <c r="I92">
        <f>IFERROR(VLOOKUP(H92,Rates!$A$2:$B$3,2,0),1)</f>
        <v>1</v>
      </c>
      <c r="J92" t="str">
        <f t="shared" si="2"/>
        <v/>
      </c>
      <c r="K92" t="str">
        <f>IF(J92&lt;&gt;"",SUM($J$2:J92),"")</f>
        <v/>
      </c>
      <c r="L92">
        <f ca="1" t="shared" si="3"/>
        <v>45942</v>
      </c>
    </row>
    <row r="93" spans="2:12">
      <c r="B93" s="9" t="s">
        <v>106</v>
      </c>
      <c r="I93">
        <f>IFERROR(VLOOKUP(H93,Rates!$A$2:$B$3,2,0),1)</f>
        <v>1</v>
      </c>
      <c r="J93" t="str">
        <f t="shared" si="2"/>
        <v/>
      </c>
      <c r="K93" t="str">
        <f>IF(J93&lt;&gt;"",SUM($J$2:J93),"")</f>
        <v/>
      </c>
      <c r="L93">
        <f ca="1" t="shared" si="3"/>
        <v>45942</v>
      </c>
    </row>
    <row r="94" spans="2:12">
      <c r="B94" s="9" t="s">
        <v>107</v>
      </c>
      <c r="I94">
        <f>IFERROR(VLOOKUP(H94,Rates!$A$2:$B$3,2,0),1)</f>
        <v>1</v>
      </c>
      <c r="J94" t="str">
        <f t="shared" si="2"/>
        <v/>
      </c>
      <c r="K94" t="str">
        <f>IF(J94&lt;&gt;"",SUM($J$2:J94),"")</f>
        <v/>
      </c>
      <c r="L94">
        <f ca="1" t="shared" si="3"/>
        <v>45942</v>
      </c>
    </row>
    <row r="95" spans="2:12">
      <c r="B95" s="9" t="s">
        <v>107</v>
      </c>
      <c r="I95">
        <f>IFERROR(VLOOKUP(H95,Rates!$A$2:$B$3,2,0),1)</f>
        <v>1</v>
      </c>
      <c r="J95" t="str">
        <f t="shared" si="2"/>
        <v/>
      </c>
      <c r="K95" t="str">
        <f>IF(J95&lt;&gt;"",SUM($J$2:J95),"")</f>
        <v/>
      </c>
      <c r="L95">
        <f ca="1" t="shared" si="3"/>
        <v>45942</v>
      </c>
    </row>
    <row r="96" spans="2:12">
      <c r="B96" s="9" t="s">
        <v>107</v>
      </c>
      <c r="I96">
        <f>IFERROR(VLOOKUP(H96,Rates!$A$2:$B$3,2,0),1)</f>
        <v>1</v>
      </c>
      <c r="J96" t="str">
        <f t="shared" si="2"/>
        <v/>
      </c>
      <c r="K96" t="str">
        <f>IF(J96&lt;&gt;"",SUM($J$2:J96),"")</f>
        <v/>
      </c>
      <c r="L96">
        <f ca="1" t="shared" si="3"/>
        <v>45942</v>
      </c>
    </row>
    <row r="97" spans="2:12">
      <c r="B97" s="9" t="s">
        <v>107</v>
      </c>
      <c r="I97">
        <f>IFERROR(VLOOKUP(H97,Rates!$A$2:$B$3,2,0),1)</f>
        <v>1</v>
      </c>
      <c r="J97" t="str">
        <f t="shared" si="2"/>
        <v/>
      </c>
      <c r="K97" t="str">
        <f>IF(J97&lt;&gt;"",SUM($J$2:J97),"")</f>
        <v/>
      </c>
      <c r="L97">
        <f ca="1" t="shared" si="3"/>
        <v>45942</v>
      </c>
    </row>
    <row r="98" spans="2:12">
      <c r="B98" s="9" t="s">
        <v>107</v>
      </c>
      <c r="I98">
        <f>IFERROR(VLOOKUP(H98,Rates!$A$2:$B$3,2,0),1)</f>
        <v>1</v>
      </c>
      <c r="J98" t="str">
        <f t="shared" si="2"/>
        <v/>
      </c>
      <c r="K98" t="str">
        <f>IF(J98&lt;&gt;"",SUM($J$2:J98),"")</f>
        <v/>
      </c>
      <c r="L98">
        <f ca="1" t="shared" si="3"/>
        <v>45942</v>
      </c>
    </row>
    <row r="99" spans="2:12">
      <c r="B99" s="9" t="s">
        <v>107</v>
      </c>
      <c r="I99">
        <f>IFERROR(VLOOKUP(H99,Rates!$A$2:$B$3,2,0),1)</f>
        <v>1</v>
      </c>
      <c r="J99" t="str">
        <f t="shared" si="2"/>
        <v/>
      </c>
      <c r="K99" t="str">
        <f>IF(J99&lt;&gt;"",SUM($J$2:J99),"")</f>
        <v/>
      </c>
      <c r="L99">
        <f ca="1" t="shared" si="3"/>
        <v>45942</v>
      </c>
    </row>
    <row r="100" spans="2:12">
      <c r="B100" s="9" t="s">
        <v>108</v>
      </c>
      <c r="I100">
        <f>IFERROR(VLOOKUP(H100,Rates!$A$2:$B$3,2,0),1)</f>
        <v>1</v>
      </c>
      <c r="J100" t="str">
        <f t="shared" si="2"/>
        <v/>
      </c>
      <c r="K100" t="str">
        <f>IF(J100&lt;&gt;"",SUM($J$2:J100),"")</f>
        <v/>
      </c>
      <c r="L100">
        <f ca="1" t="shared" si="3"/>
        <v>45942</v>
      </c>
    </row>
    <row r="101" spans="2:12">
      <c r="B101" s="9" t="s">
        <v>108</v>
      </c>
      <c r="I101">
        <f>IFERROR(VLOOKUP(H101,Rates!$A$2:$B$3,2,0),1)</f>
        <v>1</v>
      </c>
      <c r="J101" t="str">
        <f t="shared" si="2"/>
        <v/>
      </c>
      <c r="K101" t="str">
        <f>IF(J101&lt;&gt;"",SUM($J$2:J101),"")</f>
        <v/>
      </c>
      <c r="L101">
        <f ca="1" t="shared" si="3"/>
        <v>45942</v>
      </c>
    </row>
    <row r="102" spans="2:12">
      <c r="B102" s="9" t="s">
        <v>109</v>
      </c>
      <c r="I102">
        <f>IFERROR(VLOOKUP(H102,Rates!$A$2:$B$3,2,0),1)</f>
        <v>1</v>
      </c>
      <c r="J102" t="str">
        <f t="shared" si="2"/>
        <v/>
      </c>
      <c r="K102" t="str">
        <f>IF(J102&lt;&gt;"",SUM($J$2:J102),"")</f>
        <v/>
      </c>
      <c r="L102">
        <f ca="1" t="shared" si="3"/>
        <v>45942</v>
      </c>
    </row>
    <row r="103" spans="2:12">
      <c r="B103" s="9" t="s">
        <v>110</v>
      </c>
      <c r="I103">
        <f>IFERROR(VLOOKUP(H103,Rates!$A$2:$B$3,2,0),1)</f>
        <v>1</v>
      </c>
      <c r="J103" t="str">
        <f t="shared" si="2"/>
        <v/>
      </c>
      <c r="K103" t="str">
        <f>IF(J103&lt;&gt;"",SUM($J$2:J103),"")</f>
        <v/>
      </c>
      <c r="L103">
        <f ca="1" t="shared" si="3"/>
        <v>45942</v>
      </c>
    </row>
    <row r="104" spans="2:12">
      <c r="B104" s="9" t="s">
        <v>110</v>
      </c>
      <c r="I104">
        <f>IFERROR(VLOOKUP(H104,Rates!$A$2:$B$3,2,0),1)</f>
        <v>1</v>
      </c>
      <c r="J104" t="str">
        <f t="shared" si="2"/>
        <v/>
      </c>
      <c r="K104" t="str">
        <f>IF(J104&lt;&gt;"",SUM($J$2:J104),"")</f>
        <v/>
      </c>
      <c r="L104">
        <f ca="1" t="shared" si="3"/>
        <v>45942</v>
      </c>
    </row>
    <row r="105" spans="2:12">
      <c r="B105" s="9" t="s">
        <v>110</v>
      </c>
      <c r="I105">
        <f>IFERROR(VLOOKUP(H105,Rates!$A$2:$B$3,2,0),1)</f>
        <v>1</v>
      </c>
      <c r="J105" t="str">
        <f t="shared" si="2"/>
        <v/>
      </c>
      <c r="K105" t="str">
        <f>IF(J105&lt;&gt;"",SUM($J$2:J105),"")</f>
        <v/>
      </c>
      <c r="L105">
        <f ca="1" t="shared" si="3"/>
        <v>45942</v>
      </c>
    </row>
    <row r="106" spans="2:12">
      <c r="B106" s="9" t="s">
        <v>110</v>
      </c>
      <c r="I106">
        <f>IFERROR(VLOOKUP(H106,Rates!$A$2:$B$3,2,0),1)</f>
        <v>1</v>
      </c>
      <c r="J106" t="str">
        <f t="shared" si="2"/>
        <v/>
      </c>
      <c r="K106" t="str">
        <f>IF(J106&lt;&gt;"",SUM($J$2:J106),"")</f>
        <v/>
      </c>
      <c r="L106">
        <f ca="1" t="shared" si="3"/>
        <v>45942</v>
      </c>
    </row>
    <row r="107" spans="2:12">
      <c r="B107" s="9" t="s">
        <v>110</v>
      </c>
      <c r="I107">
        <f>IFERROR(VLOOKUP(H107,Rates!$A$2:$B$3,2,0),1)</f>
        <v>1</v>
      </c>
      <c r="J107" t="str">
        <f t="shared" si="2"/>
        <v/>
      </c>
      <c r="K107" t="str">
        <f>IF(J107&lt;&gt;"",SUM($J$2:J107),"")</f>
        <v/>
      </c>
      <c r="L107">
        <f ca="1" t="shared" si="3"/>
        <v>45942</v>
      </c>
    </row>
    <row r="108" spans="2:12">
      <c r="B108" s="9" t="s">
        <v>110</v>
      </c>
      <c r="I108">
        <f>IFERROR(VLOOKUP(H108,Rates!$A$2:$B$3,2,0),1)</f>
        <v>1</v>
      </c>
      <c r="J108" t="str">
        <f t="shared" si="2"/>
        <v/>
      </c>
      <c r="K108" t="str">
        <f>IF(J108&lt;&gt;"",SUM($J$2:J108),"")</f>
        <v/>
      </c>
      <c r="L108">
        <f ca="1" t="shared" si="3"/>
        <v>45942</v>
      </c>
    </row>
    <row r="109" spans="2:12">
      <c r="B109" s="9" t="s">
        <v>110</v>
      </c>
      <c r="I109">
        <f>IFERROR(VLOOKUP(H109,Rates!$A$2:$B$3,2,0),1)</f>
        <v>1</v>
      </c>
      <c r="J109" t="str">
        <f t="shared" si="2"/>
        <v/>
      </c>
      <c r="K109" t="str">
        <f>IF(J109&lt;&gt;"",SUM($J$2:J109),"")</f>
        <v/>
      </c>
      <c r="L109">
        <f ca="1" t="shared" si="3"/>
        <v>45942</v>
      </c>
    </row>
    <row r="110" spans="2:12">
      <c r="B110" s="9" t="s">
        <v>111</v>
      </c>
      <c r="I110">
        <f>IFERROR(VLOOKUP(H110,Rates!$A$2:$B$3,2,0),1)</f>
        <v>1</v>
      </c>
      <c r="J110" t="str">
        <f t="shared" si="2"/>
        <v/>
      </c>
      <c r="K110" t="str">
        <f>IF(J110&lt;&gt;"",SUM($J$2:J110),"")</f>
        <v/>
      </c>
      <c r="L110">
        <f ca="1" t="shared" si="3"/>
        <v>45942</v>
      </c>
    </row>
    <row r="111" spans="2:12">
      <c r="B111" s="9" t="s">
        <v>111</v>
      </c>
      <c r="I111">
        <f>IFERROR(VLOOKUP(H111,Rates!$A$2:$B$3,2,0),1)</f>
        <v>1</v>
      </c>
      <c r="J111" t="str">
        <f t="shared" si="2"/>
        <v/>
      </c>
      <c r="K111" t="str">
        <f>IF(J111&lt;&gt;"",SUM($J$2:J111),"")</f>
        <v/>
      </c>
      <c r="L111">
        <f ca="1" t="shared" si="3"/>
        <v>45942</v>
      </c>
    </row>
    <row r="112" spans="2:12">
      <c r="B112" s="9" t="s">
        <v>111</v>
      </c>
      <c r="I112">
        <f>IFERROR(VLOOKUP(H112,Rates!$A$2:$B$3,2,0),1)</f>
        <v>1</v>
      </c>
      <c r="J112" t="str">
        <f t="shared" si="2"/>
        <v/>
      </c>
      <c r="K112" t="str">
        <f>IF(J112&lt;&gt;"",SUM($J$2:J112),"")</f>
        <v/>
      </c>
      <c r="L112">
        <f ca="1" t="shared" si="3"/>
        <v>45942</v>
      </c>
    </row>
    <row r="113" spans="2:12">
      <c r="B113" s="9" t="s">
        <v>111</v>
      </c>
      <c r="I113">
        <f>IFERROR(VLOOKUP(H113,Rates!$A$2:$B$3,2,0),1)</f>
        <v>1</v>
      </c>
      <c r="J113" t="str">
        <f t="shared" si="2"/>
        <v/>
      </c>
      <c r="K113" t="str">
        <f>IF(J113&lt;&gt;"",SUM($J$2:J113),"")</f>
        <v/>
      </c>
      <c r="L113">
        <f ca="1" t="shared" si="3"/>
        <v>45942</v>
      </c>
    </row>
    <row r="114" spans="2:12">
      <c r="B114" s="9" t="s">
        <v>111</v>
      </c>
      <c r="I114">
        <f>IFERROR(VLOOKUP(H114,Rates!$A$2:$B$3,2,0),1)</f>
        <v>1</v>
      </c>
      <c r="J114" t="str">
        <f t="shared" si="2"/>
        <v/>
      </c>
      <c r="K114" t="str">
        <f>IF(J114&lt;&gt;"",SUM($J$2:J114),"")</f>
        <v/>
      </c>
      <c r="L114">
        <f ca="1" t="shared" si="3"/>
        <v>45942</v>
      </c>
    </row>
    <row r="115" spans="2:12">
      <c r="B115" s="9" t="s">
        <v>111</v>
      </c>
      <c r="I115">
        <f>IFERROR(VLOOKUP(H115,Rates!$A$2:$B$3,2,0),1)</f>
        <v>1</v>
      </c>
      <c r="J115" t="str">
        <f t="shared" si="2"/>
        <v/>
      </c>
      <c r="K115" t="str">
        <f>IF(J115&lt;&gt;"",SUM($J$2:J115),"")</f>
        <v/>
      </c>
      <c r="L115">
        <f ca="1" t="shared" si="3"/>
        <v>45942</v>
      </c>
    </row>
    <row r="116" spans="2:12">
      <c r="B116" s="9" t="s">
        <v>111</v>
      </c>
      <c r="I116">
        <f>IFERROR(VLOOKUP(H116,Rates!$A$2:$B$3,2,0),1)</f>
        <v>1</v>
      </c>
      <c r="J116" t="str">
        <f t="shared" si="2"/>
        <v/>
      </c>
      <c r="K116" t="str">
        <f>IF(J116&lt;&gt;"",SUM($J$2:J116),"")</f>
        <v/>
      </c>
      <c r="L116">
        <f ca="1" t="shared" si="3"/>
        <v>45942</v>
      </c>
    </row>
    <row r="117" spans="2:12">
      <c r="B117" s="9" t="s">
        <v>111</v>
      </c>
      <c r="I117">
        <f>IFERROR(VLOOKUP(H117,Rates!$A$2:$B$3,2,0),1)</f>
        <v>1</v>
      </c>
      <c r="J117" t="str">
        <f t="shared" si="2"/>
        <v/>
      </c>
      <c r="K117" t="str">
        <f>IF(J117&lt;&gt;"",SUM($J$2:J117),"")</f>
        <v/>
      </c>
      <c r="L117">
        <f ca="1" t="shared" si="3"/>
        <v>45942</v>
      </c>
    </row>
    <row r="118" spans="2:12">
      <c r="B118" s="9" t="s">
        <v>111</v>
      </c>
      <c r="I118">
        <f>IFERROR(VLOOKUP(H118,Rates!$A$2:$B$3,2,0),1)</f>
        <v>1</v>
      </c>
      <c r="J118" t="str">
        <f t="shared" si="2"/>
        <v/>
      </c>
      <c r="K118" t="str">
        <f>IF(J118&lt;&gt;"",SUM($J$2:J118),"")</f>
        <v/>
      </c>
      <c r="L118">
        <f ca="1" t="shared" si="3"/>
        <v>45942</v>
      </c>
    </row>
    <row r="119" spans="2:12">
      <c r="B119" s="9" t="s">
        <v>111</v>
      </c>
      <c r="I119">
        <f>IFERROR(VLOOKUP(H119,Rates!$A$2:$B$3,2,0),1)</f>
        <v>1</v>
      </c>
      <c r="J119" t="str">
        <f t="shared" si="2"/>
        <v/>
      </c>
      <c r="K119" t="str">
        <f>IF(J119&lt;&gt;"",SUM($J$2:J119),"")</f>
        <v/>
      </c>
      <c r="L119">
        <f ca="1" t="shared" si="3"/>
        <v>45942</v>
      </c>
    </row>
    <row r="120" spans="2:12">
      <c r="B120" s="9" t="s">
        <v>111</v>
      </c>
      <c r="I120">
        <f>IFERROR(VLOOKUP(H120,Rates!$A$2:$B$3,2,0),1)</f>
        <v>1</v>
      </c>
      <c r="J120" t="str">
        <f t="shared" si="2"/>
        <v/>
      </c>
      <c r="K120" t="str">
        <f>IF(J120&lt;&gt;"",SUM($J$2:J120),"")</f>
        <v/>
      </c>
      <c r="L120">
        <f ca="1" t="shared" si="3"/>
        <v>45942</v>
      </c>
    </row>
    <row r="121" spans="2:12">
      <c r="B121" s="9" t="s">
        <v>111</v>
      </c>
      <c r="I121">
        <f>IFERROR(VLOOKUP(H121,Rates!$A$2:$B$3,2,0),1)</f>
        <v>1</v>
      </c>
      <c r="J121" t="str">
        <f t="shared" si="2"/>
        <v/>
      </c>
      <c r="K121" t="str">
        <f>IF(J121&lt;&gt;"",SUM($J$2:J121),"")</f>
        <v/>
      </c>
      <c r="L121">
        <f ca="1" t="shared" si="3"/>
        <v>45942</v>
      </c>
    </row>
    <row r="122" spans="2:12">
      <c r="B122" s="9" t="s">
        <v>111</v>
      </c>
      <c r="I122">
        <f>IFERROR(VLOOKUP(H122,Rates!$A$2:$B$3,2,0),1)</f>
        <v>1</v>
      </c>
      <c r="J122" t="str">
        <f t="shared" si="2"/>
        <v/>
      </c>
      <c r="K122" t="str">
        <f>IF(J122&lt;&gt;"",SUM($J$2:J122),"")</f>
        <v/>
      </c>
      <c r="L122">
        <f ca="1" t="shared" si="3"/>
        <v>45942</v>
      </c>
    </row>
    <row r="123" spans="2:12">
      <c r="B123" s="9" t="s">
        <v>111</v>
      </c>
      <c r="I123">
        <f>IFERROR(VLOOKUP(H123,Rates!$A$2:$B$3,2,0),1)</f>
        <v>1</v>
      </c>
      <c r="J123" t="str">
        <f t="shared" si="2"/>
        <v/>
      </c>
      <c r="K123" t="str">
        <f>IF(J123&lt;&gt;"",SUM($J$2:J123),"")</f>
        <v/>
      </c>
      <c r="L123">
        <f ca="1" t="shared" si="3"/>
        <v>45942</v>
      </c>
    </row>
    <row r="124" spans="2:12">
      <c r="B124" s="9" t="s">
        <v>111</v>
      </c>
      <c r="I124">
        <f>IFERROR(VLOOKUP(H124,Rates!$A$2:$B$3,2,0),1)</f>
        <v>1</v>
      </c>
      <c r="J124" t="str">
        <f t="shared" si="2"/>
        <v/>
      </c>
      <c r="K124" t="str">
        <f>IF(J124&lt;&gt;"",SUM($J$2:J124),"")</f>
        <v/>
      </c>
      <c r="L124">
        <f ca="1" t="shared" si="3"/>
        <v>45942</v>
      </c>
    </row>
    <row r="125" spans="2:12">
      <c r="B125" s="9" t="s">
        <v>111</v>
      </c>
      <c r="I125">
        <f>IFERROR(VLOOKUP(H125,Rates!$A$2:$B$3,2,0),1)</f>
        <v>1</v>
      </c>
      <c r="J125" t="str">
        <f t="shared" si="2"/>
        <v/>
      </c>
      <c r="K125" t="str">
        <f>IF(J125&lt;&gt;"",SUM($J$2:J125),"")</f>
        <v/>
      </c>
      <c r="L125">
        <f ca="1" t="shared" si="3"/>
        <v>45942</v>
      </c>
    </row>
    <row r="126" spans="2:12">
      <c r="B126" s="9" t="s">
        <v>112</v>
      </c>
      <c r="I126">
        <f>IFERROR(VLOOKUP(H126,Rates!$A$2:$B$3,2,0),1)</f>
        <v>1</v>
      </c>
      <c r="J126" t="str">
        <f t="shared" si="2"/>
        <v/>
      </c>
      <c r="K126" t="str">
        <f>IF(J126&lt;&gt;"",SUM($J$2:J126),"")</f>
        <v/>
      </c>
      <c r="L126">
        <f ca="1" t="shared" si="3"/>
        <v>45942</v>
      </c>
    </row>
    <row r="127" spans="2:12">
      <c r="B127" s="9" t="s">
        <v>112</v>
      </c>
      <c r="I127">
        <f>IFERROR(VLOOKUP(H127,Rates!$A$2:$B$3,2,0),1)</f>
        <v>1</v>
      </c>
      <c r="J127" t="str">
        <f t="shared" si="2"/>
        <v/>
      </c>
      <c r="K127" t="str">
        <f>IF(J127&lt;&gt;"",SUM($J$2:J127),"")</f>
        <v/>
      </c>
      <c r="L127">
        <f ca="1" t="shared" si="3"/>
        <v>45942</v>
      </c>
    </row>
    <row r="128" spans="2:12">
      <c r="B128" s="9" t="s">
        <v>112</v>
      </c>
      <c r="I128">
        <f>IFERROR(VLOOKUP(H128,Rates!$A$2:$B$3,2,0),1)</f>
        <v>1</v>
      </c>
      <c r="J128" t="str">
        <f t="shared" si="2"/>
        <v/>
      </c>
      <c r="K128" t="str">
        <f>IF(J128&lt;&gt;"",SUM($J$2:J128),"")</f>
        <v/>
      </c>
      <c r="L128">
        <f ca="1" t="shared" si="3"/>
        <v>45942</v>
      </c>
    </row>
    <row r="129" spans="2:12">
      <c r="B129" s="9" t="s">
        <v>112</v>
      </c>
      <c r="I129">
        <f>IFERROR(VLOOKUP(H129,Rates!$A$2:$B$3,2,0),1)</f>
        <v>1</v>
      </c>
      <c r="J129" t="str">
        <f t="shared" si="2"/>
        <v/>
      </c>
      <c r="K129" t="str">
        <f>IF(J129&lt;&gt;"",SUM($J$2:J129),"")</f>
        <v/>
      </c>
      <c r="L129">
        <f ca="1" t="shared" si="3"/>
        <v>45942</v>
      </c>
    </row>
    <row r="130" spans="2:12">
      <c r="B130" s="9" t="s">
        <v>112</v>
      </c>
      <c r="I130">
        <f>IFERROR(VLOOKUP(H130,Rates!$A$2:$B$3,2,0),1)</f>
        <v>1</v>
      </c>
      <c r="J130" t="str">
        <f t="shared" ref="J130:J193" si="4">IF(G130&lt;&gt;"",G130*I130,"")</f>
        <v/>
      </c>
      <c r="K130" t="str">
        <f>IF(J130&lt;&gt;"",SUM($J$2:J130),"")</f>
        <v/>
      </c>
      <c r="L130">
        <f ca="1" t="shared" ref="L130:L193" si="5">IF(COUNTA(A130:K130)&gt;0,TODAY(),"")</f>
        <v>45942</v>
      </c>
    </row>
    <row r="131" spans="2:12">
      <c r="B131" s="9" t="s">
        <v>112</v>
      </c>
      <c r="I131">
        <f>IFERROR(VLOOKUP(H131,Rates!$A$2:$B$3,2,0),1)</f>
        <v>1</v>
      </c>
      <c r="J131" t="str">
        <f t="shared" si="4"/>
        <v/>
      </c>
      <c r="K131" t="str">
        <f>IF(J131&lt;&gt;"",SUM($J$2:J131),"")</f>
        <v/>
      </c>
      <c r="L131">
        <f ca="1" t="shared" si="5"/>
        <v>45942</v>
      </c>
    </row>
    <row r="132" spans="2:12">
      <c r="B132" s="9" t="s">
        <v>112</v>
      </c>
      <c r="I132">
        <f>IFERROR(VLOOKUP(H132,Rates!$A$2:$B$3,2,0),1)</f>
        <v>1</v>
      </c>
      <c r="J132" t="str">
        <f t="shared" si="4"/>
        <v/>
      </c>
      <c r="K132" t="str">
        <f>IF(J132&lt;&gt;"",SUM($J$2:J132),"")</f>
        <v/>
      </c>
      <c r="L132">
        <f ca="1" t="shared" si="5"/>
        <v>45942</v>
      </c>
    </row>
    <row r="133" spans="2:12">
      <c r="B133" s="9" t="s">
        <v>113</v>
      </c>
      <c r="I133">
        <f>IFERROR(VLOOKUP(H133,Rates!$A$2:$B$3,2,0),1)</f>
        <v>1</v>
      </c>
      <c r="J133" t="str">
        <f t="shared" si="4"/>
        <v/>
      </c>
      <c r="K133" t="str">
        <f>IF(J133&lt;&gt;"",SUM($J$2:J133),"")</f>
        <v/>
      </c>
      <c r="L133">
        <f ca="1" t="shared" si="5"/>
        <v>45942</v>
      </c>
    </row>
    <row r="134" spans="2:12">
      <c r="B134" s="9" t="s">
        <v>113</v>
      </c>
      <c r="I134">
        <f>IFERROR(VLOOKUP(H134,Rates!$A$2:$B$3,2,0),1)</f>
        <v>1</v>
      </c>
      <c r="J134" t="str">
        <f t="shared" si="4"/>
        <v/>
      </c>
      <c r="K134" t="str">
        <f>IF(J134&lt;&gt;"",SUM($J$2:J134),"")</f>
        <v/>
      </c>
      <c r="L134">
        <f ca="1" t="shared" si="5"/>
        <v>45942</v>
      </c>
    </row>
    <row r="135" spans="2:12">
      <c r="B135" s="9" t="s">
        <v>113</v>
      </c>
      <c r="I135">
        <f>IFERROR(VLOOKUP(H135,Rates!$A$2:$B$3,2,0),1)</f>
        <v>1</v>
      </c>
      <c r="J135" t="str">
        <f t="shared" si="4"/>
        <v/>
      </c>
      <c r="K135" t="str">
        <f>IF(J135&lt;&gt;"",SUM($J$2:J135),"")</f>
        <v/>
      </c>
      <c r="L135">
        <f ca="1" t="shared" si="5"/>
        <v>45942</v>
      </c>
    </row>
    <row r="136" spans="2:12">
      <c r="B136" s="9" t="s">
        <v>113</v>
      </c>
      <c r="I136">
        <f>IFERROR(VLOOKUP(H136,Rates!$A$2:$B$3,2,0),1)</f>
        <v>1</v>
      </c>
      <c r="J136" t="str">
        <f t="shared" si="4"/>
        <v/>
      </c>
      <c r="K136" t="str">
        <f>IF(J136&lt;&gt;"",SUM($J$2:J136),"")</f>
        <v/>
      </c>
      <c r="L136">
        <f ca="1" t="shared" si="5"/>
        <v>45942</v>
      </c>
    </row>
    <row r="137" spans="2:12">
      <c r="B137" s="9" t="s">
        <v>113</v>
      </c>
      <c r="I137">
        <f>IFERROR(VLOOKUP(H137,Rates!$A$2:$B$3,2,0),1)</f>
        <v>1</v>
      </c>
      <c r="J137" t="str">
        <f t="shared" si="4"/>
        <v/>
      </c>
      <c r="K137" t="str">
        <f>IF(J137&lt;&gt;"",SUM($J$2:J137),"")</f>
        <v/>
      </c>
      <c r="L137">
        <f ca="1" t="shared" si="5"/>
        <v>45942</v>
      </c>
    </row>
    <row r="138" spans="2:12">
      <c r="B138" s="9" t="s">
        <v>113</v>
      </c>
      <c r="I138">
        <f>IFERROR(VLOOKUP(H138,Rates!$A$2:$B$3,2,0),1)</f>
        <v>1</v>
      </c>
      <c r="J138" t="str">
        <f t="shared" si="4"/>
        <v/>
      </c>
      <c r="K138" t="str">
        <f>IF(J138&lt;&gt;"",SUM($J$2:J138),"")</f>
        <v/>
      </c>
      <c r="L138">
        <f ca="1" t="shared" si="5"/>
        <v>45942</v>
      </c>
    </row>
    <row r="139" spans="2:12">
      <c r="B139" s="9" t="s">
        <v>114</v>
      </c>
      <c r="I139">
        <f>IFERROR(VLOOKUP(H139,Rates!$A$2:$B$3,2,0),1)</f>
        <v>1</v>
      </c>
      <c r="J139" t="str">
        <f t="shared" si="4"/>
        <v/>
      </c>
      <c r="K139" t="str">
        <f>IF(J139&lt;&gt;"",SUM($J$2:J139),"")</f>
        <v/>
      </c>
      <c r="L139">
        <f ca="1" t="shared" si="5"/>
        <v>45942</v>
      </c>
    </row>
    <row r="140" spans="2:12">
      <c r="B140" s="9" t="s">
        <v>114</v>
      </c>
      <c r="I140">
        <f>IFERROR(VLOOKUP(H140,Rates!$A$2:$B$3,2,0),1)</f>
        <v>1</v>
      </c>
      <c r="J140" t="str">
        <f t="shared" si="4"/>
        <v/>
      </c>
      <c r="K140" t="str">
        <f>IF(J140&lt;&gt;"",SUM($J$2:J140),"")</f>
        <v/>
      </c>
      <c r="L140">
        <f ca="1" t="shared" si="5"/>
        <v>45942</v>
      </c>
    </row>
    <row r="141" spans="2:12">
      <c r="B141" s="9" t="s">
        <v>114</v>
      </c>
      <c r="I141">
        <f>IFERROR(VLOOKUP(H141,Rates!$A$2:$B$3,2,0),1)</f>
        <v>1</v>
      </c>
      <c r="J141" t="str">
        <f t="shared" si="4"/>
        <v/>
      </c>
      <c r="K141" t="str">
        <f>IF(J141&lt;&gt;"",SUM($J$2:J141),"")</f>
        <v/>
      </c>
      <c r="L141">
        <f ca="1" t="shared" si="5"/>
        <v>45942</v>
      </c>
    </row>
    <row r="142" spans="2:12">
      <c r="B142" s="9" t="s">
        <v>114</v>
      </c>
      <c r="I142">
        <f>IFERROR(VLOOKUP(H142,Rates!$A$2:$B$3,2,0),1)</f>
        <v>1</v>
      </c>
      <c r="J142" t="str">
        <f t="shared" si="4"/>
        <v/>
      </c>
      <c r="K142" t="str">
        <f>IF(J142&lt;&gt;"",SUM($J$2:J142),"")</f>
        <v/>
      </c>
      <c r="L142">
        <f ca="1" t="shared" si="5"/>
        <v>45942</v>
      </c>
    </row>
    <row r="143" spans="2:12">
      <c r="B143" s="9" t="s">
        <v>114</v>
      </c>
      <c r="I143">
        <f>IFERROR(VLOOKUP(H143,Rates!$A$2:$B$3,2,0),1)</f>
        <v>1</v>
      </c>
      <c r="J143" t="str">
        <f t="shared" si="4"/>
        <v/>
      </c>
      <c r="K143" t="str">
        <f>IF(J143&lt;&gt;"",SUM($J$2:J143),"")</f>
        <v/>
      </c>
      <c r="L143">
        <f ca="1" t="shared" si="5"/>
        <v>45942</v>
      </c>
    </row>
    <row r="144" spans="2:12">
      <c r="B144" s="9" t="s">
        <v>114</v>
      </c>
      <c r="I144">
        <f>IFERROR(VLOOKUP(H144,Rates!$A$2:$B$3,2,0),1)</f>
        <v>1</v>
      </c>
      <c r="J144" t="str">
        <f t="shared" si="4"/>
        <v/>
      </c>
      <c r="K144" t="str">
        <f>IF(J144&lt;&gt;"",SUM($J$2:J144),"")</f>
        <v/>
      </c>
      <c r="L144">
        <f ca="1" t="shared" si="5"/>
        <v>45942</v>
      </c>
    </row>
    <row r="145" spans="2:12">
      <c r="B145" s="9" t="s">
        <v>115</v>
      </c>
      <c r="I145">
        <f>IFERROR(VLOOKUP(H145,Rates!$A$2:$B$3,2,0),1)</f>
        <v>1</v>
      </c>
      <c r="J145" t="str">
        <f t="shared" si="4"/>
        <v/>
      </c>
      <c r="K145" t="str">
        <f>IF(J145&lt;&gt;"",SUM($J$2:J145),"")</f>
        <v/>
      </c>
      <c r="L145">
        <f ca="1" t="shared" si="5"/>
        <v>45942</v>
      </c>
    </row>
    <row r="146" spans="2:12">
      <c r="B146" s="9" t="s">
        <v>115</v>
      </c>
      <c r="I146">
        <f>IFERROR(VLOOKUP(H146,Rates!$A$2:$B$3,2,0),1)</f>
        <v>1</v>
      </c>
      <c r="J146" t="str">
        <f t="shared" si="4"/>
        <v/>
      </c>
      <c r="K146" t="str">
        <f>IF(J146&lt;&gt;"",SUM($J$2:J146),"")</f>
        <v/>
      </c>
      <c r="L146">
        <f ca="1" t="shared" si="5"/>
        <v>45942</v>
      </c>
    </row>
    <row r="147" spans="2:12">
      <c r="B147" s="9" t="s">
        <v>116</v>
      </c>
      <c r="I147">
        <f>IFERROR(VLOOKUP(H147,Rates!$A$2:$B$3,2,0),1)</f>
        <v>1</v>
      </c>
      <c r="J147" t="str">
        <f t="shared" si="4"/>
        <v/>
      </c>
      <c r="K147" t="str">
        <f>IF(J147&lt;&gt;"",SUM($J$2:J147),"")</f>
        <v/>
      </c>
      <c r="L147">
        <f ca="1" t="shared" si="5"/>
        <v>45942</v>
      </c>
    </row>
    <row r="148" spans="2:12">
      <c r="B148" s="9" t="s">
        <v>116</v>
      </c>
      <c r="I148">
        <f>IFERROR(VLOOKUP(H148,Rates!$A$2:$B$3,2,0),1)</f>
        <v>1</v>
      </c>
      <c r="J148" t="str">
        <f t="shared" si="4"/>
        <v/>
      </c>
      <c r="K148" t="str">
        <f>IF(J148&lt;&gt;"",SUM($J$2:J148),"")</f>
        <v/>
      </c>
      <c r="L148">
        <f ca="1" t="shared" si="5"/>
        <v>45942</v>
      </c>
    </row>
    <row r="149" spans="2:12">
      <c r="B149" s="9" t="s">
        <v>116</v>
      </c>
      <c r="I149">
        <f>IFERROR(VLOOKUP(H149,Rates!$A$2:$B$3,2,0),1)</f>
        <v>1</v>
      </c>
      <c r="J149" t="str">
        <f t="shared" si="4"/>
        <v/>
      </c>
      <c r="K149" t="str">
        <f>IF(J149&lt;&gt;"",SUM($J$2:J149),"")</f>
        <v/>
      </c>
      <c r="L149">
        <f ca="1" t="shared" si="5"/>
        <v>45942</v>
      </c>
    </row>
    <row r="150" spans="2:12">
      <c r="B150" s="9" t="s">
        <v>116</v>
      </c>
      <c r="I150">
        <f>IFERROR(VLOOKUP(H150,Rates!$A$2:$B$3,2,0),1)</f>
        <v>1</v>
      </c>
      <c r="J150" t="str">
        <f t="shared" si="4"/>
        <v/>
      </c>
      <c r="K150" t="str">
        <f>IF(J150&lt;&gt;"",SUM($J$2:J150),"")</f>
        <v/>
      </c>
      <c r="L150">
        <f ca="1" t="shared" si="5"/>
        <v>45942</v>
      </c>
    </row>
    <row r="151" spans="2:12">
      <c r="B151" s="9" t="s">
        <v>117</v>
      </c>
      <c r="I151">
        <f>IFERROR(VLOOKUP(H151,Rates!$A$2:$B$3,2,0),1)</f>
        <v>1</v>
      </c>
      <c r="J151" t="str">
        <f t="shared" si="4"/>
        <v/>
      </c>
      <c r="K151" t="str">
        <f>IF(J151&lt;&gt;"",SUM($J$2:J151),"")</f>
        <v/>
      </c>
      <c r="L151">
        <f ca="1" t="shared" si="5"/>
        <v>45942</v>
      </c>
    </row>
    <row r="152" spans="2:12">
      <c r="B152" s="9" t="s">
        <v>117</v>
      </c>
      <c r="I152">
        <f>IFERROR(VLOOKUP(H152,Rates!$A$2:$B$3,2,0),1)</f>
        <v>1</v>
      </c>
      <c r="J152" t="str">
        <f t="shared" si="4"/>
        <v/>
      </c>
      <c r="K152" t="str">
        <f>IF(J152&lt;&gt;"",SUM($J$2:J152),"")</f>
        <v/>
      </c>
      <c r="L152">
        <f ca="1" t="shared" si="5"/>
        <v>45942</v>
      </c>
    </row>
    <row r="153" spans="2:12">
      <c r="B153" s="9" t="s">
        <v>117</v>
      </c>
      <c r="I153">
        <f>IFERROR(VLOOKUP(H153,Rates!$A$2:$B$3,2,0),1)</f>
        <v>1</v>
      </c>
      <c r="J153" t="str">
        <f t="shared" si="4"/>
        <v/>
      </c>
      <c r="K153" t="str">
        <f>IF(J153&lt;&gt;"",SUM($J$2:J153),"")</f>
        <v/>
      </c>
      <c r="L153">
        <f ca="1" t="shared" si="5"/>
        <v>45942</v>
      </c>
    </row>
    <row r="154" spans="2:12">
      <c r="B154" s="9" t="s">
        <v>118</v>
      </c>
      <c r="I154">
        <f>IFERROR(VLOOKUP(H154,Rates!$A$2:$B$3,2,0),1)</f>
        <v>1</v>
      </c>
      <c r="J154" t="str">
        <f t="shared" si="4"/>
        <v/>
      </c>
      <c r="K154" t="str">
        <f>IF(J154&lt;&gt;"",SUM($J$2:J154),"")</f>
        <v/>
      </c>
      <c r="L154">
        <f ca="1" t="shared" si="5"/>
        <v>45942</v>
      </c>
    </row>
    <row r="155" spans="2:12">
      <c r="B155" s="9" t="s">
        <v>118</v>
      </c>
      <c r="I155">
        <f>IFERROR(VLOOKUP(H155,Rates!$A$2:$B$3,2,0),1)</f>
        <v>1</v>
      </c>
      <c r="J155" t="str">
        <f t="shared" si="4"/>
        <v/>
      </c>
      <c r="K155" t="str">
        <f>IF(J155&lt;&gt;"",SUM($J$2:J155),"")</f>
        <v/>
      </c>
      <c r="L155">
        <f ca="1" t="shared" si="5"/>
        <v>45942</v>
      </c>
    </row>
    <row r="156" spans="2:12">
      <c r="B156" s="9" t="s">
        <v>118</v>
      </c>
      <c r="I156">
        <f>IFERROR(VLOOKUP(H156,Rates!$A$2:$B$3,2,0),1)</f>
        <v>1</v>
      </c>
      <c r="J156" t="str">
        <f t="shared" si="4"/>
        <v/>
      </c>
      <c r="K156" t="str">
        <f>IF(J156&lt;&gt;"",SUM($J$2:J156),"")</f>
        <v/>
      </c>
      <c r="L156">
        <f ca="1" t="shared" si="5"/>
        <v>45942</v>
      </c>
    </row>
    <row r="157" spans="2:12">
      <c r="B157" s="9" t="s">
        <v>118</v>
      </c>
      <c r="I157">
        <f>IFERROR(VLOOKUP(H157,Rates!$A$2:$B$3,2,0),1)</f>
        <v>1</v>
      </c>
      <c r="J157" t="str">
        <f t="shared" si="4"/>
        <v/>
      </c>
      <c r="K157" t="str">
        <f>IF(J157&lt;&gt;"",SUM($J$2:J157),"")</f>
        <v/>
      </c>
      <c r="L157">
        <f ca="1" t="shared" si="5"/>
        <v>45942</v>
      </c>
    </row>
    <row r="158" spans="2:12">
      <c r="B158" s="9" t="s">
        <v>118</v>
      </c>
      <c r="I158">
        <f>IFERROR(VLOOKUP(H158,Rates!$A$2:$B$3,2,0),1)</f>
        <v>1</v>
      </c>
      <c r="J158" t="str">
        <f t="shared" si="4"/>
        <v/>
      </c>
      <c r="K158" t="str">
        <f>IF(J158&lt;&gt;"",SUM($J$2:J158),"")</f>
        <v/>
      </c>
      <c r="L158">
        <f ca="1" t="shared" si="5"/>
        <v>45942</v>
      </c>
    </row>
    <row r="159" spans="2:12">
      <c r="B159" s="9" t="s">
        <v>118</v>
      </c>
      <c r="I159">
        <f>IFERROR(VLOOKUP(H159,Rates!$A$2:$B$3,2,0),1)</f>
        <v>1</v>
      </c>
      <c r="J159" t="str">
        <f t="shared" si="4"/>
        <v/>
      </c>
      <c r="K159" t="str">
        <f>IF(J159&lt;&gt;"",SUM($J$2:J159),"")</f>
        <v/>
      </c>
      <c r="L159">
        <f ca="1" t="shared" si="5"/>
        <v>45942</v>
      </c>
    </row>
    <row r="160" spans="2:12">
      <c r="B160" s="9" t="s">
        <v>118</v>
      </c>
      <c r="I160">
        <f>IFERROR(VLOOKUP(H160,Rates!$A$2:$B$3,2,0),1)</f>
        <v>1</v>
      </c>
      <c r="J160" t="str">
        <f t="shared" si="4"/>
        <v/>
      </c>
      <c r="K160" t="str">
        <f>IF(J160&lt;&gt;"",SUM($J$2:J160),"")</f>
        <v/>
      </c>
      <c r="L160">
        <f ca="1" t="shared" si="5"/>
        <v>45942</v>
      </c>
    </row>
    <row r="161" spans="2:12">
      <c r="B161" s="9" t="s">
        <v>119</v>
      </c>
      <c r="I161">
        <f>IFERROR(VLOOKUP(H161,Rates!$A$2:$B$3,2,0),1)</f>
        <v>1</v>
      </c>
      <c r="J161" t="str">
        <f t="shared" si="4"/>
        <v/>
      </c>
      <c r="K161" t="str">
        <f>IF(J161&lt;&gt;"",SUM($J$2:J161),"")</f>
        <v/>
      </c>
      <c r="L161">
        <f ca="1" t="shared" si="5"/>
        <v>45942</v>
      </c>
    </row>
    <row r="162" spans="2:12">
      <c r="B162" s="9" t="s">
        <v>119</v>
      </c>
      <c r="I162">
        <f>IFERROR(VLOOKUP(H162,Rates!$A$2:$B$3,2,0),1)</f>
        <v>1</v>
      </c>
      <c r="J162" t="str">
        <f t="shared" si="4"/>
        <v/>
      </c>
      <c r="K162" t="str">
        <f>IF(J162&lt;&gt;"",SUM($J$2:J162),"")</f>
        <v/>
      </c>
      <c r="L162">
        <f ca="1" t="shared" si="5"/>
        <v>45942</v>
      </c>
    </row>
    <row r="163" spans="2:12">
      <c r="B163" s="9" t="s">
        <v>120</v>
      </c>
      <c r="I163">
        <f>IFERROR(VLOOKUP(H163,Rates!$A$2:$B$3,2,0),1)</f>
        <v>1</v>
      </c>
      <c r="J163" t="str">
        <f t="shared" si="4"/>
        <v/>
      </c>
      <c r="K163" t="str">
        <f>IF(J163&lt;&gt;"",SUM($J$2:J163),"")</f>
        <v/>
      </c>
      <c r="L163">
        <f ca="1" t="shared" si="5"/>
        <v>45942</v>
      </c>
    </row>
    <row r="164" spans="2:12">
      <c r="B164" s="9" t="s">
        <v>120</v>
      </c>
      <c r="I164">
        <f>IFERROR(VLOOKUP(H164,Rates!$A$2:$B$3,2,0),1)</f>
        <v>1</v>
      </c>
      <c r="J164" t="str">
        <f t="shared" si="4"/>
        <v/>
      </c>
      <c r="K164" t="str">
        <f>IF(J164&lt;&gt;"",SUM($J$2:J164),"")</f>
        <v/>
      </c>
      <c r="L164">
        <f ca="1" t="shared" si="5"/>
        <v>45942</v>
      </c>
    </row>
    <row r="165" spans="2:12">
      <c r="B165" s="9" t="s">
        <v>120</v>
      </c>
      <c r="I165">
        <f>IFERROR(VLOOKUP(H165,Rates!$A$2:$B$3,2,0),1)</f>
        <v>1</v>
      </c>
      <c r="J165" t="str">
        <f t="shared" si="4"/>
        <v/>
      </c>
      <c r="K165" t="str">
        <f>IF(J165&lt;&gt;"",SUM($J$2:J165),"")</f>
        <v/>
      </c>
      <c r="L165">
        <f ca="1" t="shared" si="5"/>
        <v>45942</v>
      </c>
    </row>
    <row r="166" spans="2:12">
      <c r="B166" s="9" t="s">
        <v>120</v>
      </c>
      <c r="I166">
        <f>IFERROR(VLOOKUP(H166,Rates!$A$2:$B$3,2,0),1)</f>
        <v>1</v>
      </c>
      <c r="J166" t="str">
        <f t="shared" si="4"/>
        <v/>
      </c>
      <c r="K166" t="str">
        <f>IF(J166&lt;&gt;"",SUM($J$2:J166),"")</f>
        <v/>
      </c>
      <c r="L166">
        <f ca="1" t="shared" si="5"/>
        <v>45942</v>
      </c>
    </row>
    <row r="167" spans="2:12">
      <c r="B167" s="9" t="s">
        <v>120</v>
      </c>
      <c r="I167">
        <f>IFERROR(VLOOKUP(H167,Rates!$A$2:$B$3,2,0),1)</f>
        <v>1</v>
      </c>
      <c r="J167" t="str">
        <f t="shared" si="4"/>
        <v/>
      </c>
      <c r="K167" t="str">
        <f>IF(J167&lt;&gt;"",SUM($J$2:J167),"")</f>
        <v/>
      </c>
      <c r="L167">
        <f ca="1" t="shared" si="5"/>
        <v>45942</v>
      </c>
    </row>
    <row r="168" spans="2:12">
      <c r="B168" s="9" t="s">
        <v>120</v>
      </c>
      <c r="I168">
        <f>IFERROR(VLOOKUP(H168,Rates!$A$2:$B$3,2,0),1)</f>
        <v>1</v>
      </c>
      <c r="J168" t="str">
        <f t="shared" si="4"/>
        <v/>
      </c>
      <c r="K168" t="str">
        <f>IF(J168&lt;&gt;"",SUM($J$2:J168),"")</f>
        <v/>
      </c>
      <c r="L168">
        <f ca="1" t="shared" si="5"/>
        <v>45942</v>
      </c>
    </row>
    <row r="169" spans="2:12">
      <c r="B169" s="9" t="s">
        <v>120</v>
      </c>
      <c r="I169">
        <f>IFERROR(VLOOKUP(H169,Rates!$A$2:$B$3,2,0),1)</f>
        <v>1</v>
      </c>
      <c r="J169" t="str">
        <f t="shared" si="4"/>
        <v/>
      </c>
      <c r="K169" t="str">
        <f>IF(J169&lt;&gt;"",SUM($J$2:J169),"")</f>
        <v/>
      </c>
      <c r="L169">
        <f ca="1" t="shared" si="5"/>
        <v>45942</v>
      </c>
    </row>
    <row r="170" spans="2:12">
      <c r="B170" s="9" t="s">
        <v>121</v>
      </c>
      <c r="I170">
        <f>IFERROR(VLOOKUP(H170,Rates!$A$2:$B$3,2,0),1)</f>
        <v>1</v>
      </c>
      <c r="J170" t="str">
        <f t="shared" si="4"/>
        <v/>
      </c>
      <c r="K170" t="str">
        <f>IF(J170&lt;&gt;"",SUM($J$2:J170),"")</f>
        <v/>
      </c>
      <c r="L170">
        <f ca="1" t="shared" si="5"/>
        <v>45942</v>
      </c>
    </row>
    <row r="171" spans="2:12">
      <c r="B171" s="9" t="s">
        <v>121</v>
      </c>
      <c r="I171">
        <f>IFERROR(VLOOKUP(H171,Rates!$A$2:$B$3,2,0),1)</f>
        <v>1</v>
      </c>
      <c r="J171" t="str">
        <f t="shared" si="4"/>
        <v/>
      </c>
      <c r="K171" t="str">
        <f>IF(J171&lt;&gt;"",SUM($J$2:J171),"")</f>
        <v/>
      </c>
      <c r="L171">
        <f ca="1" t="shared" si="5"/>
        <v>45942</v>
      </c>
    </row>
    <row r="172" spans="2:12">
      <c r="B172" s="9" t="s">
        <v>122</v>
      </c>
      <c r="I172">
        <f>IFERROR(VLOOKUP(H172,Rates!$A$2:$B$3,2,0),1)</f>
        <v>1</v>
      </c>
      <c r="J172" t="str">
        <f t="shared" si="4"/>
        <v/>
      </c>
      <c r="K172" t="str">
        <f>IF(J172&lt;&gt;"",SUM($J$2:J172),"")</f>
        <v/>
      </c>
      <c r="L172">
        <f ca="1" t="shared" si="5"/>
        <v>45942</v>
      </c>
    </row>
    <row r="173" spans="2:12">
      <c r="B173" s="9" t="s">
        <v>122</v>
      </c>
      <c r="I173">
        <f>IFERROR(VLOOKUP(H173,Rates!$A$2:$B$3,2,0),1)</f>
        <v>1</v>
      </c>
      <c r="J173" t="str">
        <f t="shared" si="4"/>
        <v/>
      </c>
      <c r="K173" t="str">
        <f>IF(J173&lt;&gt;"",SUM($J$2:J173),"")</f>
        <v/>
      </c>
      <c r="L173">
        <f ca="1" t="shared" si="5"/>
        <v>45942</v>
      </c>
    </row>
    <row r="174" spans="2:12">
      <c r="B174" s="9" t="s">
        <v>122</v>
      </c>
      <c r="I174">
        <f>IFERROR(VLOOKUP(H174,Rates!$A$2:$B$3,2,0),1)</f>
        <v>1</v>
      </c>
      <c r="J174" t="str">
        <f t="shared" si="4"/>
        <v/>
      </c>
      <c r="K174" t="str">
        <f>IF(J174&lt;&gt;"",SUM($J$2:J174),"")</f>
        <v/>
      </c>
      <c r="L174">
        <f ca="1" t="shared" si="5"/>
        <v>45942</v>
      </c>
    </row>
    <row r="175" spans="2:12">
      <c r="B175" s="9" t="s">
        <v>122</v>
      </c>
      <c r="I175">
        <f>IFERROR(VLOOKUP(H175,Rates!$A$2:$B$3,2,0),1)</f>
        <v>1</v>
      </c>
      <c r="J175" t="str">
        <f t="shared" si="4"/>
        <v/>
      </c>
      <c r="K175" t="str">
        <f>IF(J175&lt;&gt;"",SUM($J$2:J175),"")</f>
        <v/>
      </c>
      <c r="L175">
        <f ca="1" t="shared" si="5"/>
        <v>45942</v>
      </c>
    </row>
    <row r="176" spans="2:12">
      <c r="B176" s="9" t="s">
        <v>122</v>
      </c>
      <c r="I176">
        <f>IFERROR(VLOOKUP(H176,Rates!$A$2:$B$3,2,0),1)</f>
        <v>1</v>
      </c>
      <c r="J176" t="str">
        <f t="shared" si="4"/>
        <v/>
      </c>
      <c r="K176" t="str">
        <f>IF(J176&lt;&gt;"",SUM($J$2:J176),"")</f>
        <v/>
      </c>
      <c r="L176">
        <f ca="1" t="shared" si="5"/>
        <v>45942</v>
      </c>
    </row>
    <row r="177" spans="2:12">
      <c r="B177" s="9" t="s">
        <v>123</v>
      </c>
      <c r="I177">
        <f>IFERROR(VLOOKUP(H177,Rates!$A$2:$B$3,2,0),1)</f>
        <v>1</v>
      </c>
      <c r="J177" t="str">
        <f t="shared" si="4"/>
        <v/>
      </c>
      <c r="K177" t="str">
        <f>IF(J177&lt;&gt;"",SUM($J$2:J177),"")</f>
        <v/>
      </c>
      <c r="L177">
        <f ca="1" t="shared" si="5"/>
        <v>45942</v>
      </c>
    </row>
    <row r="178" spans="2:12">
      <c r="B178" s="9" t="s">
        <v>123</v>
      </c>
      <c r="I178">
        <f>IFERROR(VLOOKUP(H178,Rates!$A$2:$B$3,2,0),1)</f>
        <v>1</v>
      </c>
      <c r="J178" t="str">
        <f t="shared" si="4"/>
        <v/>
      </c>
      <c r="K178" t="str">
        <f>IF(J178&lt;&gt;"",SUM($J$2:J178),"")</f>
        <v/>
      </c>
      <c r="L178">
        <f ca="1" t="shared" si="5"/>
        <v>45942</v>
      </c>
    </row>
    <row r="179" spans="2:12">
      <c r="B179" s="9" t="s">
        <v>123</v>
      </c>
      <c r="I179">
        <f>IFERROR(VLOOKUP(H179,Rates!$A$2:$B$3,2,0),1)</f>
        <v>1</v>
      </c>
      <c r="J179" t="str">
        <f t="shared" si="4"/>
        <v/>
      </c>
      <c r="K179" t="str">
        <f>IF(J179&lt;&gt;"",SUM($J$2:J179),"")</f>
        <v/>
      </c>
      <c r="L179">
        <f ca="1" t="shared" si="5"/>
        <v>45942</v>
      </c>
    </row>
    <row r="180" spans="9:12">
      <c r="I180">
        <f>IFERROR(VLOOKUP(H180,Rates!$A$2:$B$3,2,0),1)</f>
        <v>1</v>
      </c>
      <c r="J180" t="str">
        <f t="shared" si="4"/>
        <v/>
      </c>
      <c r="K180" t="str">
        <f>IF(J180&lt;&gt;"",SUM($J$2:J180),"")</f>
        <v/>
      </c>
      <c r="L180">
        <f ca="1" t="shared" si="5"/>
        <v>45942</v>
      </c>
    </row>
    <row r="181" spans="9:12">
      <c r="I181">
        <f>IFERROR(VLOOKUP(H181,Rates!$A$2:$B$3,2,0),1)</f>
        <v>1</v>
      </c>
      <c r="J181" t="str">
        <f t="shared" si="4"/>
        <v/>
      </c>
      <c r="K181" t="str">
        <f>IF(J181&lt;&gt;"",SUM($J$2:J181),"")</f>
        <v/>
      </c>
      <c r="L181">
        <f ca="1" t="shared" si="5"/>
        <v>45942</v>
      </c>
    </row>
    <row r="182" spans="9:12">
      <c r="I182">
        <f>IFERROR(VLOOKUP(H182,Rates!$A$2:$B$3,2,0),1)</f>
        <v>1</v>
      </c>
      <c r="J182" t="str">
        <f t="shared" si="4"/>
        <v/>
      </c>
      <c r="K182" t="str">
        <f>IF(J182&lt;&gt;"",SUM($J$2:J182),"")</f>
        <v/>
      </c>
      <c r="L182">
        <f ca="1" t="shared" si="5"/>
        <v>45942</v>
      </c>
    </row>
    <row r="183" spans="9:12">
      <c r="I183">
        <f>IFERROR(VLOOKUP(H183,Rates!$A$2:$B$3,2,0),1)</f>
        <v>1</v>
      </c>
      <c r="J183" t="str">
        <f t="shared" si="4"/>
        <v/>
      </c>
      <c r="K183" t="str">
        <f>IF(J183&lt;&gt;"",SUM($J$2:J183),"")</f>
        <v/>
      </c>
      <c r="L183">
        <f ca="1" t="shared" si="5"/>
        <v>45942</v>
      </c>
    </row>
    <row r="184" spans="9:12">
      <c r="I184">
        <f>IFERROR(VLOOKUP(H184,Rates!$A$2:$B$3,2,0),1)</f>
        <v>1</v>
      </c>
      <c r="J184" t="str">
        <f t="shared" si="4"/>
        <v/>
      </c>
      <c r="K184" t="str">
        <f>IF(J184&lt;&gt;"",SUM($J$2:J184),"")</f>
        <v/>
      </c>
      <c r="L184">
        <f ca="1" t="shared" si="5"/>
        <v>45942</v>
      </c>
    </row>
    <row r="185" spans="9:12">
      <c r="I185">
        <f>IFERROR(VLOOKUP(H185,Rates!$A$2:$B$3,2,0),1)</f>
        <v>1</v>
      </c>
      <c r="J185" t="str">
        <f t="shared" si="4"/>
        <v/>
      </c>
      <c r="K185" t="str">
        <f>IF(J185&lt;&gt;"",SUM($J$2:J185),"")</f>
        <v/>
      </c>
      <c r="L185">
        <f ca="1" t="shared" si="5"/>
        <v>45942</v>
      </c>
    </row>
    <row r="186" spans="9:12">
      <c r="I186">
        <f>IFERROR(VLOOKUP(H186,Rates!$A$2:$B$3,2,0),1)</f>
        <v>1</v>
      </c>
      <c r="J186" t="str">
        <f t="shared" si="4"/>
        <v/>
      </c>
      <c r="K186" t="str">
        <f>IF(J186&lt;&gt;"",SUM($J$2:J186),"")</f>
        <v/>
      </c>
      <c r="L186">
        <f ca="1" t="shared" si="5"/>
        <v>45942</v>
      </c>
    </row>
    <row r="187" spans="9:12">
      <c r="I187">
        <f>IFERROR(VLOOKUP(H187,Rates!$A$2:$B$3,2,0),1)</f>
        <v>1</v>
      </c>
      <c r="J187" t="str">
        <f t="shared" si="4"/>
        <v/>
      </c>
      <c r="K187" t="str">
        <f>IF(J187&lt;&gt;"",SUM($J$2:J187),"")</f>
        <v/>
      </c>
      <c r="L187">
        <f ca="1" t="shared" si="5"/>
        <v>45942</v>
      </c>
    </row>
    <row r="188" spans="9:12">
      <c r="I188">
        <f>IFERROR(VLOOKUP(H188,Rates!$A$2:$B$3,2,0),1)</f>
        <v>1</v>
      </c>
      <c r="J188" t="str">
        <f t="shared" si="4"/>
        <v/>
      </c>
      <c r="K188" t="str">
        <f>IF(J188&lt;&gt;"",SUM($J$2:J188),"")</f>
        <v/>
      </c>
      <c r="L188">
        <f ca="1" t="shared" si="5"/>
        <v>45942</v>
      </c>
    </row>
    <row r="189" spans="9:12">
      <c r="I189">
        <f>IFERROR(VLOOKUP(H189,Rates!$A$2:$B$3,2,0),1)</f>
        <v>1</v>
      </c>
      <c r="J189" t="str">
        <f t="shared" si="4"/>
        <v/>
      </c>
      <c r="K189" t="str">
        <f>IF(J189&lt;&gt;"",SUM($J$2:J189),"")</f>
        <v/>
      </c>
      <c r="L189">
        <f ca="1" t="shared" si="5"/>
        <v>45942</v>
      </c>
    </row>
    <row r="190" spans="9:12">
      <c r="I190">
        <f>IFERROR(VLOOKUP(H190,Rates!$A$2:$B$3,2,0),1)</f>
        <v>1</v>
      </c>
      <c r="J190" t="str">
        <f t="shared" si="4"/>
        <v/>
      </c>
      <c r="K190" t="str">
        <f>IF(J190&lt;&gt;"",SUM($J$2:J190),"")</f>
        <v/>
      </c>
      <c r="L190">
        <f ca="1" t="shared" si="5"/>
        <v>45942</v>
      </c>
    </row>
    <row r="191" spans="9:12">
      <c r="I191">
        <f>IFERROR(VLOOKUP(H191,Rates!$A$2:$B$3,2,0),1)</f>
        <v>1</v>
      </c>
      <c r="J191" t="str">
        <f t="shared" si="4"/>
        <v/>
      </c>
      <c r="K191" t="str">
        <f>IF(J191&lt;&gt;"",SUM($J$2:J191),"")</f>
        <v/>
      </c>
      <c r="L191">
        <f ca="1" t="shared" si="5"/>
        <v>45942</v>
      </c>
    </row>
    <row r="192" spans="9:12">
      <c r="I192">
        <f>IFERROR(VLOOKUP(H192,Rates!$A$2:$B$3,2,0),1)</f>
        <v>1</v>
      </c>
      <c r="J192" t="str">
        <f t="shared" si="4"/>
        <v/>
      </c>
      <c r="K192" t="str">
        <f>IF(J192&lt;&gt;"",SUM($J$2:J192),"")</f>
        <v/>
      </c>
      <c r="L192">
        <f ca="1" t="shared" si="5"/>
        <v>45942</v>
      </c>
    </row>
    <row r="193" spans="9:12">
      <c r="I193">
        <f>IFERROR(VLOOKUP(H193,Rates!$A$2:$B$3,2,0),1)</f>
        <v>1</v>
      </c>
      <c r="J193" t="str">
        <f t="shared" si="4"/>
        <v/>
      </c>
      <c r="K193" t="str">
        <f>IF(J193&lt;&gt;"",SUM($J$2:J193),"")</f>
        <v/>
      </c>
      <c r="L193">
        <f ca="1" t="shared" si="5"/>
        <v>45942</v>
      </c>
    </row>
    <row r="194" spans="9:12">
      <c r="I194">
        <f>IFERROR(VLOOKUP(H194,Rates!$A$2:$B$3,2,0),1)</f>
        <v>1</v>
      </c>
      <c r="J194" t="str">
        <f t="shared" ref="J194:J257" si="6">IF(G194&lt;&gt;"",G194*I194,"")</f>
        <v/>
      </c>
      <c r="K194" t="str">
        <f>IF(J194&lt;&gt;"",SUM($J$2:J194),"")</f>
        <v/>
      </c>
      <c r="L194">
        <f ca="1" t="shared" ref="L194:L257" si="7">IF(COUNTA(A194:K194)&gt;0,TODAY(),"")</f>
        <v>45942</v>
      </c>
    </row>
    <row r="195" spans="9:12">
      <c r="I195">
        <f>IFERROR(VLOOKUP(H195,Rates!$A$2:$B$3,2,0),1)</f>
        <v>1</v>
      </c>
      <c r="J195" t="str">
        <f t="shared" si="6"/>
        <v/>
      </c>
      <c r="K195" t="str">
        <f>IF(J195&lt;&gt;"",SUM($J$2:J195),"")</f>
        <v/>
      </c>
      <c r="L195">
        <f ca="1" t="shared" si="7"/>
        <v>45942</v>
      </c>
    </row>
    <row r="196" spans="9:12">
      <c r="I196">
        <f>IFERROR(VLOOKUP(H196,Rates!$A$2:$B$3,2,0),1)</f>
        <v>1</v>
      </c>
      <c r="J196" t="str">
        <f t="shared" si="6"/>
        <v/>
      </c>
      <c r="K196" t="str">
        <f>IF(J196&lt;&gt;"",SUM($J$2:J196),"")</f>
        <v/>
      </c>
      <c r="L196">
        <f ca="1" t="shared" si="7"/>
        <v>45942</v>
      </c>
    </row>
    <row r="197" spans="9:12">
      <c r="I197">
        <f>IFERROR(VLOOKUP(H197,Rates!$A$2:$B$3,2,0),1)</f>
        <v>1</v>
      </c>
      <c r="J197" t="str">
        <f t="shared" si="6"/>
        <v/>
      </c>
      <c r="K197" t="str">
        <f>IF(J197&lt;&gt;"",SUM($J$2:J197),"")</f>
        <v/>
      </c>
      <c r="L197">
        <f ca="1" t="shared" si="7"/>
        <v>45942</v>
      </c>
    </row>
    <row r="198" spans="9:12">
      <c r="I198">
        <f>IFERROR(VLOOKUP(H198,Rates!$A$2:$B$3,2,0),1)</f>
        <v>1</v>
      </c>
      <c r="J198" t="str">
        <f t="shared" si="6"/>
        <v/>
      </c>
      <c r="K198" t="str">
        <f>IF(J198&lt;&gt;"",SUM($J$2:J198),"")</f>
        <v/>
      </c>
      <c r="L198">
        <f ca="1" t="shared" si="7"/>
        <v>45942</v>
      </c>
    </row>
    <row r="199" spans="9:12">
      <c r="I199">
        <f>IFERROR(VLOOKUP(H199,Rates!$A$2:$B$3,2,0),1)</f>
        <v>1</v>
      </c>
      <c r="J199" t="str">
        <f t="shared" si="6"/>
        <v/>
      </c>
      <c r="K199" t="str">
        <f>IF(J199&lt;&gt;"",SUM($J$2:J199),"")</f>
        <v/>
      </c>
      <c r="L199">
        <f ca="1" t="shared" si="7"/>
        <v>45942</v>
      </c>
    </row>
    <row r="200" spans="9:12">
      <c r="I200">
        <f>IFERROR(VLOOKUP(H200,Rates!$A$2:$B$3,2,0),1)</f>
        <v>1</v>
      </c>
      <c r="J200" t="str">
        <f t="shared" si="6"/>
        <v/>
      </c>
      <c r="K200" t="str">
        <f>IF(J200&lt;&gt;"",SUM($J$2:J200),"")</f>
        <v/>
      </c>
      <c r="L200">
        <f ca="1" t="shared" si="7"/>
        <v>45942</v>
      </c>
    </row>
    <row r="201" spans="9:12">
      <c r="I201">
        <f>IFERROR(VLOOKUP(H201,Rates!$A$2:$B$3,2,0),1)</f>
        <v>1</v>
      </c>
      <c r="J201" t="str">
        <f t="shared" si="6"/>
        <v/>
      </c>
      <c r="K201" t="str">
        <f>IF(J201&lt;&gt;"",SUM($J$2:J201),"")</f>
        <v/>
      </c>
      <c r="L201">
        <f ca="1" t="shared" si="7"/>
        <v>45942</v>
      </c>
    </row>
    <row r="202" spans="9:12">
      <c r="I202">
        <f>IFERROR(VLOOKUP(H202,Rates!$A$2:$B$3,2,0),1)</f>
        <v>1</v>
      </c>
      <c r="J202" t="str">
        <f t="shared" si="6"/>
        <v/>
      </c>
      <c r="K202" t="str">
        <f>IF(J202&lt;&gt;"",SUM($J$2:J202),"")</f>
        <v/>
      </c>
      <c r="L202">
        <f ca="1" t="shared" si="7"/>
        <v>45942</v>
      </c>
    </row>
    <row r="203" spans="9:12">
      <c r="I203">
        <f>IFERROR(VLOOKUP(H203,Rates!$A$2:$B$3,2,0),1)</f>
        <v>1</v>
      </c>
      <c r="J203" t="str">
        <f t="shared" si="6"/>
        <v/>
      </c>
      <c r="K203" t="str">
        <f>IF(J203&lt;&gt;"",SUM($J$2:J203),"")</f>
        <v/>
      </c>
      <c r="L203">
        <f ca="1" t="shared" si="7"/>
        <v>45942</v>
      </c>
    </row>
    <row r="204" spans="9:12">
      <c r="I204">
        <f>IFERROR(VLOOKUP(H204,Rates!$A$2:$B$3,2,0),1)</f>
        <v>1</v>
      </c>
      <c r="J204" t="str">
        <f t="shared" si="6"/>
        <v/>
      </c>
      <c r="K204" t="str">
        <f>IF(J204&lt;&gt;"",SUM($J$2:J204),"")</f>
        <v/>
      </c>
      <c r="L204">
        <f ca="1" t="shared" si="7"/>
        <v>45942</v>
      </c>
    </row>
    <row r="205" spans="9:12">
      <c r="I205">
        <f>IFERROR(VLOOKUP(H205,Rates!$A$2:$B$3,2,0),1)</f>
        <v>1</v>
      </c>
      <c r="J205" t="str">
        <f t="shared" si="6"/>
        <v/>
      </c>
      <c r="K205" t="str">
        <f>IF(J205&lt;&gt;"",SUM($J$2:J205),"")</f>
        <v/>
      </c>
      <c r="L205">
        <f ca="1" t="shared" si="7"/>
        <v>45942</v>
      </c>
    </row>
    <row r="206" spans="9:12">
      <c r="I206">
        <f>IFERROR(VLOOKUP(H206,Rates!$A$2:$B$3,2,0),1)</f>
        <v>1</v>
      </c>
      <c r="J206" t="str">
        <f t="shared" si="6"/>
        <v/>
      </c>
      <c r="K206" t="str">
        <f>IF(J206&lt;&gt;"",SUM($J$2:J206),"")</f>
        <v/>
      </c>
      <c r="L206">
        <f ca="1" t="shared" si="7"/>
        <v>45942</v>
      </c>
    </row>
    <row r="207" spans="9:12">
      <c r="I207">
        <f>IFERROR(VLOOKUP(H207,Rates!$A$2:$B$3,2,0),1)</f>
        <v>1</v>
      </c>
      <c r="J207" t="str">
        <f t="shared" si="6"/>
        <v/>
      </c>
      <c r="K207" t="str">
        <f>IF(J207&lt;&gt;"",SUM($J$2:J207),"")</f>
        <v/>
      </c>
      <c r="L207">
        <f ca="1" t="shared" si="7"/>
        <v>45942</v>
      </c>
    </row>
    <row r="208" spans="9:12">
      <c r="I208">
        <f>IFERROR(VLOOKUP(H208,Rates!$A$2:$B$3,2,0),1)</f>
        <v>1</v>
      </c>
      <c r="J208" t="str">
        <f t="shared" si="6"/>
        <v/>
      </c>
      <c r="K208" t="str">
        <f>IF(J208&lt;&gt;"",SUM($J$2:J208),"")</f>
        <v/>
      </c>
      <c r="L208">
        <f ca="1" t="shared" si="7"/>
        <v>45942</v>
      </c>
    </row>
    <row r="209" spans="9:12">
      <c r="I209">
        <f>IFERROR(VLOOKUP(H209,Rates!$A$2:$B$3,2,0),1)</f>
        <v>1</v>
      </c>
      <c r="J209" t="str">
        <f t="shared" si="6"/>
        <v/>
      </c>
      <c r="K209" t="str">
        <f>IF(J209&lt;&gt;"",SUM($J$2:J209),"")</f>
        <v/>
      </c>
      <c r="L209">
        <f ca="1" t="shared" si="7"/>
        <v>45942</v>
      </c>
    </row>
    <row r="210" spans="9:12">
      <c r="I210">
        <f>IFERROR(VLOOKUP(H210,Rates!$A$2:$B$3,2,0),1)</f>
        <v>1</v>
      </c>
      <c r="J210" t="str">
        <f t="shared" si="6"/>
        <v/>
      </c>
      <c r="K210" t="str">
        <f>IF(J210&lt;&gt;"",SUM($J$2:J210),"")</f>
        <v/>
      </c>
      <c r="L210">
        <f ca="1" t="shared" si="7"/>
        <v>45942</v>
      </c>
    </row>
    <row r="211" spans="9:12">
      <c r="I211">
        <f>IFERROR(VLOOKUP(H211,Rates!$A$2:$B$3,2,0),1)</f>
        <v>1</v>
      </c>
      <c r="J211" t="str">
        <f t="shared" si="6"/>
        <v/>
      </c>
      <c r="K211" t="str">
        <f>IF(J211&lt;&gt;"",SUM($J$2:J211),"")</f>
        <v/>
      </c>
      <c r="L211">
        <f ca="1" t="shared" si="7"/>
        <v>45942</v>
      </c>
    </row>
    <row r="212" spans="9:12">
      <c r="I212">
        <f>IFERROR(VLOOKUP(H212,Rates!$A$2:$B$3,2,0),1)</f>
        <v>1</v>
      </c>
      <c r="J212" t="str">
        <f t="shared" si="6"/>
        <v/>
      </c>
      <c r="K212" t="str">
        <f>IF(J212&lt;&gt;"",SUM($J$2:J212),"")</f>
        <v/>
      </c>
      <c r="L212">
        <f ca="1" t="shared" si="7"/>
        <v>45942</v>
      </c>
    </row>
    <row r="213" spans="9:12">
      <c r="I213">
        <f>IFERROR(VLOOKUP(H213,Rates!$A$2:$B$3,2,0),1)</f>
        <v>1</v>
      </c>
      <c r="J213" t="str">
        <f t="shared" si="6"/>
        <v/>
      </c>
      <c r="K213" t="str">
        <f>IF(J213&lt;&gt;"",SUM($J$2:J213),"")</f>
        <v/>
      </c>
      <c r="L213">
        <f ca="1" t="shared" si="7"/>
        <v>45942</v>
      </c>
    </row>
    <row r="214" spans="9:12">
      <c r="I214">
        <f>IFERROR(VLOOKUP(H214,Rates!$A$2:$B$3,2,0),1)</f>
        <v>1</v>
      </c>
      <c r="J214" t="str">
        <f t="shared" si="6"/>
        <v/>
      </c>
      <c r="K214" t="str">
        <f>IF(J214&lt;&gt;"",SUM($J$2:J214),"")</f>
        <v/>
      </c>
      <c r="L214">
        <f ca="1" t="shared" si="7"/>
        <v>45942</v>
      </c>
    </row>
    <row r="215" spans="9:12">
      <c r="I215">
        <f>IFERROR(VLOOKUP(H215,Rates!$A$2:$B$3,2,0),1)</f>
        <v>1</v>
      </c>
      <c r="J215" t="str">
        <f t="shared" si="6"/>
        <v/>
      </c>
      <c r="K215" t="str">
        <f>IF(J215&lt;&gt;"",SUM($J$2:J215),"")</f>
        <v/>
      </c>
      <c r="L215">
        <f ca="1" t="shared" si="7"/>
        <v>45942</v>
      </c>
    </row>
    <row r="216" spans="9:12">
      <c r="I216">
        <f>IFERROR(VLOOKUP(H216,Rates!$A$2:$B$3,2,0),1)</f>
        <v>1</v>
      </c>
      <c r="J216" t="str">
        <f t="shared" si="6"/>
        <v/>
      </c>
      <c r="K216" t="str">
        <f>IF(J216&lt;&gt;"",SUM($J$2:J216),"")</f>
        <v/>
      </c>
      <c r="L216">
        <f ca="1" t="shared" si="7"/>
        <v>45942</v>
      </c>
    </row>
    <row r="217" spans="9:12">
      <c r="I217">
        <f>IFERROR(VLOOKUP(H217,Rates!$A$2:$B$3,2,0),1)</f>
        <v>1</v>
      </c>
      <c r="J217" t="str">
        <f t="shared" si="6"/>
        <v/>
      </c>
      <c r="K217" t="str">
        <f>IF(J217&lt;&gt;"",SUM($J$2:J217),"")</f>
        <v/>
      </c>
      <c r="L217">
        <f ca="1" t="shared" si="7"/>
        <v>45942</v>
      </c>
    </row>
    <row r="218" spans="9:12">
      <c r="I218">
        <f>IFERROR(VLOOKUP(H218,Rates!$A$2:$B$3,2,0),1)</f>
        <v>1</v>
      </c>
      <c r="J218" t="str">
        <f t="shared" si="6"/>
        <v/>
      </c>
      <c r="K218" t="str">
        <f>IF(J218&lt;&gt;"",SUM($J$2:J218),"")</f>
        <v/>
      </c>
      <c r="L218">
        <f ca="1" t="shared" si="7"/>
        <v>45942</v>
      </c>
    </row>
    <row r="219" spans="9:12">
      <c r="I219">
        <f>IFERROR(VLOOKUP(H219,Rates!$A$2:$B$3,2,0),1)</f>
        <v>1</v>
      </c>
      <c r="J219" t="str">
        <f t="shared" si="6"/>
        <v/>
      </c>
      <c r="K219" t="str">
        <f>IF(J219&lt;&gt;"",SUM($J$2:J219),"")</f>
        <v/>
      </c>
      <c r="L219">
        <f ca="1" t="shared" si="7"/>
        <v>45942</v>
      </c>
    </row>
    <row r="220" spans="9:12">
      <c r="I220">
        <f>IFERROR(VLOOKUP(H220,Rates!$A$2:$B$3,2,0),1)</f>
        <v>1</v>
      </c>
      <c r="J220" t="str">
        <f t="shared" si="6"/>
        <v/>
      </c>
      <c r="K220" t="str">
        <f>IF(J220&lt;&gt;"",SUM($J$2:J220),"")</f>
        <v/>
      </c>
      <c r="L220">
        <f ca="1" t="shared" si="7"/>
        <v>45942</v>
      </c>
    </row>
    <row r="221" spans="9:12">
      <c r="I221">
        <f>IFERROR(VLOOKUP(H221,Rates!$A$2:$B$3,2,0),1)</f>
        <v>1</v>
      </c>
      <c r="J221" t="str">
        <f t="shared" si="6"/>
        <v/>
      </c>
      <c r="K221" t="str">
        <f>IF(J221&lt;&gt;"",SUM($J$2:J221),"")</f>
        <v/>
      </c>
      <c r="L221">
        <f ca="1" t="shared" si="7"/>
        <v>45942</v>
      </c>
    </row>
    <row r="222" spans="9:12">
      <c r="I222">
        <f>IFERROR(VLOOKUP(H222,Rates!$A$2:$B$3,2,0),1)</f>
        <v>1</v>
      </c>
      <c r="J222" t="str">
        <f t="shared" si="6"/>
        <v/>
      </c>
      <c r="K222" t="str">
        <f>IF(J222&lt;&gt;"",SUM($J$2:J222),"")</f>
        <v/>
      </c>
      <c r="L222">
        <f ca="1" t="shared" si="7"/>
        <v>45942</v>
      </c>
    </row>
    <row r="223" spans="9:12">
      <c r="I223">
        <f>IFERROR(VLOOKUP(H223,Rates!$A$2:$B$3,2,0),1)</f>
        <v>1</v>
      </c>
      <c r="J223" t="str">
        <f t="shared" si="6"/>
        <v/>
      </c>
      <c r="K223" t="str">
        <f>IF(J223&lt;&gt;"",SUM($J$2:J223),"")</f>
        <v/>
      </c>
      <c r="L223">
        <f ca="1" t="shared" si="7"/>
        <v>45942</v>
      </c>
    </row>
    <row r="224" spans="9:12">
      <c r="I224">
        <f>IFERROR(VLOOKUP(H224,Rates!$A$2:$B$3,2,0),1)</f>
        <v>1</v>
      </c>
      <c r="J224" t="str">
        <f t="shared" si="6"/>
        <v/>
      </c>
      <c r="K224" t="str">
        <f>IF(J224&lt;&gt;"",SUM($J$2:J224),"")</f>
        <v/>
      </c>
      <c r="L224">
        <f ca="1" t="shared" si="7"/>
        <v>45942</v>
      </c>
    </row>
    <row r="225" spans="9:12">
      <c r="I225">
        <f>IFERROR(VLOOKUP(H225,Rates!$A$2:$B$3,2,0),1)</f>
        <v>1</v>
      </c>
      <c r="J225" t="str">
        <f t="shared" si="6"/>
        <v/>
      </c>
      <c r="K225" t="str">
        <f>IF(J225&lt;&gt;"",SUM($J$2:J225),"")</f>
        <v/>
      </c>
      <c r="L225">
        <f ca="1" t="shared" si="7"/>
        <v>45942</v>
      </c>
    </row>
    <row r="226" spans="9:12">
      <c r="I226">
        <f>IFERROR(VLOOKUP(H226,Rates!$A$2:$B$3,2,0),1)</f>
        <v>1</v>
      </c>
      <c r="J226" t="str">
        <f t="shared" si="6"/>
        <v/>
      </c>
      <c r="K226" t="str">
        <f>IF(J226&lt;&gt;"",SUM($J$2:J226),"")</f>
        <v/>
      </c>
      <c r="L226">
        <f ca="1" t="shared" si="7"/>
        <v>45942</v>
      </c>
    </row>
    <row r="227" spans="9:12">
      <c r="I227">
        <f>IFERROR(VLOOKUP(H227,Rates!$A$2:$B$3,2,0),1)</f>
        <v>1</v>
      </c>
      <c r="J227" t="str">
        <f t="shared" si="6"/>
        <v/>
      </c>
      <c r="K227" t="str">
        <f>IF(J227&lt;&gt;"",SUM($J$2:J227),"")</f>
        <v/>
      </c>
      <c r="L227">
        <f ca="1" t="shared" si="7"/>
        <v>45942</v>
      </c>
    </row>
    <row r="228" spans="9:12">
      <c r="I228">
        <f>IFERROR(VLOOKUP(H228,Rates!$A$2:$B$3,2,0),1)</f>
        <v>1</v>
      </c>
      <c r="J228" t="str">
        <f t="shared" si="6"/>
        <v/>
      </c>
      <c r="K228" t="str">
        <f>IF(J228&lt;&gt;"",SUM($J$2:J228),"")</f>
        <v/>
      </c>
      <c r="L228">
        <f ca="1" t="shared" si="7"/>
        <v>45942</v>
      </c>
    </row>
    <row r="229" spans="9:12">
      <c r="I229">
        <f>IFERROR(VLOOKUP(H229,Rates!$A$2:$B$3,2,0),1)</f>
        <v>1</v>
      </c>
      <c r="J229" t="str">
        <f t="shared" si="6"/>
        <v/>
      </c>
      <c r="K229" t="str">
        <f>IF(J229&lt;&gt;"",SUM($J$2:J229),"")</f>
        <v/>
      </c>
      <c r="L229">
        <f ca="1" t="shared" si="7"/>
        <v>45942</v>
      </c>
    </row>
    <row r="230" spans="9:12">
      <c r="I230">
        <f>IFERROR(VLOOKUP(H230,Rates!$A$2:$B$3,2,0),1)</f>
        <v>1</v>
      </c>
      <c r="J230" t="str">
        <f t="shared" si="6"/>
        <v/>
      </c>
      <c r="K230" t="str">
        <f>IF(J230&lt;&gt;"",SUM($J$2:J230),"")</f>
        <v/>
      </c>
      <c r="L230">
        <f ca="1" t="shared" si="7"/>
        <v>45942</v>
      </c>
    </row>
    <row r="231" spans="9:12">
      <c r="I231">
        <f>IFERROR(VLOOKUP(H231,Rates!$A$2:$B$3,2,0),1)</f>
        <v>1</v>
      </c>
      <c r="J231" t="str">
        <f t="shared" si="6"/>
        <v/>
      </c>
      <c r="K231" t="str">
        <f>IF(J231&lt;&gt;"",SUM($J$2:J231),"")</f>
        <v/>
      </c>
      <c r="L231">
        <f ca="1" t="shared" si="7"/>
        <v>45942</v>
      </c>
    </row>
    <row r="232" spans="9:12">
      <c r="I232">
        <f>IFERROR(VLOOKUP(H232,Rates!$A$2:$B$3,2,0),1)</f>
        <v>1</v>
      </c>
      <c r="J232" t="str">
        <f t="shared" si="6"/>
        <v/>
      </c>
      <c r="K232" t="str">
        <f>IF(J232&lt;&gt;"",SUM($J$2:J232),"")</f>
        <v/>
      </c>
      <c r="L232">
        <f ca="1" t="shared" si="7"/>
        <v>45942</v>
      </c>
    </row>
    <row r="233" spans="9:12">
      <c r="I233">
        <f>IFERROR(VLOOKUP(H233,Rates!$A$2:$B$3,2,0),1)</f>
        <v>1</v>
      </c>
      <c r="J233" t="str">
        <f t="shared" si="6"/>
        <v/>
      </c>
      <c r="K233" t="str">
        <f>IF(J233&lt;&gt;"",SUM($J$2:J233),"")</f>
        <v/>
      </c>
      <c r="L233">
        <f ca="1" t="shared" si="7"/>
        <v>45942</v>
      </c>
    </row>
    <row r="234" spans="9:12">
      <c r="I234">
        <f>IFERROR(VLOOKUP(H234,Rates!$A$2:$B$3,2,0),1)</f>
        <v>1</v>
      </c>
      <c r="J234" t="str">
        <f t="shared" si="6"/>
        <v/>
      </c>
      <c r="K234" t="str">
        <f>IF(J234&lt;&gt;"",SUM($J$2:J234),"")</f>
        <v/>
      </c>
      <c r="L234">
        <f ca="1" t="shared" si="7"/>
        <v>45942</v>
      </c>
    </row>
    <row r="235" spans="9:12">
      <c r="I235">
        <f>IFERROR(VLOOKUP(H235,Rates!$A$2:$B$3,2,0),1)</f>
        <v>1</v>
      </c>
      <c r="J235" t="str">
        <f t="shared" si="6"/>
        <v/>
      </c>
      <c r="K235" t="str">
        <f>IF(J235&lt;&gt;"",SUM($J$2:J235),"")</f>
        <v/>
      </c>
      <c r="L235">
        <f ca="1" t="shared" si="7"/>
        <v>45942</v>
      </c>
    </row>
    <row r="236" spans="9:12">
      <c r="I236">
        <f>IFERROR(VLOOKUP(H236,Rates!$A$2:$B$3,2,0),1)</f>
        <v>1</v>
      </c>
      <c r="J236" t="str">
        <f t="shared" si="6"/>
        <v/>
      </c>
      <c r="K236" t="str">
        <f>IF(J236&lt;&gt;"",SUM($J$2:J236),"")</f>
        <v/>
      </c>
      <c r="L236">
        <f ca="1" t="shared" si="7"/>
        <v>45942</v>
      </c>
    </row>
    <row r="237" spans="9:12">
      <c r="I237">
        <f>IFERROR(VLOOKUP(H237,Rates!$A$2:$B$3,2,0),1)</f>
        <v>1</v>
      </c>
      <c r="J237" t="str">
        <f t="shared" si="6"/>
        <v/>
      </c>
      <c r="K237" t="str">
        <f>IF(J237&lt;&gt;"",SUM($J$2:J237),"")</f>
        <v/>
      </c>
      <c r="L237">
        <f ca="1" t="shared" si="7"/>
        <v>45942</v>
      </c>
    </row>
    <row r="238" spans="9:12">
      <c r="I238">
        <f>IFERROR(VLOOKUP(H238,Rates!$A$2:$B$3,2,0),1)</f>
        <v>1</v>
      </c>
      <c r="J238" t="str">
        <f t="shared" si="6"/>
        <v/>
      </c>
      <c r="K238" t="str">
        <f>IF(J238&lt;&gt;"",SUM($J$2:J238),"")</f>
        <v/>
      </c>
      <c r="L238">
        <f ca="1" t="shared" si="7"/>
        <v>45942</v>
      </c>
    </row>
    <row r="239" spans="9:12">
      <c r="I239">
        <f>IFERROR(VLOOKUP(H239,Rates!$A$2:$B$3,2,0),1)</f>
        <v>1</v>
      </c>
      <c r="J239" t="str">
        <f t="shared" si="6"/>
        <v/>
      </c>
      <c r="K239" t="str">
        <f>IF(J239&lt;&gt;"",SUM($J$2:J239),"")</f>
        <v/>
      </c>
      <c r="L239">
        <f ca="1" t="shared" si="7"/>
        <v>45942</v>
      </c>
    </row>
    <row r="240" spans="9:12">
      <c r="I240">
        <f>IFERROR(VLOOKUP(H240,Rates!$A$2:$B$3,2,0),1)</f>
        <v>1</v>
      </c>
      <c r="J240" t="str">
        <f t="shared" si="6"/>
        <v/>
      </c>
      <c r="K240" t="str">
        <f>IF(J240&lt;&gt;"",SUM($J$2:J240),"")</f>
        <v/>
      </c>
      <c r="L240">
        <f ca="1" t="shared" si="7"/>
        <v>45942</v>
      </c>
    </row>
    <row r="241" spans="9:12">
      <c r="I241">
        <f>IFERROR(VLOOKUP(H241,Rates!$A$2:$B$3,2,0),1)</f>
        <v>1</v>
      </c>
      <c r="J241" t="str">
        <f t="shared" si="6"/>
        <v/>
      </c>
      <c r="K241" t="str">
        <f>IF(J241&lt;&gt;"",SUM($J$2:J241),"")</f>
        <v/>
      </c>
      <c r="L241">
        <f ca="1" t="shared" si="7"/>
        <v>45942</v>
      </c>
    </row>
    <row r="242" spans="9:12">
      <c r="I242">
        <f>IFERROR(VLOOKUP(H242,Rates!$A$2:$B$3,2,0),1)</f>
        <v>1</v>
      </c>
      <c r="J242" t="str">
        <f t="shared" si="6"/>
        <v/>
      </c>
      <c r="K242" t="str">
        <f>IF(J242&lt;&gt;"",SUM($J$2:J242),"")</f>
        <v/>
      </c>
      <c r="L242">
        <f ca="1" t="shared" si="7"/>
        <v>45942</v>
      </c>
    </row>
    <row r="243" spans="9:12">
      <c r="I243">
        <f>IFERROR(VLOOKUP(H243,Rates!$A$2:$B$3,2,0),1)</f>
        <v>1</v>
      </c>
      <c r="J243" t="str">
        <f t="shared" si="6"/>
        <v/>
      </c>
      <c r="K243" t="str">
        <f>IF(J243&lt;&gt;"",SUM($J$2:J243),"")</f>
        <v/>
      </c>
      <c r="L243">
        <f ca="1" t="shared" si="7"/>
        <v>45942</v>
      </c>
    </row>
    <row r="244" spans="9:12">
      <c r="I244">
        <f>IFERROR(VLOOKUP(H244,Rates!$A$2:$B$3,2,0),1)</f>
        <v>1</v>
      </c>
      <c r="J244" t="str">
        <f t="shared" si="6"/>
        <v/>
      </c>
      <c r="K244" t="str">
        <f>IF(J244&lt;&gt;"",SUM($J$2:J244),"")</f>
        <v/>
      </c>
      <c r="L244">
        <f ca="1" t="shared" si="7"/>
        <v>45942</v>
      </c>
    </row>
    <row r="245" spans="9:12">
      <c r="I245">
        <f>IFERROR(VLOOKUP(H245,Rates!$A$2:$B$3,2,0),1)</f>
        <v>1</v>
      </c>
      <c r="J245" t="str">
        <f t="shared" si="6"/>
        <v/>
      </c>
      <c r="K245" t="str">
        <f>IF(J245&lt;&gt;"",SUM($J$2:J245),"")</f>
        <v/>
      </c>
      <c r="L245">
        <f ca="1" t="shared" si="7"/>
        <v>45942</v>
      </c>
    </row>
    <row r="246" spans="9:12">
      <c r="I246">
        <f>IFERROR(VLOOKUP(H246,Rates!$A$2:$B$3,2,0),1)</f>
        <v>1</v>
      </c>
      <c r="J246" t="str">
        <f t="shared" si="6"/>
        <v/>
      </c>
      <c r="K246" t="str">
        <f>IF(J246&lt;&gt;"",SUM($J$2:J246),"")</f>
        <v/>
      </c>
      <c r="L246">
        <f ca="1" t="shared" si="7"/>
        <v>45942</v>
      </c>
    </row>
    <row r="247" spans="9:12">
      <c r="I247">
        <f>IFERROR(VLOOKUP(H247,Rates!$A$2:$B$3,2,0),1)</f>
        <v>1</v>
      </c>
      <c r="J247" t="str">
        <f t="shared" si="6"/>
        <v/>
      </c>
      <c r="K247" t="str">
        <f>IF(J247&lt;&gt;"",SUM($J$2:J247),"")</f>
        <v/>
      </c>
      <c r="L247">
        <f ca="1" t="shared" si="7"/>
        <v>45942</v>
      </c>
    </row>
    <row r="248" spans="9:12">
      <c r="I248">
        <f>IFERROR(VLOOKUP(H248,Rates!$A$2:$B$3,2,0),1)</f>
        <v>1</v>
      </c>
      <c r="J248" t="str">
        <f t="shared" si="6"/>
        <v/>
      </c>
      <c r="K248" t="str">
        <f>IF(J248&lt;&gt;"",SUM($J$2:J248),"")</f>
        <v/>
      </c>
      <c r="L248">
        <f ca="1" t="shared" si="7"/>
        <v>45942</v>
      </c>
    </row>
    <row r="249" spans="9:12">
      <c r="I249">
        <f>IFERROR(VLOOKUP(H249,Rates!$A$2:$B$3,2,0),1)</f>
        <v>1</v>
      </c>
      <c r="J249" t="str">
        <f t="shared" si="6"/>
        <v/>
      </c>
      <c r="K249" t="str">
        <f>IF(J249&lt;&gt;"",SUM($J$2:J249),"")</f>
        <v/>
      </c>
      <c r="L249">
        <f ca="1" t="shared" si="7"/>
        <v>45942</v>
      </c>
    </row>
    <row r="250" spans="9:12">
      <c r="I250">
        <f>IFERROR(VLOOKUP(H250,Rates!$A$2:$B$3,2,0),1)</f>
        <v>1</v>
      </c>
      <c r="J250" t="str">
        <f t="shared" si="6"/>
        <v/>
      </c>
      <c r="K250" t="str">
        <f>IF(J250&lt;&gt;"",SUM($J$2:J250),"")</f>
        <v/>
      </c>
      <c r="L250">
        <f ca="1" t="shared" si="7"/>
        <v>45942</v>
      </c>
    </row>
    <row r="251" spans="9:12">
      <c r="I251">
        <f>IFERROR(VLOOKUP(H251,Rates!$A$2:$B$3,2,0),1)</f>
        <v>1</v>
      </c>
      <c r="J251" t="str">
        <f t="shared" si="6"/>
        <v/>
      </c>
      <c r="K251" t="str">
        <f>IF(J251&lt;&gt;"",SUM($J$2:J251),"")</f>
        <v/>
      </c>
      <c r="L251">
        <f ca="1" t="shared" si="7"/>
        <v>45942</v>
      </c>
    </row>
    <row r="252" spans="9:12">
      <c r="I252">
        <f>IFERROR(VLOOKUP(H252,Rates!$A$2:$B$3,2,0),1)</f>
        <v>1</v>
      </c>
      <c r="J252" t="str">
        <f t="shared" si="6"/>
        <v/>
      </c>
      <c r="K252" t="str">
        <f>IF(J252&lt;&gt;"",SUM($J$2:J252),"")</f>
        <v/>
      </c>
      <c r="L252">
        <f ca="1" t="shared" si="7"/>
        <v>45942</v>
      </c>
    </row>
    <row r="253" spans="9:12">
      <c r="I253">
        <f>IFERROR(VLOOKUP(H253,Rates!$A$2:$B$3,2,0),1)</f>
        <v>1</v>
      </c>
      <c r="J253" t="str">
        <f t="shared" si="6"/>
        <v/>
      </c>
      <c r="K253" t="str">
        <f>IF(J253&lt;&gt;"",SUM($J$2:J253),"")</f>
        <v/>
      </c>
      <c r="L253">
        <f ca="1" t="shared" si="7"/>
        <v>45942</v>
      </c>
    </row>
    <row r="254" spans="9:12">
      <c r="I254">
        <f>IFERROR(VLOOKUP(H254,Rates!$A$2:$B$3,2,0),1)</f>
        <v>1</v>
      </c>
      <c r="J254" t="str">
        <f t="shared" si="6"/>
        <v/>
      </c>
      <c r="K254" t="str">
        <f>IF(J254&lt;&gt;"",SUM($J$2:J254),"")</f>
        <v/>
      </c>
      <c r="L254">
        <f ca="1" t="shared" si="7"/>
        <v>45942</v>
      </c>
    </row>
    <row r="255" spans="9:12">
      <c r="I255">
        <f>IFERROR(VLOOKUP(H255,Rates!$A$2:$B$3,2,0),1)</f>
        <v>1</v>
      </c>
      <c r="J255" t="str">
        <f t="shared" si="6"/>
        <v/>
      </c>
      <c r="K255" t="str">
        <f>IF(J255&lt;&gt;"",SUM($J$2:J255),"")</f>
        <v/>
      </c>
      <c r="L255">
        <f ca="1" t="shared" si="7"/>
        <v>45942</v>
      </c>
    </row>
    <row r="256" spans="9:12">
      <c r="I256">
        <f>IFERROR(VLOOKUP(H256,Rates!$A$2:$B$3,2,0),1)</f>
        <v>1</v>
      </c>
      <c r="J256" t="str">
        <f t="shared" si="6"/>
        <v/>
      </c>
      <c r="K256" t="str">
        <f>IF(J256&lt;&gt;"",SUM($J$2:J256),"")</f>
        <v/>
      </c>
      <c r="L256">
        <f ca="1" t="shared" si="7"/>
        <v>45942</v>
      </c>
    </row>
    <row r="257" spans="9:12">
      <c r="I257">
        <f>IFERROR(VLOOKUP(H257,Rates!$A$2:$B$3,2,0),1)</f>
        <v>1</v>
      </c>
      <c r="J257" t="str">
        <f t="shared" si="6"/>
        <v/>
      </c>
      <c r="K257" t="str">
        <f>IF(J257&lt;&gt;"",SUM($J$2:J257),"")</f>
        <v/>
      </c>
      <c r="L257">
        <f ca="1" t="shared" si="7"/>
        <v>45942</v>
      </c>
    </row>
    <row r="258" spans="9:12">
      <c r="I258">
        <f>IFERROR(VLOOKUP(H258,Rates!$A$2:$B$3,2,0),1)</f>
        <v>1</v>
      </c>
      <c r="J258" t="str">
        <f t="shared" ref="J258:J301" si="8">IF(G258&lt;&gt;"",G258*I258,"")</f>
        <v/>
      </c>
      <c r="K258" t="str">
        <f>IF(J258&lt;&gt;"",SUM($J$2:J258),"")</f>
        <v/>
      </c>
      <c r="L258">
        <f ca="1" t="shared" ref="L258:L301" si="9">IF(COUNTA(A258:K258)&gt;0,TODAY(),"")</f>
        <v>45942</v>
      </c>
    </row>
    <row r="259" spans="9:12">
      <c r="I259">
        <f>IFERROR(VLOOKUP(H259,Rates!$A$2:$B$3,2,0),1)</f>
        <v>1</v>
      </c>
      <c r="J259" t="str">
        <f t="shared" si="8"/>
        <v/>
      </c>
      <c r="K259" t="str">
        <f>IF(J259&lt;&gt;"",SUM($J$2:J259),"")</f>
        <v/>
      </c>
      <c r="L259">
        <f ca="1" t="shared" si="9"/>
        <v>45942</v>
      </c>
    </row>
    <row r="260" spans="9:12">
      <c r="I260">
        <f>IFERROR(VLOOKUP(H260,Rates!$A$2:$B$3,2,0),1)</f>
        <v>1</v>
      </c>
      <c r="J260" t="str">
        <f t="shared" si="8"/>
        <v/>
      </c>
      <c r="K260" t="str">
        <f>IF(J260&lt;&gt;"",SUM($J$2:J260),"")</f>
        <v/>
      </c>
      <c r="L260">
        <f ca="1" t="shared" si="9"/>
        <v>45942</v>
      </c>
    </row>
    <row r="261" spans="9:12">
      <c r="I261">
        <f>IFERROR(VLOOKUP(H261,Rates!$A$2:$B$3,2,0),1)</f>
        <v>1</v>
      </c>
      <c r="J261" t="str">
        <f t="shared" si="8"/>
        <v/>
      </c>
      <c r="K261" t="str">
        <f>IF(J261&lt;&gt;"",SUM($J$2:J261),"")</f>
        <v/>
      </c>
      <c r="L261">
        <f ca="1" t="shared" si="9"/>
        <v>45942</v>
      </c>
    </row>
    <row r="262" spans="9:12">
      <c r="I262">
        <f>IFERROR(VLOOKUP(H262,Rates!$A$2:$B$3,2,0),1)</f>
        <v>1</v>
      </c>
      <c r="J262" t="str">
        <f t="shared" si="8"/>
        <v/>
      </c>
      <c r="K262" t="str">
        <f>IF(J262&lt;&gt;"",SUM($J$2:J262),"")</f>
        <v/>
      </c>
      <c r="L262">
        <f ca="1" t="shared" si="9"/>
        <v>45942</v>
      </c>
    </row>
    <row r="263" spans="9:12">
      <c r="I263">
        <f>IFERROR(VLOOKUP(H263,Rates!$A$2:$B$3,2,0),1)</f>
        <v>1</v>
      </c>
      <c r="J263" t="str">
        <f t="shared" si="8"/>
        <v/>
      </c>
      <c r="K263" t="str">
        <f>IF(J263&lt;&gt;"",SUM($J$2:J263),"")</f>
        <v/>
      </c>
      <c r="L263">
        <f ca="1" t="shared" si="9"/>
        <v>45942</v>
      </c>
    </row>
    <row r="264" spans="9:12">
      <c r="I264">
        <f>IFERROR(VLOOKUP(H264,Rates!$A$2:$B$3,2,0),1)</f>
        <v>1</v>
      </c>
      <c r="J264" t="str">
        <f t="shared" si="8"/>
        <v/>
      </c>
      <c r="K264" t="str">
        <f>IF(J264&lt;&gt;"",SUM($J$2:J264),"")</f>
        <v/>
      </c>
      <c r="L264">
        <f ca="1" t="shared" si="9"/>
        <v>45942</v>
      </c>
    </row>
    <row r="265" spans="9:12">
      <c r="I265">
        <f>IFERROR(VLOOKUP(H265,Rates!$A$2:$B$3,2,0),1)</f>
        <v>1</v>
      </c>
      <c r="J265" t="str">
        <f t="shared" si="8"/>
        <v/>
      </c>
      <c r="K265" t="str">
        <f>IF(J265&lt;&gt;"",SUM($J$2:J265),"")</f>
        <v/>
      </c>
      <c r="L265">
        <f ca="1" t="shared" si="9"/>
        <v>45942</v>
      </c>
    </row>
    <row r="266" spans="9:12">
      <c r="I266">
        <f>IFERROR(VLOOKUP(H266,Rates!$A$2:$B$3,2,0),1)</f>
        <v>1</v>
      </c>
      <c r="J266" t="str">
        <f t="shared" si="8"/>
        <v/>
      </c>
      <c r="K266" t="str">
        <f>IF(J266&lt;&gt;"",SUM($J$2:J266),"")</f>
        <v/>
      </c>
      <c r="L266">
        <f ca="1" t="shared" si="9"/>
        <v>45942</v>
      </c>
    </row>
    <row r="267" spans="9:12">
      <c r="I267">
        <f>IFERROR(VLOOKUP(H267,Rates!$A$2:$B$3,2,0),1)</f>
        <v>1</v>
      </c>
      <c r="J267" t="str">
        <f t="shared" si="8"/>
        <v/>
      </c>
      <c r="K267" t="str">
        <f>IF(J267&lt;&gt;"",SUM($J$2:J267),"")</f>
        <v/>
      </c>
      <c r="L267">
        <f ca="1" t="shared" si="9"/>
        <v>45942</v>
      </c>
    </row>
    <row r="268" spans="9:12">
      <c r="I268">
        <f>IFERROR(VLOOKUP(H268,Rates!$A$2:$B$3,2,0),1)</f>
        <v>1</v>
      </c>
      <c r="J268" t="str">
        <f t="shared" si="8"/>
        <v/>
      </c>
      <c r="K268" t="str">
        <f>IF(J268&lt;&gt;"",SUM($J$2:J268),"")</f>
        <v/>
      </c>
      <c r="L268">
        <f ca="1" t="shared" si="9"/>
        <v>45942</v>
      </c>
    </row>
    <row r="269" spans="9:12">
      <c r="I269">
        <f>IFERROR(VLOOKUP(H269,Rates!$A$2:$B$3,2,0),1)</f>
        <v>1</v>
      </c>
      <c r="J269" t="str">
        <f t="shared" si="8"/>
        <v/>
      </c>
      <c r="K269" t="str">
        <f>IF(J269&lt;&gt;"",SUM($J$2:J269),"")</f>
        <v/>
      </c>
      <c r="L269">
        <f ca="1" t="shared" si="9"/>
        <v>45942</v>
      </c>
    </row>
    <row r="270" spans="9:12">
      <c r="I270">
        <f>IFERROR(VLOOKUP(H270,Rates!$A$2:$B$3,2,0),1)</f>
        <v>1</v>
      </c>
      <c r="J270" t="str">
        <f t="shared" si="8"/>
        <v/>
      </c>
      <c r="K270" t="str">
        <f>IF(J270&lt;&gt;"",SUM($J$2:J270),"")</f>
        <v/>
      </c>
      <c r="L270">
        <f ca="1" t="shared" si="9"/>
        <v>45942</v>
      </c>
    </row>
    <row r="271" spans="9:12">
      <c r="I271">
        <f>IFERROR(VLOOKUP(H271,Rates!$A$2:$B$3,2,0),1)</f>
        <v>1</v>
      </c>
      <c r="J271" t="str">
        <f t="shared" si="8"/>
        <v/>
      </c>
      <c r="K271" t="str">
        <f>IF(J271&lt;&gt;"",SUM($J$2:J271),"")</f>
        <v/>
      </c>
      <c r="L271">
        <f ca="1" t="shared" si="9"/>
        <v>45942</v>
      </c>
    </row>
    <row r="272" spans="9:12">
      <c r="I272">
        <f>IFERROR(VLOOKUP(H272,Rates!$A$2:$B$3,2,0),1)</f>
        <v>1</v>
      </c>
      <c r="J272" t="str">
        <f t="shared" si="8"/>
        <v/>
      </c>
      <c r="K272" t="str">
        <f>IF(J272&lt;&gt;"",SUM($J$2:J272),"")</f>
        <v/>
      </c>
      <c r="L272">
        <f ca="1" t="shared" si="9"/>
        <v>45942</v>
      </c>
    </row>
    <row r="273" spans="9:12">
      <c r="I273">
        <f>IFERROR(VLOOKUP(H273,Rates!$A$2:$B$3,2,0),1)</f>
        <v>1</v>
      </c>
      <c r="J273" t="str">
        <f t="shared" si="8"/>
        <v/>
      </c>
      <c r="K273" t="str">
        <f>IF(J273&lt;&gt;"",SUM($J$2:J273),"")</f>
        <v/>
      </c>
      <c r="L273">
        <f ca="1" t="shared" si="9"/>
        <v>45942</v>
      </c>
    </row>
    <row r="274" spans="9:12">
      <c r="I274">
        <f>IFERROR(VLOOKUP(H274,Rates!$A$2:$B$3,2,0),1)</f>
        <v>1</v>
      </c>
      <c r="J274" t="str">
        <f t="shared" si="8"/>
        <v/>
      </c>
      <c r="K274" t="str">
        <f>IF(J274&lt;&gt;"",SUM($J$2:J274),"")</f>
        <v/>
      </c>
      <c r="L274">
        <f ca="1" t="shared" si="9"/>
        <v>45942</v>
      </c>
    </row>
    <row r="275" spans="9:12">
      <c r="I275">
        <f>IFERROR(VLOOKUP(H275,Rates!$A$2:$B$3,2,0),1)</f>
        <v>1</v>
      </c>
      <c r="J275" t="str">
        <f t="shared" si="8"/>
        <v/>
      </c>
      <c r="K275" t="str">
        <f>IF(J275&lt;&gt;"",SUM($J$2:J275),"")</f>
        <v/>
      </c>
      <c r="L275">
        <f ca="1" t="shared" si="9"/>
        <v>45942</v>
      </c>
    </row>
    <row r="276" spans="9:12">
      <c r="I276">
        <f>IFERROR(VLOOKUP(H276,Rates!$A$2:$B$3,2,0),1)</f>
        <v>1</v>
      </c>
      <c r="J276" t="str">
        <f t="shared" si="8"/>
        <v/>
      </c>
      <c r="K276" t="str">
        <f>IF(J276&lt;&gt;"",SUM($J$2:J276),"")</f>
        <v/>
      </c>
      <c r="L276">
        <f ca="1" t="shared" si="9"/>
        <v>45942</v>
      </c>
    </row>
    <row r="277" spans="9:12">
      <c r="I277">
        <f>IFERROR(VLOOKUP(H277,Rates!$A$2:$B$3,2,0),1)</f>
        <v>1</v>
      </c>
      <c r="J277" t="str">
        <f t="shared" si="8"/>
        <v/>
      </c>
      <c r="K277" t="str">
        <f>IF(J277&lt;&gt;"",SUM($J$2:J277),"")</f>
        <v/>
      </c>
      <c r="L277">
        <f ca="1" t="shared" si="9"/>
        <v>45942</v>
      </c>
    </row>
    <row r="278" spans="9:12">
      <c r="I278">
        <f>IFERROR(VLOOKUP(H278,Rates!$A$2:$B$3,2,0),1)</f>
        <v>1</v>
      </c>
      <c r="J278" t="str">
        <f t="shared" si="8"/>
        <v/>
      </c>
      <c r="K278" t="str">
        <f>IF(J278&lt;&gt;"",SUM($J$2:J278),"")</f>
        <v/>
      </c>
      <c r="L278">
        <f ca="1" t="shared" si="9"/>
        <v>45942</v>
      </c>
    </row>
    <row r="279" spans="9:12">
      <c r="I279">
        <f>IFERROR(VLOOKUP(H279,Rates!$A$2:$B$3,2,0),1)</f>
        <v>1</v>
      </c>
      <c r="J279" t="str">
        <f t="shared" si="8"/>
        <v/>
      </c>
      <c r="K279" t="str">
        <f>IF(J279&lt;&gt;"",SUM($J$2:J279),"")</f>
        <v/>
      </c>
      <c r="L279">
        <f ca="1" t="shared" si="9"/>
        <v>45942</v>
      </c>
    </row>
    <row r="280" spans="9:12">
      <c r="I280">
        <f>IFERROR(VLOOKUP(H280,Rates!$A$2:$B$3,2,0),1)</f>
        <v>1</v>
      </c>
      <c r="J280" t="str">
        <f t="shared" si="8"/>
        <v/>
      </c>
      <c r="K280" t="str">
        <f>IF(J280&lt;&gt;"",SUM($J$2:J280),"")</f>
        <v/>
      </c>
      <c r="L280">
        <f ca="1" t="shared" si="9"/>
        <v>45942</v>
      </c>
    </row>
    <row r="281" spans="9:12">
      <c r="I281">
        <f>IFERROR(VLOOKUP(H281,Rates!$A$2:$B$3,2,0),1)</f>
        <v>1</v>
      </c>
      <c r="J281" t="str">
        <f t="shared" si="8"/>
        <v/>
      </c>
      <c r="K281" t="str">
        <f>IF(J281&lt;&gt;"",SUM($J$2:J281),"")</f>
        <v/>
      </c>
      <c r="L281">
        <f ca="1" t="shared" si="9"/>
        <v>45942</v>
      </c>
    </row>
    <row r="282" spans="9:12">
      <c r="I282">
        <f>IFERROR(VLOOKUP(H282,Rates!$A$2:$B$3,2,0),1)</f>
        <v>1</v>
      </c>
      <c r="J282" t="str">
        <f t="shared" si="8"/>
        <v/>
      </c>
      <c r="K282" t="str">
        <f>IF(J282&lt;&gt;"",SUM($J$2:J282),"")</f>
        <v/>
      </c>
      <c r="L282">
        <f ca="1" t="shared" si="9"/>
        <v>45942</v>
      </c>
    </row>
    <row r="283" spans="9:12">
      <c r="I283">
        <f>IFERROR(VLOOKUP(H283,Rates!$A$2:$B$3,2,0),1)</f>
        <v>1</v>
      </c>
      <c r="J283" t="str">
        <f t="shared" si="8"/>
        <v/>
      </c>
      <c r="K283" t="str">
        <f>IF(J283&lt;&gt;"",SUM($J$2:J283),"")</f>
        <v/>
      </c>
      <c r="L283">
        <f ca="1" t="shared" si="9"/>
        <v>45942</v>
      </c>
    </row>
    <row r="284" spans="9:12">
      <c r="I284">
        <f>IFERROR(VLOOKUP(H284,Rates!$A$2:$B$3,2,0),1)</f>
        <v>1</v>
      </c>
      <c r="J284" t="str">
        <f t="shared" si="8"/>
        <v/>
      </c>
      <c r="K284" t="str">
        <f>IF(J284&lt;&gt;"",SUM($J$2:J284),"")</f>
        <v/>
      </c>
      <c r="L284">
        <f ca="1" t="shared" si="9"/>
        <v>45942</v>
      </c>
    </row>
    <row r="285" spans="9:12">
      <c r="I285">
        <f>IFERROR(VLOOKUP(H285,Rates!$A$2:$B$3,2,0),1)</f>
        <v>1</v>
      </c>
      <c r="J285" t="str">
        <f t="shared" si="8"/>
        <v/>
      </c>
      <c r="K285" t="str">
        <f>IF(J285&lt;&gt;"",SUM($J$2:J285),"")</f>
        <v/>
      </c>
      <c r="L285">
        <f ca="1" t="shared" si="9"/>
        <v>45942</v>
      </c>
    </row>
    <row r="286" spans="9:12">
      <c r="I286">
        <f>IFERROR(VLOOKUP(H286,Rates!$A$2:$B$3,2,0),1)</f>
        <v>1</v>
      </c>
      <c r="J286" t="str">
        <f t="shared" si="8"/>
        <v/>
      </c>
      <c r="K286" t="str">
        <f>IF(J286&lt;&gt;"",SUM($J$2:J286),"")</f>
        <v/>
      </c>
      <c r="L286">
        <f ca="1" t="shared" si="9"/>
        <v>45942</v>
      </c>
    </row>
    <row r="287" spans="9:12">
      <c r="I287">
        <f>IFERROR(VLOOKUP(H287,Rates!$A$2:$B$3,2,0),1)</f>
        <v>1</v>
      </c>
      <c r="J287" t="str">
        <f t="shared" si="8"/>
        <v/>
      </c>
      <c r="K287" t="str">
        <f>IF(J287&lt;&gt;"",SUM($J$2:J287),"")</f>
        <v/>
      </c>
      <c r="L287">
        <f ca="1" t="shared" si="9"/>
        <v>45942</v>
      </c>
    </row>
    <row r="288" spans="9:12">
      <c r="I288">
        <f>IFERROR(VLOOKUP(H288,Rates!$A$2:$B$3,2,0),1)</f>
        <v>1</v>
      </c>
      <c r="J288" t="str">
        <f t="shared" si="8"/>
        <v/>
      </c>
      <c r="K288" t="str">
        <f>IF(J288&lt;&gt;"",SUM($J$2:J288),"")</f>
        <v/>
      </c>
      <c r="L288">
        <f ca="1" t="shared" si="9"/>
        <v>45942</v>
      </c>
    </row>
    <row r="289" spans="9:12">
      <c r="I289">
        <f>IFERROR(VLOOKUP(H289,Rates!$A$2:$B$3,2,0),1)</f>
        <v>1</v>
      </c>
      <c r="J289" t="str">
        <f t="shared" si="8"/>
        <v/>
      </c>
      <c r="K289" t="str">
        <f>IF(J289&lt;&gt;"",SUM($J$2:J289),"")</f>
        <v/>
      </c>
      <c r="L289">
        <f ca="1" t="shared" si="9"/>
        <v>45942</v>
      </c>
    </row>
    <row r="290" spans="9:12">
      <c r="I290">
        <f>IFERROR(VLOOKUP(H290,Rates!$A$2:$B$3,2,0),1)</f>
        <v>1</v>
      </c>
      <c r="J290" t="str">
        <f t="shared" si="8"/>
        <v/>
      </c>
      <c r="K290" t="str">
        <f>IF(J290&lt;&gt;"",SUM($J$2:J290),"")</f>
        <v/>
      </c>
      <c r="L290">
        <f ca="1" t="shared" si="9"/>
        <v>45942</v>
      </c>
    </row>
    <row r="291" spans="9:12">
      <c r="I291">
        <f>IFERROR(VLOOKUP(H291,Rates!$A$2:$B$3,2,0),1)</f>
        <v>1</v>
      </c>
      <c r="J291" t="str">
        <f t="shared" si="8"/>
        <v/>
      </c>
      <c r="K291" t="str">
        <f>IF(J291&lt;&gt;"",SUM($J$2:J291),"")</f>
        <v/>
      </c>
      <c r="L291">
        <f ca="1" t="shared" si="9"/>
        <v>45942</v>
      </c>
    </row>
    <row r="292" spans="9:12">
      <c r="I292">
        <f>IFERROR(VLOOKUP(H292,Rates!$A$2:$B$3,2,0),1)</f>
        <v>1</v>
      </c>
      <c r="J292" t="str">
        <f t="shared" si="8"/>
        <v/>
      </c>
      <c r="K292" t="str">
        <f>IF(J292&lt;&gt;"",SUM($J$2:J292),"")</f>
        <v/>
      </c>
      <c r="L292">
        <f ca="1" t="shared" si="9"/>
        <v>45942</v>
      </c>
    </row>
    <row r="293" spans="9:12">
      <c r="I293">
        <f>IFERROR(VLOOKUP(H293,Rates!$A$2:$B$3,2,0),1)</f>
        <v>1</v>
      </c>
      <c r="J293" t="str">
        <f t="shared" si="8"/>
        <v/>
      </c>
      <c r="K293" t="str">
        <f>IF(J293&lt;&gt;"",SUM($J$2:J293),"")</f>
        <v/>
      </c>
      <c r="L293">
        <f ca="1" t="shared" si="9"/>
        <v>45942</v>
      </c>
    </row>
    <row r="294" spans="9:12">
      <c r="I294">
        <f>IFERROR(VLOOKUP(H294,Rates!$A$2:$B$3,2,0),1)</f>
        <v>1</v>
      </c>
      <c r="J294" t="str">
        <f t="shared" si="8"/>
        <v/>
      </c>
      <c r="K294" t="str">
        <f>IF(J294&lt;&gt;"",SUM($J$2:J294),"")</f>
        <v/>
      </c>
      <c r="L294">
        <f ca="1" t="shared" si="9"/>
        <v>45942</v>
      </c>
    </row>
    <row r="295" spans="9:12">
      <c r="I295">
        <f>IFERROR(VLOOKUP(H295,Rates!$A$2:$B$3,2,0),1)</f>
        <v>1</v>
      </c>
      <c r="J295" t="str">
        <f t="shared" si="8"/>
        <v/>
      </c>
      <c r="K295" t="str">
        <f>IF(J295&lt;&gt;"",SUM($J$2:J295),"")</f>
        <v/>
      </c>
      <c r="L295">
        <f ca="1" t="shared" si="9"/>
        <v>45942</v>
      </c>
    </row>
    <row r="296" spans="9:12">
      <c r="I296">
        <f>IFERROR(VLOOKUP(H296,Rates!$A$2:$B$3,2,0),1)</f>
        <v>1</v>
      </c>
      <c r="J296" t="str">
        <f t="shared" si="8"/>
        <v/>
      </c>
      <c r="K296" t="str">
        <f>IF(J296&lt;&gt;"",SUM($J$2:J296),"")</f>
        <v/>
      </c>
      <c r="L296">
        <f ca="1" t="shared" si="9"/>
        <v>45942</v>
      </c>
    </row>
    <row r="297" spans="9:12">
      <c r="I297">
        <f>IFERROR(VLOOKUP(H297,Rates!$A$2:$B$3,2,0),1)</f>
        <v>1</v>
      </c>
      <c r="J297" t="str">
        <f t="shared" si="8"/>
        <v/>
      </c>
      <c r="K297" t="str">
        <f>IF(J297&lt;&gt;"",SUM($J$2:J297),"")</f>
        <v/>
      </c>
      <c r="L297">
        <f ca="1" t="shared" si="9"/>
        <v>45942</v>
      </c>
    </row>
    <row r="298" spans="9:12">
      <c r="I298">
        <f>IFERROR(VLOOKUP(H298,Rates!$A$2:$B$3,2,0),1)</f>
        <v>1</v>
      </c>
      <c r="J298" t="str">
        <f t="shared" si="8"/>
        <v/>
      </c>
      <c r="K298" t="str">
        <f>IF(J298&lt;&gt;"",SUM($J$2:J298),"")</f>
        <v/>
      </c>
      <c r="L298">
        <f ca="1" t="shared" si="9"/>
        <v>45942</v>
      </c>
    </row>
    <row r="299" spans="9:12">
      <c r="I299">
        <f>IFERROR(VLOOKUP(H299,Rates!$A$2:$B$3,2,0),1)</f>
        <v>1</v>
      </c>
      <c r="J299" t="str">
        <f t="shared" si="8"/>
        <v/>
      </c>
      <c r="K299" t="str">
        <f>IF(J299&lt;&gt;"",SUM($J$2:J299),"")</f>
        <v/>
      </c>
      <c r="L299">
        <f ca="1" t="shared" si="9"/>
        <v>45942</v>
      </c>
    </row>
    <row r="300" spans="9:12">
      <c r="I300">
        <f>IFERROR(VLOOKUP(H300,Rates!$A$2:$B$3,2,0),1)</f>
        <v>1</v>
      </c>
      <c r="J300" t="str">
        <f t="shared" si="8"/>
        <v/>
      </c>
      <c r="K300" t="str">
        <f>IF(J300&lt;&gt;"",SUM($J$2:J300),"")</f>
        <v/>
      </c>
      <c r="L300">
        <f ca="1" t="shared" si="9"/>
        <v>45942</v>
      </c>
    </row>
    <row r="301" spans="9:12">
      <c r="I301">
        <f>IFERROR(VLOOKUP(H301,Rates!$A$2:$B$3,2,0),1)</f>
        <v>1</v>
      </c>
      <c r="J301" t="str">
        <f t="shared" si="8"/>
        <v/>
      </c>
      <c r="K301" t="str">
        <f>IF(J301&lt;&gt;"",SUM($J$2:J301),"")</f>
        <v/>
      </c>
      <c r="L301">
        <f ca="1" t="shared" si="9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topLeftCell="E1" workbookViewId="0">
      <pane ySplit="1" topLeftCell="A2" activePane="bottomLeft" state="frozen"/>
      <selection/>
      <selection pane="bottomLeft" activeCell="O30" sqref="O1:O30"/>
    </sheetView>
  </sheetViews>
  <sheetFormatPr defaultColWidth="9" defaultRowHeight="16.8"/>
  <cols>
    <col min="1" max="1" width="22" customWidth="1"/>
    <col min="2" max="2" width="12" customWidth="1"/>
    <col min="3" max="4" width="16" customWidth="1"/>
    <col min="5" max="5" width="26" customWidth="1"/>
    <col min="6" max="6" width="36" customWidth="1"/>
    <col min="7" max="7" width="12" customWidth="1"/>
    <col min="8" max="9" width="10" customWidth="1"/>
    <col min="10" max="10" width="14" customWidth="1"/>
    <col min="11" max="11" width="16" customWidth="1"/>
    <col min="12" max="12" width="14" customWidth="1"/>
    <col min="14" max="14" width="2" customWidth="1"/>
    <col min="16" max="16" width="2" customWidth="1"/>
  </cols>
  <sheetData>
    <row r="1" spans="1:12">
      <c r="A1" t="s">
        <v>36</v>
      </c>
      <c r="B1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</row>
    <row r="2" spans="1:12">
      <c r="A2" t="s">
        <v>49</v>
      </c>
      <c r="H2" t="s">
        <v>3</v>
      </c>
      <c r="I2">
        <f>IFERROR(VLOOKUP(H2,Rates!$A$2:$B$3,2,0),1)</f>
        <v>1</v>
      </c>
      <c r="J2" t="str">
        <f t="shared" ref="J2:J65" si="0">IF(G2&lt;&gt;"",G2*I2,"")</f>
        <v/>
      </c>
      <c r="K2" t="str">
        <f>IF(J2&lt;&gt;"",J2,"")</f>
        <v/>
      </c>
      <c r="L2">
        <f ca="1" t="shared" ref="L2:L65" si="1">IF(COUNTA(A2:K2)&gt;0,TODAY(),"")</f>
        <v>45942</v>
      </c>
    </row>
    <row r="3" spans="1:12">
      <c r="A3" t="s">
        <v>49</v>
      </c>
      <c r="H3" t="s">
        <v>3</v>
      </c>
      <c r="I3">
        <f>IFERROR(VLOOKUP(H3,Rates!$A$2:$B$3,2,0),1)</f>
        <v>1</v>
      </c>
      <c r="J3" t="str">
        <f t="shared" si="0"/>
        <v/>
      </c>
      <c r="K3" t="str">
        <f>IF(J3&lt;&gt;"",SUM($J$2:J3),"")</f>
        <v/>
      </c>
      <c r="L3">
        <f ca="1" t="shared" si="1"/>
        <v>45942</v>
      </c>
    </row>
    <row r="4" spans="1:12">
      <c r="A4" t="s">
        <v>49</v>
      </c>
      <c r="H4" t="s">
        <v>3</v>
      </c>
      <c r="I4">
        <f>IFERROR(VLOOKUP(H4,Rates!$A$2:$B$3,2,0),1)</f>
        <v>1</v>
      </c>
      <c r="J4" t="str">
        <f t="shared" si="0"/>
        <v/>
      </c>
      <c r="K4" t="str">
        <f>IF(J4&lt;&gt;"",SUM($J$2:J4),"")</f>
        <v/>
      </c>
      <c r="L4">
        <f ca="1" t="shared" si="1"/>
        <v>45942</v>
      </c>
    </row>
    <row r="5" spans="9:12">
      <c r="I5">
        <f>IFERROR(VLOOKUP(H5,Rates!$A$2:$B$3,2,0),1)</f>
        <v>1</v>
      </c>
      <c r="J5" t="str">
        <f t="shared" si="0"/>
        <v/>
      </c>
      <c r="K5" t="str">
        <f>IF(J5&lt;&gt;"",SUM($J$2:J5),"")</f>
        <v/>
      </c>
      <c r="L5">
        <f ca="1" t="shared" si="1"/>
        <v>45942</v>
      </c>
    </row>
    <row r="6" spans="9:12">
      <c r="I6">
        <f>IFERROR(VLOOKUP(H6,Rates!$A$2:$B$3,2,0),1)</f>
        <v>1</v>
      </c>
      <c r="J6" t="str">
        <f t="shared" si="0"/>
        <v/>
      </c>
      <c r="K6" t="str">
        <f>IF(J6&lt;&gt;"",SUM($J$2:J6),"")</f>
        <v/>
      </c>
      <c r="L6">
        <f ca="1" t="shared" si="1"/>
        <v>45942</v>
      </c>
    </row>
    <row r="7" spans="9:12">
      <c r="I7">
        <f>IFERROR(VLOOKUP(H7,Rates!$A$2:$B$3,2,0),1)</f>
        <v>1</v>
      </c>
      <c r="J7" t="str">
        <f t="shared" si="0"/>
        <v/>
      </c>
      <c r="K7" t="str">
        <f>IF(J7&lt;&gt;"",SUM($J$2:J7),"")</f>
        <v/>
      </c>
      <c r="L7">
        <f ca="1" t="shared" si="1"/>
        <v>45942</v>
      </c>
    </row>
    <row r="8" spans="9:12">
      <c r="I8">
        <f>IFERROR(VLOOKUP(H8,Rates!$A$2:$B$3,2,0),1)</f>
        <v>1</v>
      </c>
      <c r="J8" t="str">
        <f t="shared" si="0"/>
        <v/>
      </c>
      <c r="K8" t="str">
        <f>IF(J8&lt;&gt;"",SUM($J$2:J8),"")</f>
        <v/>
      </c>
      <c r="L8">
        <f ca="1" t="shared" si="1"/>
        <v>45942</v>
      </c>
    </row>
    <row r="9" spans="9:12">
      <c r="I9">
        <f>IFERROR(VLOOKUP(H9,Rates!$A$2:$B$3,2,0),1)</f>
        <v>1</v>
      </c>
      <c r="J9" t="str">
        <f t="shared" si="0"/>
        <v/>
      </c>
      <c r="K9" t="str">
        <f>IF(J9&lt;&gt;"",SUM($J$2:J9),"")</f>
        <v/>
      </c>
      <c r="L9">
        <f ca="1" t="shared" si="1"/>
        <v>45942</v>
      </c>
    </row>
    <row r="10" spans="9:12">
      <c r="I10">
        <f>IFERROR(VLOOKUP(H10,Rates!$A$2:$B$3,2,0),1)</f>
        <v>1</v>
      </c>
      <c r="J10" t="str">
        <f t="shared" si="0"/>
        <v/>
      </c>
      <c r="K10" t="str">
        <f>IF(J10&lt;&gt;"",SUM($J$2:J10),"")</f>
        <v/>
      </c>
      <c r="L10">
        <f ca="1" t="shared" si="1"/>
        <v>45942</v>
      </c>
    </row>
    <row r="11" spans="9:12">
      <c r="I11">
        <f>IFERROR(VLOOKUP(H11,Rates!$A$2:$B$3,2,0),1)</f>
        <v>1</v>
      </c>
      <c r="J11" t="str">
        <f t="shared" si="0"/>
        <v/>
      </c>
      <c r="K11" t="str">
        <f>IF(J11&lt;&gt;"",SUM($J$2:J11),"")</f>
        <v/>
      </c>
      <c r="L11">
        <f ca="1" t="shared" si="1"/>
        <v>45942</v>
      </c>
    </row>
    <row r="12" spans="9:12">
      <c r="I12">
        <f>IFERROR(VLOOKUP(H12,Rates!$A$2:$B$3,2,0),1)</f>
        <v>1</v>
      </c>
      <c r="J12" t="str">
        <f t="shared" si="0"/>
        <v/>
      </c>
      <c r="K12" t="str">
        <f>IF(J12&lt;&gt;"",SUM($J$2:J12),"")</f>
        <v/>
      </c>
      <c r="L12">
        <f ca="1" t="shared" si="1"/>
        <v>45942</v>
      </c>
    </row>
    <row r="13" spans="9:12">
      <c r="I13">
        <f>IFERROR(VLOOKUP(H13,Rates!$A$2:$B$3,2,0),1)</f>
        <v>1</v>
      </c>
      <c r="J13" t="str">
        <f t="shared" si="0"/>
        <v/>
      </c>
      <c r="K13" t="str">
        <f>IF(J13&lt;&gt;"",SUM($J$2:J13),"")</f>
        <v/>
      </c>
      <c r="L13">
        <f ca="1" t="shared" si="1"/>
        <v>45942</v>
      </c>
    </row>
    <row r="14" spans="9:12">
      <c r="I14">
        <f>IFERROR(VLOOKUP(H14,Rates!$A$2:$B$3,2,0),1)</f>
        <v>1</v>
      </c>
      <c r="J14" t="str">
        <f t="shared" si="0"/>
        <v/>
      </c>
      <c r="K14" t="str">
        <f>IF(J14&lt;&gt;"",SUM($J$2:J14),"")</f>
        <v/>
      </c>
      <c r="L14">
        <f ca="1" t="shared" si="1"/>
        <v>45942</v>
      </c>
    </row>
    <row r="15" spans="9:12">
      <c r="I15">
        <f>IFERROR(VLOOKUP(H15,Rates!$A$2:$B$3,2,0),1)</f>
        <v>1</v>
      </c>
      <c r="J15" t="str">
        <f t="shared" si="0"/>
        <v/>
      </c>
      <c r="K15" t="str">
        <f>IF(J15&lt;&gt;"",SUM($J$2:J15),"")</f>
        <v/>
      </c>
      <c r="L15">
        <f ca="1" t="shared" si="1"/>
        <v>45942</v>
      </c>
    </row>
    <row r="16" spans="9:12">
      <c r="I16">
        <f>IFERROR(VLOOKUP(H16,Rates!$A$2:$B$3,2,0),1)</f>
        <v>1</v>
      </c>
      <c r="J16" t="str">
        <f t="shared" si="0"/>
        <v/>
      </c>
      <c r="K16" t="str">
        <f>IF(J16&lt;&gt;"",SUM($J$2:J16),"")</f>
        <v/>
      </c>
      <c r="L16">
        <f ca="1" t="shared" si="1"/>
        <v>45942</v>
      </c>
    </row>
    <row r="17" spans="9:12">
      <c r="I17">
        <f>IFERROR(VLOOKUP(H17,Rates!$A$2:$B$3,2,0),1)</f>
        <v>1</v>
      </c>
      <c r="J17" t="str">
        <f t="shared" si="0"/>
        <v/>
      </c>
      <c r="K17" t="str">
        <f>IF(J17&lt;&gt;"",SUM($J$2:J17),"")</f>
        <v/>
      </c>
      <c r="L17">
        <f ca="1" t="shared" si="1"/>
        <v>45942</v>
      </c>
    </row>
    <row r="18" spans="9:12">
      <c r="I18">
        <f>IFERROR(VLOOKUP(H18,Rates!$A$2:$B$3,2,0),1)</f>
        <v>1</v>
      </c>
      <c r="J18" t="str">
        <f t="shared" si="0"/>
        <v/>
      </c>
      <c r="K18" t="str">
        <f>IF(J18&lt;&gt;"",SUM($J$2:J18),"")</f>
        <v/>
      </c>
      <c r="L18">
        <f ca="1" t="shared" si="1"/>
        <v>45942</v>
      </c>
    </row>
    <row r="19" spans="9:12">
      <c r="I19">
        <f>IFERROR(VLOOKUP(H19,Rates!$A$2:$B$3,2,0),1)</f>
        <v>1</v>
      </c>
      <c r="J19" t="str">
        <f t="shared" si="0"/>
        <v/>
      </c>
      <c r="K19" t="str">
        <f>IF(J19&lt;&gt;"",SUM($J$2:J19),"")</f>
        <v/>
      </c>
      <c r="L19">
        <f ca="1" t="shared" si="1"/>
        <v>45942</v>
      </c>
    </row>
    <row r="20" spans="9:12">
      <c r="I20">
        <f>IFERROR(VLOOKUP(H20,Rates!$A$2:$B$3,2,0),1)</f>
        <v>1</v>
      </c>
      <c r="J20" t="str">
        <f t="shared" si="0"/>
        <v/>
      </c>
      <c r="K20" t="str">
        <f>IF(J20&lt;&gt;"",SUM($J$2:J20),"")</f>
        <v/>
      </c>
      <c r="L20">
        <f ca="1" t="shared" si="1"/>
        <v>45942</v>
      </c>
    </row>
    <row r="21" spans="9:12">
      <c r="I21">
        <f>IFERROR(VLOOKUP(H21,Rates!$A$2:$B$3,2,0),1)</f>
        <v>1</v>
      </c>
      <c r="J21" t="str">
        <f t="shared" si="0"/>
        <v/>
      </c>
      <c r="K21" t="str">
        <f>IF(J21&lt;&gt;"",SUM($J$2:J21),"")</f>
        <v/>
      </c>
      <c r="L21">
        <f ca="1" t="shared" si="1"/>
        <v>45942</v>
      </c>
    </row>
    <row r="22" spans="9:12">
      <c r="I22">
        <f>IFERROR(VLOOKUP(H22,Rates!$A$2:$B$3,2,0),1)</f>
        <v>1</v>
      </c>
      <c r="J22" t="str">
        <f t="shared" si="0"/>
        <v/>
      </c>
      <c r="K22" t="str">
        <f>IF(J22&lt;&gt;"",SUM($J$2:J22),"")</f>
        <v/>
      </c>
      <c r="L22">
        <f ca="1" t="shared" si="1"/>
        <v>45942</v>
      </c>
    </row>
    <row r="23" spans="9:12">
      <c r="I23">
        <f>IFERROR(VLOOKUP(H23,Rates!$A$2:$B$3,2,0),1)</f>
        <v>1</v>
      </c>
      <c r="J23" t="str">
        <f t="shared" si="0"/>
        <v/>
      </c>
      <c r="K23" t="str">
        <f>IF(J23&lt;&gt;"",SUM($J$2:J23),"")</f>
        <v/>
      </c>
      <c r="L23">
        <f ca="1" t="shared" si="1"/>
        <v>45942</v>
      </c>
    </row>
    <row r="24" spans="9:12">
      <c r="I24">
        <f>IFERROR(VLOOKUP(H24,Rates!$A$2:$B$3,2,0),1)</f>
        <v>1</v>
      </c>
      <c r="J24" t="str">
        <f t="shared" si="0"/>
        <v/>
      </c>
      <c r="K24" t="str">
        <f>IF(J24&lt;&gt;"",SUM($J$2:J24),"")</f>
        <v/>
      </c>
      <c r="L24">
        <f ca="1" t="shared" si="1"/>
        <v>45942</v>
      </c>
    </row>
    <row r="25" spans="9:12">
      <c r="I25">
        <f>IFERROR(VLOOKUP(H25,Rates!$A$2:$B$3,2,0),1)</f>
        <v>1</v>
      </c>
      <c r="J25" t="str">
        <f t="shared" si="0"/>
        <v/>
      </c>
      <c r="K25" t="str">
        <f>IF(J25&lt;&gt;"",SUM($J$2:J25),"")</f>
        <v/>
      </c>
      <c r="L25">
        <f ca="1" t="shared" si="1"/>
        <v>45942</v>
      </c>
    </row>
    <row r="26" spans="9:12">
      <c r="I26">
        <f>IFERROR(VLOOKUP(H26,Rates!$A$2:$B$3,2,0),1)</f>
        <v>1</v>
      </c>
      <c r="J26" t="str">
        <f t="shared" si="0"/>
        <v/>
      </c>
      <c r="K26" t="str">
        <f>IF(J26&lt;&gt;"",SUM($J$2:J26),"")</f>
        <v/>
      </c>
      <c r="L26">
        <f ca="1" t="shared" si="1"/>
        <v>45942</v>
      </c>
    </row>
    <row r="27" spans="9:12">
      <c r="I27">
        <f>IFERROR(VLOOKUP(H27,Rates!$A$2:$B$3,2,0),1)</f>
        <v>1</v>
      </c>
      <c r="J27" t="str">
        <f t="shared" si="0"/>
        <v/>
      </c>
      <c r="K27" t="str">
        <f>IF(J27&lt;&gt;"",SUM($J$2:J27),"")</f>
        <v/>
      </c>
      <c r="L27">
        <f ca="1" t="shared" si="1"/>
        <v>45942</v>
      </c>
    </row>
    <row r="28" spans="9:12">
      <c r="I28">
        <f>IFERROR(VLOOKUP(H28,Rates!$A$2:$B$3,2,0),1)</f>
        <v>1</v>
      </c>
      <c r="J28" t="str">
        <f t="shared" si="0"/>
        <v/>
      </c>
      <c r="K28" t="str">
        <f>IF(J28&lt;&gt;"",SUM($J$2:J28),"")</f>
        <v/>
      </c>
      <c r="L28">
        <f ca="1" t="shared" si="1"/>
        <v>45942</v>
      </c>
    </row>
    <row r="29" spans="9:12">
      <c r="I29">
        <f>IFERROR(VLOOKUP(H29,Rates!$A$2:$B$3,2,0),1)</f>
        <v>1</v>
      </c>
      <c r="J29" t="str">
        <f t="shared" si="0"/>
        <v/>
      </c>
      <c r="K29" t="str">
        <f>IF(J29&lt;&gt;"",SUM($J$2:J29),"")</f>
        <v/>
      </c>
      <c r="L29">
        <f ca="1" t="shared" si="1"/>
        <v>45942</v>
      </c>
    </row>
    <row r="30" spans="9:12">
      <c r="I30">
        <f>IFERROR(VLOOKUP(H30,Rates!$A$2:$B$3,2,0),1)</f>
        <v>1</v>
      </c>
      <c r="J30" t="str">
        <f t="shared" si="0"/>
        <v/>
      </c>
      <c r="K30" t="str">
        <f>IF(J30&lt;&gt;"",SUM($J$2:J30),"")</f>
        <v/>
      </c>
      <c r="L30">
        <f ca="1" t="shared" si="1"/>
        <v>45942</v>
      </c>
    </row>
    <row r="31" spans="9:12">
      <c r="I31">
        <f>IFERROR(VLOOKUP(H31,Rates!$A$2:$B$3,2,0),1)</f>
        <v>1</v>
      </c>
      <c r="J31" t="str">
        <f t="shared" si="0"/>
        <v/>
      </c>
      <c r="K31" t="str">
        <f>IF(J31&lt;&gt;"",SUM($J$2:J31),"")</f>
        <v/>
      </c>
      <c r="L31">
        <f ca="1" t="shared" si="1"/>
        <v>45942</v>
      </c>
    </row>
    <row r="32" spans="9:12">
      <c r="I32">
        <f>IFERROR(VLOOKUP(H32,Rates!$A$2:$B$3,2,0),1)</f>
        <v>1</v>
      </c>
      <c r="J32" t="str">
        <f t="shared" si="0"/>
        <v/>
      </c>
      <c r="K32" t="str">
        <f>IF(J32&lt;&gt;"",SUM($J$2:J32),"")</f>
        <v/>
      </c>
      <c r="L32">
        <f ca="1" t="shared" si="1"/>
        <v>45942</v>
      </c>
    </row>
    <row r="33" spans="9:12">
      <c r="I33">
        <f>IFERROR(VLOOKUP(H33,Rates!$A$2:$B$3,2,0),1)</f>
        <v>1</v>
      </c>
      <c r="J33" t="str">
        <f t="shared" si="0"/>
        <v/>
      </c>
      <c r="K33" t="str">
        <f>IF(J33&lt;&gt;"",SUM($J$2:J33),"")</f>
        <v/>
      </c>
      <c r="L33">
        <f ca="1" t="shared" si="1"/>
        <v>45942</v>
      </c>
    </row>
    <row r="34" spans="9:12">
      <c r="I34">
        <f>IFERROR(VLOOKUP(H34,Rates!$A$2:$B$3,2,0),1)</f>
        <v>1</v>
      </c>
      <c r="J34" t="str">
        <f t="shared" si="0"/>
        <v/>
      </c>
      <c r="K34" t="str">
        <f>IF(J34&lt;&gt;"",SUM($J$2:J34),"")</f>
        <v/>
      </c>
      <c r="L34">
        <f ca="1" t="shared" si="1"/>
        <v>45942</v>
      </c>
    </row>
    <row r="35" spans="9:12">
      <c r="I35">
        <f>IFERROR(VLOOKUP(H35,Rates!$A$2:$B$3,2,0),1)</f>
        <v>1</v>
      </c>
      <c r="J35" t="str">
        <f t="shared" si="0"/>
        <v/>
      </c>
      <c r="K35" t="str">
        <f>IF(J35&lt;&gt;"",SUM($J$2:J35),"")</f>
        <v/>
      </c>
      <c r="L35">
        <f ca="1" t="shared" si="1"/>
        <v>45942</v>
      </c>
    </row>
    <row r="36" spans="9:12">
      <c r="I36">
        <f>IFERROR(VLOOKUP(H36,Rates!$A$2:$B$3,2,0),1)</f>
        <v>1</v>
      </c>
      <c r="J36" t="str">
        <f t="shared" si="0"/>
        <v/>
      </c>
      <c r="K36" t="str">
        <f>IF(J36&lt;&gt;"",SUM($J$2:J36),"")</f>
        <v/>
      </c>
      <c r="L36">
        <f ca="1" t="shared" si="1"/>
        <v>45942</v>
      </c>
    </row>
    <row r="37" spans="9:12">
      <c r="I37">
        <f>IFERROR(VLOOKUP(H37,Rates!$A$2:$B$3,2,0),1)</f>
        <v>1</v>
      </c>
      <c r="J37" t="str">
        <f t="shared" si="0"/>
        <v/>
      </c>
      <c r="K37" t="str">
        <f>IF(J37&lt;&gt;"",SUM($J$2:J37),"")</f>
        <v/>
      </c>
      <c r="L37">
        <f ca="1" t="shared" si="1"/>
        <v>45942</v>
      </c>
    </row>
    <row r="38" spans="9:12">
      <c r="I38">
        <f>IFERROR(VLOOKUP(H38,Rates!$A$2:$B$3,2,0),1)</f>
        <v>1</v>
      </c>
      <c r="J38" t="str">
        <f t="shared" si="0"/>
        <v/>
      </c>
      <c r="K38" t="str">
        <f>IF(J38&lt;&gt;"",SUM($J$2:J38),"")</f>
        <v/>
      </c>
      <c r="L38">
        <f ca="1" t="shared" si="1"/>
        <v>45942</v>
      </c>
    </row>
    <row r="39" spans="9:12">
      <c r="I39">
        <f>IFERROR(VLOOKUP(H39,Rates!$A$2:$B$3,2,0),1)</f>
        <v>1</v>
      </c>
      <c r="J39" t="str">
        <f t="shared" si="0"/>
        <v/>
      </c>
      <c r="K39" t="str">
        <f>IF(J39&lt;&gt;"",SUM($J$2:J39),"")</f>
        <v/>
      </c>
      <c r="L39">
        <f ca="1" t="shared" si="1"/>
        <v>45942</v>
      </c>
    </row>
    <row r="40" spans="9:12">
      <c r="I40">
        <f>IFERROR(VLOOKUP(H40,Rates!$A$2:$B$3,2,0),1)</f>
        <v>1</v>
      </c>
      <c r="J40" t="str">
        <f t="shared" si="0"/>
        <v/>
      </c>
      <c r="K40" t="str">
        <f>IF(J40&lt;&gt;"",SUM($J$2:J40),"")</f>
        <v/>
      </c>
      <c r="L40">
        <f ca="1" t="shared" si="1"/>
        <v>45942</v>
      </c>
    </row>
    <row r="41" spans="9:12">
      <c r="I41">
        <f>IFERROR(VLOOKUP(H41,Rates!$A$2:$B$3,2,0),1)</f>
        <v>1</v>
      </c>
      <c r="J41" t="str">
        <f t="shared" si="0"/>
        <v/>
      </c>
      <c r="K41" t="str">
        <f>IF(J41&lt;&gt;"",SUM($J$2:J41),"")</f>
        <v/>
      </c>
      <c r="L41">
        <f ca="1" t="shared" si="1"/>
        <v>45942</v>
      </c>
    </row>
    <row r="42" spans="9:12">
      <c r="I42">
        <f>IFERROR(VLOOKUP(H42,Rates!$A$2:$B$3,2,0),1)</f>
        <v>1</v>
      </c>
      <c r="J42" t="str">
        <f t="shared" si="0"/>
        <v/>
      </c>
      <c r="K42" t="str">
        <f>IF(J42&lt;&gt;"",SUM($J$2:J42),"")</f>
        <v/>
      </c>
      <c r="L42">
        <f ca="1" t="shared" si="1"/>
        <v>45942</v>
      </c>
    </row>
    <row r="43" spans="9:12">
      <c r="I43">
        <f>IFERROR(VLOOKUP(H43,Rates!$A$2:$B$3,2,0),1)</f>
        <v>1</v>
      </c>
      <c r="J43" t="str">
        <f t="shared" si="0"/>
        <v/>
      </c>
      <c r="K43" t="str">
        <f>IF(J43&lt;&gt;"",SUM($J$2:J43),"")</f>
        <v/>
      </c>
      <c r="L43">
        <f ca="1" t="shared" si="1"/>
        <v>45942</v>
      </c>
    </row>
    <row r="44" spans="9:12">
      <c r="I44">
        <f>IFERROR(VLOOKUP(H44,Rates!$A$2:$B$3,2,0),1)</f>
        <v>1</v>
      </c>
      <c r="J44" t="str">
        <f t="shared" si="0"/>
        <v/>
      </c>
      <c r="K44" t="str">
        <f>IF(J44&lt;&gt;"",SUM($J$2:J44),"")</f>
        <v/>
      </c>
      <c r="L44">
        <f ca="1" t="shared" si="1"/>
        <v>45942</v>
      </c>
    </row>
    <row r="45" spans="9:12">
      <c r="I45">
        <f>IFERROR(VLOOKUP(H45,Rates!$A$2:$B$3,2,0),1)</f>
        <v>1</v>
      </c>
      <c r="J45" t="str">
        <f t="shared" si="0"/>
        <v/>
      </c>
      <c r="K45" t="str">
        <f>IF(J45&lt;&gt;"",SUM($J$2:J45),"")</f>
        <v/>
      </c>
      <c r="L45">
        <f ca="1" t="shared" si="1"/>
        <v>45942</v>
      </c>
    </row>
    <row r="46" spans="9:12">
      <c r="I46">
        <f>IFERROR(VLOOKUP(H46,Rates!$A$2:$B$3,2,0),1)</f>
        <v>1</v>
      </c>
      <c r="J46" t="str">
        <f t="shared" si="0"/>
        <v/>
      </c>
      <c r="K46" t="str">
        <f>IF(J46&lt;&gt;"",SUM($J$2:J46),"")</f>
        <v/>
      </c>
      <c r="L46">
        <f ca="1" t="shared" si="1"/>
        <v>45942</v>
      </c>
    </row>
    <row r="47" spans="9:12">
      <c r="I47">
        <f>IFERROR(VLOOKUP(H47,Rates!$A$2:$B$3,2,0),1)</f>
        <v>1</v>
      </c>
      <c r="J47" t="str">
        <f t="shared" si="0"/>
        <v/>
      </c>
      <c r="K47" t="str">
        <f>IF(J47&lt;&gt;"",SUM($J$2:J47),"")</f>
        <v/>
      </c>
      <c r="L47">
        <f ca="1" t="shared" si="1"/>
        <v>45942</v>
      </c>
    </row>
    <row r="48" spans="9:12">
      <c r="I48">
        <f>IFERROR(VLOOKUP(H48,Rates!$A$2:$B$3,2,0),1)</f>
        <v>1</v>
      </c>
      <c r="J48" t="str">
        <f t="shared" si="0"/>
        <v/>
      </c>
      <c r="K48" t="str">
        <f>IF(J48&lt;&gt;"",SUM($J$2:J48),"")</f>
        <v/>
      </c>
      <c r="L48">
        <f ca="1" t="shared" si="1"/>
        <v>45942</v>
      </c>
    </row>
    <row r="49" spans="9:12">
      <c r="I49">
        <f>IFERROR(VLOOKUP(H49,Rates!$A$2:$B$3,2,0),1)</f>
        <v>1</v>
      </c>
      <c r="J49" t="str">
        <f t="shared" si="0"/>
        <v/>
      </c>
      <c r="K49" t="str">
        <f>IF(J49&lt;&gt;"",SUM($J$2:J49),"")</f>
        <v/>
      </c>
      <c r="L49">
        <f ca="1" t="shared" si="1"/>
        <v>45942</v>
      </c>
    </row>
    <row r="50" spans="9:12">
      <c r="I50">
        <f>IFERROR(VLOOKUP(H50,Rates!$A$2:$B$3,2,0),1)</f>
        <v>1</v>
      </c>
      <c r="J50" t="str">
        <f t="shared" si="0"/>
        <v/>
      </c>
      <c r="K50" t="str">
        <f>IF(J50&lt;&gt;"",SUM($J$2:J50),"")</f>
        <v/>
      </c>
      <c r="L50">
        <f ca="1" t="shared" si="1"/>
        <v>45942</v>
      </c>
    </row>
    <row r="51" spans="9:12">
      <c r="I51">
        <f>IFERROR(VLOOKUP(H51,Rates!$A$2:$B$3,2,0),1)</f>
        <v>1</v>
      </c>
      <c r="J51" t="str">
        <f t="shared" si="0"/>
        <v/>
      </c>
      <c r="K51" t="str">
        <f>IF(J51&lt;&gt;"",SUM($J$2:J51),"")</f>
        <v/>
      </c>
      <c r="L51">
        <f ca="1" t="shared" si="1"/>
        <v>45942</v>
      </c>
    </row>
    <row r="52" spans="9:12">
      <c r="I52">
        <f>IFERROR(VLOOKUP(H52,Rates!$A$2:$B$3,2,0),1)</f>
        <v>1</v>
      </c>
      <c r="J52" t="str">
        <f t="shared" si="0"/>
        <v/>
      </c>
      <c r="K52" t="str">
        <f>IF(J52&lt;&gt;"",SUM($J$2:J52),"")</f>
        <v/>
      </c>
      <c r="L52">
        <f ca="1" t="shared" si="1"/>
        <v>45942</v>
      </c>
    </row>
    <row r="53" spans="9:12">
      <c r="I53">
        <f>IFERROR(VLOOKUP(H53,Rates!$A$2:$B$3,2,0),1)</f>
        <v>1</v>
      </c>
      <c r="J53" t="str">
        <f t="shared" si="0"/>
        <v/>
      </c>
      <c r="K53" t="str">
        <f>IF(J53&lt;&gt;"",SUM($J$2:J53),"")</f>
        <v/>
      </c>
      <c r="L53">
        <f ca="1" t="shared" si="1"/>
        <v>45942</v>
      </c>
    </row>
    <row r="54" spans="9:12">
      <c r="I54">
        <f>IFERROR(VLOOKUP(H54,Rates!$A$2:$B$3,2,0),1)</f>
        <v>1</v>
      </c>
      <c r="J54" t="str">
        <f t="shared" si="0"/>
        <v/>
      </c>
      <c r="K54" t="str">
        <f>IF(J54&lt;&gt;"",SUM($J$2:J54),"")</f>
        <v/>
      </c>
      <c r="L54">
        <f ca="1" t="shared" si="1"/>
        <v>45942</v>
      </c>
    </row>
    <row r="55" spans="9:12">
      <c r="I55">
        <f>IFERROR(VLOOKUP(H55,Rates!$A$2:$B$3,2,0),1)</f>
        <v>1</v>
      </c>
      <c r="J55" t="str">
        <f t="shared" si="0"/>
        <v/>
      </c>
      <c r="K55" t="str">
        <f>IF(J55&lt;&gt;"",SUM($J$2:J55),"")</f>
        <v/>
      </c>
      <c r="L55">
        <f ca="1" t="shared" si="1"/>
        <v>45942</v>
      </c>
    </row>
    <row r="56" spans="9:12">
      <c r="I56">
        <f>IFERROR(VLOOKUP(H56,Rates!$A$2:$B$3,2,0),1)</f>
        <v>1</v>
      </c>
      <c r="J56" t="str">
        <f t="shared" si="0"/>
        <v/>
      </c>
      <c r="K56" t="str">
        <f>IF(J56&lt;&gt;"",SUM($J$2:J56),"")</f>
        <v/>
      </c>
      <c r="L56">
        <f ca="1" t="shared" si="1"/>
        <v>45942</v>
      </c>
    </row>
    <row r="57" spans="9:12">
      <c r="I57">
        <f>IFERROR(VLOOKUP(H57,Rates!$A$2:$B$3,2,0),1)</f>
        <v>1</v>
      </c>
      <c r="J57" t="str">
        <f t="shared" si="0"/>
        <v/>
      </c>
      <c r="K57" t="str">
        <f>IF(J57&lt;&gt;"",SUM($J$2:J57),"")</f>
        <v/>
      </c>
      <c r="L57">
        <f ca="1" t="shared" si="1"/>
        <v>45942</v>
      </c>
    </row>
    <row r="58" spans="9:12">
      <c r="I58">
        <f>IFERROR(VLOOKUP(H58,Rates!$A$2:$B$3,2,0),1)</f>
        <v>1</v>
      </c>
      <c r="J58" t="str">
        <f t="shared" si="0"/>
        <v/>
      </c>
      <c r="K58" t="str">
        <f>IF(J58&lt;&gt;"",SUM($J$2:J58),"")</f>
        <v/>
      </c>
      <c r="L58">
        <f ca="1" t="shared" si="1"/>
        <v>45942</v>
      </c>
    </row>
    <row r="59" spans="9:12">
      <c r="I59">
        <f>IFERROR(VLOOKUP(H59,Rates!$A$2:$B$3,2,0),1)</f>
        <v>1</v>
      </c>
      <c r="J59" t="str">
        <f t="shared" si="0"/>
        <v/>
      </c>
      <c r="K59" t="str">
        <f>IF(J59&lt;&gt;"",SUM($J$2:J59),"")</f>
        <v/>
      </c>
      <c r="L59">
        <f ca="1" t="shared" si="1"/>
        <v>45942</v>
      </c>
    </row>
    <row r="60" spans="9:12">
      <c r="I60">
        <f>IFERROR(VLOOKUP(H60,Rates!$A$2:$B$3,2,0),1)</f>
        <v>1</v>
      </c>
      <c r="J60" t="str">
        <f t="shared" si="0"/>
        <v/>
      </c>
      <c r="K60" t="str">
        <f>IF(J60&lt;&gt;"",SUM($J$2:J60),"")</f>
        <v/>
      </c>
      <c r="L60">
        <f ca="1" t="shared" si="1"/>
        <v>45942</v>
      </c>
    </row>
    <row r="61" spans="9:12">
      <c r="I61">
        <f>IFERROR(VLOOKUP(H61,Rates!$A$2:$B$3,2,0),1)</f>
        <v>1</v>
      </c>
      <c r="J61" t="str">
        <f t="shared" si="0"/>
        <v/>
      </c>
      <c r="K61" t="str">
        <f>IF(J61&lt;&gt;"",SUM($J$2:J61),"")</f>
        <v/>
      </c>
      <c r="L61">
        <f ca="1" t="shared" si="1"/>
        <v>45942</v>
      </c>
    </row>
    <row r="62" spans="9:12">
      <c r="I62">
        <f>IFERROR(VLOOKUP(H62,Rates!$A$2:$B$3,2,0),1)</f>
        <v>1</v>
      </c>
      <c r="J62" t="str">
        <f t="shared" si="0"/>
        <v/>
      </c>
      <c r="K62" t="str">
        <f>IF(J62&lt;&gt;"",SUM($J$2:J62),"")</f>
        <v/>
      </c>
      <c r="L62">
        <f ca="1" t="shared" si="1"/>
        <v>45942</v>
      </c>
    </row>
    <row r="63" spans="9:12">
      <c r="I63">
        <f>IFERROR(VLOOKUP(H63,Rates!$A$2:$B$3,2,0),1)</f>
        <v>1</v>
      </c>
      <c r="J63" t="str">
        <f t="shared" si="0"/>
        <v/>
      </c>
      <c r="K63" t="str">
        <f>IF(J63&lt;&gt;"",SUM($J$2:J63),"")</f>
        <v/>
      </c>
      <c r="L63">
        <f ca="1" t="shared" si="1"/>
        <v>45942</v>
      </c>
    </row>
    <row r="64" spans="9:12">
      <c r="I64">
        <f>IFERROR(VLOOKUP(H64,Rates!$A$2:$B$3,2,0),1)</f>
        <v>1</v>
      </c>
      <c r="J64" t="str">
        <f t="shared" si="0"/>
        <v/>
      </c>
      <c r="K64" t="str">
        <f>IF(J64&lt;&gt;"",SUM($J$2:J64),"")</f>
        <v/>
      </c>
      <c r="L64">
        <f ca="1" t="shared" si="1"/>
        <v>45942</v>
      </c>
    </row>
    <row r="65" spans="9:12">
      <c r="I65">
        <f>IFERROR(VLOOKUP(H65,Rates!$A$2:$B$3,2,0),1)</f>
        <v>1</v>
      </c>
      <c r="J65" t="str">
        <f t="shared" si="0"/>
        <v/>
      </c>
      <c r="K65" t="str">
        <f>IF(J65&lt;&gt;"",SUM($J$2:J65),"")</f>
        <v/>
      </c>
      <c r="L65">
        <f ca="1" t="shared" si="1"/>
        <v>45942</v>
      </c>
    </row>
    <row r="66" spans="9:12">
      <c r="I66">
        <f>IFERROR(VLOOKUP(H66,Rates!$A$2:$B$3,2,0),1)</f>
        <v>1</v>
      </c>
      <c r="J66" t="str">
        <f t="shared" ref="J66:J129" si="2">IF(G66&lt;&gt;"",G66*I66,"")</f>
        <v/>
      </c>
      <c r="K66" t="str">
        <f>IF(J66&lt;&gt;"",SUM($J$2:J66),"")</f>
        <v/>
      </c>
      <c r="L66">
        <f ca="1" t="shared" ref="L66:L129" si="3">IF(COUNTA(A66:K66)&gt;0,TODAY(),"")</f>
        <v>45942</v>
      </c>
    </row>
    <row r="67" spans="9:12">
      <c r="I67">
        <f>IFERROR(VLOOKUP(H67,Rates!$A$2:$B$3,2,0),1)</f>
        <v>1</v>
      </c>
      <c r="J67" t="str">
        <f t="shared" si="2"/>
        <v/>
      </c>
      <c r="K67" t="str">
        <f>IF(J67&lt;&gt;"",SUM($J$2:J67),"")</f>
        <v/>
      </c>
      <c r="L67">
        <f ca="1" t="shared" si="3"/>
        <v>45942</v>
      </c>
    </row>
    <row r="68" spans="9:12">
      <c r="I68">
        <f>IFERROR(VLOOKUP(H68,Rates!$A$2:$B$3,2,0),1)</f>
        <v>1</v>
      </c>
      <c r="J68" t="str">
        <f t="shared" si="2"/>
        <v/>
      </c>
      <c r="K68" t="str">
        <f>IF(J68&lt;&gt;"",SUM($J$2:J68),"")</f>
        <v/>
      </c>
      <c r="L68">
        <f ca="1" t="shared" si="3"/>
        <v>45942</v>
      </c>
    </row>
    <row r="69" spans="9:12">
      <c r="I69">
        <f>IFERROR(VLOOKUP(H69,Rates!$A$2:$B$3,2,0),1)</f>
        <v>1</v>
      </c>
      <c r="J69" t="str">
        <f t="shared" si="2"/>
        <v/>
      </c>
      <c r="K69" t="str">
        <f>IF(J69&lt;&gt;"",SUM($J$2:J69),"")</f>
        <v/>
      </c>
      <c r="L69">
        <f ca="1" t="shared" si="3"/>
        <v>45942</v>
      </c>
    </row>
    <row r="70" spans="9:12">
      <c r="I70">
        <f>IFERROR(VLOOKUP(H70,Rates!$A$2:$B$3,2,0),1)</f>
        <v>1</v>
      </c>
      <c r="J70" t="str">
        <f t="shared" si="2"/>
        <v/>
      </c>
      <c r="K70" t="str">
        <f>IF(J70&lt;&gt;"",SUM($J$2:J70),"")</f>
        <v/>
      </c>
      <c r="L70">
        <f ca="1" t="shared" si="3"/>
        <v>45942</v>
      </c>
    </row>
    <row r="71" spans="9:12">
      <c r="I71">
        <f>IFERROR(VLOOKUP(H71,Rates!$A$2:$B$3,2,0),1)</f>
        <v>1</v>
      </c>
      <c r="J71" t="str">
        <f t="shared" si="2"/>
        <v/>
      </c>
      <c r="K71" t="str">
        <f>IF(J71&lt;&gt;"",SUM($J$2:J71),"")</f>
        <v/>
      </c>
      <c r="L71">
        <f ca="1" t="shared" si="3"/>
        <v>45942</v>
      </c>
    </row>
    <row r="72" spans="9:12">
      <c r="I72">
        <f>IFERROR(VLOOKUP(H72,Rates!$A$2:$B$3,2,0),1)</f>
        <v>1</v>
      </c>
      <c r="J72" t="str">
        <f t="shared" si="2"/>
        <v/>
      </c>
      <c r="K72" t="str">
        <f>IF(J72&lt;&gt;"",SUM($J$2:J72),"")</f>
        <v/>
      </c>
      <c r="L72">
        <f ca="1" t="shared" si="3"/>
        <v>45942</v>
      </c>
    </row>
    <row r="73" spans="9:12">
      <c r="I73">
        <f>IFERROR(VLOOKUP(H73,Rates!$A$2:$B$3,2,0),1)</f>
        <v>1</v>
      </c>
      <c r="J73" t="str">
        <f t="shared" si="2"/>
        <v/>
      </c>
      <c r="K73" t="str">
        <f>IF(J73&lt;&gt;"",SUM($J$2:J73),"")</f>
        <v/>
      </c>
      <c r="L73">
        <f ca="1" t="shared" si="3"/>
        <v>45942</v>
      </c>
    </row>
    <row r="74" spans="9:12">
      <c r="I74">
        <f>IFERROR(VLOOKUP(H74,Rates!$A$2:$B$3,2,0),1)</f>
        <v>1</v>
      </c>
      <c r="J74" t="str">
        <f t="shared" si="2"/>
        <v/>
      </c>
      <c r="K74" t="str">
        <f>IF(J74&lt;&gt;"",SUM($J$2:J74),"")</f>
        <v/>
      </c>
      <c r="L74">
        <f ca="1" t="shared" si="3"/>
        <v>45942</v>
      </c>
    </row>
    <row r="75" spans="9:12">
      <c r="I75">
        <f>IFERROR(VLOOKUP(H75,Rates!$A$2:$B$3,2,0),1)</f>
        <v>1</v>
      </c>
      <c r="J75" t="str">
        <f t="shared" si="2"/>
        <v/>
      </c>
      <c r="K75" t="str">
        <f>IF(J75&lt;&gt;"",SUM($J$2:J75),"")</f>
        <v/>
      </c>
      <c r="L75">
        <f ca="1" t="shared" si="3"/>
        <v>45942</v>
      </c>
    </row>
    <row r="76" spans="9:12">
      <c r="I76">
        <f>IFERROR(VLOOKUP(H76,Rates!$A$2:$B$3,2,0),1)</f>
        <v>1</v>
      </c>
      <c r="J76" t="str">
        <f t="shared" si="2"/>
        <v/>
      </c>
      <c r="K76" t="str">
        <f>IF(J76&lt;&gt;"",SUM($J$2:J76),"")</f>
        <v/>
      </c>
      <c r="L76">
        <f ca="1" t="shared" si="3"/>
        <v>45942</v>
      </c>
    </row>
    <row r="77" spans="9:12">
      <c r="I77">
        <f>IFERROR(VLOOKUP(H77,Rates!$A$2:$B$3,2,0),1)</f>
        <v>1</v>
      </c>
      <c r="J77" t="str">
        <f t="shared" si="2"/>
        <v/>
      </c>
      <c r="K77" t="str">
        <f>IF(J77&lt;&gt;"",SUM($J$2:J77),"")</f>
        <v/>
      </c>
      <c r="L77">
        <f ca="1" t="shared" si="3"/>
        <v>45942</v>
      </c>
    </row>
    <row r="78" spans="9:12">
      <c r="I78">
        <f>IFERROR(VLOOKUP(H78,Rates!$A$2:$B$3,2,0),1)</f>
        <v>1</v>
      </c>
      <c r="J78" t="str">
        <f t="shared" si="2"/>
        <v/>
      </c>
      <c r="K78" t="str">
        <f>IF(J78&lt;&gt;"",SUM($J$2:J78),"")</f>
        <v/>
      </c>
      <c r="L78">
        <f ca="1" t="shared" si="3"/>
        <v>45942</v>
      </c>
    </row>
    <row r="79" spans="9:12">
      <c r="I79">
        <f>IFERROR(VLOOKUP(H79,Rates!$A$2:$B$3,2,0),1)</f>
        <v>1</v>
      </c>
      <c r="J79" t="str">
        <f t="shared" si="2"/>
        <v/>
      </c>
      <c r="K79" t="str">
        <f>IF(J79&lt;&gt;"",SUM($J$2:J79),"")</f>
        <v/>
      </c>
      <c r="L79">
        <f ca="1" t="shared" si="3"/>
        <v>45942</v>
      </c>
    </row>
    <row r="80" spans="9:12">
      <c r="I80">
        <f>IFERROR(VLOOKUP(H80,Rates!$A$2:$B$3,2,0),1)</f>
        <v>1</v>
      </c>
      <c r="J80" t="str">
        <f t="shared" si="2"/>
        <v/>
      </c>
      <c r="K80" t="str">
        <f>IF(J80&lt;&gt;"",SUM($J$2:J80),"")</f>
        <v/>
      </c>
      <c r="L80">
        <f ca="1" t="shared" si="3"/>
        <v>45942</v>
      </c>
    </row>
    <row r="81" spans="9:12">
      <c r="I81">
        <f>IFERROR(VLOOKUP(H81,Rates!$A$2:$B$3,2,0),1)</f>
        <v>1</v>
      </c>
      <c r="J81" t="str">
        <f t="shared" si="2"/>
        <v/>
      </c>
      <c r="K81" t="str">
        <f>IF(J81&lt;&gt;"",SUM($J$2:J81),"")</f>
        <v/>
      </c>
      <c r="L81">
        <f ca="1" t="shared" si="3"/>
        <v>45942</v>
      </c>
    </row>
    <row r="82" spans="9:12">
      <c r="I82">
        <f>IFERROR(VLOOKUP(H82,Rates!$A$2:$B$3,2,0),1)</f>
        <v>1</v>
      </c>
      <c r="J82" t="str">
        <f t="shared" si="2"/>
        <v/>
      </c>
      <c r="K82" t="str">
        <f>IF(J82&lt;&gt;"",SUM($J$2:J82),"")</f>
        <v/>
      </c>
      <c r="L82">
        <f ca="1" t="shared" si="3"/>
        <v>45942</v>
      </c>
    </row>
    <row r="83" spans="9:12">
      <c r="I83">
        <f>IFERROR(VLOOKUP(H83,Rates!$A$2:$B$3,2,0),1)</f>
        <v>1</v>
      </c>
      <c r="J83" t="str">
        <f t="shared" si="2"/>
        <v/>
      </c>
      <c r="K83" t="str">
        <f>IF(J83&lt;&gt;"",SUM($J$2:J83),"")</f>
        <v/>
      </c>
      <c r="L83">
        <f ca="1" t="shared" si="3"/>
        <v>45942</v>
      </c>
    </row>
    <row r="84" spans="9:12">
      <c r="I84">
        <f>IFERROR(VLOOKUP(H84,Rates!$A$2:$B$3,2,0),1)</f>
        <v>1</v>
      </c>
      <c r="J84" t="str">
        <f t="shared" si="2"/>
        <v/>
      </c>
      <c r="K84" t="str">
        <f>IF(J84&lt;&gt;"",SUM($J$2:J84),"")</f>
        <v/>
      </c>
      <c r="L84">
        <f ca="1" t="shared" si="3"/>
        <v>45942</v>
      </c>
    </row>
    <row r="85" spans="9:12">
      <c r="I85">
        <f>IFERROR(VLOOKUP(H85,Rates!$A$2:$B$3,2,0),1)</f>
        <v>1</v>
      </c>
      <c r="J85" t="str">
        <f t="shared" si="2"/>
        <v/>
      </c>
      <c r="K85" t="str">
        <f>IF(J85&lt;&gt;"",SUM($J$2:J85),"")</f>
        <v/>
      </c>
      <c r="L85">
        <f ca="1" t="shared" si="3"/>
        <v>45942</v>
      </c>
    </row>
    <row r="86" spans="9:12">
      <c r="I86">
        <f>IFERROR(VLOOKUP(H86,Rates!$A$2:$B$3,2,0),1)</f>
        <v>1</v>
      </c>
      <c r="J86" t="str">
        <f t="shared" si="2"/>
        <v/>
      </c>
      <c r="K86" t="str">
        <f>IF(J86&lt;&gt;"",SUM($J$2:J86),"")</f>
        <v/>
      </c>
      <c r="L86">
        <f ca="1" t="shared" si="3"/>
        <v>45942</v>
      </c>
    </row>
    <row r="87" spans="9:12">
      <c r="I87">
        <f>IFERROR(VLOOKUP(H87,Rates!$A$2:$B$3,2,0),1)</f>
        <v>1</v>
      </c>
      <c r="J87" t="str">
        <f t="shared" si="2"/>
        <v/>
      </c>
      <c r="K87" t="str">
        <f>IF(J87&lt;&gt;"",SUM($J$2:J87),"")</f>
        <v/>
      </c>
      <c r="L87">
        <f ca="1" t="shared" si="3"/>
        <v>45942</v>
      </c>
    </row>
    <row r="88" spans="9:12">
      <c r="I88">
        <f>IFERROR(VLOOKUP(H88,Rates!$A$2:$B$3,2,0),1)</f>
        <v>1</v>
      </c>
      <c r="J88" t="str">
        <f t="shared" si="2"/>
        <v/>
      </c>
      <c r="K88" t="str">
        <f>IF(J88&lt;&gt;"",SUM($J$2:J88),"")</f>
        <v/>
      </c>
      <c r="L88">
        <f ca="1" t="shared" si="3"/>
        <v>45942</v>
      </c>
    </row>
    <row r="89" spans="9:12">
      <c r="I89">
        <f>IFERROR(VLOOKUP(H89,Rates!$A$2:$B$3,2,0),1)</f>
        <v>1</v>
      </c>
      <c r="J89" t="str">
        <f t="shared" si="2"/>
        <v/>
      </c>
      <c r="K89" t="str">
        <f>IF(J89&lt;&gt;"",SUM($J$2:J89),"")</f>
        <v/>
      </c>
      <c r="L89">
        <f ca="1" t="shared" si="3"/>
        <v>45942</v>
      </c>
    </row>
    <row r="90" spans="9:12">
      <c r="I90">
        <f>IFERROR(VLOOKUP(H90,Rates!$A$2:$B$3,2,0),1)</f>
        <v>1</v>
      </c>
      <c r="J90" t="str">
        <f t="shared" si="2"/>
        <v/>
      </c>
      <c r="K90" t="str">
        <f>IF(J90&lt;&gt;"",SUM($J$2:J90),"")</f>
        <v/>
      </c>
      <c r="L90">
        <f ca="1" t="shared" si="3"/>
        <v>45942</v>
      </c>
    </row>
    <row r="91" spans="9:12">
      <c r="I91">
        <f>IFERROR(VLOOKUP(H91,Rates!$A$2:$B$3,2,0),1)</f>
        <v>1</v>
      </c>
      <c r="J91" t="str">
        <f t="shared" si="2"/>
        <v/>
      </c>
      <c r="K91" t="str">
        <f>IF(J91&lt;&gt;"",SUM($J$2:J91),"")</f>
        <v/>
      </c>
      <c r="L91">
        <f ca="1" t="shared" si="3"/>
        <v>45942</v>
      </c>
    </row>
    <row r="92" spans="9:12">
      <c r="I92">
        <f>IFERROR(VLOOKUP(H92,Rates!$A$2:$B$3,2,0),1)</f>
        <v>1</v>
      </c>
      <c r="J92" t="str">
        <f t="shared" si="2"/>
        <v/>
      </c>
      <c r="K92" t="str">
        <f>IF(J92&lt;&gt;"",SUM($J$2:J92),"")</f>
        <v/>
      </c>
      <c r="L92">
        <f ca="1" t="shared" si="3"/>
        <v>45942</v>
      </c>
    </row>
    <row r="93" spans="9:12">
      <c r="I93">
        <f>IFERROR(VLOOKUP(H93,Rates!$A$2:$B$3,2,0),1)</f>
        <v>1</v>
      </c>
      <c r="J93" t="str">
        <f t="shared" si="2"/>
        <v/>
      </c>
      <c r="K93" t="str">
        <f>IF(J93&lt;&gt;"",SUM($J$2:J93),"")</f>
        <v/>
      </c>
      <c r="L93">
        <f ca="1" t="shared" si="3"/>
        <v>45942</v>
      </c>
    </row>
    <row r="94" spans="9:12">
      <c r="I94">
        <f>IFERROR(VLOOKUP(H94,Rates!$A$2:$B$3,2,0),1)</f>
        <v>1</v>
      </c>
      <c r="J94" t="str">
        <f t="shared" si="2"/>
        <v/>
      </c>
      <c r="K94" t="str">
        <f>IF(J94&lt;&gt;"",SUM($J$2:J94),"")</f>
        <v/>
      </c>
      <c r="L94">
        <f ca="1" t="shared" si="3"/>
        <v>45942</v>
      </c>
    </row>
    <row r="95" spans="9:12">
      <c r="I95">
        <f>IFERROR(VLOOKUP(H95,Rates!$A$2:$B$3,2,0),1)</f>
        <v>1</v>
      </c>
      <c r="J95" t="str">
        <f t="shared" si="2"/>
        <v/>
      </c>
      <c r="K95" t="str">
        <f>IF(J95&lt;&gt;"",SUM($J$2:J95),"")</f>
        <v/>
      </c>
      <c r="L95">
        <f ca="1" t="shared" si="3"/>
        <v>45942</v>
      </c>
    </row>
    <row r="96" spans="9:12">
      <c r="I96">
        <f>IFERROR(VLOOKUP(H96,Rates!$A$2:$B$3,2,0),1)</f>
        <v>1</v>
      </c>
      <c r="J96" t="str">
        <f t="shared" si="2"/>
        <v/>
      </c>
      <c r="K96" t="str">
        <f>IF(J96&lt;&gt;"",SUM($J$2:J96),"")</f>
        <v/>
      </c>
      <c r="L96">
        <f ca="1" t="shared" si="3"/>
        <v>45942</v>
      </c>
    </row>
    <row r="97" spans="9:12">
      <c r="I97">
        <f>IFERROR(VLOOKUP(H97,Rates!$A$2:$B$3,2,0),1)</f>
        <v>1</v>
      </c>
      <c r="J97" t="str">
        <f t="shared" si="2"/>
        <v/>
      </c>
      <c r="K97" t="str">
        <f>IF(J97&lt;&gt;"",SUM($J$2:J97),"")</f>
        <v/>
      </c>
      <c r="L97">
        <f ca="1" t="shared" si="3"/>
        <v>45942</v>
      </c>
    </row>
    <row r="98" spans="9:12">
      <c r="I98">
        <f>IFERROR(VLOOKUP(H98,Rates!$A$2:$B$3,2,0),1)</f>
        <v>1</v>
      </c>
      <c r="J98" t="str">
        <f t="shared" si="2"/>
        <v/>
      </c>
      <c r="K98" t="str">
        <f>IF(J98&lt;&gt;"",SUM($J$2:J98),"")</f>
        <v/>
      </c>
      <c r="L98">
        <f ca="1" t="shared" si="3"/>
        <v>45942</v>
      </c>
    </row>
    <row r="99" spans="9:12">
      <c r="I99">
        <f>IFERROR(VLOOKUP(H99,Rates!$A$2:$B$3,2,0),1)</f>
        <v>1</v>
      </c>
      <c r="J99" t="str">
        <f t="shared" si="2"/>
        <v/>
      </c>
      <c r="K99" t="str">
        <f>IF(J99&lt;&gt;"",SUM($J$2:J99),"")</f>
        <v/>
      </c>
      <c r="L99">
        <f ca="1" t="shared" si="3"/>
        <v>45942</v>
      </c>
    </row>
    <row r="100" spans="9:12">
      <c r="I100">
        <f>IFERROR(VLOOKUP(H100,Rates!$A$2:$B$3,2,0),1)</f>
        <v>1</v>
      </c>
      <c r="J100" t="str">
        <f t="shared" si="2"/>
        <v/>
      </c>
      <c r="K100" t="str">
        <f>IF(J100&lt;&gt;"",SUM($J$2:J100),"")</f>
        <v/>
      </c>
      <c r="L100">
        <f ca="1" t="shared" si="3"/>
        <v>45942</v>
      </c>
    </row>
    <row r="101" spans="9:12">
      <c r="I101">
        <f>IFERROR(VLOOKUP(H101,Rates!$A$2:$B$3,2,0),1)</f>
        <v>1</v>
      </c>
      <c r="J101" t="str">
        <f t="shared" si="2"/>
        <v/>
      </c>
      <c r="K101" t="str">
        <f>IF(J101&lt;&gt;"",SUM($J$2:J101),"")</f>
        <v/>
      </c>
      <c r="L101">
        <f ca="1" t="shared" si="3"/>
        <v>45942</v>
      </c>
    </row>
    <row r="102" spans="9:12">
      <c r="I102">
        <f>IFERROR(VLOOKUP(H102,Rates!$A$2:$B$3,2,0),1)</f>
        <v>1</v>
      </c>
      <c r="J102" t="str">
        <f t="shared" si="2"/>
        <v/>
      </c>
      <c r="K102" t="str">
        <f>IF(J102&lt;&gt;"",SUM($J$2:J102),"")</f>
        <v/>
      </c>
      <c r="L102">
        <f ca="1" t="shared" si="3"/>
        <v>45942</v>
      </c>
    </row>
    <row r="103" spans="9:12">
      <c r="I103">
        <f>IFERROR(VLOOKUP(H103,Rates!$A$2:$B$3,2,0),1)</f>
        <v>1</v>
      </c>
      <c r="J103" t="str">
        <f t="shared" si="2"/>
        <v/>
      </c>
      <c r="K103" t="str">
        <f>IF(J103&lt;&gt;"",SUM($J$2:J103),"")</f>
        <v/>
      </c>
      <c r="L103">
        <f ca="1" t="shared" si="3"/>
        <v>45942</v>
      </c>
    </row>
    <row r="104" spans="9:12">
      <c r="I104">
        <f>IFERROR(VLOOKUP(H104,Rates!$A$2:$B$3,2,0),1)</f>
        <v>1</v>
      </c>
      <c r="J104" t="str">
        <f t="shared" si="2"/>
        <v/>
      </c>
      <c r="K104" t="str">
        <f>IF(J104&lt;&gt;"",SUM($J$2:J104),"")</f>
        <v/>
      </c>
      <c r="L104">
        <f ca="1" t="shared" si="3"/>
        <v>45942</v>
      </c>
    </row>
    <row r="105" spans="9:12">
      <c r="I105">
        <f>IFERROR(VLOOKUP(H105,Rates!$A$2:$B$3,2,0),1)</f>
        <v>1</v>
      </c>
      <c r="J105" t="str">
        <f t="shared" si="2"/>
        <v/>
      </c>
      <c r="K105" t="str">
        <f>IF(J105&lt;&gt;"",SUM($J$2:J105),"")</f>
        <v/>
      </c>
      <c r="L105">
        <f ca="1" t="shared" si="3"/>
        <v>45942</v>
      </c>
    </row>
    <row r="106" spans="9:12">
      <c r="I106">
        <f>IFERROR(VLOOKUP(H106,Rates!$A$2:$B$3,2,0),1)</f>
        <v>1</v>
      </c>
      <c r="J106" t="str">
        <f t="shared" si="2"/>
        <v/>
      </c>
      <c r="K106" t="str">
        <f>IF(J106&lt;&gt;"",SUM($J$2:J106),"")</f>
        <v/>
      </c>
      <c r="L106">
        <f ca="1" t="shared" si="3"/>
        <v>45942</v>
      </c>
    </row>
    <row r="107" spans="9:12">
      <c r="I107">
        <f>IFERROR(VLOOKUP(H107,Rates!$A$2:$B$3,2,0),1)</f>
        <v>1</v>
      </c>
      <c r="J107" t="str">
        <f t="shared" si="2"/>
        <v/>
      </c>
      <c r="K107" t="str">
        <f>IF(J107&lt;&gt;"",SUM($J$2:J107),"")</f>
        <v/>
      </c>
      <c r="L107">
        <f ca="1" t="shared" si="3"/>
        <v>45942</v>
      </c>
    </row>
    <row r="108" spans="9:12">
      <c r="I108">
        <f>IFERROR(VLOOKUP(H108,Rates!$A$2:$B$3,2,0),1)</f>
        <v>1</v>
      </c>
      <c r="J108" t="str">
        <f t="shared" si="2"/>
        <v/>
      </c>
      <c r="K108" t="str">
        <f>IF(J108&lt;&gt;"",SUM($J$2:J108),"")</f>
        <v/>
      </c>
      <c r="L108">
        <f ca="1" t="shared" si="3"/>
        <v>45942</v>
      </c>
    </row>
    <row r="109" spans="9:12">
      <c r="I109">
        <f>IFERROR(VLOOKUP(H109,Rates!$A$2:$B$3,2,0),1)</f>
        <v>1</v>
      </c>
      <c r="J109" t="str">
        <f t="shared" si="2"/>
        <v/>
      </c>
      <c r="K109" t="str">
        <f>IF(J109&lt;&gt;"",SUM($J$2:J109),"")</f>
        <v/>
      </c>
      <c r="L109">
        <f ca="1" t="shared" si="3"/>
        <v>45942</v>
      </c>
    </row>
    <row r="110" spans="9:12">
      <c r="I110">
        <f>IFERROR(VLOOKUP(H110,Rates!$A$2:$B$3,2,0),1)</f>
        <v>1</v>
      </c>
      <c r="J110" t="str">
        <f t="shared" si="2"/>
        <v/>
      </c>
      <c r="K110" t="str">
        <f>IF(J110&lt;&gt;"",SUM($J$2:J110),"")</f>
        <v/>
      </c>
      <c r="L110">
        <f ca="1" t="shared" si="3"/>
        <v>45942</v>
      </c>
    </row>
    <row r="111" spans="9:12">
      <c r="I111">
        <f>IFERROR(VLOOKUP(H111,Rates!$A$2:$B$3,2,0),1)</f>
        <v>1</v>
      </c>
      <c r="J111" t="str">
        <f t="shared" si="2"/>
        <v/>
      </c>
      <c r="K111" t="str">
        <f>IF(J111&lt;&gt;"",SUM($J$2:J111),"")</f>
        <v/>
      </c>
      <c r="L111">
        <f ca="1" t="shared" si="3"/>
        <v>45942</v>
      </c>
    </row>
    <row r="112" spans="9:12">
      <c r="I112">
        <f>IFERROR(VLOOKUP(H112,Rates!$A$2:$B$3,2,0),1)</f>
        <v>1</v>
      </c>
      <c r="J112" t="str">
        <f t="shared" si="2"/>
        <v/>
      </c>
      <c r="K112" t="str">
        <f>IF(J112&lt;&gt;"",SUM($J$2:J112),"")</f>
        <v/>
      </c>
      <c r="L112">
        <f ca="1" t="shared" si="3"/>
        <v>45942</v>
      </c>
    </row>
    <row r="113" spans="9:12">
      <c r="I113">
        <f>IFERROR(VLOOKUP(H113,Rates!$A$2:$B$3,2,0),1)</f>
        <v>1</v>
      </c>
      <c r="J113" t="str">
        <f t="shared" si="2"/>
        <v/>
      </c>
      <c r="K113" t="str">
        <f>IF(J113&lt;&gt;"",SUM($J$2:J113),"")</f>
        <v/>
      </c>
      <c r="L113">
        <f ca="1" t="shared" si="3"/>
        <v>45942</v>
      </c>
    </row>
    <row r="114" spans="9:12">
      <c r="I114">
        <f>IFERROR(VLOOKUP(H114,Rates!$A$2:$B$3,2,0),1)</f>
        <v>1</v>
      </c>
      <c r="J114" t="str">
        <f t="shared" si="2"/>
        <v/>
      </c>
      <c r="K114" t="str">
        <f>IF(J114&lt;&gt;"",SUM($J$2:J114),"")</f>
        <v/>
      </c>
      <c r="L114">
        <f ca="1" t="shared" si="3"/>
        <v>45942</v>
      </c>
    </row>
    <row r="115" spans="9:12">
      <c r="I115">
        <f>IFERROR(VLOOKUP(H115,Rates!$A$2:$B$3,2,0),1)</f>
        <v>1</v>
      </c>
      <c r="J115" t="str">
        <f t="shared" si="2"/>
        <v/>
      </c>
      <c r="K115" t="str">
        <f>IF(J115&lt;&gt;"",SUM($J$2:J115),"")</f>
        <v/>
      </c>
      <c r="L115">
        <f ca="1" t="shared" si="3"/>
        <v>45942</v>
      </c>
    </row>
    <row r="116" spans="9:12">
      <c r="I116">
        <f>IFERROR(VLOOKUP(H116,Rates!$A$2:$B$3,2,0),1)</f>
        <v>1</v>
      </c>
      <c r="J116" t="str">
        <f t="shared" si="2"/>
        <v/>
      </c>
      <c r="K116" t="str">
        <f>IF(J116&lt;&gt;"",SUM($J$2:J116),"")</f>
        <v/>
      </c>
      <c r="L116">
        <f ca="1" t="shared" si="3"/>
        <v>45942</v>
      </c>
    </row>
    <row r="117" spans="9:12">
      <c r="I117">
        <f>IFERROR(VLOOKUP(H117,Rates!$A$2:$B$3,2,0),1)</f>
        <v>1</v>
      </c>
      <c r="J117" t="str">
        <f t="shared" si="2"/>
        <v/>
      </c>
      <c r="K117" t="str">
        <f>IF(J117&lt;&gt;"",SUM($J$2:J117),"")</f>
        <v/>
      </c>
      <c r="L117">
        <f ca="1" t="shared" si="3"/>
        <v>45942</v>
      </c>
    </row>
    <row r="118" spans="9:12">
      <c r="I118">
        <f>IFERROR(VLOOKUP(H118,Rates!$A$2:$B$3,2,0),1)</f>
        <v>1</v>
      </c>
      <c r="J118" t="str">
        <f t="shared" si="2"/>
        <v/>
      </c>
      <c r="K118" t="str">
        <f>IF(J118&lt;&gt;"",SUM($J$2:J118),"")</f>
        <v/>
      </c>
      <c r="L118">
        <f ca="1" t="shared" si="3"/>
        <v>45942</v>
      </c>
    </row>
    <row r="119" spans="9:12">
      <c r="I119">
        <f>IFERROR(VLOOKUP(H119,Rates!$A$2:$B$3,2,0),1)</f>
        <v>1</v>
      </c>
      <c r="J119" t="str">
        <f t="shared" si="2"/>
        <v/>
      </c>
      <c r="K119" t="str">
        <f>IF(J119&lt;&gt;"",SUM($J$2:J119),"")</f>
        <v/>
      </c>
      <c r="L119">
        <f ca="1" t="shared" si="3"/>
        <v>45942</v>
      </c>
    </row>
    <row r="120" spans="9:12">
      <c r="I120">
        <f>IFERROR(VLOOKUP(H120,Rates!$A$2:$B$3,2,0),1)</f>
        <v>1</v>
      </c>
      <c r="J120" t="str">
        <f t="shared" si="2"/>
        <v/>
      </c>
      <c r="K120" t="str">
        <f>IF(J120&lt;&gt;"",SUM($J$2:J120),"")</f>
        <v/>
      </c>
      <c r="L120">
        <f ca="1" t="shared" si="3"/>
        <v>45942</v>
      </c>
    </row>
    <row r="121" spans="9:12">
      <c r="I121">
        <f>IFERROR(VLOOKUP(H121,Rates!$A$2:$B$3,2,0),1)</f>
        <v>1</v>
      </c>
      <c r="J121" t="str">
        <f t="shared" si="2"/>
        <v/>
      </c>
      <c r="K121" t="str">
        <f>IF(J121&lt;&gt;"",SUM($J$2:J121),"")</f>
        <v/>
      </c>
      <c r="L121">
        <f ca="1" t="shared" si="3"/>
        <v>45942</v>
      </c>
    </row>
    <row r="122" spans="9:12">
      <c r="I122">
        <f>IFERROR(VLOOKUP(H122,Rates!$A$2:$B$3,2,0),1)</f>
        <v>1</v>
      </c>
      <c r="J122" t="str">
        <f t="shared" si="2"/>
        <v/>
      </c>
      <c r="K122" t="str">
        <f>IF(J122&lt;&gt;"",SUM($J$2:J122),"")</f>
        <v/>
      </c>
      <c r="L122">
        <f ca="1" t="shared" si="3"/>
        <v>45942</v>
      </c>
    </row>
    <row r="123" spans="9:12">
      <c r="I123">
        <f>IFERROR(VLOOKUP(H123,Rates!$A$2:$B$3,2,0),1)</f>
        <v>1</v>
      </c>
      <c r="J123" t="str">
        <f t="shared" si="2"/>
        <v/>
      </c>
      <c r="K123" t="str">
        <f>IF(J123&lt;&gt;"",SUM($J$2:J123),"")</f>
        <v/>
      </c>
      <c r="L123">
        <f ca="1" t="shared" si="3"/>
        <v>45942</v>
      </c>
    </row>
    <row r="124" spans="9:12">
      <c r="I124">
        <f>IFERROR(VLOOKUP(H124,Rates!$A$2:$B$3,2,0),1)</f>
        <v>1</v>
      </c>
      <c r="J124" t="str">
        <f t="shared" si="2"/>
        <v/>
      </c>
      <c r="K124" t="str">
        <f>IF(J124&lt;&gt;"",SUM($J$2:J124),"")</f>
        <v/>
      </c>
      <c r="L124">
        <f ca="1" t="shared" si="3"/>
        <v>45942</v>
      </c>
    </row>
    <row r="125" spans="9:12">
      <c r="I125">
        <f>IFERROR(VLOOKUP(H125,Rates!$A$2:$B$3,2,0),1)</f>
        <v>1</v>
      </c>
      <c r="J125" t="str">
        <f t="shared" si="2"/>
        <v/>
      </c>
      <c r="K125" t="str">
        <f>IF(J125&lt;&gt;"",SUM($J$2:J125),"")</f>
        <v/>
      </c>
      <c r="L125">
        <f ca="1" t="shared" si="3"/>
        <v>45942</v>
      </c>
    </row>
    <row r="126" spans="9:12">
      <c r="I126">
        <f>IFERROR(VLOOKUP(H126,Rates!$A$2:$B$3,2,0),1)</f>
        <v>1</v>
      </c>
      <c r="J126" t="str">
        <f t="shared" si="2"/>
        <v/>
      </c>
      <c r="K126" t="str">
        <f>IF(J126&lt;&gt;"",SUM($J$2:J126),"")</f>
        <v/>
      </c>
      <c r="L126">
        <f ca="1" t="shared" si="3"/>
        <v>45942</v>
      </c>
    </row>
    <row r="127" spans="9:12">
      <c r="I127">
        <f>IFERROR(VLOOKUP(H127,Rates!$A$2:$B$3,2,0),1)</f>
        <v>1</v>
      </c>
      <c r="J127" t="str">
        <f t="shared" si="2"/>
        <v/>
      </c>
      <c r="K127" t="str">
        <f>IF(J127&lt;&gt;"",SUM($J$2:J127),"")</f>
        <v/>
      </c>
      <c r="L127">
        <f ca="1" t="shared" si="3"/>
        <v>45942</v>
      </c>
    </row>
    <row r="128" spans="9:12">
      <c r="I128">
        <f>IFERROR(VLOOKUP(H128,Rates!$A$2:$B$3,2,0),1)</f>
        <v>1</v>
      </c>
      <c r="J128" t="str">
        <f t="shared" si="2"/>
        <v/>
      </c>
      <c r="K128" t="str">
        <f>IF(J128&lt;&gt;"",SUM($J$2:J128),"")</f>
        <v/>
      </c>
      <c r="L128">
        <f ca="1" t="shared" si="3"/>
        <v>45942</v>
      </c>
    </row>
    <row r="129" spans="9:12">
      <c r="I129">
        <f>IFERROR(VLOOKUP(H129,Rates!$A$2:$B$3,2,0),1)</f>
        <v>1</v>
      </c>
      <c r="J129" t="str">
        <f t="shared" si="2"/>
        <v/>
      </c>
      <c r="K129" t="str">
        <f>IF(J129&lt;&gt;"",SUM($J$2:J129),"")</f>
        <v/>
      </c>
      <c r="L129">
        <f ca="1" t="shared" si="3"/>
        <v>45942</v>
      </c>
    </row>
    <row r="130" spans="9:12">
      <c r="I130">
        <f>IFERROR(VLOOKUP(H130,Rates!$A$2:$B$3,2,0),1)</f>
        <v>1</v>
      </c>
      <c r="J130" t="str">
        <f t="shared" ref="J130:J193" si="4">IF(G130&lt;&gt;"",G130*I130,"")</f>
        <v/>
      </c>
      <c r="K130" t="str">
        <f>IF(J130&lt;&gt;"",SUM($J$2:J130),"")</f>
        <v/>
      </c>
      <c r="L130">
        <f ca="1" t="shared" ref="L130:L193" si="5">IF(COUNTA(A130:K130)&gt;0,TODAY(),"")</f>
        <v>45942</v>
      </c>
    </row>
    <row r="131" spans="9:12">
      <c r="I131">
        <f>IFERROR(VLOOKUP(H131,Rates!$A$2:$B$3,2,0),1)</f>
        <v>1</v>
      </c>
      <c r="J131" t="str">
        <f t="shared" si="4"/>
        <v/>
      </c>
      <c r="K131" t="str">
        <f>IF(J131&lt;&gt;"",SUM($J$2:J131),"")</f>
        <v/>
      </c>
      <c r="L131">
        <f ca="1" t="shared" si="5"/>
        <v>45942</v>
      </c>
    </row>
    <row r="132" spans="9:12">
      <c r="I132">
        <f>IFERROR(VLOOKUP(H132,Rates!$A$2:$B$3,2,0),1)</f>
        <v>1</v>
      </c>
      <c r="J132" t="str">
        <f t="shared" si="4"/>
        <v/>
      </c>
      <c r="K132" t="str">
        <f>IF(J132&lt;&gt;"",SUM($J$2:J132),"")</f>
        <v/>
      </c>
      <c r="L132">
        <f ca="1" t="shared" si="5"/>
        <v>45942</v>
      </c>
    </row>
    <row r="133" spans="9:12">
      <c r="I133">
        <f>IFERROR(VLOOKUP(H133,Rates!$A$2:$B$3,2,0),1)</f>
        <v>1</v>
      </c>
      <c r="J133" t="str">
        <f t="shared" si="4"/>
        <v/>
      </c>
      <c r="K133" t="str">
        <f>IF(J133&lt;&gt;"",SUM($J$2:J133),"")</f>
        <v/>
      </c>
      <c r="L133">
        <f ca="1" t="shared" si="5"/>
        <v>45942</v>
      </c>
    </row>
    <row r="134" spans="9:12">
      <c r="I134">
        <f>IFERROR(VLOOKUP(H134,Rates!$A$2:$B$3,2,0),1)</f>
        <v>1</v>
      </c>
      <c r="J134" t="str">
        <f t="shared" si="4"/>
        <v/>
      </c>
      <c r="K134" t="str">
        <f>IF(J134&lt;&gt;"",SUM($J$2:J134),"")</f>
        <v/>
      </c>
      <c r="L134">
        <f ca="1" t="shared" si="5"/>
        <v>45942</v>
      </c>
    </row>
    <row r="135" spans="9:12">
      <c r="I135">
        <f>IFERROR(VLOOKUP(H135,Rates!$A$2:$B$3,2,0),1)</f>
        <v>1</v>
      </c>
      <c r="J135" t="str">
        <f t="shared" si="4"/>
        <v/>
      </c>
      <c r="K135" t="str">
        <f>IF(J135&lt;&gt;"",SUM($J$2:J135),"")</f>
        <v/>
      </c>
      <c r="L135">
        <f ca="1" t="shared" si="5"/>
        <v>45942</v>
      </c>
    </row>
    <row r="136" spans="9:12">
      <c r="I136">
        <f>IFERROR(VLOOKUP(H136,Rates!$A$2:$B$3,2,0),1)</f>
        <v>1</v>
      </c>
      <c r="J136" t="str">
        <f t="shared" si="4"/>
        <v/>
      </c>
      <c r="K136" t="str">
        <f>IF(J136&lt;&gt;"",SUM($J$2:J136),"")</f>
        <v/>
      </c>
      <c r="L136">
        <f ca="1" t="shared" si="5"/>
        <v>45942</v>
      </c>
    </row>
    <row r="137" spans="9:12">
      <c r="I137">
        <f>IFERROR(VLOOKUP(H137,Rates!$A$2:$B$3,2,0),1)</f>
        <v>1</v>
      </c>
      <c r="J137" t="str">
        <f t="shared" si="4"/>
        <v/>
      </c>
      <c r="K137" t="str">
        <f>IF(J137&lt;&gt;"",SUM($J$2:J137),"")</f>
        <v/>
      </c>
      <c r="L137">
        <f ca="1" t="shared" si="5"/>
        <v>45942</v>
      </c>
    </row>
    <row r="138" spans="9:12">
      <c r="I138">
        <f>IFERROR(VLOOKUP(H138,Rates!$A$2:$B$3,2,0),1)</f>
        <v>1</v>
      </c>
      <c r="J138" t="str">
        <f t="shared" si="4"/>
        <v/>
      </c>
      <c r="K138" t="str">
        <f>IF(J138&lt;&gt;"",SUM($J$2:J138),"")</f>
        <v/>
      </c>
      <c r="L138">
        <f ca="1" t="shared" si="5"/>
        <v>45942</v>
      </c>
    </row>
    <row r="139" spans="9:12">
      <c r="I139">
        <f>IFERROR(VLOOKUP(H139,Rates!$A$2:$B$3,2,0),1)</f>
        <v>1</v>
      </c>
      <c r="J139" t="str">
        <f t="shared" si="4"/>
        <v/>
      </c>
      <c r="K139" t="str">
        <f>IF(J139&lt;&gt;"",SUM($J$2:J139),"")</f>
        <v/>
      </c>
      <c r="L139">
        <f ca="1" t="shared" si="5"/>
        <v>45942</v>
      </c>
    </row>
    <row r="140" spans="9:12">
      <c r="I140">
        <f>IFERROR(VLOOKUP(H140,Rates!$A$2:$B$3,2,0),1)</f>
        <v>1</v>
      </c>
      <c r="J140" t="str">
        <f t="shared" si="4"/>
        <v/>
      </c>
      <c r="K140" t="str">
        <f>IF(J140&lt;&gt;"",SUM($J$2:J140),"")</f>
        <v/>
      </c>
      <c r="L140">
        <f ca="1" t="shared" si="5"/>
        <v>45942</v>
      </c>
    </row>
    <row r="141" spans="9:12">
      <c r="I141">
        <f>IFERROR(VLOOKUP(H141,Rates!$A$2:$B$3,2,0),1)</f>
        <v>1</v>
      </c>
      <c r="J141" t="str">
        <f t="shared" si="4"/>
        <v/>
      </c>
      <c r="K141" t="str">
        <f>IF(J141&lt;&gt;"",SUM($J$2:J141),"")</f>
        <v/>
      </c>
      <c r="L141">
        <f ca="1" t="shared" si="5"/>
        <v>45942</v>
      </c>
    </row>
    <row r="142" spans="9:12">
      <c r="I142">
        <f>IFERROR(VLOOKUP(H142,Rates!$A$2:$B$3,2,0),1)</f>
        <v>1</v>
      </c>
      <c r="J142" t="str">
        <f t="shared" si="4"/>
        <v/>
      </c>
      <c r="K142" t="str">
        <f>IF(J142&lt;&gt;"",SUM($J$2:J142),"")</f>
        <v/>
      </c>
      <c r="L142">
        <f ca="1" t="shared" si="5"/>
        <v>45942</v>
      </c>
    </row>
    <row r="143" spans="9:12">
      <c r="I143">
        <f>IFERROR(VLOOKUP(H143,Rates!$A$2:$B$3,2,0),1)</f>
        <v>1</v>
      </c>
      <c r="J143" t="str">
        <f t="shared" si="4"/>
        <v/>
      </c>
      <c r="K143" t="str">
        <f>IF(J143&lt;&gt;"",SUM($J$2:J143),"")</f>
        <v/>
      </c>
      <c r="L143">
        <f ca="1" t="shared" si="5"/>
        <v>45942</v>
      </c>
    </row>
    <row r="144" spans="9:12">
      <c r="I144">
        <f>IFERROR(VLOOKUP(H144,Rates!$A$2:$B$3,2,0),1)</f>
        <v>1</v>
      </c>
      <c r="J144" t="str">
        <f t="shared" si="4"/>
        <v/>
      </c>
      <c r="K144" t="str">
        <f>IF(J144&lt;&gt;"",SUM($J$2:J144),"")</f>
        <v/>
      </c>
      <c r="L144">
        <f ca="1" t="shared" si="5"/>
        <v>45942</v>
      </c>
    </row>
    <row r="145" spans="9:12">
      <c r="I145">
        <f>IFERROR(VLOOKUP(H145,Rates!$A$2:$B$3,2,0),1)</f>
        <v>1</v>
      </c>
      <c r="J145" t="str">
        <f t="shared" si="4"/>
        <v/>
      </c>
      <c r="K145" t="str">
        <f>IF(J145&lt;&gt;"",SUM($J$2:J145),"")</f>
        <v/>
      </c>
      <c r="L145">
        <f ca="1" t="shared" si="5"/>
        <v>45942</v>
      </c>
    </row>
    <row r="146" spans="9:12">
      <c r="I146">
        <f>IFERROR(VLOOKUP(H146,Rates!$A$2:$B$3,2,0),1)</f>
        <v>1</v>
      </c>
      <c r="J146" t="str">
        <f t="shared" si="4"/>
        <v/>
      </c>
      <c r="K146" t="str">
        <f>IF(J146&lt;&gt;"",SUM($J$2:J146),"")</f>
        <v/>
      </c>
      <c r="L146">
        <f ca="1" t="shared" si="5"/>
        <v>45942</v>
      </c>
    </row>
    <row r="147" spans="9:12">
      <c r="I147">
        <f>IFERROR(VLOOKUP(H147,Rates!$A$2:$B$3,2,0),1)</f>
        <v>1</v>
      </c>
      <c r="J147" t="str">
        <f t="shared" si="4"/>
        <v/>
      </c>
      <c r="K147" t="str">
        <f>IF(J147&lt;&gt;"",SUM($J$2:J147),"")</f>
        <v/>
      </c>
      <c r="L147">
        <f ca="1" t="shared" si="5"/>
        <v>45942</v>
      </c>
    </row>
    <row r="148" spans="9:12">
      <c r="I148">
        <f>IFERROR(VLOOKUP(H148,Rates!$A$2:$B$3,2,0),1)</f>
        <v>1</v>
      </c>
      <c r="J148" t="str">
        <f t="shared" si="4"/>
        <v/>
      </c>
      <c r="K148" t="str">
        <f>IF(J148&lt;&gt;"",SUM($J$2:J148),"")</f>
        <v/>
      </c>
      <c r="L148">
        <f ca="1" t="shared" si="5"/>
        <v>45942</v>
      </c>
    </row>
    <row r="149" spans="9:12">
      <c r="I149">
        <f>IFERROR(VLOOKUP(H149,Rates!$A$2:$B$3,2,0),1)</f>
        <v>1</v>
      </c>
      <c r="J149" t="str">
        <f t="shared" si="4"/>
        <v/>
      </c>
      <c r="K149" t="str">
        <f>IF(J149&lt;&gt;"",SUM($J$2:J149),"")</f>
        <v/>
      </c>
      <c r="L149">
        <f ca="1" t="shared" si="5"/>
        <v>45942</v>
      </c>
    </row>
    <row r="150" spans="9:12">
      <c r="I150">
        <f>IFERROR(VLOOKUP(H150,Rates!$A$2:$B$3,2,0),1)</f>
        <v>1</v>
      </c>
      <c r="J150" t="str">
        <f t="shared" si="4"/>
        <v/>
      </c>
      <c r="K150" t="str">
        <f>IF(J150&lt;&gt;"",SUM($J$2:J150),"")</f>
        <v/>
      </c>
      <c r="L150">
        <f ca="1" t="shared" si="5"/>
        <v>45942</v>
      </c>
    </row>
    <row r="151" spans="9:12">
      <c r="I151">
        <f>IFERROR(VLOOKUP(H151,Rates!$A$2:$B$3,2,0),1)</f>
        <v>1</v>
      </c>
      <c r="J151" t="str">
        <f t="shared" si="4"/>
        <v/>
      </c>
      <c r="K151" t="str">
        <f>IF(J151&lt;&gt;"",SUM($J$2:J151),"")</f>
        <v/>
      </c>
      <c r="L151">
        <f ca="1" t="shared" si="5"/>
        <v>45942</v>
      </c>
    </row>
    <row r="152" spans="9:12">
      <c r="I152">
        <f>IFERROR(VLOOKUP(H152,Rates!$A$2:$B$3,2,0),1)</f>
        <v>1</v>
      </c>
      <c r="J152" t="str">
        <f t="shared" si="4"/>
        <v/>
      </c>
      <c r="K152" t="str">
        <f>IF(J152&lt;&gt;"",SUM($J$2:J152),"")</f>
        <v/>
      </c>
      <c r="L152">
        <f ca="1" t="shared" si="5"/>
        <v>45942</v>
      </c>
    </row>
    <row r="153" spans="9:12">
      <c r="I153">
        <f>IFERROR(VLOOKUP(H153,Rates!$A$2:$B$3,2,0),1)</f>
        <v>1</v>
      </c>
      <c r="J153" t="str">
        <f t="shared" si="4"/>
        <v/>
      </c>
      <c r="K153" t="str">
        <f>IF(J153&lt;&gt;"",SUM($J$2:J153),"")</f>
        <v/>
      </c>
      <c r="L153">
        <f ca="1" t="shared" si="5"/>
        <v>45942</v>
      </c>
    </row>
    <row r="154" spans="9:12">
      <c r="I154">
        <f>IFERROR(VLOOKUP(H154,Rates!$A$2:$B$3,2,0),1)</f>
        <v>1</v>
      </c>
      <c r="J154" t="str">
        <f t="shared" si="4"/>
        <v/>
      </c>
      <c r="K154" t="str">
        <f>IF(J154&lt;&gt;"",SUM($J$2:J154),"")</f>
        <v/>
      </c>
      <c r="L154">
        <f ca="1" t="shared" si="5"/>
        <v>45942</v>
      </c>
    </row>
    <row r="155" spans="9:12">
      <c r="I155">
        <f>IFERROR(VLOOKUP(H155,Rates!$A$2:$B$3,2,0),1)</f>
        <v>1</v>
      </c>
      <c r="J155" t="str">
        <f t="shared" si="4"/>
        <v/>
      </c>
      <c r="K155" t="str">
        <f>IF(J155&lt;&gt;"",SUM($J$2:J155),"")</f>
        <v/>
      </c>
      <c r="L155">
        <f ca="1" t="shared" si="5"/>
        <v>45942</v>
      </c>
    </row>
    <row r="156" spans="9:12">
      <c r="I156">
        <f>IFERROR(VLOOKUP(H156,Rates!$A$2:$B$3,2,0),1)</f>
        <v>1</v>
      </c>
      <c r="J156" t="str">
        <f t="shared" si="4"/>
        <v/>
      </c>
      <c r="K156" t="str">
        <f>IF(J156&lt;&gt;"",SUM($J$2:J156),"")</f>
        <v/>
      </c>
      <c r="L156">
        <f ca="1" t="shared" si="5"/>
        <v>45942</v>
      </c>
    </row>
    <row r="157" spans="9:12">
      <c r="I157">
        <f>IFERROR(VLOOKUP(H157,Rates!$A$2:$B$3,2,0),1)</f>
        <v>1</v>
      </c>
      <c r="J157" t="str">
        <f t="shared" si="4"/>
        <v/>
      </c>
      <c r="K157" t="str">
        <f>IF(J157&lt;&gt;"",SUM($J$2:J157),"")</f>
        <v/>
      </c>
      <c r="L157">
        <f ca="1" t="shared" si="5"/>
        <v>45942</v>
      </c>
    </row>
    <row r="158" spans="9:12">
      <c r="I158">
        <f>IFERROR(VLOOKUP(H158,Rates!$A$2:$B$3,2,0),1)</f>
        <v>1</v>
      </c>
      <c r="J158" t="str">
        <f t="shared" si="4"/>
        <v/>
      </c>
      <c r="K158" t="str">
        <f>IF(J158&lt;&gt;"",SUM($J$2:J158),"")</f>
        <v/>
      </c>
      <c r="L158">
        <f ca="1" t="shared" si="5"/>
        <v>45942</v>
      </c>
    </row>
    <row r="159" spans="9:12">
      <c r="I159">
        <f>IFERROR(VLOOKUP(H159,Rates!$A$2:$B$3,2,0),1)</f>
        <v>1</v>
      </c>
      <c r="J159" t="str">
        <f t="shared" si="4"/>
        <v/>
      </c>
      <c r="K159" t="str">
        <f>IF(J159&lt;&gt;"",SUM($J$2:J159),"")</f>
        <v/>
      </c>
      <c r="L159">
        <f ca="1" t="shared" si="5"/>
        <v>45942</v>
      </c>
    </row>
    <row r="160" spans="9:12">
      <c r="I160">
        <f>IFERROR(VLOOKUP(H160,Rates!$A$2:$B$3,2,0),1)</f>
        <v>1</v>
      </c>
      <c r="J160" t="str">
        <f t="shared" si="4"/>
        <v/>
      </c>
      <c r="K160" t="str">
        <f>IF(J160&lt;&gt;"",SUM($J$2:J160),"")</f>
        <v/>
      </c>
      <c r="L160">
        <f ca="1" t="shared" si="5"/>
        <v>45942</v>
      </c>
    </row>
    <row r="161" spans="9:12">
      <c r="I161">
        <f>IFERROR(VLOOKUP(H161,Rates!$A$2:$B$3,2,0),1)</f>
        <v>1</v>
      </c>
      <c r="J161" t="str">
        <f t="shared" si="4"/>
        <v/>
      </c>
      <c r="K161" t="str">
        <f>IF(J161&lt;&gt;"",SUM($J$2:J161),"")</f>
        <v/>
      </c>
      <c r="L161">
        <f ca="1" t="shared" si="5"/>
        <v>45942</v>
      </c>
    </row>
    <row r="162" spans="9:12">
      <c r="I162">
        <f>IFERROR(VLOOKUP(H162,Rates!$A$2:$B$3,2,0),1)</f>
        <v>1</v>
      </c>
      <c r="J162" t="str">
        <f t="shared" si="4"/>
        <v/>
      </c>
      <c r="K162" t="str">
        <f>IF(J162&lt;&gt;"",SUM($J$2:J162),"")</f>
        <v/>
      </c>
      <c r="L162">
        <f ca="1" t="shared" si="5"/>
        <v>45942</v>
      </c>
    </row>
    <row r="163" spans="9:12">
      <c r="I163">
        <f>IFERROR(VLOOKUP(H163,Rates!$A$2:$B$3,2,0),1)</f>
        <v>1</v>
      </c>
      <c r="J163" t="str">
        <f t="shared" si="4"/>
        <v/>
      </c>
      <c r="K163" t="str">
        <f>IF(J163&lt;&gt;"",SUM($J$2:J163),"")</f>
        <v/>
      </c>
      <c r="L163">
        <f ca="1" t="shared" si="5"/>
        <v>45942</v>
      </c>
    </row>
    <row r="164" spans="9:12">
      <c r="I164">
        <f>IFERROR(VLOOKUP(H164,Rates!$A$2:$B$3,2,0),1)</f>
        <v>1</v>
      </c>
      <c r="J164" t="str">
        <f t="shared" si="4"/>
        <v/>
      </c>
      <c r="K164" t="str">
        <f>IF(J164&lt;&gt;"",SUM($J$2:J164),"")</f>
        <v/>
      </c>
      <c r="L164">
        <f ca="1" t="shared" si="5"/>
        <v>45942</v>
      </c>
    </row>
    <row r="165" spans="9:12">
      <c r="I165">
        <f>IFERROR(VLOOKUP(H165,Rates!$A$2:$B$3,2,0),1)</f>
        <v>1</v>
      </c>
      <c r="J165" t="str">
        <f t="shared" si="4"/>
        <v/>
      </c>
      <c r="K165" t="str">
        <f>IF(J165&lt;&gt;"",SUM($J$2:J165),"")</f>
        <v/>
      </c>
      <c r="L165">
        <f ca="1" t="shared" si="5"/>
        <v>45942</v>
      </c>
    </row>
    <row r="166" spans="9:12">
      <c r="I166">
        <f>IFERROR(VLOOKUP(H166,Rates!$A$2:$B$3,2,0),1)</f>
        <v>1</v>
      </c>
      <c r="J166" t="str">
        <f t="shared" si="4"/>
        <v/>
      </c>
      <c r="K166" t="str">
        <f>IF(J166&lt;&gt;"",SUM($J$2:J166),"")</f>
        <v/>
      </c>
      <c r="L166">
        <f ca="1" t="shared" si="5"/>
        <v>45942</v>
      </c>
    </row>
    <row r="167" spans="9:12">
      <c r="I167">
        <f>IFERROR(VLOOKUP(H167,Rates!$A$2:$B$3,2,0),1)</f>
        <v>1</v>
      </c>
      <c r="J167" t="str">
        <f t="shared" si="4"/>
        <v/>
      </c>
      <c r="K167" t="str">
        <f>IF(J167&lt;&gt;"",SUM($J$2:J167),"")</f>
        <v/>
      </c>
      <c r="L167">
        <f ca="1" t="shared" si="5"/>
        <v>45942</v>
      </c>
    </row>
    <row r="168" spans="9:12">
      <c r="I168">
        <f>IFERROR(VLOOKUP(H168,Rates!$A$2:$B$3,2,0),1)</f>
        <v>1</v>
      </c>
      <c r="J168" t="str">
        <f t="shared" si="4"/>
        <v/>
      </c>
      <c r="K168" t="str">
        <f>IF(J168&lt;&gt;"",SUM($J$2:J168),"")</f>
        <v/>
      </c>
      <c r="L168">
        <f ca="1" t="shared" si="5"/>
        <v>45942</v>
      </c>
    </row>
    <row r="169" spans="9:12">
      <c r="I169">
        <f>IFERROR(VLOOKUP(H169,Rates!$A$2:$B$3,2,0),1)</f>
        <v>1</v>
      </c>
      <c r="J169" t="str">
        <f t="shared" si="4"/>
        <v/>
      </c>
      <c r="K169" t="str">
        <f>IF(J169&lt;&gt;"",SUM($J$2:J169),"")</f>
        <v/>
      </c>
      <c r="L169">
        <f ca="1" t="shared" si="5"/>
        <v>45942</v>
      </c>
    </row>
    <row r="170" spans="9:12">
      <c r="I170">
        <f>IFERROR(VLOOKUP(H170,Rates!$A$2:$B$3,2,0),1)</f>
        <v>1</v>
      </c>
      <c r="J170" t="str">
        <f t="shared" si="4"/>
        <v/>
      </c>
      <c r="K170" t="str">
        <f>IF(J170&lt;&gt;"",SUM($J$2:J170),"")</f>
        <v/>
      </c>
      <c r="L170">
        <f ca="1" t="shared" si="5"/>
        <v>45942</v>
      </c>
    </row>
    <row r="171" spans="9:12">
      <c r="I171">
        <f>IFERROR(VLOOKUP(H171,Rates!$A$2:$B$3,2,0),1)</f>
        <v>1</v>
      </c>
      <c r="J171" t="str">
        <f t="shared" si="4"/>
        <v/>
      </c>
      <c r="K171" t="str">
        <f>IF(J171&lt;&gt;"",SUM($J$2:J171),"")</f>
        <v/>
      </c>
      <c r="L171">
        <f ca="1" t="shared" si="5"/>
        <v>45942</v>
      </c>
    </row>
    <row r="172" spans="9:12">
      <c r="I172">
        <f>IFERROR(VLOOKUP(H172,Rates!$A$2:$B$3,2,0),1)</f>
        <v>1</v>
      </c>
      <c r="J172" t="str">
        <f t="shared" si="4"/>
        <v/>
      </c>
      <c r="K172" t="str">
        <f>IF(J172&lt;&gt;"",SUM($J$2:J172),"")</f>
        <v/>
      </c>
      <c r="L172">
        <f ca="1" t="shared" si="5"/>
        <v>45942</v>
      </c>
    </row>
    <row r="173" spans="9:12">
      <c r="I173">
        <f>IFERROR(VLOOKUP(H173,Rates!$A$2:$B$3,2,0),1)</f>
        <v>1</v>
      </c>
      <c r="J173" t="str">
        <f t="shared" si="4"/>
        <v/>
      </c>
      <c r="K173" t="str">
        <f>IF(J173&lt;&gt;"",SUM($J$2:J173),"")</f>
        <v/>
      </c>
      <c r="L173">
        <f ca="1" t="shared" si="5"/>
        <v>45942</v>
      </c>
    </row>
    <row r="174" spans="9:12">
      <c r="I174">
        <f>IFERROR(VLOOKUP(H174,Rates!$A$2:$B$3,2,0),1)</f>
        <v>1</v>
      </c>
      <c r="J174" t="str">
        <f t="shared" si="4"/>
        <v/>
      </c>
      <c r="K174" t="str">
        <f>IF(J174&lt;&gt;"",SUM($J$2:J174),"")</f>
        <v/>
      </c>
      <c r="L174">
        <f ca="1" t="shared" si="5"/>
        <v>45942</v>
      </c>
    </row>
    <row r="175" spans="9:12">
      <c r="I175">
        <f>IFERROR(VLOOKUP(H175,Rates!$A$2:$B$3,2,0),1)</f>
        <v>1</v>
      </c>
      <c r="J175" t="str">
        <f t="shared" si="4"/>
        <v/>
      </c>
      <c r="K175" t="str">
        <f>IF(J175&lt;&gt;"",SUM($J$2:J175),"")</f>
        <v/>
      </c>
      <c r="L175">
        <f ca="1" t="shared" si="5"/>
        <v>45942</v>
      </c>
    </row>
    <row r="176" spans="9:12">
      <c r="I176">
        <f>IFERROR(VLOOKUP(H176,Rates!$A$2:$B$3,2,0),1)</f>
        <v>1</v>
      </c>
      <c r="J176" t="str">
        <f t="shared" si="4"/>
        <v/>
      </c>
      <c r="K176" t="str">
        <f>IF(J176&lt;&gt;"",SUM($J$2:J176),"")</f>
        <v/>
      </c>
      <c r="L176">
        <f ca="1" t="shared" si="5"/>
        <v>45942</v>
      </c>
    </row>
    <row r="177" spans="9:12">
      <c r="I177">
        <f>IFERROR(VLOOKUP(H177,Rates!$A$2:$B$3,2,0),1)</f>
        <v>1</v>
      </c>
      <c r="J177" t="str">
        <f t="shared" si="4"/>
        <v/>
      </c>
      <c r="K177" t="str">
        <f>IF(J177&lt;&gt;"",SUM($J$2:J177),"")</f>
        <v/>
      </c>
      <c r="L177">
        <f ca="1" t="shared" si="5"/>
        <v>45942</v>
      </c>
    </row>
    <row r="178" spans="9:12">
      <c r="I178">
        <f>IFERROR(VLOOKUP(H178,Rates!$A$2:$B$3,2,0),1)</f>
        <v>1</v>
      </c>
      <c r="J178" t="str">
        <f t="shared" si="4"/>
        <v/>
      </c>
      <c r="K178" t="str">
        <f>IF(J178&lt;&gt;"",SUM($J$2:J178),"")</f>
        <v/>
      </c>
      <c r="L178">
        <f ca="1" t="shared" si="5"/>
        <v>45942</v>
      </c>
    </row>
    <row r="179" spans="9:12">
      <c r="I179">
        <f>IFERROR(VLOOKUP(H179,Rates!$A$2:$B$3,2,0),1)</f>
        <v>1</v>
      </c>
      <c r="J179" t="str">
        <f t="shared" si="4"/>
        <v/>
      </c>
      <c r="K179" t="str">
        <f>IF(J179&lt;&gt;"",SUM($J$2:J179),"")</f>
        <v/>
      </c>
      <c r="L179">
        <f ca="1" t="shared" si="5"/>
        <v>45942</v>
      </c>
    </row>
    <row r="180" spans="9:12">
      <c r="I180">
        <f>IFERROR(VLOOKUP(H180,Rates!$A$2:$B$3,2,0),1)</f>
        <v>1</v>
      </c>
      <c r="J180" t="str">
        <f t="shared" si="4"/>
        <v/>
      </c>
      <c r="K180" t="str">
        <f>IF(J180&lt;&gt;"",SUM($J$2:J180),"")</f>
        <v/>
      </c>
      <c r="L180">
        <f ca="1" t="shared" si="5"/>
        <v>45942</v>
      </c>
    </row>
    <row r="181" spans="9:12">
      <c r="I181">
        <f>IFERROR(VLOOKUP(H181,Rates!$A$2:$B$3,2,0),1)</f>
        <v>1</v>
      </c>
      <c r="J181" t="str">
        <f t="shared" si="4"/>
        <v/>
      </c>
      <c r="K181" t="str">
        <f>IF(J181&lt;&gt;"",SUM($J$2:J181),"")</f>
        <v/>
      </c>
      <c r="L181">
        <f ca="1" t="shared" si="5"/>
        <v>45942</v>
      </c>
    </row>
    <row r="182" spans="9:12">
      <c r="I182">
        <f>IFERROR(VLOOKUP(H182,Rates!$A$2:$B$3,2,0),1)</f>
        <v>1</v>
      </c>
      <c r="J182" t="str">
        <f t="shared" si="4"/>
        <v/>
      </c>
      <c r="K182" t="str">
        <f>IF(J182&lt;&gt;"",SUM($J$2:J182),"")</f>
        <v/>
      </c>
      <c r="L182">
        <f ca="1" t="shared" si="5"/>
        <v>45942</v>
      </c>
    </row>
    <row r="183" spans="9:12">
      <c r="I183">
        <f>IFERROR(VLOOKUP(H183,Rates!$A$2:$B$3,2,0),1)</f>
        <v>1</v>
      </c>
      <c r="J183" t="str">
        <f t="shared" si="4"/>
        <v/>
      </c>
      <c r="K183" t="str">
        <f>IF(J183&lt;&gt;"",SUM($J$2:J183),"")</f>
        <v/>
      </c>
      <c r="L183">
        <f ca="1" t="shared" si="5"/>
        <v>45942</v>
      </c>
    </row>
    <row r="184" spans="9:12">
      <c r="I184">
        <f>IFERROR(VLOOKUP(H184,Rates!$A$2:$B$3,2,0),1)</f>
        <v>1</v>
      </c>
      <c r="J184" t="str">
        <f t="shared" si="4"/>
        <v/>
      </c>
      <c r="K184" t="str">
        <f>IF(J184&lt;&gt;"",SUM($J$2:J184),"")</f>
        <v/>
      </c>
      <c r="L184">
        <f ca="1" t="shared" si="5"/>
        <v>45942</v>
      </c>
    </row>
    <row r="185" spans="9:12">
      <c r="I185">
        <f>IFERROR(VLOOKUP(H185,Rates!$A$2:$B$3,2,0),1)</f>
        <v>1</v>
      </c>
      <c r="J185" t="str">
        <f t="shared" si="4"/>
        <v/>
      </c>
      <c r="K185" t="str">
        <f>IF(J185&lt;&gt;"",SUM($J$2:J185),"")</f>
        <v/>
      </c>
      <c r="L185">
        <f ca="1" t="shared" si="5"/>
        <v>45942</v>
      </c>
    </row>
    <row r="186" spans="9:12">
      <c r="I186">
        <f>IFERROR(VLOOKUP(H186,Rates!$A$2:$B$3,2,0),1)</f>
        <v>1</v>
      </c>
      <c r="J186" t="str">
        <f t="shared" si="4"/>
        <v/>
      </c>
      <c r="K186" t="str">
        <f>IF(J186&lt;&gt;"",SUM($J$2:J186),"")</f>
        <v/>
      </c>
      <c r="L186">
        <f ca="1" t="shared" si="5"/>
        <v>45942</v>
      </c>
    </row>
    <row r="187" spans="9:12">
      <c r="I187">
        <f>IFERROR(VLOOKUP(H187,Rates!$A$2:$B$3,2,0),1)</f>
        <v>1</v>
      </c>
      <c r="J187" t="str">
        <f t="shared" si="4"/>
        <v/>
      </c>
      <c r="K187" t="str">
        <f>IF(J187&lt;&gt;"",SUM($J$2:J187),"")</f>
        <v/>
      </c>
      <c r="L187">
        <f ca="1" t="shared" si="5"/>
        <v>45942</v>
      </c>
    </row>
    <row r="188" spans="9:12">
      <c r="I188">
        <f>IFERROR(VLOOKUP(H188,Rates!$A$2:$B$3,2,0),1)</f>
        <v>1</v>
      </c>
      <c r="J188" t="str">
        <f t="shared" si="4"/>
        <v/>
      </c>
      <c r="K188" t="str">
        <f>IF(J188&lt;&gt;"",SUM($J$2:J188),"")</f>
        <v/>
      </c>
      <c r="L188">
        <f ca="1" t="shared" si="5"/>
        <v>45942</v>
      </c>
    </row>
    <row r="189" spans="9:12">
      <c r="I189">
        <f>IFERROR(VLOOKUP(H189,Rates!$A$2:$B$3,2,0),1)</f>
        <v>1</v>
      </c>
      <c r="J189" t="str">
        <f t="shared" si="4"/>
        <v/>
      </c>
      <c r="K189" t="str">
        <f>IF(J189&lt;&gt;"",SUM($J$2:J189),"")</f>
        <v/>
      </c>
      <c r="L189">
        <f ca="1" t="shared" si="5"/>
        <v>45942</v>
      </c>
    </row>
    <row r="190" spans="9:12">
      <c r="I190">
        <f>IFERROR(VLOOKUP(H190,Rates!$A$2:$B$3,2,0),1)</f>
        <v>1</v>
      </c>
      <c r="J190" t="str">
        <f t="shared" si="4"/>
        <v/>
      </c>
      <c r="K190" t="str">
        <f>IF(J190&lt;&gt;"",SUM($J$2:J190),"")</f>
        <v/>
      </c>
      <c r="L190">
        <f ca="1" t="shared" si="5"/>
        <v>45942</v>
      </c>
    </row>
    <row r="191" spans="9:12">
      <c r="I191">
        <f>IFERROR(VLOOKUP(H191,Rates!$A$2:$B$3,2,0),1)</f>
        <v>1</v>
      </c>
      <c r="J191" t="str">
        <f t="shared" si="4"/>
        <v/>
      </c>
      <c r="K191" t="str">
        <f>IF(J191&lt;&gt;"",SUM($J$2:J191),"")</f>
        <v/>
      </c>
      <c r="L191">
        <f ca="1" t="shared" si="5"/>
        <v>45942</v>
      </c>
    </row>
    <row r="192" spans="9:12">
      <c r="I192">
        <f>IFERROR(VLOOKUP(H192,Rates!$A$2:$B$3,2,0),1)</f>
        <v>1</v>
      </c>
      <c r="J192" t="str">
        <f t="shared" si="4"/>
        <v/>
      </c>
      <c r="K192" t="str">
        <f>IF(J192&lt;&gt;"",SUM($J$2:J192),"")</f>
        <v/>
      </c>
      <c r="L192">
        <f ca="1" t="shared" si="5"/>
        <v>45942</v>
      </c>
    </row>
    <row r="193" spans="9:12">
      <c r="I193">
        <f>IFERROR(VLOOKUP(H193,Rates!$A$2:$B$3,2,0),1)</f>
        <v>1</v>
      </c>
      <c r="J193" t="str">
        <f t="shared" si="4"/>
        <v/>
      </c>
      <c r="K193" t="str">
        <f>IF(J193&lt;&gt;"",SUM($J$2:J193),"")</f>
        <v/>
      </c>
      <c r="L193">
        <f ca="1" t="shared" si="5"/>
        <v>45942</v>
      </c>
    </row>
    <row r="194" spans="9:12">
      <c r="I194">
        <f>IFERROR(VLOOKUP(H194,Rates!$A$2:$B$3,2,0),1)</f>
        <v>1</v>
      </c>
      <c r="J194" t="str">
        <f t="shared" ref="J194:J257" si="6">IF(G194&lt;&gt;"",G194*I194,"")</f>
        <v/>
      </c>
      <c r="K194" t="str">
        <f>IF(J194&lt;&gt;"",SUM($J$2:J194),"")</f>
        <v/>
      </c>
      <c r="L194">
        <f ca="1" t="shared" ref="L194:L257" si="7">IF(COUNTA(A194:K194)&gt;0,TODAY(),"")</f>
        <v>45942</v>
      </c>
    </row>
    <row r="195" spans="9:12">
      <c r="I195">
        <f>IFERROR(VLOOKUP(H195,Rates!$A$2:$B$3,2,0),1)</f>
        <v>1</v>
      </c>
      <c r="J195" t="str">
        <f t="shared" si="6"/>
        <v/>
      </c>
      <c r="K195" t="str">
        <f>IF(J195&lt;&gt;"",SUM($J$2:J195),"")</f>
        <v/>
      </c>
      <c r="L195">
        <f ca="1" t="shared" si="7"/>
        <v>45942</v>
      </c>
    </row>
    <row r="196" spans="9:12">
      <c r="I196">
        <f>IFERROR(VLOOKUP(H196,Rates!$A$2:$B$3,2,0),1)</f>
        <v>1</v>
      </c>
      <c r="J196" t="str">
        <f t="shared" si="6"/>
        <v/>
      </c>
      <c r="K196" t="str">
        <f>IF(J196&lt;&gt;"",SUM($J$2:J196),"")</f>
        <v/>
      </c>
      <c r="L196">
        <f ca="1" t="shared" si="7"/>
        <v>45942</v>
      </c>
    </row>
    <row r="197" spans="9:12">
      <c r="I197">
        <f>IFERROR(VLOOKUP(H197,Rates!$A$2:$B$3,2,0),1)</f>
        <v>1</v>
      </c>
      <c r="J197" t="str">
        <f t="shared" si="6"/>
        <v/>
      </c>
      <c r="K197" t="str">
        <f>IF(J197&lt;&gt;"",SUM($J$2:J197),"")</f>
        <v/>
      </c>
      <c r="L197">
        <f ca="1" t="shared" si="7"/>
        <v>45942</v>
      </c>
    </row>
    <row r="198" spans="9:12">
      <c r="I198">
        <f>IFERROR(VLOOKUP(H198,Rates!$A$2:$B$3,2,0),1)</f>
        <v>1</v>
      </c>
      <c r="J198" t="str">
        <f t="shared" si="6"/>
        <v/>
      </c>
      <c r="K198" t="str">
        <f>IF(J198&lt;&gt;"",SUM($J$2:J198),"")</f>
        <v/>
      </c>
      <c r="L198">
        <f ca="1" t="shared" si="7"/>
        <v>45942</v>
      </c>
    </row>
    <row r="199" spans="9:12">
      <c r="I199">
        <f>IFERROR(VLOOKUP(H199,Rates!$A$2:$B$3,2,0),1)</f>
        <v>1</v>
      </c>
      <c r="J199" t="str">
        <f t="shared" si="6"/>
        <v/>
      </c>
      <c r="K199" t="str">
        <f>IF(J199&lt;&gt;"",SUM($J$2:J199),"")</f>
        <v/>
      </c>
      <c r="L199">
        <f ca="1" t="shared" si="7"/>
        <v>45942</v>
      </c>
    </row>
    <row r="200" spans="9:12">
      <c r="I200">
        <f>IFERROR(VLOOKUP(H200,Rates!$A$2:$B$3,2,0),1)</f>
        <v>1</v>
      </c>
      <c r="J200" t="str">
        <f t="shared" si="6"/>
        <v/>
      </c>
      <c r="K200" t="str">
        <f>IF(J200&lt;&gt;"",SUM($J$2:J200),"")</f>
        <v/>
      </c>
      <c r="L200">
        <f ca="1" t="shared" si="7"/>
        <v>45942</v>
      </c>
    </row>
    <row r="201" spans="9:12">
      <c r="I201">
        <f>IFERROR(VLOOKUP(H201,Rates!$A$2:$B$3,2,0),1)</f>
        <v>1</v>
      </c>
      <c r="J201" t="str">
        <f t="shared" si="6"/>
        <v/>
      </c>
      <c r="K201" t="str">
        <f>IF(J201&lt;&gt;"",SUM($J$2:J201),"")</f>
        <v/>
      </c>
      <c r="L201">
        <f ca="1" t="shared" si="7"/>
        <v>45942</v>
      </c>
    </row>
    <row r="202" spans="9:12">
      <c r="I202">
        <f>IFERROR(VLOOKUP(H202,Rates!$A$2:$B$3,2,0),1)</f>
        <v>1</v>
      </c>
      <c r="J202" t="str">
        <f t="shared" si="6"/>
        <v/>
      </c>
      <c r="K202" t="str">
        <f>IF(J202&lt;&gt;"",SUM($J$2:J202),"")</f>
        <v/>
      </c>
      <c r="L202">
        <f ca="1" t="shared" si="7"/>
        <v>45942</v>
      </c>
    </row>
    <row r="203" spans="9:12">
      <c r="I203">
        <f>IFERROR(VLOOKUP(H203,Rates!$A$2:$B$3,2,0),1)</f>
        <v>1</v>
      </c>
      <c r="J203" t="str">
        <f t="shared" si="6"/>
        <v/>
      </c>
      <c r="K203" t="str">
        <f>IF(J203&lt;&gt;"",SUM($J$2:J203),"")</f>
        <v/>
      </c>
      <c r="L203">
        <f ca="1" t="shared" si="7"/>
        <v>45942</v>
      </c>
    </row>
    <row r="204" spans="9:12">
      <c r="I204">
        <f>IFERROR(VLOOKUP(H204,Rates!$A$2:$B$3,2,0),1)</f>
        <v>1</v>
      </c>
      <c r="J204" t="str">
        <f t="shared" si="6"/>
        <v/>
      </c>
      <c r="K204" t="str">
        <f>IF(J204&lt;&gt;"",SUM($J$2:J204),"")</f>
        <v/>
      </c>
      <c r="L204">
        <f ca="1" t="shared" si="7"/>
        <v>45942</v>
      </c>
    </row>
    <row r="205" spans="9:12">
      <c r="I205">
        <f>IFERROR(VLOOKUP(H205,Rates!$A$2:$B$3,2,0),1)</f>
        <v>1</v>
      </c>
      <c r="J205" t="str">
        <f t="shared" si="6"/>
        <v/>
      </c>
      <c r="K205" t="str">
        <f>IF(J205&lt;&gt;"",SUM($J$2:J205),"")</f>
        <v/>
      </c>
      <c r="L205">
        <f ca="1" t="shared" si="7"/>
        <v>45942</v>
      </c>
    </row>
    <row r="206" spans="9:12">
      <c r="I206">
        <f>IFERROR(VLOOKUP(H206,Rates!$A$2:$B$3,2,0),1)</f>
        <v>1</v>
      </c>
      <c r="J206" t="str">
        <f t="shared" si="6"/>
        <v/>
      </c>
      <c r="K206" t="str">
        <f>IF(J206&lt;&gt;"",SUM($J$2:J206),"")</f>
        <v/>
      </c>
      <c r="L206">
        <f ca="1" t="shared" si="7"/>
        <v>45942</v>
      </c>
    </row>
    <row r="207" spans="9:12">
      <c r="I207">
        <f>IFERROR(VLOOKUP(H207,Rates!$A$2:$B$3,2,0),1)</f>
        <v>1</v>
      </c>
      <c r="J207" t="str">
        <f t="shared" si="6"/>
        <v/>
      </c>
      <c r="K207" t="str">
        <f>IF(J207&lt;&gt;"",SUM($J$2:J207),"")</f>
        <v/>
      </c>
      <c r="L207">
        <f ca="1" t="shared" si="7"/>
        <v>45942</v>
      </c>
    </row>
    <row r="208" spans="9:12">
      <c r="I208">
        <f>IFERROR(VLOOKUP(H208,Rates!$A$2:$B$3,2,0),1)</f>
        <v>1</v>
      </c>
      <c r="J208" t="str">
        <f t="shared" si="6"/>
        <v/>
      </c>
      <c r="K208" t="str">
        <f>IF(J208&lt;&gt;"",SUM($J$2:J208),"")</f>
        <v/>
      </c>
      <c r="L208">
        <f ca="1" t="shared" si="7"/>
        <v>45942</v>
      </c>
    </row>
    <row r="209" spans="9:12">
      <c r="I209">
        <f>IFERROR(VLOOKUP(H209,Rates!$A$2:$B$3,2,0),1)</f>
        <v>1</v>
      </c>
      <c r="J209" t="str">
        <f t="shared" si="6"/>
        <v/>
      </c>
      <c r="K209" t="str">
        <f>IF(J209&lt;&gt;"",SUM($J$2:J209),"")</f>
        <v/>
      </c>
      <c r="L209">
        <f ca="1" t="shared" si="7"/>
        <v>45942</v>
      </c>
    </row>
    <row r="210" spans="9:12">
      <c r="I210">
        <f>IFERROR(VLOOKUP(H210,Rates!$A$2:$B$3,2,0),1)</f>
        <v>1</v>
      </c>
      <c r="J210" t="str">
        <f t="shared" si="6"/>
        <v/>
      </c>
      <c r="K210" t="str">
        <f>IF(J210&lt;&gt;"",SUM($J$2:J210),"")</f>
        <v/>
      </c>
      <c r="L210">
        <f ca="1" t="shared" si="7"/>
        <v>45942</v>
      </c>
    </row>
    <row r="211" spans="9:12">
      <c r="I211">
        <f>IFERROR(VLOOKUP(H211,Rates!$A$2:$B$3,2,0),1)</f>
        <v>1</v>
      </c>
      <c r="J211" t="str">
        <f t="shared" si="6"/>
        <v/>
      </c>
      <c r="K211" t="str">
        <f>IF(J211&lt;&gt;"",SUM($J$2:J211),"")</f>
        <v/>
      </c>
      <c r="L211">
        <f ca="1" t="shared" si="7"/>
        <v>45942</v>
      </c>
    </row>
    <row r="212" spans="9:12">
      <c r="I212">
        <f>IFERROR(VLOOKUP(H212,Rates!$A$2:$B$3,2,0),1)</f>
        <v>1</v>
      </c>
      <c r="J212" t="str">
        <f t="shared" si="6"/>
        <v/>
      </c>
      <c r="K212" t="str">
        <f>IF(J212&lt;&gt;"",SUM($J$2:J212),"")</f>
        <v/>
      </c>
      <c r="L212">
        <f ca="1" t="shared" si="7"/>
        <v>45942</v>
      </c>
    </row>
    <row r="213" spans="9:12">
      <c r="I213">
        <f>IFERROR(VLOOKUP(H213,Rates!$A$2:$B$3,2,0),1)</f>
        <v>1</v>
      </c>
      <c r="J213" t="str">
        <f t="shared" si="6"/>
        <v/>
      </c>
      <c r="K213" t="str">
        <f>IF(J213&lt;&gt;"",SUM($J$2:J213),"")</f>
        <v/>
      </c>
      <c r="L213">
        <f ca="1" t="shared" si="7"/>
        <v>45942</v>
      </c>
    </row>
    <row r="214" spans="9:12">
      <c r="I214">
        <f>IFERROR(VLOOKUP(H214,Rates!$A$2:$B$3,2,0),1)</f>
        <v>1</v>
      </c>
      <c r="J214" t="str">
        <f t="shared" si="6"/>
        <v/>
      </c>
      <c r="K214" t="str">
        <f>IF(J214&lt;&gt;"",SUM($J$2:J214),"")</f>
        <v/>
      </c>
      <c r="L214">
        <f ca="1" t="shared" si="7"/>
        <v>45942</v>
      </c>
    </row>
    <row r="215" spans="9:12">
      <c r="I215">
        <f>IFERROR(VLOOKUP(H215,Rates!$A$2:$B$3,2,0),1)</f>
        <v>1</v>
      </c>
      <c r="J215" t="str">
        <f t="shared" si="6"/>
        <v/>
      </c>
      <c r="K215" t="str">
        <f>IF(J215&lt;&gt;"",SUM($J$2:J215),"")</f>
        <v/>
      </c>
      <c r="L215">
        <f ca="1" t="shared" si="7"/>
        <v>45942</v>
      </c>
    </row>
    <row r="216" spans="9:12">
      <c r="I216">
        <f>IFERROR(VLOOKUP(H216,Rates!$A$2:$B$3,2,0),1)</f>
        <v>1</v>
      </c>
      <c r="J216" t="str">
        <f t="shared" si="6"/>
        <v/>
      </c>
      <c r="K216" t="str">
        <f>IF(J216&lt;&gt;"",SUM($J$2:J216),"")</f>
        <v/>
      </c>
      <c r="L216">
        <f ca="1" t="shared" si="7"/>
        <v>45942</v>
      </c>
    </row>
    <row r="217" spans="9:12">
      <c r="I217">
        <f>IFERROR(VLOOKUP(H217,Rates!$A$2:$B$3,2,0),1)</f>
        <v>1</v>
      </c>
      <c r="J217" t="str">
        <f t="shared" si="6"/>
        <v/>
      </c>
      <c r="K217" t="str">
        <f>IF(J217&lt;&gt;"",SUM($J$2:J217),"")</f>
        <v/>
      </c>
      <c r="L217">
        <f ca="1" t="shared" si="7"/>
        <v>45942</v>
      </c>
    </row>
    <row r="218" spans="9:12">
      <c r="I218">
        <f>IFERROR(VLOOKUP(H218,Rates!$A$2:$B$3,2,0),1)</f>
        <v>1</v>
      </c>
      <c r="J218" t="str">
        <f t="shared" si="6"/>
        <v/>
      </c>
      <c r="K218" t="str">
        <f>IF(J218&lt;&gt;"",SUM($J$2:J218),"")</f>
        <v/>
      </c>
      <c r="L218">
        <f ca="1" t="shared" si="7"/>
        <v>45942</v>
      </c>
    </row>
    <row r="219" spans="9:12">
      <c r="I219">
        <f>IFERROR(VLOOKUP(H219,Rates!$A$2:$B$3,2,0),1)</f>
        <v>1</v>
      </c>
      <c r="J219" t="str">
        <f t="shared" si="6"/>
        <v/>
      </c>
      <c r="K219" t="str">
        <f>IF(J219&lt;&gt;"",SUM($J$2:J219),"")</f>
        <v/>
      </c>
      <c r="L219">
        <f ca="1" t="shared" si="7"/>
        <v>45942</v>
      </c>
    </row>
    <row r="220" spans="9:12">
      <c r="I220">
        <f>IFERROR(VLOOKUP(H220,Rates!$A$2:$B$3,2,0),1)</f>
        <v>1</v>
      </c>
      <c r="J220" t="str">
        <f t="shared" si="6"/>
        <v/>
      </c>
      <c r="K220" t="str">
        <f>IF(J220&lt;&gt;"",SUM($J$2:J220),"")</f>
        <v/>
      </c>
      <c r="L220">
        <f ca="1" t="shared" si="7"/>
        <v>45942</v>
      </c>
    </row>
    <row r="221" spans="9:12">
      <c r="I221">
        <f>IFERROR(VLOOKUP(H221,Rates!$A$2:$B$3,2,0),1)</f>
        <v>1</v>
      </c>
      <c r="J221" t="str">
        <f t="shared" si="6"/>
        <v/>
      </c>
      <c r="K221" t="str">
        <f>IF(J221&lt;&gt;"",SUM($J$2:J221),"")</f>
        <v/>
      </c>
      <c r="L221">
        <f ca="1" t="shared" si="7"/>
        <v>45942</v>
      </c>
    </row>
    <row r="222" spans="9:12">
      <c r="I222">
        <f>IFERROR(VLOOKUP(H222,Rates!$A$2:$B$3,2,0),1)</f>
        <v>1</v>
      </c>
      <c r="J222" t="str">
        <f t="shared" si="6"/>
        <v/>
      </c>
      <c r="K222" t="str">
        <f>IF(J222&lt;&gt;"",SUM($J$2:J222),"")</f>
        <v/>
      </c>
      <c r="L222">
        <f ca="1" t="shared" si="7"/>
        <v>45942</v>
      </c>
    </row>
    <row r="223" spans="9:12">
      <c r="I223">
        <f>IFERROR(VLOOKUP(H223,Rates!$A$2:$B$3,2,0),1)</f>
        <v>1</v>
      </c>
      <c r="J223" t="str">
        <f t="shared" si="6"/>
        <v/>
      </c>
      <c r="K223" t="str">
        <f>IF(J223&lt;&gt;"",SUM($J$2:J223),"")</f>
        <v/>
      </c>
      <c r="L223">
        <f ca="1" t="shared" si="7"/>
        <v>45942</v>
      </c>
    </row>
    <row r="224" spans="9:12">
      <c r="I224">
        <f>IFERROR(VLOOKUP(H224,Rates!$A$2:$B$3,2,0),1)</f>
        <v>1</v>
      </c>
      <c r="J224" t="str">
        <f t="shared" si="6"/>
        <v/>
      </c>
      <c r="K224" t="str">
        <f>IF(J224&lt;&gt;"",SUM($J$2:J224),"")</f>
        <v/>
      </c>
      <c r="L224">
        <f ca="1" t="shared" si="7"/>
        <v>45942</v>
      </c>
    </row>
    <row r="225" spans="9:12">
      <c r="I225">
        <f>IFERROR(VLOOKUP(H225,Rates!$A$2:$B$3,2,0),1)</f>
        <v>1</v>
      </c>
      <c r="J225" t="str">
        <f t="shared" si="6"/>
        <v/>
      </c>
      <c r="K225" t="str">
        <f>IF(J225&lt;&gt;"",SUM($J$2:J225),"")</f>
        <v/>
      </c>
      <c r="L225">
        <f ca="1" t="shared" si="7"/>
        <v>45942</v>
      </c>
    </row>
    <row r="226" spans="9:12">
      <c r="I226">
        <f>IFERROR(VLOOKUP(H226,Rates!$A$2:$B$3,2,0),1)</f>
        <v>1</v>
      </c>
      <c r="J226" t="str">
        <f t="shared" si="6"/>
        <v/>
      </c>
      <c r="K226" t="str">
        <f>IF(J226&lt;&gt;"",SUM($J$2:J226),"")</f>
        <v/>
      </c>
      <c r="L226">
        <f ca="1" t="shared" si="7"/>
        <v>45942</v>
      </c>
    </row>
    <row r="227" spans="9:12">
      <c r="I227">
        <f>IFERROR(VLOOKUP(H227,Rates!$A$2:$B$3,2,0),1)</f>
        <v>1</v>
      </c>
      <c r="J227" t="str">
        <f t="shared" si="6"/>
        <v/>
      </c>
      <c r="K227" t="str">
        <f>IF(J227&lt;&gt;"",SUM($J$2:J227),"")</f>
        <v/>
      </c>
      <c r="L227">
        <f ca="1" t="shared" si="7"/>
        <v>45942</v>
      </c>
    </row>
    <row r="228" spans="9:12">
      <c r="I228">
        <f>IFERROR(VLOOKUP(H228,Rates!$A$2:$B$3,2,0),1)</f>
        <v>1</v>
      </c>
      <c r="J228" t="str">
        <f t="shared" si="6"/>
        <v/>
      </c>
      <c r="K228" t="str">
        <f>IF(J228&lt;&gt;"",SUM($J$2:J228),"")</f>
        <v/>
      </c>
      <c r="L228">
        <f ca="1" t="shared" si="7"/>
        <v>45942</v>
      </c>
    </row>
    <row r="229" spans="9:12">
      <c r="I229">
        <f>IFERROR(VLOOKUP(H229,Rates!$A$2:$B$3,2,0),1)</f>
        <v>1</v>
      </c>
      <c r="J229" t="str">
        <f t="shared" si="6"/>
        <v/>
      </c>
      <c r="K229" t="str">
        <f>IF(J229&lt;&gt;"",SUM($J$2:J229),"")</f>
        <v/>
      </c>
      <c r="L229">
        <f ca="1" t="shared" si="7"/>
        <v>45942</v>
      </c>
    </row>
    <row r="230" spans="9:12">
      <c r="I230">
        <f>IFERROR(VLOOKUP(H230,Rates!$A$2:$B$3,2,0),1)</f>
        <v>1</v>
      </c>
      <c r="J230" t="str">
        <f t="shared" si="6"/>
        <v/>
      </c>
      <c r="K230" t="str">
        <f>IF(J230&lt;&gt;"",SUM($J$2:J230),"")</f>
        <v/>
      </c>
      <c r="L230">
        <f ca="1" t="shared" si="7"/>
        <v>45942</v>
      </c>
    </row>
    <row r="231" spans="9:12">
      <c r="I231">
        <f>IFERROR(VLOOKUP(H231,Rates!$A$2:$B$3,2,0),1)</f>
        <v>1</v>
      </c>
      <c r="J231" t="str">
        <f t="shared" si="6"/>
        <v/>
      </c>
      <c r="K231" t="str">
        <f>IF(J231&lt;&gt;"",SUM($J$2:J231),"")</f>
        <v/>
      </c>
      <c r="L231">
        <f ca="1" t="shared" si="7"/>
        <v>45942</v>
      </c>
    </row>
    <row r="232" spans="9:12">
      <c r="I232">
        <f>IFERROR(VLOOKUP(H232,Rates!$A$2:$B$3,2,0),1)</f>
        <v>1</v>
      </c>
      <c r="J232" t="str">
        <f t="shared" si="6"/>
        <v/>
      </c>
      <c r="K232" t="str">
        <f>IF(J232&lt;&gt;"",SUM($J$2:J232),"")</f>
        <v/>
      </c>
      <c r="L232">
        <f ca="1" t="shared" si="7"/>
        <v>45942</v>
      </c>
    </row>
    <row r="233" spans="9:12">
      <c r="I233">
        <f>IFERROR(VLOOKUP(H233,Rates!$A$2:$B$3,2,0),1)</f>
        <v>1</v>
      </c>
      <c r="J233" t="str">
        <f t="shared" si="6"/>
        <v/>
      </c>
      <c r="K233" t="str">
        <f>IF(J233&lt;&gt;"",SUM($J$2:J233),"")</f>
        <v/>
      </c>
      <c r="L233">
        <f ca="1" t="shared" si="7"/>
        <v>45942</v>
      </c>
    </row>
    <row r="234" spans="9:12">
      <c r="I234">
        <f>IFERROR(VLOOKUP(H234,Rates!$A$2:$B$3,2,0),1)</f>
        <v>1</v>
      </c>
      <c r="J234" t="str">
        <f t="shared" si="6"/>
        <v/>
      </c>
      <c r="K234" t="str">
        <f>IF(J234&lt;&gt;"",SUM($J$2:J234),"")</f>
        <v/>
      </c>
      <c r="L234">
        <f ca="1" t="shared" si="7"/>
        <v>45942</v>
      </c>
    </row>
    <row r="235" spans="9:12">
      <c r="I235">
        <f>IFERROR(VLOOKUP(H235,Rates!$A$2:$B$3,2,0),1)</f>
        <v>1</v>
      </c>
      <c r="J235" t="str">
        <f t="shared" si="6"/>
        <v/>
      </c>
      <c r="K235" t="str">
        <f>IF(J235&lt;&gt;"",SUM($J$2:J235),"")</f>
        <v/>
      </c>
      <c r="L235">
        <f ca="1" t="shared" si="7"/>
        <v>45942</v>
      </c>
    </row>
    <row r="236" spans="9:12">
      <c r="I236">
        <f>IFERROR(VLOOKUP(H236,Rates!$A$2:$B$3,2,0),1)</f>
        <v>1</v>
      </c>
      <c r="J236" t="str">
        <f t="shared" si="6"/>
        <v/>
      </c>
      <c r="K236" t="str">
        <f>IF(J236&lt;&gt;"",SUM($J$2:J236),"")</f>
        <v/>
      </c>
      <c r="L236">
        <f ca="1" t="shared" si="7"/>
        <v>45942</v>
      </c>
    </row>
    <row r="237" spans="9:12">
      <c r="I237">
        <f>IFERROR(VLOOKUP(H237,Rates!$A$2:$B$3,2,0),1)</f>
        <v>1</v>
      </c>
      <c r="J237" t="str">
        <f t="shared" si="6"/>
        <v/>
      </c>
      <c r="K237" t="str">
        <f>IF(J237&lt;&gt;"",SUM($J$2:J237),"")</f>
        <v/>
      </c>
      <c r="L237">
        <f ca="1" t="shared" si="7"/>
        <v>45942</v>
      </c>
    </row>
    <row r="238" spans="9:12">
      <c r="I238">
        <f>IFERROR(VLOOKUP(H238,Rates!$A$2:$B$3,2,0),1)</f>
        <v>1</v>
      </c>
      <c r="J238" t="str">
        <f t="shared" si="6"/>
        <v/>
      </c>
      <c r="K238" t="str">
        <f>IF(J238&lt;&gt;"",SUM($J$2:J238),"")</f>
        <v/>
      </c>
      <c r="L238">
        <f ca="1" t="shared" si="7"/>
        <v>45942</v>
      </c>
    </row>
    <row r="239" spans="9:12">
      <c r="I239">
        <f>IFERROR(VLOOKUP(H239,Rates!$A$2:$B$3,2,0),1)</f>
        <v>1</v>
      </c>
      <c r="J239" t="str">
        <f t="shared" si="6"/>
        <v/>
      </c>
      <c r="K239" t="str">
        <f>IF(J239&lt;&gt;"",SUM($J$2:J239),"")</f>
        <v/>
      </c>
      <c r="L239">
        <f ca="1" t="shared" si="7"/>
        <v>45942</v>
      </c>
    </row>
    <row r="240" spans="9:12">
      <c r="I240">
        <f>IFERROR(VLOOKUP(H240,Rates!$A$2:$B$3,2,0),1)</f>
        <v>1</v>
      </c>
      <c r="J240" t="str">
        <f t="shared" si="6"/>
        <v/>
      </c>
      <c r="K240" t="str">
        <f>IF(J240&lt;&gt;"",SUM($J$2:J240),"")</f>
        <v/>
      </c>
      <c r="L240">
        <f ca="1" t="shared" si="7"/>
        <v>45942</v>
      </c>
    </row>
    <row r="241" spans="9:12">
      <c r="I241">
        <f>IFERROR(VLOOKUP(H241,Rates!$A$2:$B$3,2,0),1)</f>
        <v>1</v>
      </c>
      <c r="J241" t="str">
        <f t="shared" si="6"/>
        <v/>
      </c>
      <c r="K241" t="str">
        <f>IF(J241&lt;&gt;"",SUM($J$2:J241),"")</f>
        <v/>
      </c>
      <c r="L241">
        <f ca="1" t="shared" si="7"/>
        <v>45942</v>
      </c>
    </row>
    <row r="242" spans="9:12">
      <c r="I242">
        <f>IFERROR(VLOOKUP(H242,Rates!$A$2:$B$3,2,0),1)</f>
        <v>1</v>
      </c>
      <c r="J242" t="str">
        <f t="shared" si="6"/>
        <v/>
      </c>
      <c r="K242" t="str">
        <f>IF(J242&lt;&gt;"",SUM($J$2:J242),"")</f>
        <v/>
      </c>
      <c r="L242">
        <f ca="1" t="shared" si="7"/>
        <v>45942</v>
      </c>
    </row>
    <row r="243" spans="9:12">
      <c r="I243">
        <f>IFERROR(VLOOKUP(H243,Rates!$A$2:$B$3,2,0),1)</f>
        <v>1</v>
      </c>
      <c r="J243" t="str">
        <f t="shared" si="6"/>
        <v/>
      </c>
      <c r="K243" t="str">
        <f>IF(J243&lt;&gt;"",SUM($J$2:J243),"")</f>
        <v/>
      </c>
      <c r="L243">
        <f ca="1" t="shared" si="7"/>
        <v>45942</v>
      </c>
    </row>
    <row r="244" spans="9:12">
      <c r="I244">
        <f>IFERROR(VLOOKUP(H244,Rates!$A$2:$B$3,2,0),1)</f>
        <v>1</v>
      </c>
      <c r="J244" t="str">
        <f t="shared" si="6"/>
        <v/>
      </c>
      <c r="K244" t="str">
        <f>IF(J244&lt;&gt;"",SUM($J$2:J244),"")</f>
        <v/>
      </c>
      <c r="L244">
        <f ca="1" t="shared" si="7"/>
        <v>45942</v>
      </c>
    </row>
    <row r="245" spans="9:12">
      <c r="I245">
        <f>IFERROR(VLOOKUP(H245,Rates!$A$2:$B$3,2,0),1)</f>
        <v>1</v>
      </c>
      <c r="J245" t="str">
        <f t="shared" si="6"/>
        <v/>
      </c>
      <c r="K245" t="str">
        <f>IF(J245&lt;&gt;"",SUM($J$2:J245),"")</f>
        <v/>
      </c>
      <c r="L245">
        <f ca="1" t="shared" si="7"/>
        <v>45942</v>
      </c>
    </row>
    <row r="246" spans="9:12">
      <c r="I246">
        <f>IFERROR(VLOOKUP(H246,Rates!$A$2:$B$3,2,0),1)</f>
        <v>1</v>
      </c>
      <c r="J246" t="str">
        <f t="shared" si="6"/>
        <v/>
      </c>
      <c r="K246" t="str">
        <f>IF(J246&lt;&gt;"",SUM($J$2:J246),"")</f>
        <v/>
      </c>
      <c r="L246">
        <f ca="1" t="shared" si="7"/>
        <v>45942</v>
      </c>
    </row>
    <row r="247" spans="9:12">
      <c r="I247">
        <f>IFERROR(VLOOKUP(H247,Rates!$A$2:$B$3,2,0),1)</f>
        <v>1</v>
      </c>
      <c r="J247" t="str">
        <f t="shared" si="6"/>
        <v/>
      </c>
      <c r="K247" t="str">
        <f>IF(J247&lt;&gt;"",SUM($J$2:J247),"")</f>
        <v/>
      </c>
      <c r="L247">
        <f ca="1" t="shared" si="7"/>
        <v>45942</v>
      </c>
    </row>
    <row r="248" spans="9:12">
      <c r="I248">
        <f>IFERROR(VLOOKUP(H248,Rates!$A$2:$B$3,2,0),1)</f>
        <v>1</v>
      </c>
      <c r="J248" t="str">
        <f t="shared" si="6"/>
        <v/>
      </c>
      <c r="K248" t="str">
        <f>IF(J248&lt;&gt;"",SUM($J$2:J248),"")</f>
        <v/>
      </c>
      <c r="L248">
        <f ca="1" t="shared" si="7"/>
        <v>45942</v>
      </c>
    </row>
    <row r="249" spans="9:12">
      <c r="I249">
        <f>IFERROR(VLOOKUP(H249,Rates!$A$2:$B$3,2,0),1)</f>
        <v>1</v>
      </c>
      <c r="J249" t="str">
        <f t="shared" si="6"/>
        <v/>
      </c>
      <c r="K249" t="str">
        <f>IF(J249&lt;&gt;"",SUM($J$2:J249),"")</f>
        <v/>
      </c>
      <c r="L249">
        <f ca="1" t="shared" si="7"/>
        <v>45942</v>
      </c>
    </row>
    <row r="250" spans="9:12">
      <c r="I250">
        <f>IFERROR(VLOOKUP(H250,Rates!$A$2:$B$3,2,0),1)</f>
        <v>1</v>
      </c>
      <c r="J250" t="str">
        <f t="shared" si="6"/>
        <v/>
      </c>
      <c r="K250" t="str">
        <f>IF(J250&lt;&gt;"",SUM($J$2:J250),"")</f>
        <v/>
      </c>
      <c r="L250">
        <f ca="1" t="shared" si="7"/>
        <v>45942</v>
      </c>
    </row>
    <row r="251" spans="9:12">
      <c r="I251">
        <f>IFERROR(VLOOKUP(H251,Rates!$A$2:$B$3,2,0),1)</f>
        <v>1</v>
      </c>
      <c r="J251" t="str">
        <f t="shared" si="6"/>
        <v/>
      </c>
      <c r="K251" t="str">
        <f>IF(J251&lt;&gt;"",SUM($J$2:J251),"")</f>
        <v/>
      </c>
      <c r="L251">
        <f ca="1" t="shared" si="7"/>
        <v>45942</v>
      </c>
    </row>
    <row r="252" spans="9:12">
      <c r="I252">
        <f>IFERROR(VLOOKUP(H252,Rates!$A$2:$B$3,2,0),1)</f>
        <v>1</v>
      </c>
      <c r="J252" t="str">
        <f t="shared" si="6"/>
        <v/>
      </c>
      <c r="K252" t="str">
        <f>IF(J252&lt;&gt;"",SUM($J$2:J252),"")</f>
        <v/>
      </c>
      <c r="L252">
        <f ca="1" t="shared" si="7"/>
        <v>45942</v>
      </c>
    </row>
    <row r="253" spans="9:12">
      <c r="I253">
        <f>IFERROR(VLOOKUP(H253,Rates!$A$2:$B$3,2,0),1)</f>
        <v>1</v>
      </c>
      <c r="J253" t="str">
        <f t="shared" si="6"/>
        <v/>
      </c>
      <c r="K253" t="str">
        <f>IF(J253&lt;&gt;"",SUM($J$2:J253),"")</f>
        <v/>
      </c>
      <c r="L253">
        <f ca="1" t="shared" si="7"/>
        <v>45942</v>
      </c>
    </row>
    <row r="254" spans="9:12">
      <c r="I254">
        <f>IFERROR(VLOOKUP(H254,Rates!$A$2:$B$3,2,0),1)</f>
        <v>1</v>
      </c>
      <c r="J254" t="str">
        <f t="shared" si="6"/>
        <v/>
      </c>
      <c r="K254" t="str">
        <f>IF(J254&lt;&gt;"",SUM($J$2:J254),"")</f>
        <v/>
      </c>
      <c r="L254">
        <f ca="1" t="shared" si="7"/>
        <v>45942</v>
      </c>
    </row>
    <row r="255" spans="9:12">
      <c r="I255">
        <f>IFERROR(VLOOKUP(H255,Rates!$A$2:$B$3,2,0),1)</f>
        <v>1</v>
      </c>
      <c r="J255" t="str">
        <f t="shared" si="6"/>
        <v/>
      </c>
      <c r="K255" t="str">
        <f>IF(J255&lt;&gt;"",SUM($J$2:J255),"")</f>
        <v/>
      </c>
      <c r="L255">
        <f ca="1" t="shared" si="7"/>
        <v>45942</v>
      </c>
    </row>
    <row r="256" spans="9:12">
      <c r="I256">
        <f>IFERROR(VLOOKUP(H256,Rates!$A$2:$B$3,2,0),1)</f>
        <v>1</v>
      </c>
      <c r="J256" t="str">
        <f t="shared" si="6"/>
        <v/>
      </c>
      <c r="K256" t="str">
        <f>IF(J256&lt;&gt;"",SUM($J$2:J256),"")</f>
        <v/>
      </c>
      <c r="L256">
        <f ca="1" t="shared" si="7"/>
        <v>45942</v>
      </c>
    </row>
    <row r="257" spans="9:12">
      <c r="I257">
        <f>IFERROR(VLOOKUP(H257,Rates!$A$2:$B$3,2,0),1)</f>
        <v>1</v>
      </c>
      <c r="J257" t="str">
        <f t="shared" si="6"/>
        <v/>
      </c>
      <c r="K257" t="str">
        <f>IF(J257&lt;&gt;"",SUM($J$2:J257),"")</f>
        <v/>
      </c>
      <c r="L257">
        <f ca="1" t="shared" si="7"/>
        <v>45942</v>
      </c>
    </row>
    <row r="258" spans="9:12">
      <c r="I258">
        <f>IFERROR(VLOOKUP(H258,Rates!$A$2:$B$3,2,0),1)</f>
        <v>1</v>
      </c>
      <c r="J258" t="str">
        <f t="shared" ref="J258:J301" si="8">IF(G258&lt;&gt;"",G258*I258,"")</f>
        <v/>
      </c>
      <c r="K258" t="str">
        <f>IF(J258&lt;&gt;"",SUM($J$2:J258),"")</f>
        <v/>
      </c>
      <c r="L258">
        <f ca="1" t="shared" ref="L258:L301" si="9">IF(COUNTA(A258:K258)&gt;0,TODAY(),"")</f>
        <v>45942</v>
      </c>
    </row>
    <row r="259" spans="9:12">
      <c r="I259">
        <f>IFERROR(VLOOKUP(H259,Rates!$A$2:$B$3,2,0),1)</f>
        <v>1</v>
      </c>
      <c r="J259" t="str">
        <f t="shared" si="8"/>
        <v/>
      </c>
      <c r="K259" t="str">
        <f>IF(J259&lt;&gt;"",SUM($J$2:J259),"")</f>
        <v/>
      </c>
      <c r="L259">
        <f ca="1" t="shared" si="9"/>
        <v>45942</v>
      </c>
    </row>
    <row r="260" spans="9:12">
      <c r="I260">
        <f>IFERROR(VLOOKUP(H260,Rates!$A$2:$B$3,2,0),1)</f>
        <v>1</v>
      </c>
      <c r="J260" t="str">
        <f t="shared" si="8"/>
        <v/>
      </c>
      <c r="K260" t="str">
        <f>IF(J260&lt;&gt;"",SUM($J$2:J260),"")</f>
        <v/>
      </c>
      <c r="L260">
        <f ca="1" t="shared" si="9"/>
        <v>45942</v>
      </c>
    </row>
    <row r="261" spans="9:12">
      <c r="I261">
        <f>IFERROR(VLOOKUP(H261,Rates!$A$2:$B$3,2,0),1)</f>
        <v>1</v>
      </c>
      <c r="J261" t="str">
        <f t="shared" si="8"/>
        <v/>
      </c>
      <c r="K261" t="str">
        <f>IF(J261&lt;&gt;"",SUM($J$2:J261),"")</f>
        <v/>
      </c>
      <c r="L261">
        <f ca="1" t="shared" si="9"/>
        <v>45942</v>
      </c>
    </row>
    <row r="262" spans="9:12">
      <c r="I262">
        <f>IFERROR(VLOOKUP(H262,Rates!$A$2:$B$3,2,0),1)</f>
        <v>1</v>
      </c>
      <c r="J262" t="str">
        <f t="shared" si="8"/>
        <v/>
      </c>
      <c r="K262" t="str">
        <f>IF(J262&lt;&gt;"",SUM($J$2:J262),"")</f>
        <v/>
      </c>
      <c r="L262">
        <f ca="1" t="shared" si="9"/>
        <v>45942</v>
      </c>
    </row>
    <row r="263" spans="9:12">
      <c r="I263">
        <f>IFERROR(VLOOKUP(H263,Rates!$A$2:$B$3,2,0),1)</f>
        <v>1</v>
      </c>
      <c r="J263" t="str">
        <f t="shared" si="8"/>
        <v/>
      </c>
      <c r="K263" t="str">
        <f>IF(J263&lt;&gt;"",SUM($J$2:J263),"")</f>
        <v/>
      </c>
      <c r="L263">
        <f ca="1" t="shared" si="9"/>
        <v>45942</v>
      </c>
    </row>
    <row r="264" spans="9:12">
      <c r="I264">
        <f>IFERROR(VLOOKUP(H264,Rates!$A$2:$B$3,2,0),1)</f>
        <v>1</v>
      </c>
      <c r="J264" t="str">
        <f t="shared" si="8"/>
        <v/>
      </c>
      <c r="K264" t="str">
        <f>IF(J264&lt;&gt;"",SUM($J$2:J264),"")</f>
        <v/>
      </c>
      <c r="L264">
        <f ca="1" t="shared" si="9"/>
        <v>45942</v>
      </c>
    </row>
    <row r="265" spans="9:12">
      <c r="I265">
        <f>IFERROR(VLOOKUP(H265,Rates!$A$2:$B$3,2,0),1)</f>
        <v>1</v>
      </c>
      <c r="J265" t="str">
        <f t="shared" si="8"/>
        <v/>
      </c>
      <c r="K265" t="str">
        <f>IF(J265&lt;&gt;"",SUM($J$2:J265),"")</f>
        <v/>
      </c>
      <c r="L265">
        <f ca="1" t="shared" si="9"/>
        <v>45942</v>
      </c>
    </row>
    <row r="266" spans="9:12">
      <c r="I266">
        <f>IFERROR(VLOOKUP(H266,Rates!$A$2:$B$3,2,0),1)</f>
        <v>1</v>
      </c>
      <c r="J266" t="str">
        <f t="shared" si="8"/>
        <v/>
      </c>
      <c r="K266" t="str">
        <f>IF(J266&lt;&gt;"",SUM($J$2:J266),"")</f>
        <v/>
      </c>
      <c r="L266">
        <f ca="1" t="shared" si="9"/>
        <v>45942</v>
      </c>
    </row>
    <row r="267" spans="9:12">
      <c r="I267">
        <f>IFERROR(VLOOKUP(H267,Rates!$A$2:$B$3,2,0),1)</f>
        <v>1</v>
      </c>
      <c r="J267" t="str">
        <f t="shared" si="8"/>
        <v/>
      </c>
      <c r="K267" t="str">
        <f>IF(J267&lt;&gt;"",SUM($J$2:J267),"")</f>
        <v/>
      </c>
      <c r="L267">
        <f ca="1" t="shared" si="9"/>
        <v>45942</v>
      </c>
    </row>
    <row r="268" spans="9:12">
      <c r="I268">
        <f>IFERROR(VLOOKUP(H268,Rates!$A$2:$B$3,2,0),1)</f>
        <v>1</v>
      </c>
      <c r="J268" t="str">
        <f t="shared" si="8"/>
        <v/>
      </c>
      <c r="K268" t="str">
        <f>IF(J268&lt;&gt;"",SUM($J$2:J268),"")</f>
        <v/>
      </c>
      <c r="L268">
        <f ca="1" t="shared" si="9"/>
        <v>45942</v>
      </c>
    </row>
    <row r="269" spans="9:12">
      <c r="I269">
        <f>IFERROR(VLOOKUP(H269,Rates!$A$2:$B$3,2,0),1)</f>
        <v>1</v>
      </c>
      <c r="J269" t="str">
        <f t="shared" si="8"/>
        <v/>
      </c>
      <c r="K269" t="str">
        <f>IF(J269&lt;&gt;"",SUM($J$2:J269),"")</f>
        <v/>
      </c>
      <c r="L269">
        <f ca="1" t="shared" si="9"/>
        <v>45942</v>
      </c>
    </row>
    <row r="270" spans="9:12">
      <c r="I270">
        <f>IFERROR(VLOOKUP(H270,Rates!$A$2:$B$3,2,0),1)</f>
        <v>1</v>
      </c>
      <c r="J270" t="str">
        <f t="shared" si="8"/>
        <v/>
      </c>
      <c r="K270" t="str">
        <f>IF(J270&lt;&gt;"",SUM($J$2:J270),"")</f>
        <v/>
      </c>
      <c r="L270">
        <f ca="1" t="shared" si="9"/>
        <v>45942</v>
      </c>
    </row>
    <row r="271" spans="9:12">
      <c r="I271">
        <f>IFERROR(VLOOKUP(H271,Rates!$A$2:$B$3,2,0),1)</f>
        <v>1</v>
      </c>
      <c r="J271" t="str">
        <f t="shared" si="8"/>
        <v/>
      </c>
      <c r="K271" t="str">
        <f>IF(J271&lt;&gt;"",SUM($J$2:J271),"")</f>
        <v/>
      </c>
      <c r="L271">
        <f ca="1" t="shared" si="9"/>
        <v>45942</v>
      </c>
    </row>
    <row r="272" spans="9:12">
      <c r="I272">
        <f>IFERROR(VLOOKUP(H272,Rates!$A$2:$B$3,2,0),1)</f>
        <v>1</v>
      </c>
      <c r="J272" t="str">
        <f t="shared" si="8"/>
        <v/>
      </c>
      <c r="K272" t="str">
        <f>IF(J272&lt;&gt;"",SUM($J$2:J272),"")</f>
        <v/>
      </c>
      <c r="L272">
        <f ca="1" t="shared" si="9"/>
        <v>45942</v>
      </c>
    </row>
    <row r="273" spans="9:12">
      <c r="I273">
        <f>IFERROR(VLOOKUP(H273,Rates!$A$2:$B$3,2,0),1)</f>
        <v>1</v>
      </c>
      <c r="J273" t="str">
        <f t="shared" si="8"/>
        <v/>
      </c>
      <c r="K273" t="str">
        <f>IF(J273&lt;&gt;"",SUM($J$2:J273),"")</f>
        <v/>
      </c>
      <c r="L273">
        <f ca="1" t="shared" si="9"/>
        <v>45942</v>
      </c>
    </row>
    <row r="274" spans="9:12">
      <c r="I274">
        <f>IFERROR(VLOOKUP(H274,Rates!$A$2:$B$3,2,0),1)</f>
        <v>1</v>
      </c>
      <c r="J274" t="str">
        <f t="shared" si="8"/>
        <v/>
      </c>
      <c r="K274" t="str">
        <f>IF(J274&lt;&gt;"",SUM($J$2:J274),"")</f>
        <v/>
      </c>
      <c r="L274">
        <f ca="1" t="shared" si="9"/>
        <v>45942</v>
      </c>
    </row>
    <row r="275" spans="9:12">
      <c r="I275">
        <f>IFERROR(VLOOKUP(H275,Rates!$A$2:$B$3,2,0),1)</f>
        <v>1</v>
      </c>
      <c r="J275" t="str">
        <f t="shared" si="8"/>
        <v/>
      </c>
      <c r="K275" t="str">
        <f>IF(J275&lt;&gt;"",SUM($J$2:J275),"")</f>
        <v/>
      </c>
      <c r="L275">
        <f ca="1" t="shared" si="9"/>
        <v>45942</v>
      </c>
    </row>
    <row r="276" spans="9:12">
      <c r="I276">
        <f>IFERROR(VLOOKUP(H276,Rates!$A$2:$B$3,2,0),1)</f>
        <v>1</v>
      </c>
      <c r="J276" t="str">
        <f t="shared" si="8"/>
        <v/>
      </c>
      <c r="K276" t="str">
        <f>IF(J276&lt;&gt;"",SUM($J$2:J276),"")</f>
        <v/>
      </c>
      <c r="L276">
        <f ca="1" t="shared" si="9"/>
        <v>45942</v>
      </c>
    </row>
    <row r="277" spans="9:12">
      <c r="I277">
        <f>IFERROR(VLOOKUP(H277,Rates!$A$2:$B$3,2,0),1)</f>
        <v>1</v>
      </c>
      <c r="J277" t="str">
        <f t="shared" si="8"/>
        <v/>
      </c>
      <c r="K277" t="str">
        <f>IF(J277&lt;&gt;"",SUM($J$2:J277),"")</f>
        <v/>
      </c>
      <c r="L277">
        <f ca="1" t="shared" si="9"/>
        <v>45942</v>
      </c>
    </row>
    <row r="278" spans="9:12">
      <c r="I278">
        <f>IFERROR(VLOOKUP(H278,Rates!$A$2:$B$3,2,0),1)</f>
        <v>1</v>
      </c>
      <c r="J278" t="str">
        <f t="shared" si="8"/>
        <v/>
      </c>
      <c r="K278" t="str">
        <f>IF(J278&lt;&gt;"",SUM($J$2:J278),"")</f>
        <v/>
      </c>
      <c r="L278">
        <f ca="1" t="shared" si="9"/>
        <v>45942</v>
      </c>
    </row>
    <row r="279" spans="9:12">
      <c r="I279">
        <f>IFERROR(VLOOKUP(H279,Rates!$A$2:$B$3,2,0),1)</f>
        <v>1</v>
      </c>
      <c r="J279" t="str">
        <f t="shared" si="8"/>
        <v/>
      </c>
      <c r="K279" t="str">
        <f>IF(J279&lt;&gt;"",SUM($J$2:J279),"")</f>
        <v/>
      </c>
      <c r="L279">
        <f ca="1" t="shared" si="9"/>
        <v>45942</v>
      </c>
    </row>
    <row r="280" spans="9:12">
      <c r="I280">
        <f>IFERROR(VLOOKUP(H280,Rates!$A$2:$B$3,2,0),1)</f>
        <v>1</v>
      </c>
      <c r="J280" t="str">
        <f t="shared" si="8"/>
        <v/>
      </c>
      <c r="K280" t="str">
        <f>IF(J280&lt;&gt;"",SUM($J$2:J280),"")</f>
        <v/>
      </c>
      <c r="L280">
        <f ca="1" t="shared" si="9"/>
        <v>45942</v>
      </c>
    </row>
    <row r="281" spans="9:12">
      <c r="I281">
        <f>IFERROR(VLOOKUP(H281,Rates!$A$2:$B$3,2,0),1)</f>
        <v>1</v>
      </c>
      <c r="J281" t="str">
        <f t="shared" si="8"/>
        <v/>
      </c>
      <c r="K281" t="str">
        <f>IF(J281&lt;&gt;"",SUM($J$2:J281),"")</f>
        <v/>
      </c>
      <c r="L281">
        <f ca="1" t="shared" si="9"/>
        <v>45942</v>
      </c>
    </row>
    <row r="282" spans="9:12">
      <c r="I282">
        <f>IFERROR(VLOOKUP(H282,Rates!$A$2:$B$3,2,0),1)</f>
        <v>1</v>
      </c>
      <c r="J282" t="str">
        <f t="shared" si="8"/>
        <v/>
      </c>
      <c r="K282" t="str">
        <f>IF(J282&lt;&gt;"",SUM($J$2:J282),"")</f>
        <v/>
      </c>
      <c r="L282">
        <f ca="1" t="shared" si="9"/>
        <v>45942</v>
      </c>
    </row>
    <row r="283" spans="9:12">
      <c r="I283">
        <f>IFERROR(VLOOKUP(H283,Rates!$A$2:$B$3,2,0),1)</f>
        <v>1</v>
      </c>
      <c r="J283" t="str">
        <f t="shared" si="8"/>
        <v/>
      </c>
      <c r="K283" t="str">
        <f>IF(J283&lt;&gt;"",SUM($J$2:J283),"")</f>
        <v/>
      </c>
      <c r="L283">
        <f ca="1" t="shared" si="9"/>
        <v>45942</v>
      </c>
    </row>
    <row r="284" spans="9:12">
      <c r="I284">
        <f>IFERROR(VLOOKUP(H284,Rates!$A$2:$B$3,2,0),1)</f>
        <v>1</v>
      </c>
      <c r="J284" t="str">
        <f t="shared" si="8"/>
        <v/>
      </c>
      <c r="K284" t="str">
        <f>IF(J284&lt;&gt;"",SUM($J$2:J284),"")</f>
        <v/>
      </c>
      <c r="L284">
        <f ca="1" t="shared" si="9"/>
        <v>45942</v>
      </c>
    </row>
    <row r="285" spans="9:12">
      <c r="I285">
        <f>IFERROR(VLOOKUP(H285,Rates!$A$2:$B$3,2,0),1)</f>
        <v>1</v>
      </c>
      <c r="J285" t="str">
        <f t="shared" si="8"/>
        <v/>
      </c>
      <c r="K285" t="str">
        <f>IF(J285&lt;&gt;"",SUM($J$2:J285),"")</f>
        <v/>
      </c>
      <c r="L285">
        <f ca="1" t="shared" si="9"/>
        <v>45942</v>
      </c>
    </row>
    <row r="286" spans="9:12">
      <c r="I286">
        <f>IFERROR(VLOOKUP(H286,Rates!$A$2:$B$3,2,0),1)</f>
        <v>1</v>
      </c>
      <c r="J286" t="str">
        <f t="shared" si="8"/>
        <v/>
      </c>
      <c r="K286" t="str">
        <f>IF(J286&lt;&gt;"",SUM($J$2:J286),"")</f>
        <v/>
      </c>
      <c r="L286">
        <f ca="1" t="shared" si="9"/>
        <v>45942</v>
      </c>
    </row>
    <row r="287" spans="9:12">
      <c r="I287">
        <f>IFERROR(VLOOKUP(H287,Rates!$A$2:$B$3,2,0),1)</f>
        <v>1</v>
      </c>
      <c r="J287" t="str">
        <f t="shared" si="8"/>
        <v/>
      </c>
      <c r="K287" t="str">
        <f>IF(J287&lt;&gt;"",SUM($J$2:J287),"")</f>
        <v/>
      </c>
      <c r="L287">
        <f ca="1" t="shared" si="9"/>
        <v>45942</v>
      </c>
    </row>
    <row r="288" spans="9:12">
      <c r="I288">
        <f>IFERROR(VLOOKUP(H288,Rates!$A$2:$B$3,2,0),1)</f>
        <v>1</v>
      </c>
      <c r="J288" t="str">
        <f t="shared" si="8"/>
        <v/>
      </c>
      <c r="K288" t="str">
        <f>IF(J288&lt;&gt;"",SUM($J$2:J288),"")</f>
        <v/>
      </c>
      <c r="L288">
        <f ca="1" t="shared" si="9"/>
        <v>45942</v>
      </c>
    </row>
    <row r="289" spans="9:12">
      <c r="I289">
        <f>IFERROR(VLOOKUP(H289,Rates!$A$2:$B$3,2,0),1)</f>
        <v>1</v>
      </c>
      <c r="J289" t="str">
        <f t="shared" si="8"/>
        <v/>
      </c>
      <c r="K289" t="str">
        <f>IF(J289&lt;&gt;"",SUM($J$2:J289),"")</f>
        <v/>
      </c>
      <c r="L289">
        <f ca="1" t="shared" si="9"/>
        <v>45942</v>
      </c>
    </row>
    <row r="290" spans="9:12">
      <c r="I290">
        <f>IFERROR(VLOOKUP(H290,Rates!$A$2:$B$3,2,0),1)</f>
        <v>1</v>
      </c>
      <c r="J290" t="str">
        <f t="shared" si="8"/>
        <v/>
      </c>
      <c r="K290" t="str">
        <f>IF(J290&lt;&gt;"",SUM($J$2:J290),"")</f>
        <v/>
      </c>
      <c r="L290">
        <f ca="1" t="shared" si="9"/>
        <v>45942</v>
      </c>
    </row>
    <row r="291" spans="9:12">
      <c r="I291">
        <f>IFERROR(VLOOKUP(H291,Rates!$A$2:$B$3,2,0),1)</f>
        <v>1</v>
      </c>
      <c r="J291" t="str">
        <f t="shared" si="8"/>
        <v/>
      </c>
      <c r="K291" t="str">
        <f>IF(J291&lt;&gt;"",SUM($J$2:J291),"")</f>
        <v/>
      </c>
      <c r="L291">
        <f ca="1" t="shared" si="9"/>
        <v>45942</v>
      </c>
    </row>
    <row r="292" spans="9:12">
      <c r="I292">
        <f>IFERROR(VLOOKUP(H292,Rates!$A$2:$B$3,2,0),1)</f>
        <v>1</v>
      </c>
      <c r="J292" t="str">
        <f t="shared" si="8"/>
        <v/>
      </c>
      <c r="K292" t="str">
        <f>IF(J292&lt;&gt;"",SUM($J$2:J292),"")</f>
        <v/>
      </c>
      <c r="L292">
        <f ca="1" t="shared" si="9"/>
        <v>45942</v>
      </c>
    </row>
    <row r="293" spans="9:12">
      <c r="I293">
        <f>IFERROR(VLOOKUP(H293,Rates!$A$2:$B$3,2,0),1)</f>
        <v>1</v>
      </c>
      <c r="J293" t="str">
        <f t="shared" si="8"/>
        <v/>
      </c>
      <c r="K293" t="str">
        <f>IF(J293&lt;&gt;"",SUM($J$2:J293),"")</f>
        <v/>
      </c>
      <c r="L293">
        <f ca="1" t="shared" si="9"/>
        <v>45942</v>
      </c>
    </row>
    <row r="294" spans="9:12">
      <c r="I294">
        <f>IFERROR(VLOOKUP(H294,Rates!$A$2:$B$3,2,0),1)</f>
        <v>1</v>
      </c>
      <c r="J294" t="str">
        <f t="shared" si="8"/>
        <v/>
      </c>
      <c r="K294" t="str">
        <f>IF(J294&lt;&gt;"",SUM($J$2:J294),"")</f>
        <v/>
      </c>
      <c r="L294">
        <f ca="1" t="shared" si="9"/>
        <v>45942</v>
      </c>
    </row>
    <row r="295" spans="9:12">
      <c r="I295">
        <f>IFERROR(VLOOKUP(H295,Rates!$A$2:$B$3,2,0),1)</f>
        <v>1</v>
      </c>
      <c r="J295" t="str">
        <f t="shared" si="8"/>
        <v/>
      </c>
      <c r="K295" t="str">
        <f>IF(J295&lt;&gt;"",SUM($J$2:J295),"")</f>
        <v/>
      </c>
      <c r="L295">
        <f ca="1" t="shared" si="9"/>
        <v>45942</v>
      </c>
    </row>
    <row r="296" spans="9:12">
      <c r="I296">
        <f>IFERROR(VLOOKUP(H296,Rates!$A$2:$B$3,2,0),1)</f>
        <v>1</v>
      </c>
      <c r="J296" t="str">
        <f t="shared" si="8"/>
        <v/>
      </c>
      <c r="K296" t="str">
        <f>IF(J296&lt;&gt;"",SUM($J$2:J296),"")</f>
        <v/>
      </c>
      <c r="L296">
        <f ca="1" t="shared" si="9"/>
        <v>45942</v>
      </c>
    </row>
    <row r="297" spans="9:12">
      <c r="I297">
        <f>IFERROR(VLOOKUP(H297,Rates!$A$2:$B$3,2,0),1)</f>
        <v>1</v>
      </c>
      <c r="J297" t="str">
        <f t="shared" si="8"/>
        <v/>
      </c>
      <c r="K297" t="str">
        <f>IF(J297&lt;&gt;"",SUM($J$2:J297),"")</f>
        <v/>
      </c>
      <c r="L297">
        <f ca="1" t="shared" si="9"/>
        <v>45942</v>
      </c>
    </row>
    <row r="298" spans="9:12">
      <c r="I298">
        <f>IFERROR(VLOOKUP(H298,Rates!$A$2:$B$3,2,0),1)</f>
        <v>1</v>
      </c>
      <c r="J298" t="str">
        <f t="shared" si="8"/>
        <v/>
      </c>
      <c r="K298" t="str">
        <f>IF(J298&lt;&gt;"",SUM($J$2:J298),"")</f>
        <v/>
      </c>
      <c r="L298">
        <f ca="1" t="shared" si="9"/>
        <v>45942</v>
      </c>
    </row>
    <row r="299" spans="9:12">
      <c r="I299">
        <f>IFERROR(VLOOKUP(H299,Rates!$A$2:$B$3,2,0),1)</f>
        <v>1</v>
      </c>
      <c r="J299" t="str">
        <f t="shared" si="8"/>
        <v/>
      </c>
      <c r="K299" t="str">
        <f>IF(J299&lt;&gt;"",SUM($J$2:J299),"")</f>
        <v/>
      </c>
      <c r="L299">
        <f ca="1" t="shared" si="9"/>
        <v>45942</v>
      </c>
    </row>
    <row r="300" spans="9:12">
      <c r="I300">
        <f>IFERROR(VLOOKUP(H300,Rates!$A$2:$B$3,2,0),1)</f>
        <v>1</v>
      </c>
      <c r="J300" t="str">
        <f t="shared" si="8"/>
        <v/>
      </c>
      <c r="K300" t="str">
        <f>IF(J300&lt;&gt;"",SUM($J$2:J300),"")</f>
        <v/>
      </c>
      <c r="L300">
        <f ca="1" t="shared" si="9"/>
        <v>45942</v>
      </c>
    </row>
    <row r="301" spans="9:12">
      <c r="I301">
        <f>IFERROR(VLOOKUP(H301,Rates!$A$2:$B$3,2,0),1)</f>
        <v>1</v>
      </c>
      <c r="J301" t="str">
        <f t="shared" si="8"/>
        <v/>
      </c>
      <c r="K301" t="str">
        <f>IF(J301&lt;&gt;"",SUM($J$2:J301),"")</f>
        <v/>
      </c>
      <c r="L301">
        <f ca="1" t="shared" si="9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6"/>
  <sheetViews>
    <sheetView workbookViewId="0">
      <pane ySplit="1" topLeftCell="A2" activePane="bottomLeft" state="frozen"/>
      <selection/>
      <selection pane="bottomLeft" activeCell="B19" sqref="B19:L87"/>
    </sheetView>
  </sheetViews>
  <sheetFormatPr defaultColWidth="9" defaultRowHeight="16.8"/>
  <cols>
    <col min="1" max="1" width="22" customWidth="1"/>
    <col min="2" max="2" width="12" style="6" customWidth="1"/>
    <col min="3" max="4" width="16" customWidth="1"/>
    <col min="5" max="5" width="21.1875" customWidth="1"/>
    <col min="6" max="6" width="63.796875" customWidth="1"/>
    <col min="7" max="7" width="12" customWidth="1"/>
    <col min="8" max="9" width="10" customWidth="1"/>
    <col min="10" max="10" width="14" customWidth="1"/>
    <col min="11" max="11" width="16" customWidth="1"/>
    <col min="12" max="12" width="14" customWidth="1"/>
    <col min="14" max="14" width="2" customWidth="1"/>
    <col min="16" max="16" width="2" customWidth="1"/>
  </cols>
  <sheetData>
    <row r="1" spans="1:12">
      <c r="A1" t="s">
        <v>36</v>
      </c>
      <c r="B1" s="6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</row>
    <row r="2" spans="1:12">
      <c r="A2" t="s">
        <v>50</v>
      </c>
      <c r="B2" s="4">
        <v>45664</v>
      </c>
      <c r="F2" s="8" t="s">
        <v>64</v>
      </c>
      <c r="G2" s="8">
        <v>6429.95</v>
      </c>
      <c r="H2" t="s">
        <v>3</v>
      </c>
      <c r="I2">
        <f>IFERROR(VLOOKUP(H2,Rates!$A$2:$B$3,2,0),1)</f>
        <v>1</v>
      </c>
      <c r="J2">
        <f>IF(G2&lt;&gt;"",G2*I2,"")</f>
        <v>6429.95</v>
      </c>
      <c r="K2">
        <f>IF(J2&lt;&gt;"",J2,"")</f>
        <v>6429.95</v>
      </c>
      <c r="L2">
        <f ca="1">IF(COUNTA(A2:K2)&gt;0,TODAY(),"")</f>
        <v>45942</v>
      </c>
    </row>
    <row r="3" spans="1:12">
      <c r="A3" t="s">
        <v>50</v>
      </c>
      <c r="B3" s="4">
        <v>45695</v>
      </c>
      <c r="C3" t="s">
        <v>17</v>
      </c>
      <c r="E3" t="s">
        <v>44</v>
      </c>
      <c r="F3" s="8" t="s">
        <v>124</v>
      </c>
      <c r="G3" s="8">
        <v>500000</v>
      </c>
      <c r="H3" t="s">
        <v>3</v>
      </c>
      <c r="I3">
        <f>IFERROR(VLOOKUP(H3,Rates!$A$2:$B$3,2,0),1)</f>
        <v>1</v>
      </c>
      <c r="J3">
        <f>IF(G3&lt;&gt;"",G3*I3,"")</f>
        <v>500000</v>
      </c>
      <c r="K3">
        <f>IF(J3&lt;&gt;"",SUM($J$2:J3),"")</f>
        <v>506429.95</v>
      </c>
      <c r="L3">
        <f ca="1">IF(COUNTA(A3:K3)&gt;0,TODAY(),"")</f>
        <v>45942</v>
      </c>
    </row>
    <row r="4" spans="1:12">
      <c r="A4" t="s">
        <v>50</v>
      </c>
      <c r="B4" s="4">
        <v>45695</v>
      </c>
      <c r="C4" t="s">
        <v>5</v>
      </c>
      <c r="D4" t="s">
        <v>29</v>
      </c>
      <c r="F4" s="8" t="s">
        <v>125</v>
      </c>
      <c r="G4">
        <v>-200</v>
      </c>
      <c r="H4" t="s">
        <v>3</v>
      </c>
      <c r="I4">
        <f>IFERROR(VLOOKUP(H4,Rates!$A$2:$B$3,2,0),1)</f>
        <v>1</v>
      </c>
      <c r="J4">
        <f>IF(G4&lt;&gt;"",G4*I4,"")</f>
        <v>-200</v>
      </c>
      <c r="K4">
        <f>IF(J4&lt;&gt;"",SUM($J$2:J4),"")</f>
        <v>506229.95</v>
      </c>
      <c r="L4">
        <f ca="1">IF(COUNTA(A4:K4)&gt;0,TODAY(),"")</f>
        <v>45942</v>
      </c>
    </row>
    <row r="5" spans="1:12">
      <c r="A5" t="s">
        <v>50</v>
      </c>
      <c r="B5" s="4">
        <v>45695</v>
      </c>
      <c r="C5" t="s">
        <v>5</v>
      </c>
      <c r="D5" t="s">
        <v>29</v>
      </c>
      <c r="F5" s="8" t="s">
        <v>126</v>
      </c>
      <c r="G5">
        <v>-300000</v>
      </c>
      <c r="H5" t="s">
        <v>3</v>
      </c>
      <c r="I5">
        <f>IFERROR(VLOOKUP(H5,Rates!$A$2:$B$3,2,0),1)</f>
        <v>1</v>
      </c>
      <c r="J5">
        <f>IF(G5&lt;&gt;"",G5*I5,"")</f>
        <v>-300000</v>
      </c>
      <c r="K5">
        <f>IF(J5&lt;&gt;"",SUM($J$2:J5),"")</f>
        <v>206229.95</v>
      </c>
      <c r="L5">
        <f ca="1">IF(COUNTA(A5:K5)&gt;0,TODAY(),"")</f>
        <v>45942</v>
      </c>
    </row>
    <row r="6" spans="1:12">
      <c r="A6" t="s">
        <v>50</v>
      </c>
      <c r="B6" s="4">
        <v>45723</v>
      </c>
      <c r="C6" t="s">
        <v>11</v>
      </c>
      <c r="D6" t="s">
        <v>29</v>
      </c>
      <c r="F6" s="8" t="s">
        <v>127</v>
      </c>
      <c r="G6">
        <v>-50</v>
      </c>
      <c r="H6" t="s">
        <v>3</v>
      </c>
      <c r="I6">
        <f>IFERROR(VLOOKUP(H6,Rates!$A$2:$B$3,2,0),1)</f>
        <v>1</v>
      </c>
      <c r="J6">
        <f>IF(G6&lt;&gt;"",G6*I6,"")</f>
        <v>-50</v>
      </c>
      <c r="K6">
        <f>IF(J6&lt;&gt;"",SUM($J$2:J6),"")</f>
        <v>206179.95</v>
      </c>
      <c r="L6">
        <f ca="1">IF(COUNTA(A6:K6)&gt;0,TODAY(),"")</f>
        <v>45942</v>
      </c>
    </row>
    <row r="7" spans="1:12">
      <c r="A7" t="s">
        <v>50</v>
      </c>
      <c r="B7" s="4">
        <v>45723</v>
      </c>
      <c r="C7" t="s">
        <v>11</v>
      </c>
      <c r="D7" t="s">
        <v>29</v>
      </c>
      <c r="F7" s="8" t="s">
        <v>128</v>
      </c>
      <c r="G7">
        <v>-50000</v>
      </c>
      <c r="H7" t="s">
        <v>3</v>
      </c>
      <c r="I7">
        <f>IFERROR(VLOOKUP(H7,Rates!$A$2:$B$3,2,0),1)</f>
        <v>1</v>
      </c>
      <c r="J7">
        <f>IF(G7&lt;&gt;"",G7*I7,"")</f>
        <v>-50000</v>
      </c>
      <c r="K7">
        <f>IF(J7&lt;&gt;"",SUM($J$2:J7),"")</f>
        <v>156179.95</v>
      </c>
      <c r="L7">
        <f ca="1">IF(COUNTA(A7:K7)&gt;0,TODAY(),"")</f>
        <v>45942</v>
      </c>
    </row>
    <row r="8" spans="1:12">
      <c r="A8" t="s">
        <v>50</v>
      </c>
      <c r="B8" s="4">
        <v>45754</v>
      </c>
      <c r="C8" t="s">
        <v>11</v>
      </c>
      <c r="D8" t="s">
        <v>29</v>
      </c>
      <c r="F8" s="8" t="s">
        <v>129</v>
      </c>
      <c r="G8">
        <v>-15</v>
      </c>
      <c r="H8" t="s">
        <v>3</v>
      </c>
      <c r="I8">
        <f>IFERROR(VLOOKUP(H8,Rates!$A$2:$B$3,2,0),1)</f>
        <v>1</v>
      </c>
      <c r="J8">
        <f>IF(G8&lt;&gt;"",G8*I8,"")</f>
        <v>-15</v>
      </c>
      <c r="K8">
        <f>IF(J8&lt;&gt;"",SUM($J$2:J8),"")</f>
        <v>156164.95</v>
      </c>
      <c r="L8">
        <f ca="1">IF(COUNTA(A8:K8)&gt;0,TODAY(),"")</f>
        <v>45942</v>
      </c>
    </row>
    <row r="9" spans="1:12">
      <c r="A9" t="s">
        <v>50</v>
      </c>
      <c r="B9" s="4">
        <v>45754</v>
      </c>
      <c r="C9" t="s">
        <v>11</v>
      </c>
      <c r="D9" t="s">
        <v>29</v>
      </c>
      <c r="F9" s="8" t="s">
        <v>130</v>
      </c>
      <c r="G9">
        <v>-15000</v>
      </c>
      <c r="H9" t="s">
        <v>3</v>
      </c>
      <c r="I9">
        <f>IFERROR(VLOOKUP(H9,Rates!$A$2:$B$3,2,0),1)</f>
        <v>1</v>
      </c>
      <c r="J9">
        <f>IF(G9&lt;&gt;"",G9*I9,"")</f>
        <v>-15000</v>
      </c>
      <c r="K9">
        <f>IF(J9&lt;&gt;"",SUM($J$2:J9),"")</f>
        <v>141164.95</v>
      </c>
      <c r="L9">
        <f ca="1">IF(COUNTA(A9:K9)&gt;0,TODAY(),"")</f>
        <v>45942</v>
      </c>
    </row>
    <row r="10" spans="1:12">
      <c r="A10" t="s">
        <v>50</v>
      </c>
      <c r="B10" s="4">
        <v>45845</v>
      </c>
      <c r="C10" t="s">
        <v>13</v>
      </c>
      <c r="D10" t="s">
        <v>29</v>
      </c>
      <c r="F10" s="8" t="s">
        <v>131</v>
      </c>
      <c r="G10">
        <v>-236</v>
      </c>
      <c r="H10" t="s">
        <v>3</v>
      </c>
      <c r="I10">
        <f>IFERROR(VLOOKUP(H10,Rates!$A$2:$B$3,2,0),1)</f>
        <v>1</v>
      </c>
      <c r="J10">
        <f>IF(G10&lt;&gt;"",G10*I10,"")</f>
        <v>-236</v>
      </c>
      <c r="K10">
        <f>IF(J10&lt;&gt;"",SUM($J$2:J10),"")</f>
        <v>140928.95</v>
      </c>
      <c r="L10">
        <f ca="1">IF(COUNTA(A10:K10)&gt;0,TODAY(),"")</f>
        <v>45942</v>
      </c>
    </row>
    <row r="11" spans="1:12">
      <c r="A11" t="s">
        <v>50</v>
      </c>
      <c r="B11" s="4">
        <v>45845</v>
      </c>
      <c r="C11" t="s">
        <v>13</v>
      </c>
      <c r="D11" t="s">
        <v>29</v>
      </c>
      <c r="F11" s="8" t="s">
        <v>132</v>
      </c>
      <c r="G11">
        <v>-842</v>
      </c>
      <c r="H11" t="s">
        <v>3</v>
      </c>
      <c r="I11">
        <f>IFERROR(VLOOKUP(H11,Rates!$A$2:$B$3,2,0),1)</f>
        <v>1</v>
      </c>
      <c r="J11">
        <f>IF(G11&lt;&gt;"",G11*I11,"")</f>
        <v>-842</v>
      </c>
      <c r="K11">
        <f>IF(J11&lt;&gt;"",SUM($J$2:J11),"")</f>
        <v>140086.95</v>
      </c>
      <c r="L11">
        <f ca="1">IF(COUNTA(A11:K11)&gt;0,TODAY(),"")</f>
        <v>45942</v>
      </c>
    </row>
    <row r="12" spans="1:12">
      <c r="A12" t="s">
        <v>50</v>
      </c>
      <c r="B12" s="4">
        <v>45845</v>
      </c>
      <c r="C12" t="s">
        <v>20</v>
      </c>
      <c r="F12" s="8" t="s">
        <v>133</v>
      </c>
      <c r="G12">
        <v>-25</v>
      </c>
      <c r="H12" t="s">
        <v>3</v>
      </c>
      <c r="I12">
        <f>IFERROR(VLOOKUP(H12,Rates!$A$2:$B$3,2,0),1)</f>
        <v>1</v>
      </c>
      <c r="J12">
        <f>IF(G12&lt;&gt;"",G12*I12,"")</f>
        <v>-25</v>
      </c>
      <c r="K12">
        <f>IF(J12&lt;&gt;"",SUM($J$2:J12),"")</f>
        <v>140061.95</v>
      </c>
      <c r="L12">
        <f ca="1">IF(COUNTA(A12:K12)&gt;0,TODAY(),"")</f>
        <v>45942</v>
      </c>
    </row>
    <row r="13" spans="1:12">
      <c r="A13" t="s">
        <v>50</v>
      </c>
      <c r="B13" s="4">
        <v>45845</v>
      </c>
      <c r="C13" t="s">
        <v>20</v>
      </c>
      <c r="F13" s="8" t="s">
        <v>134</v>
      </c>
      <c r="G13">
        <v>-25000</v>
      </c>
      <c r="H13" t="s">
        <v>3</v>
      </c>
      <c r="I13">
        <f>IFERROR(VLOOKUP(H13,Rates!$A$2:$B$3,2,0),1)</f>
        <v>1</v>
      </c>
      <c r="J13">
        <f>IF(G13&lt;&gt;"",G13*I13,"")</f>
        <v>-25000</v>
      </c>
      <c r="K13">
        <f>IF(J13&lt;&gt;"",SUM($J$2:J13),"")</f>
        <v>115061.95</v>
      </c>
      <c r="L13">
        <f ca="1">IF(COUNTA(A13:K13)&gt;0,TODAY(),"")</f>
        <v>45942</v>
      </c>
    </row>
    <row r="14" spans="1:12">
      <c r="A14" t="s">
        <v>50</v>
      </c>
      <c r="B14" s="4">
        <v>45876</v>
      </c>
      <c r="C14" t="s">
        <v>17</v>
      </c>
      <c r="E14" t="s">
        <v>53</v>
      </c>
      <c r="F14" s="8" t="s">
        <v>135</v>
      </c>
      <c r="G14" s="8">
        <v>400000</v>
      </c>
      <c r="H14" t="s">
        <v>3</v>
      </c>
      <c r="I14">
        <f>IFERROR(VLOOKUP(H14,Rates!$A$2:$B$3,2,0),1)</f>
        <v>1</v>
      </c>
      <c r="J14">
        <f>IF(G14&lt;&gt;"",G14*I14,"")</f>
        <v>400000</v>
      </c>
      <c r="K14">
        <f>IF(J14&lt;&gt;"",SUM($J$2:J14),"")</f>
        <v>515061.95</v>
      </c>
      <c r="L14">
        <f ca="1">IF(COUNTA(A14:K14)&gt;0,TODAY(),"")</f>
        <v>45942</v>
      </c>
    </row>
    <row r="15" spans="1:12">
      <c r="A15" t="s">
        <v>50</v>
      </c>
      <c r="B15" s="4">
        <v>45876</v>
      </c>
      <c r="C15" t="s">
        <v>17</v>
      </c>
      <c r="E15" t="s">
        <v>54</v>
      </c>
      <c r="F15" s="8" t="s">
        <v>136</v>
      </c>
      <c r="G15">
        <v>-173.4</v>
      </c>
      <c r="H15" t="s">
        <v>3</v>
      </c>
      <c r="I15">
        <f>IFERROR(VLOOKUP(H15,Rates!$A$2:$B$3,2,0),1)</f>
        <v>1</v>
      </c>
      <c r="J15">
        <f>IF(G15&lt;&gt;"",G15*I15,"")</f>
        <v>-173.4</v>
      </c>
      <c r="K15">
        <f>IF(J15&lt;&gt;"",SUM($J$2:J15),"")</f>
        <v>514888.55</v>
      </c>
      <c r="L15">
        <f ca="1">IF(COUNTA(A15:K15)&gt;0,TODAY(),"")</f>
        <v>45942</v>
      </c>
    </row>
    <row r="16" spans="1:12">
      <c r="A16" t="s">
        <v>50</v>
      </c>
      <c r="B16" s="4">
        <v>45876</v>
      </c>
      <c r="C16" t="s">
        <v>17</v>
      </c>
      <c r="E16" t="s">
        <v>54</v>
      </c>
      <c r="F16" s="8" t="s">
        <v>137</v>
      </c>
      <c r="G16">
        <v>-173400</v>
      </c>
      <c r="H16" t="s">
        <v>3</v>
      </c>
      <c r="I16">
        <f>IFERROR(VLOOKUP(H16,Rates!$A$2:$B$3,2,0),1)</f>
        <v>1</v>
      </c>
      <c r="J16">
        <f>IF(G16&lt;&gt;"",G16*I16,"")</f>
        <v>-173400</v>
      </c>
      <c r="K16">
        <f>IF(J16&lt;&gt;"",SUM($J$2:J16),"")</f>
        <v>341488.55</v>
      </c>
      <c r="L16">
        <f ca="1">IF(COUNTA(A16:K16)&gt;0,TODAY(),"")</f>
        <v>45942</v>
      </c>
    </row>
    <row r="17" spans="1:12">
      <c r="A17" t="s">
        <v>50</v>
      </c>
      <c r="B17" s="4">
        <v>45907</v>
      </c>
      <c r="C17" t="s">
        <v>20</v>
      </c>
      <c r="F17" s="8" t="s">
        <v>138</v>
      </c>
      <c r="G17" s="8">
        <v>250000</v>
      </c>
      <c r="H17" t="s">
        <v>3</v>
      </c>
      <c r="I17">
        <f>IFERROR(VLOOKUP(H17,Rates!$A$2:$B$3,2,0),1)</f>
        <v>1</v>
      </c>
      <c r="J17">
        <f>IF(G17&lt;&gt;"",G17*I17,"")</f>
        <v>250000</v>
      </c>
      <c r="K17">
        <f>IF(J17&lt;&gt;"",SUM($J$2:J17),"")</f>
        <v>591488.55</v>
      </c>
      <c r="L17">
        <f ca="1">IF(COUNTA(A17:K17)&gt;0,TODAY(),"")</f>
        <v>45942</v>
      </c>
    </row>
    <row r="18" spans="1:12">
      <c r="A18" t="s">
        <v>50</v>
      </c>
      <c r="B18" s="4">
        <v>45907</v>
      </c>
      <c r="C18" t="s">
        <v>7</v>
      </c>
      <c r="D18" t="s">
        <v>29</v>
      </c>
      <c r="F18" s="8" t="s">
        <v>139</v>
      </c>
      <c r="G18">
        <v>-100</v>
      </c>
      <c r="H18" t="s">
        <v>3</v>
      </c>
      <c r="I18">
        <f>IFERROR(VLOOKUP(H18,Rates!$A$2:$B$3,2,0),1)</f>
        <v>1</v>
      </c>
      <c r="J18">
        <f>IF(G18&lt;&gt;"",G18*I18,"")</f>
        <v>-100</v>
      </c>
      <c r="K18">
        <f>IF(J18&lt;&gt;"",SUM($J$2:J18),"")</f>
        <v>591388.55</v>
      </c>
      <c r="L18">
        <f ca="1">IF(COUNTA(A18:K18)&gt;0,TODAY(),"")</f>
        <v>45942</v>
      </c>
    </row>
    <row r="19" spans="1:6">
      <c r="A19" t="s">
        <v>50</v>
      </c>
      <c r="B19" s="4"/>
      <c r="C19"/>
      <c r="D19"/>
      <c r="F19" s="8"/>
    </row>
    <row r="20" spans="1:6">
      <c r="A20" t="s">
        <v>50</v>
      </c>
      <c r="B20" s="4"/>
      <c r="C20"/>
      <c r="F20" s="8"/>
    </row>
    <row r="21" spans="1:6">
      <c r="A21" t="s">
        <v>50</v>
      </c>
      <c r="B21" s="4"/>
      <c r="C21"/>
      <c r="F21" s="8"/>
    </row>
    <row r="22" spans="1:7">
      <c r="A22" t="s">
        <v>50</v>
      </c>
      <c r="B22" s="4"/>
      <c r="C22"/>
      <c r="F22" s="8"/>
      <c r="G22" s="8"/>
    </row>
    <row r="23" spans="1:6">
      <c r="A23" t="s">
        <v>50</v>
      </c>
      <c r="B23" s="4"/>
      <c r="C23"/>
      <c r="F23" s="8"/>
    </row>
    <row r="24" spans="1:7">
      <c r="A24" t="s">
        <v>50</v>
      </c>
      <c r="B24" s="4"/>
      <c r="C24"/>
      <c r="F24" s="8"/>
      <c r="G24" s="8"/>
    </row>
    <row r="25" spans="1:6">
      <c r="A25" t="s">
        <v>50</v>
      </c>
      <c r="B25" s="4"/>
      <c r="C25"/>
      <c r="F25" s="8"/>
    </row>
    <row r="26" spans="1:6">
      <c r="A26" t="s">
        <v>50</v>
      </c>
      <c r="B26" s="4"/>
      <c r="C26"/>
      <c r="F26" s="8"/>
    </row>
    <row r="27" spans="1:6">
      <c r="A27" t="s">
        <v>50</v>
      </c>
      <c r="B27" s="4"/>
      <c r="C27"/>
      <c r="F27" s="8"/>
    </row>
    <row r="28" spans="1:6">
      <c r="A28" t="s">
        <v>50</v>
      </c>
      <c r="B28" s="4"/>
      <c r="C28"/>
      <c r="F28" s="8"/>
    </row>
    <row r="29" spans="1:6">
      <c r="A29" t="s">
        <v>50</v>
      </c>
      <c r="B29" s="4"/>
      <c r="C29"/>
      <c r="F29" s="8"/>
    </row>
    <row r="30" spans="1:6">
      <c r="A30" t="s">
        <v>50</v>
      </c>
      <c r="B30" s="4"/>
      <c r="C30"/>
      <c r="F30" s="8"/>
    </row>
    <row r="31" spans="1:6">
      <c r="A31" t="s">
        <v>50</v>
      </c>
      <c r="B31" s="4"/>
      <c r="C31"/>
      <c r="F31" s="8"/>
    </row>
    <row r="32" spans="1:7">
      <c r="A32" t="s">
        <v>50</v>
      </c>
      <c r="B32" s="4"/>
      <c r="C32"/>
      <c r="F32" s="8"/>
      <c r="G32" s="8"/>
    </row>
    <row r="33" spans="1:6">
      <c r="A33" t="s">
        <v>50</v>
      </c>
      <c r="B33" s="4"/>
      <c r="C33"/>
      <c r="F33" s="8"/>
    </row>
    <row r="34" spans="1:6">
      <c r="A34" t="s">
        <v>50</v>
      </c>
      <c r="B34" s="4"/>
      <c r="C34"/>
      <c r="F34" s="8"/>
    </row>
    <row r="35" spans="1:6">
      <c r="A35" t="s">
        <v>50</v>
      </c>
      <c r="B35" s="4"/>
      <c r="C35"/>
      <c r="F35" s="8"/>
    </row>
    <row r="36" spans="1:7">
      <c r="A36" t="s">
        <v>50</v>
      </c>
      <c r="B36" s="4"/>
      <c r="C36"/>
      <c r="F36" s="8"/>
      <c r="G36" s="8"/>
    </row>
    <row r="37" spans="1:6">
      <c r="A37" t="s">
        <v>50</v>
      </c>
      <c r="B37" s="4"/>
      <c r="C37"/>
      <c r="F37" s="8"/>
    </row>
    <row r="38" spans="1:6">
      <c r="A38" t="s">
        <v>50</v>
      </c>
      <c r="B38" s="4"/>
      <c r="C38"/>
      <c r="F38" s="8"/>
    </row>
    <row r="39" spans="1:6">
      <c r="A39" t="s">
        <v>50</v>
      </c>
      <c r="B39" s="4"/>
      <c r="C39"/>
      <c r="F39" s="8"/>
    </row>
    <row r="40" spans="1:6">
      <c r="A40" t="s">
        <v>50</v>
      </c>
      <c r="B40" s="4"/>
      <c r="C40"/>
      <c r="F40" s="8"/>
    </row>
    <row r="41" spans="1:7">
      <c r="A41" t="s">
        <v>50</v>
      </c>
      <c r="B41" s="4"/>
      <c r="C41"/>
      <c r="F41" s="8"/>
      <c r="G41" s="8"/>
    </row>
    <row r="42" spans="1:6">
      <c r="A42" t="s">
        <v>50</v>
      </c>
      <c r="B42" s="4"/>
      <c r="C42"/>
      <c r="F42" s="8"/>
    </row>
    <row r="43" spans="1:6">
      <c r="A43" t="s">
        <v>50</v>
      </c>
      <c r="B43" s="4"/>
      <c r="C43"/>
      <c r="F43" s="8"/>
    </row>
    <row r="44" spans="1:6">
      <c r="A44" t="s">
        <v>50</v>
      </c>
      <c r="B44" s="4"/>
      <c r="C44"/>
      <c r="F44" s="8"/>
    </row>
    <row r="45" spans="1:6">
      <c r="A45" t="s">
        <v>50</v>
      </c>
      <c r="B45" s="4"/>
      <c r="C45"/>
      <c r="D45"/>
      <c r="F45" s="8"/>
    </row>
    <row r="46" spans="1:6">
      <c r="A46" t="s">
        <v>50</v>
      </c>
      <c r="B46" s="7"/>
      <c r="C46"/>
      <c r="F46" s="8"/>
    </row>
    <row r="47" spans="1:6">
      <c r="A47" t="s">
        <v>50</v>
      </c>
      <c r="B47" s="7"/>
      <c r="C47"/>
      <c r="D47"/>
      <c r="F47" s="8"/>
    </row>
    <row r="48" spans="1:6">
      <c r="A48" t="s">
        <v>50</v>
      </c>
      <c r="B48" s="7"/>
      <c r="C48"/>
      <c r="D48"/>
      <c r="F48" s="8"/>
    </row>
    <row r="49" spans="1:6">
      <c r="A49" t="s">
        <v>50</v>
      </c>
      <c r="B49" s="7"/>
      <c r="C49"/>
      <c r="F49" s="8"/>
    </row>
    <row r="50" spans="1:6">
      <c r="A50" t="s">
        <v>50</v>
      </c>
      <c r="B50" s="7"/>
      <c r="C50"/>
      <c r="F50" s="8"/>
    </row>
    <row r="51" spans="1:6">
      <c r="A51" t="s">
        <v>50</v>
      </c>
      <c r="B51" s="7"/>
      <c r="C51"/>
      <c r="F51" s="8"/>
    </row>
    <row r="52" spans="1:6">
      <c r="A52" t="s">
        <v>50</v>
      </c>
      <c r="B52" s="7"/>
      <c r="C52"/>
      <c r="D52"/>
      <c r="F52" s="8"/>
    </row>
    <row r="53" spans="1:6">
      <c r="A53" t="s">
        <v>50</v>
      </c>
      <c r="B53" s="7"/>
      <c r="C53"/>
      <c r="D53"/>
      <c r="F53" s="8"/>
    </row>
    <row r="54" spans="1:6">
      <c r="A54" t="s">
        <v>50</v>
      </c>
      <c r="B54" s="7"/>
      <c r="C54"/>
      <c r="D54"/>
      <c r="F54" s="8"/>
    </row>
    <row r="55" spans="1:7">
      <c r="A55" t="s">
        <v>50</v>
      </c>
      <c r="B55" s="7"/>
      <c r="C55"/>
      <c r="D55"/>
      <c r="F55" s="8"/>
      <c r="G55" s="8"/>
    </row>
    <row r="56" spans="1:6">
      <c r="A56" t="s">
        <v>50</v>
      </c>
      <c r="B56" s="7"/>
      <c r="C56"/>
      <c r="D56"/>
      <c r="F56" s="8"/>
    </row>
    <row r="57" spans="1:6">
      <c r="A57" t="s">
        <v>50</v>
      </c>
      <c r="B57" s="7"/>
      <c r="C57"/>
      <c r="D57"/>
      <c r="F57" s="8"/>
    </row>
    <row r="58" spans="1:7">
      <c r="A58" t="s">
        <v>50</v>
      </c>
      <c r="B58" s="7"/>
      <c r="C58"/>
      <c r="F58" s="8"/>
      <c r="G58" s="8"/>
    </row>
    <row r="59" spans="1:6">
      <c r="A59" t="s">
        <v>50</v>
      </c>
      <c r="B59" s="7"/>
      <c r="C59"/>
      <c r="F59" s="8"/>
    </row>
    <row r="60" spans="1:6">
      <c r="A60" t="s">
        <v>50</v>
      </c>
      <c r="B60" s="7"/>
      <c r="C60"/>
      <c r="F60" s="8"/>
    </row>
    <row r="61" spans="1:6">
      <c r="A61" t="s">
        <v>50</v>
      </c>
      <c r="B61" s="7"/>
      <c r="C61"/>
      <c r="F61" s="8"/>
    </row>
    <row r="62" spans="1:6">
      <c r="A62" t="s">
        <v>50</v>
      </c>
      <c r="B62" s="7"/>
      <c r="C62"/>
      <c r="F62" s="8"/>
    </row>
    <row r="63" spans="1:7">
      <c r="A63" t="s">
        <v>50</v>
      </c>
      <c r="B63" s="7"/>
      <c r="C63"/>
      <c r="F63" s="8"/>
      <c r="G63" s="8"/>
    </row>
    <row r="64" spans="1:6">
      <c r="A64" t="s">
        <v>50</v>
      </c>
      <c r="B64" s="7"/>
      <c r="C64"/>
      <c r="F64" s="8"/>
    </row>
    <row r="65" spans="1:6">
      <c r="A65" t="s">
        <v>50</v>
      </c>
      <c r="B65" s="7"/>
      <c r="C65"/>
      <c r="F65" s="8"/>
    </row>
    <row r="66" spans="1:6">
      <c r="A66" t="s">
        <v>50</v>
      </c>
      <c r="B66" s="7"/>
      <c r="C66"/>
      <c r="F66" s="8"/>
    </row>
    <row r="67" spans="1:6">
      <c r="A67" t="s">
        <v>50</v>
      </c>
      <c r="B67" s="7"/>
      <c r="C67"/>
      <c r="D67"/>
      <c r="F67" s="8"/>
    </row>
    <row r="68" spans="1:6">
      <c r="A68" t="s">
        <v>50</v>
      </c>
      <c r="B68" s="7"/>
      <c r="C68"/>
      <c r="F68" s="8"/>
    </row>
    <row r="69" spans="1:6">
      <c r="A69" t="s">
        <v>50</v>
      </c>
      <c r="B69" s="7"/>
      <c r="C69"/>
      <c r="F69" s="8"/>
    </row>
    <row r="70" spans="1:6">
      <c r="A70" t="s">
        <v>50</v>
      </c>
      <c r="B70" s="7"/>
      <c r="C70"/>
      <c r="F70" s="8"/>
    </row>
    <row r="71" spans="1:6">
      <c r="A71" t="s">
        <v>50</v>
      </c>
      <c r="B71" s="7"/>
      <c r="C71"/>
      <c r="F71" s="8"/>
    </row>
    <row r="72" spans="1:6">
      <c r="A72" t="s">
        <v>50</v>
      </c>
      <c r="B72" s="7"/>
      <c r="C72"/>
      <c r="F72" s="8"/>
    </row>
    <row r="73" spans="1:6">
      <c r="A73" t="s">
        <v>50</v>
      </c>
      <c r="B73" s="7"/>
      <c r="C73"/>
      <c r="D73"/>
      <c r="F73" s="8"/>
    </row>
    <row r="74" spans="1:6">
      <c r="A74" t="s">
        <v>50</v>
      </c>
      <c r="B74" s="7"/>
      <c r="C74"/>
      <c r="D74"/>
      <c r="F74" s="8"/>
    </row>
    <row r="75" spans="1:6">
      <c r="A75" t="s">
        <v>50</v>
      </c>
      <c r="B75" s="7"/>
      <c r="C75"/>
      <c r="F75" s="8"/>
    </row>
    <row r="76" spans="1:6">
      <c r="A76" t="s">
        <v>50</v>
      </c>
      <c r="B76" s="7"/>
      <c r="C76"/>
      <c r="D76"/>
      <c r="F76" s="8"/>
    </row>
    <row r="77" spans="1:6">
      <c r="A77" t="s">
        <v>50</v>
      </c>
      <c r="B77" s="7"/>
      <c r="C77"/>
      <c r="D77"/>
      <c r="F77" s="8"/>
    </row>
    <row r="78" spans="1:6">
      <c r="A78" t="s">
        <v>50</v>
      </c>
      <c r="B78" s="7"/>
      <c r="C78"/>
      <c r="D78"/>
      <c r="F78" s="8"/>
    </row>
    <row r="79" spans="1:6">
      <c r="A79" t="s">
        <v>50</v>
      </c>
      <c r="B79" s="7"/>
      <c r="C79"/>
      <c r="F79" s="8"/>
    </row>
    <row r="80" spans="1:6">
      <c r="A80" t="s">
        <v>50</v>
      </c>
      <c r="B80" s="7"/>
      <c r="C80"/>
      <c r="F80" s="8"/>
    </row>
    <row r="81" spans="1:6">
      <c r="A81" t="s">
        <v>50</v>
      </c>
      <c r="B81" s="7"/>
      <c r="C81"/>
      <c r="D81"/>
      <c r="F81" s="8"/>
    </row>
    <row r="82" spans="1:6">
      <c r="A82" t="s">
        <v>50</v>
      </c>
      <c r="B82" s="7"/>
      <c r="C82"/>
      <c r="D82"/>
      <c r="F82" s="8"/>
    </row>
    <row r="88" spans="9:12">
      <c r="I88">
        <f>IFERROR(VLOOKUP(H88,Rates!$A$2:$B$3,2,0),1)</f>
        <v>1</v>
      </c>
      <c r="J88" t="str">
        <f t="shared" ref="J66:J129" si="0">IF(G88&lt;&gt;"",G88*I88,"")</f>
        <v/>
      </c>
      <c r="K88" t="str">
        <f>IF(J88&lt;&gt;"",SUM($J$2:J88),"")</f>
        <v/>
      </c>
      <c r="L88">
        <f ca="1" t="shared" ref="L66:L129" si="1">IF(COUNTA(A88:K88)&gt;0,TODAY(),"")</f>
        <v>45942</v>
      </c>
    </row>
    <row r="89" spans="9:12">
      <c r="I89">
        <f>IFERROR(VLOOKUP(H89,Rates!$A$2:$B$3,2,0),1)</f>
        <v>1</v>
      </c>
      <c r="J89" t="str">
        <f t="shared" si="0"/>
        <v/>
      </c>
      <c r="K89" t="str">
        <f>IF(J89&lt;&gt;"",SUM($J$2:J89),"")</f>
        <v/>
      </c>
      <c r="L89">
        <f ca="1" t="shared" si="1"/>
        <v>45942</v>
      </c>
    </row>
    <row r="90" spans="9:12">
      <c r="I90">
        <f>IFERROR(VLOOKUP(H90,Rates!$A$2:$B$3,2,0),1)</f>
        <v>1</v>
      </c>
      <c r="J90" t="str">
        <f t="shared" si="0"/>
        <v/>
      </c>
      <c r="K90" t="str">
        <f>IF(J90&lt;&gt;"",SUM($J$2:J90),"")</f>
        <v/>
      </c>
      <c r="L90">
        <f ca="1" t="shared" si="1"/>
        <v>45942</v>
      </c>
    </row>
    <row r="91" spans="9:12">
      <c r="I91">
        <f>IFERROR(VLOOKUP(H91,Rates!$A$2:$B$3,2,0),1)</f>
        <v>1</v>
      </c>
      <c r="J91" t="str">
        <f t="shared" si="0"/>
        <v/>
      </c>
      <c r="K91" t="str">
        <f>IF(J91&lt;&gt;"",SUM($J$2:J91),"")</f>
        <v/>
      </c>
      <c r="L91">
        <f ca="1" t="shared" si="1"/>
        <v>45942</v>
      </c>
    </row>
    <row r="92" spans="9:12">
      <c r="I92">
        <f>IFERROR(VLOOKUP(H92,Rates!$A$2:$B$3,2,0),1)</f>
        <v>1</v>
      </c>
      <c r="J92" t="str">
        <f t="shared" si="0"/>
        <v/>
      </c>
      <c r="K92" t="str">
        <f>IF(J92&lt;&gt;"",SUM($J$2:J92),"")</f>
        <v/>
      </c>
      <c r="L92">
        <f ca="1" t="shared" si="1"/>
        <v>45942</v>
      </c>
    </row>
    <row r="93" spans="9:12">
      <c r="I93">
        <f>IFERROR(VLOOKUP(H93,Rates!$A$2:$B$3,2,0),1)</f>
        <v>1</v>
      </c>
      <c r="J93" t="str">
        <f t="shared" si="0"/>
        <v/>
      </c>
      <c r="K93" t="str">
        <f>IF(J93&lt;&gt;"",SUM($J$2:J93),"")</f>
        <v/>
      </c>
      <c r="L93">
        <f ca="1" t="shared" si="1"/>
        <v>45942</v>
      </c>
    </row>
    <row r="94" spans="9:12">
      <c r="I94">
        <f>IFERROR(VLOOKUP(H94,Rates!$A$2:$B$3,2,0),1)</f>
        <v>1</v>
      </c>
      <c r="J94" t="str">
        <f t="shared" si="0"/>
        <v/>
      </c>
      <c r="K94" t="str">
        <f>IF(J94&lt;&gt;"",SUM($J$2:J94),"")</f>
        <v/>
      </c>
      <c r="L94">
        <f ca="1" t="shared" si="1"/>
        <v>45942</v>
      </c>
    </row>
    <row r="95" spans="9:12">
      <c r="I95">
        <f>IFERROR(VLOOKUP(H95,Rates!$A$2:$B$3,2,0),1)</f>
        <v>1</v>
      </c>
      <c r="J95" t="str">
        <f t="shared" si="0"/>
        <v/>
      </c>
      <c r="K95" t="str">
        <f>IF(J95&lt;&gt;"",SUM($J$2:J95),"")</f>
        <v/>
      </c>
      <c r="L95">
        <f ca="1" t="shared" si="1"/>
        <v>45942</v>
      </c>
    </row>
    <row r="96" spans="9:12">
      <c r="I96">
        <f>IFERROR(VLOOKUP(H96,Rates!$A$2:$B$3,2,0),1)</f>
        <v>1</v>
      </c>
      <c r="J96" t="str">
        <f t="shared" si="0"/>
        <v/>
      </c>
      <c r="K96" t="str">
        <f>IF(J96&lt;&gt;"",SUM($J$2:J96),"")</f>
        <v/>
      </c>
      <c r="L96">
        <f ca="1" t="shared" si="1"/>
        <v>45942</v>
      </c>
    </row>
    <row r="97" spans="9:12">
      <c r="I97">
        <f>IFERROR(VLOOKUP(H97,Rates!$A$2:$B$3,2,0),1)</f>
        <v>1</v>
      </c>
      <c r="J97" t="str">
        <f t="shared" si="0"/>
        <v/>
      </c>
      <c r="K97" t="str">
        <f>IF(J97&lt;&gt;"",SUM($J$2:J97),"")</f>
        <v/>
      </c>
      <c r="L97">
        <f ca="1" t="shared" si="1"/>
        <v>45942</v>
      </c>
    </row>
    <row r="98" spans="9:12">
      <c r="I98">
        <f>IFERROR(VLOOKUP(H98,Rates!$A$2:$B$3,2,0),1)</f>
        <v>1</v>
      </c>
      <c r="J98" t="str">
        <f t="shared" si="0"/>
        <v/>
      </c>
      <c r="K98" t="str">
        <f>IF(J98&lt;&gt;"",SUM($J$2:J98),"")</f>
        <v/>
      </c>
      <c r="L98">
        <f ca="1" t="shared" si="1"/>
        <v>45942</v>
      </c>
    </row>
    <row r="99" spans="9:12">
      <c r="I99">
        <f>IFERROR(VLOOKUP(H99,Rates!$A$2:$B$3,2,0),1)</f>
        <v>1</v>
      </c>
      <c r="J99" t="str">
        <f t="shared" si="0"/>
        <v/>
      </c>
      <c r="K99" t="str">
        <f>IF(J99&lt;&gt;"",SUM($J$2:J99),"")</f>
        <v/>
      </c>
      <c r="L99">
        <f ca="1" t="shared" si="1"/>
        <v>45942</v>
      </c>
    </row>
    <row r="100" spans="9:12">
      <c r="I100">
        <f>IFERROR(VLOOKUP(H100,Rates!$A$2:$B$3,2,0),1)</f>
        <v>1</v>
      </c>
      <c r="J100" t="str">
        <f t="shared" si="0"/>
        <v/>
      </c>
      <c r="K100" t="str">
        <f>IF(J100&lt;&gt;"",SUM($J$2:J100),"")</f>
        <v/>
      </c>
      <c r="L100">
        <f ca="1" t="shared" si="1"/>
        <v>45942</v>
      </c>
    </row>
    <row r="101" spans="9:12">
      <c r="I101">
        <f>IFERROR(VLOOKUP(H101,Rates!$A$2:$B$3,2,0),1)</f>
        <v>1</v>
      </c>
      <c r="J101" t="str">
        <f t="shared" si="0"/>
        <v/>
      </c>
      <c r="K101" t="str">
        <f>IF(J101&lt;&gt;"",SUM($J$2:J101),"")</f>
        <v/>
      </c>
      <c r="L101">
        <f ca="1" t="shared" si="1"/>
        <v>45942</v>
      </c>
    </row>
    <row r="102" spans="9:12">
      <c r="I102">
        <f>IFERROR(VLOOKUP(H102,Rates!$A$2:$B$3,2,0),1)</f>
        <v>1</v>
      </c>
      <c r="J102" t="str">
        <f t="shared" si="0"/>
        <v/>
      </c>
      <c r="K102" t="str">
        <f>IF(J102&lt;&gt;"",SUM($J$2:J102),"")</f>
        <v/>
      </c>
      <c r="L102">
        <f ca="1" t="shared" si="1"/>
        <v>45942</v>
      </c>
    </row>
    <row r="103" spans="9:12">
      <c r="I103">
        <f>IFERROR(VLOOKUP(H103,Rates!$A$2:$B$3,2,0),1)</f>
        <v>1</v>
      </c>
      <c r="J103" t="str">
        <f t="shared" si="0"/>
        <v/>
      </c>
      <c r="K103" t="str">
        <f>IF(J103&lt;&gt;"",SUM($J$2:J103),"")</f>
        <v/>
      </c>
      <c r="L103">
        <f ca="1" t="shared" si="1"/>
        <v>45942</v>
      </c>
    </row>
    <row r="104" spans="9:12">
      <c r="I104">
        <f>IFERROR(VLOOKUP(H104,Rates!$A$2:$B$3,2,0),1)</f>
        <v>1</v>
      </c>
      <c r="J104" t="str">
        <f t="shared" si="0"/>
        <v/>
      </c>
      <c r="K104" t="str">
        <f>IF(J104&lt;&gt;"",SUM($J$2:J104),"")</f>
        <v/>
      </c>
      <c r="L104">
        <f ca="1" t="shared" si="1"/>
        <v>45942</v>
      </c>
    </row>
    <row r="105" spans="9:12">
      <c r="I105">
        <f>IFERROR(VLOOKUP(H105,Rates!$A$2:$B$3,2,0),1)</f>
        <v>1</v>
      </c>
      <c r="J105" t="str">
        <f t="shared" si="0"/>
        <v/>
      </c>
      <c r="K105" t="str">
        <f>IF(J105&lt;&gt;"",SUM($J$2:J105),"")</f>
        <v/>
      </c>
      <c r="L105">
        <f ca="1" t="shared" si="1"/>
        <v>45942</v>
      </c>
    </row>
    <row r="106" spans="9:12">
      <c r="I106">
        <f>IFERROR(VLOOKUP(H106,Rates!$A$2:$B$3,2,0),1)</f>
        <v>1</v>
      </c>
      <c r="J106" t="str">
        <f t="shared" si="0"/>
        <v/>
      </c>
      <c r="K106" t="str">
        <f>IF(J106&lt;&gt;"",SUM($J$2:J106),"")</f>
        <v/>
      </c>
      <c r="L106">
        <f ca="1" t="shared" si="1"/>
        <v>45942</v>
      </c>
    </row>
    <row r="107" spans="9:12">
      <c r="I107">
        <f>IFERROR(VLOOKUP(H107,Rates!$A$2:$B$3,2,0),1)</f>
        <v>1</v>
      </c>
      <c r="J107" t="str">
        <f t="shared" si="0"/>
        <v/>
      </c>
      <c r="K107" t="str">
        <f>IF(J107&lt;&gt;"",SUM($J$2:J107),"")</f>
        <v/>
      </c>
      <c r="L107">
        <f ca="1" t="shared" si="1"/>
        <v>45942</v>
      </c>
    </row>
    <row r="108" spans="9:12">
      <c r="I108">
        <f>IFERROR(VLOOKUP(H108,Rates!$A$2:$B$3,2,0),1)</f>
        <v>1</v>
      </c>
      <c r="J108" t="str">
        <f t="shared" si="0"/>
        <v/>
      </c>
      <c r="K108" t="str">
        <f>IF(J108&lt;&gt;"",SUM($J$2:J108),"")</f>
        <v/>
      </c>
      <c r="L108">
        <f ca="1" t="shared" si="1"/>
        <v>45942</v>
      </c>
    </row>
    <row r="109" spans="9:12">
      <c r="I109">
        <f>IFERROR(VLOOKUP(H109,Rates!$A$2:$B$3,2,0),1)</f>
        <v>1</v>
      </c>
      <c r="J109" t="str">
        <f t="shared" si="0"/>
        <v/>
      </c>
      <c r="K109" t="str">
        <f>IF(J109&lt;&gt;"",SUM($J$2:J109),"")</f>
        <v/>
      </c>
      <c r="L109">
        <f ca="1" t="shared" si="1"/>
        <v>45942</v>
      </c>
    </row>
    <row r="110" spans="9:12">
      <c r="I110">
        <f>IFERROR(VLOOKUP(H110,Rates!$A$2:$B$3,2,0),1)</f>
        <v>1</v>
      </c>
      <c r="J110" t="str">
        <f t="shared" si="0"/>
        <v/>
      </c>
      <c r="K110" t="str">
        <f>IF(J110&lt;&gt;"",SUM($J$2:J110),"")</f>
        <v/>
      </c>
      <c r="L110">
        <f ca="1" t="shared" si="1"/>
        <v>45942</v>
      </c>
    </row>
    <row r="111" spans="9:12">
      <c r="I111">
        <f>IFERROR(VLOOKUP(H111,Rates!$A$2:$B$3,2,0),1)</f>
        <v>1</v>
      </c>
      <c r="J111" t="str">
        <f t="shared" si="0"/>
        <v/>
      </c>
      <c r="K111" t="str">
        <f>IF(J111&lt;&gt;"",SUM($J$2:J111),"")</f>
        <v/>
      </c>
      <c r="L111">
        <f ca="1" t="shared" si="1"/>
        <v>45942</v>
      </c>
    </row>
    <row r="112" spans="9:12">
      <c r="I112">
        <f>IFERROR(VLOOKUP(H112,Rates!$A$2:$B$3,2,0),1)</f>
        <v>1</v>
      </c>
      <c r="J112" t="str">
        <f t="shared" si="0"/>
        <v/>
      </c>
      <c r="K112" t="str">
        <f>IF(J112&lt;&gt;"",SUM($J$2:J112),"")</f>
        <v/>
      </c>
      <c r="L112">
        <f ca="1" t="shared" si="1"/>
        <v>45942</v>
      </c>
    </row>
    <row r="113" spans="9:12">
      <c r="I113">
        <f>IFERROR(VLOOKUP(H113,Rates!$A$2:$B$3,2,0),1)</f>
        <v>1</v>
      </c>
      <c r="J113" t="str">
        <f t="shared" si="0"/>
        <v/>
      </c>
      <c r="K113" t="str">
        <f>IF(J113&lt;&gt;"",SUM($J$2:J113),"")</f>
        <v/>
      </c>
      <c r="L113">
        <f ca="1" t="shared" si="1"/>
        <v>45942</v>
      </c>
    </row>
    <row r="114" spans="9:12">
      <c r="I114">
        <f>IFERROR(VLOOKUP(H114,Rates!$A$2:$B$3,2,0),1)</f>
        <v>1</v>
      </c>
      <c r="J114" t="str">
        <f t="shared" si="0"/>
        <v/>
      </c>
      <c r="K114" t="str">
        <f>IF(J114&lt;&gt;"",SUM($J$2:J114),"")</f>
        <v/>
      </c>
      <c r="L114">
        <f ca="1" t="shared" si="1"/>
        <v>45942</v>
      </c>
    </row>
    <row r="115" spans="9:12">
      <c r="I115">
        <f>IFERROR(VLOOKUP(H115,Rates!$A$2:$B$3,2,0),1)</f>
        <v>1</v>
      </c>
      <c r="J115" t="str">
        <f t="shared" si="0"/>
        <v/>
      </c>
      <c r="K115" t="str">
        <f>IF(J115&lt;&gt;"",SUM($J$2:J115),"")</f>
        <v/>
      </c>
      <c r="L115">
        <f ca="1" t="shared" si="1"/>
        <v>45942</v>
      </c>
    </row>
    <row r="116" spans="9:12">
      <c r="I116">
        <f>IFERROR(VLOOKUP(H116,Rates!$A$2:$B$3,2,0),1)</f>
        <v>1</v>
      </c>
      <c r="J116" t="str">
        <f t="shared" si="0"/>
        <v/>
      </c>
      <c r="K116" t="str">
        <f>IF(J116&lt;&gt;"",SUM($J$2:J116),"")</f>
        <v/>
      </c>
      <c r="L116">
        <f ca="1" t="shared" si="1"/>
        <v>45942</v>
      </c>
    </row>
    <row r="117" spans="9:12">
      <c r="I117">
        <f>IFERROR(VLOOKUP(H117,Rates!$A$2:$B$3,2,0),1)</f>
        <v>1</v>
      </c>
      <c r="J117" t="str">
        <f t="shared" si="0"/>
        <v/>
      </c>
      <c r="K117" t="str">
        <f>IF(J117&lt;&gt;"",SUM($J$2:J117),"")</f>
        <v/>
      </c>
      <c r="L117">
        <f ca="1" t="shared" si="1"/>
        <v>45942</v>
      </c>
    </row>
    <row r="118" spans="9:12">
      <c r="I118">
        <f>IFERROR(VLOOKUP(H118,Rates!$A$2:$B$3,2,0),1)</f>
        <v>1</v>
      </c>
      <c r="J118" t="str">
        <f t="shared" si="0"/>
        <v/>
      </c>
      <c r="K118" t="str">
        <f>IF(J118&lt;&gt;"",SUM($J$2:J118),"")</f>
        <v/>
      </c>
      <c r="L118">
        <f ca="1" t="shared" si="1"/>
        <v>45942</v>
      </c>
    </row>
    <row r="119" spans="9:12">
      <c r="I119">
        <f>IFERROR(VLOOKUP(H119,Rates!$A$2:$B$3,2,0),1)</f>
        <v>1</v>
      </c>
      <c r="J119" t="str">
        <f t="shared" si="0"/>
        <v/>
      </c>
      <c r="K119" t="str">
        <f>IF(J119&lt;&gt;"",SUM($J$2:J119),"")</f>
        <v/>
      </c>
      <c r="L119">
        <f ca="1" t="shared" si="1"/>
        <v>45942</v>
      </c>
    </row>
    <row r="120" spans="9:12">
      <c r="I120">
        <f>IFERROR(VLOOKUP(H120,Rates!$A$2:$B$3,2,0),1)</f>
        <v>1</v>
      </c>
      <c r="J120" t="str">
        <f t="shared" si="0"/>
        <v/>
      </c>
      <c r="K120" t="str">
        <f>IF(J120&lt;&gt;"",SUM($J$2:J120),"")</f>
        <v/>
      </c>
      <c r="L120">
        <f ca="1" t="shared" si="1"/>
        <v>45942</v>
      </c>
    </row>
    <row r="121" spans="9:12">
      <c r="I121">
        <f>IFERROR(VLOOKUP(H121,Rates!$A$2:$B$3,2,0),1)</f>
        <v>1</v>
      </c>
      <c r="J121" t="str">
        <f t="shared" si="0"/>
        <v/>
      </c>
      <c r="K121" t="str">
        <f>IF(J121&lt;&gt;"",SUM($J$2:J121),"")</f>
        <v/>
      </c>
      <c r="L121">
        <f ca="1" t="shared" si="1"/>
        <v>45942</v>
      </c>
    </row>
    <row r="122" spans="9:12">
      <c r="I122">
        <f>IFERROR(VLOOKUP(H122,Rates!$A$2:$B$3,2,0),1)</f>
        <v>1</v>
      </c>
      <c r="J122" t="str">
        <f t="shared" si="0"/>
        <v/>
      </c>
      <c r="K122" t="str">
        <f>IF(J122&lt;&gt;"",SUM($J$2:J122),"")</f>
        <v/>
      </c>
      <c r="L122">
        <f ca="1" t="shared" si="1"/>
        <v>45942</v>
      </c>
    </row>
    <row r="123" spans="9:12">
      <c r="I123">
        <f>IFERROR(VLOOKUP(H123,Rates!$A$2:$B$3,2,0),1)</f>
        <v>1</v>
      </c>
      <c r="J123" t="str">
        <f t="shared" si="0"/>
        <v/>
      </c>
      <c r="K123" t="str">
        <f>IF(J123&lt;&gt;"",SUM($J$2:J123),"")</f>
        <v/>
      </c>
      <c r="L123">
        <f ca="1" t="shared" si="1"/>
        <v>45942</v>
      </c>
    </row>
    <row r="124" spans="9:12">
      <c r="I124">
        <f>IFERROR(VLOOKUP(H124,Rates!$A$2:$B$3,2,0),1)</f>
        <v>1</v>
      </c>
      <c r="J124" t="str">
        <f t="shared" si="0"/>
        <v/>
      </c>
      <c r="K124" t="str">
        <f>IF(J124&lt;&gt;"",SUM($J$2:J124),"")</f>
        <v/>
      </c>
      <c r="L124">
        <f ca="1" t="shared" si="1"/>
        <v>45942</v>
      </c>
    </row>
    <row r="125" spans="9:12">
      <c r="I125">
        <f>IFERROR(VLOOKUP(H125,Rates!$A$2:$B$3,2,0),1)</f>
        <v>1</v>
      </c>
      <c r="J125" t="str">
        <f t="shared" si="0"/>
        <v/>
      </c>
      <c r="K125" t="str">
        <f>IF(J125&lt;&gt;"",SUM($J$2:J125),"")</f>
        <v/>
      </c>
      <c r="L125">
        <f ca="1" t="shared" si="1"/>
        <v>45942</v>
      </c>
    </row>
    <row r="126" spans="9:12">
      <c r="I126">
        <f>IFERROR(VLOOKUP(H126,Rates!$A$2:$B$3,2,0),1)</f>
        <v>1</v>
      </c>
      <c r="J126" t="str">
        <f t="shared" si="0"/>
        <v/>
      </c>
      <c r="K126" t="str">
        <f>IF(J126&lt;&gt;"",SUM($J$2:J126),"")</f>
        <v/>
      </c>
      <c r="L126">
        <f ca="1" t="shared" si="1"/>
        <v>45942</v>
      </c>
    </row>
    <row r="127" spans="9:12">
      <c r="I127">
        <f>IFERROR(VLOOKUP(H127,Rates!$A$2:$B$3,2,0),1)</f>
        <v>1</v>
      </c>
      <c r="J127" t="str">
        <f t="shared" si="0"/>
        <v/>
      </c>
      <c r="K127" t="str">
        <f>IF(J127&lt;&gt;"",SUM($J$2:J127),"")</f>
        <v/>
      </c>
      <c r="L127">
        <f ca="1" t="shared" si="1"/>
        <v>45942</v>
      </c>
    </row>
    <row r="128" spans="9:12">
      <c r="I128">
        <f>IFERROR(VLOOKUP(H128,Rates!$A$2:$B$3,2,0),1)</f>
        <v>1</v>
      </c>
      <c r="J128" t="str">
        <f t="shared" si="0"/>
        <v/>
      </c>
      <c r="K128" t="str">
        <f>IF(J128&lt;&gt;"",SUM($J$2:J128),"")</f>
        <v/>
      </c>
      <c r="L128">
        <f ca="1" t="shared" si="1"/>
        <v>45942</v>
      </c>
    </row>
    <row r="129" spans="9:12">
      <c r="I129">
        <f>IFERROR(VLOOKUP(H129,Rates!$A$2:$B$3,2,0),1)</f>
        <v>1</v>
      </c>
      <c r="J129" t="str">
        <f t="shared" si="0"/>
        <v/>
      </c>
      <c r="K129" t="str">
        <f>IF(J129&lt;&gt;"",SUM($J$2:J129),"")</f>
        <v/>
      </c>
      <c r="L129">
        <f ca="1" t="shared" si="1"/>
        <v>45942</v>
      </c>
    </row>
    <row r="130" spans="9:12">
      <c r="I130">
        <f>IFERROR(VLOOKUP(H130,Rates!$A$2:$B$3,2,0),1)</f>
        <v>1</v>
      </c>
      <c r="J130" t="str">
        <f t="shared" ref="J130:J193" si="2">IF(G130&lt;&gt;"",G130*I130,"")</f>
        <v/>
      </c>
      <c r="K130" t="str">
        <f>IF(J130&lt;&gt;"",SUM($J$2:J130),"")</f>
        <v/>
      </c>
      <c r="L130">
        <f ca="1" t="shared" ref="L130:L193" si="3">IF(COUNTA(A130:K130)&gt;0,TODAY(),"")</f>
        <v>45942</v>
      </c>
    </row>
    <row r="131" spans="9:12">
      <c r="I131">
        <f>IFERROR(VLOOKUP(H131,Rates!$A$2:$B$3,2,0),1)</f>
        <v>1</v>
      </c>
      <c r="J131" t="str">
        <f t="shared" si="2"/>
        <v/>
      </c>
      <c r="K131" t="str">
        <f>IF(J131&lt;&gt;"",SUM($J$2:J131),"")</f>
        <v/>
      </c>
      <c r="L131">
        <f ca="1" t="shared" si="3"/>
        <v>45942</v>
      </c>
    </row>
    <row r="132" spans="9:12">
      <c r="I132">
        <f>IFERROR(VLOOKUP(H132,Rates!$A$2:$B$3,2,0),1)</f>
        <v>1</v>
      </c>
      <c r="J132" t="str">
        <f t="shared" si="2"/>
        <v/>
      </c>
      <c r="K132" t="str">
        <f>IF(J132&lt;&gt;"",SUM($J$2:J132),"")</f>
        <v/>
      </c>
      <c r="L132">
        <f ca="1" t="shared" si="3"/>
        <v>45942</v>
      </c>
    </row>
    <row r="133" spans="9:12">
      <c r="I133">
        <f>IFERROR(VLOOKUP(H133,Rates!$A$2:$B$3,2,0),1)</f>
        <v>1</v>
      </c>
      <c r="J133" t="str">
        <f t="shared" si="2"/>
        <v/>
      </c>
      <c r="K133" t="str">
        <f>IF(J133&lt;&gt;"",SUM($J$2:J133),"")</f>
        <v/>
      </c>
      <c r="L133">
        <f ca="1" t="shared" si="3"/>
        <v>45942</v>
      </c>
    </row>
    <row r="134" spans="9:12">
      <c r="I134">
        <f>IFERROR(VLOOKUP(H134,Rates!$A$2:$B$3,2,0),1)</f>
        <v>1</v>
      </c>
      <c r="J134" t="str">
        <f t="shared" si="2"/>
        <v/>
      </c>
      <c r="K134" t="str">
        <f>IF(J134&lt;&gt;"",SUM($J$2:J134),"")</f>
        <v/>
      </c>
      <c r="L134">
        <f ca="1" t="shared" si="3"/>
        <v>45942</v>
      </c>
    </row>
    <row r="135" spans="9:12">
      <c r="I135">
        <f>IFERROR(VLOOKUP(H135,Rates!$A$2:$B$3,2,0),1)</f>
        <v>1</v>
      </c>
      <c r="J135" t="str">
        <f t="shared" si="2"/>
        <v/>
      </c>
      <c r="K135" t="str">
        <f>IF(J135&lt;&gt;"",SUM($J$2:J135),"")</f>
        <v/>
      </c>
      <c r="L135">
        <f ca="1" t="shared" si="3"/>
        <v>45942</v>
      </c>
    </row>
    <row r="136" spans="9:12">
      <c r="I136">
        <f>IFERROR(VLOOKUP(H136,Rates!$A$2:$B$3,2,0),1)</f>
        <v>1</v>
      </c>
      <c r="J136" t="str">
        <f t="shared" si="2"/>
        <v/>
      </c>
      <c r="K136" t="str">
        <f>IF(J136&lt;&gt;"",SUM($J$2:J136),"")</f>
        <v/>
      </c>
      <c r="L136">
        <f ca="1" t="shared" si="3"/>
        <v>45942</v>
      </c>
    </row>
    <row r="137" spans="9:12">
      <c r="I137">
        <f>IFERROR(VLOOKUP(H137,Rates!$A$2:$B$3,2,0),1)</f>
        <v>1</v>
      </c>
      <c r="J137" t="str">
        <f t="shared" si="2"/>
        <v/>
      </c>
      <c r="K137" t="str">
        <f>IF(J137&lt;&gt;"",SUM($J$2:J137),"")</f>
        <v/>
      </c>
      <c r="L137">
        <f ca="1" t="shared" si="3"/>
        <v>45942</v>
      </c>
    </row>
    <row r="138" spans="9:12">
      <c r="I138">
        <f>IFERROR(VLOOKUP(H138,Rates!$A$2:$B$3,2,0),1)</f>
        <v>1</v>
      </c>
      <c r="J138" t="str">
        <f t="shared" si="2"/>
        <v/>
      </c>
      <c r="K138" t="str">
        <f>IF(J138&lt;&gt;"",SUM($J$2:J138),"")</f>
        <v/>
      </c>
      <c r="L138">
        <f ca="1" t="shared" si="3"/>
        <v>45942</v>
      </c>
    </row>
    <row r="139" spans="9:12">
      <c r="I139">
        <f>IFERROR(VLOOKUP(H139,Rates!$A$2:$B$3,2,0),1)</f>
        <v>1</v>
      </c>
      <c r="J139" t="str">
        <f t="shared" si="2"/>
        <v/>
      </c>
      <c r="K139" t="str">
        <f>IF(J139&lt;&gt;"",SUM($J$2:J139),"")</f>
        <v/>
      </c>
      <c r="L139">
        <f ca="1" t="shared" si="3"/>
        <v>45942</v>
      </c>
    </row>
    <row r="140" spans="9:12">
      <c r="I140">
        <f>IFERROR(VLOOKUP(H140,Rates!$A$2:$B$3,2,0),1)</f>
        <v>1</v>
      </c>
      <c r="J140" t="str">
        <f t="shared" si="2"/>
        <v/>
      </c>
      <c r="K140" t="str">
        <f>IF(J140&lt;&gt;"",SUM($J$2:J140),"")</f>
        <v/>
      </c>
      <c r="L140">
        <f ca="1" t="shared" si="3"/>
        <v>45942</v>
      </c>
    </row>
    <row r="141" spans="9:12">
      <c r="I141">
        <f>IFERROR(VLOOKUP(H141,Rates!$A$2:$B$3,2,0),1)</f>
        <v>1</v>
      </c>
      <c r="J141" t="str">
        <f t="shared" si="2"/>
        <v/>
      </c>
      <c r="K141" t="str">
        <f>IF(J141&lt;&gt;"",SUM($J$2:J141),"")</f>
        <v/>
      </c>
      <c r="L141">
        <f ca="1" t="shared" si="3"/>
        <v>45942</v>
      </c>
    </row>
    <row r="142" spans="9:12">
      <c r="I142">
        <f>IFERROR(VLOOKUP(H142,Rates!$A$2:$B$3,2,0),1)</f>
        <v>1</v>
      </c>
      <c r="J142" t="str">
        <f t="shared" si="2"/>
        <v/>
      </c>
      <c r="K142" t="str">
        <f>IF(J142&lt;&gt;"",SUM($J$2:J142),"")</f>
        <v/>
      </c>
      <c r="L142">
        <f ca="1" t="shared" si="3"/>
        <v>45942</v>
      </c>
    </row>
    <row r="143" spans="9:12">
      <c r="I143">
        <f>IFERROR(VLOOKUP(H143,Rates!$A$2:$B$3,2,0),1)</f>
        <v>1</v>
      </c>
      <c r="J143" t="str">
        <f t="shared" si="2"/>
        <v/>
      </c>
      <c r="K143" t="str">
        <f>IF(J143&lt;&gt;"",SUM($J$2:J143),"")</f>
        <v/>
      </c>
      <c r="L143">
        <f ca="1" t="shared" si="3"/>
        <v>45942</v>
      </c>
    </row>
    <row r="144" spans="9:12">
      <c r="I144">
        <f>IFERROR(VLOOKUP(H144,Rates!$A$2:$B$3,2,0),1)</f>
        <v>1</v>
      </c>
      <c r="J144" t="str">
        <f t="shared" si="2"/>
        <v/>
      </c>
      <c r="K144" t="str">
        <f>IF(J144&lt;&gt;"",SUM($J$2:J144),"")</f>
        <v/>
      </c>
      <c r="L144">
        <f ca="1" t="shared" si="3"/>
        <v>45942</v>
      </c>
    </row>
    <row r="145" spans="9:12">
      <c r="I145">
        <f>IFERROR(VLOOKUP(H145,Rates!$A$2:$B$3,2,0),1)</f>
        <v>1</v>
      </c>
      <c r="J145" t="str">
        <f t="shared" si="2"/>
        <v/>
      </c>
      <c r="K145" t="str">
        <f>IF(J145&lt;&gt;"",SUM($J$2:J145),"")</f>
        <v/>
      </c>
      <c r="L145">
        <f ca="1" t="shared" si="3"/>
        <v>45942</v>
      </c>
    </row>
    <row r="146" spans="9:12">
      <c r="I146">
        <f>IFERROR(VLOOKUP(H146,Rates!$A$2:$B$3,2,0),1)</f>
        <v>1</v>
      </c>
      <c r="J146" t="str">
        <f t="shared" si="2"/>
        <v/>
      </c>
      <c r="K146" t="str">
        <f>IF(J146&lt;&gt;"",SUM($J$2:J146),"")</f>
        <v/>
      </c>
      <c r="L146">
        <f ca="1" t="shared" si="3"/>
        <v>45942</v>
      </c>
    </row>
    <row r="147" spans="9:12">
      <c r="I147">
        <f>IFERROR(VLOOKUP(H147,Rates!$A$2:$B$3,2,0),1)</f>
        <v>1</v>
      </c>
      <c r="J147" t="str">
        <f t="shared" si="2"/>
        <v/>
      </c>
      <c r="K147" t="str">
        <f>IF(J147&lt;&gt;"",SUM($J$2:J147),"")</f>
        <v/>
      </c>
      <c r="L147">
        <f ca="1" t="shared" si="3"/>
        <v>45942</v>
      </c>
    </row>
    <row r="148" spans="9:12">
      <c r="I148">
        <f>IFERROR(VLOOKUP(H148,Rates!$A$2:$B$3,2,0),1)</f>
        <v>1</v>
      </c>
      <c r="J148" t="str">
        <f t="shared" si="2"/>
        <v/>
      </c>
      <c r="K148" t="str">
        <f>IF(J148&lt;&gt;"",SUM($J$2:J148),"")</f>
        <v/>
      </c>
      <c r="L148">
        <f ca="1" t="shared" si="3"/>
        <v>45942</v>
      </c>
    </row>
    <row r="149" spans="9:12">
      <c r="I149">
        <f>IFERROR(VLOOKUP(H149,Rates!$A$2:$B$3,2,0),1)</f>
        <v>1</v>
      </c>
      <c r="J149" t="str">
        <f t="shared" si="2"/>
        <v/>
      </c>
      <c r="K149" t="str">
        <f>IF(J149&lt;&gt;"",SUM($J$2:J149),"")</f>
        <v/>
      </c>
      <c r="L149">
        <f ca="1" t="shared" si="3"/>
        <v>45942</v>
      </c>
    </row>
    <row r="150" spans="9:12">
      <c r="I150">
        <f>IFERROR(VLOOKUP(H150,Rates!$A$2:$B$3,2,0),1)</f>
        <v>1</v>
      </c>
      <c r="J150" t="str">
        <f t="shared" si="2"/>
        <v/>
      </c>
      <c r="K150" t="str">
        <f>IF(J150&lt;&gt;"",SUM($J$2:J150),"")</f>
        <v/>
      </c>
      <c r="L150">
        <f ca="1" t="shared" si="3"/>
        <v>45942</v>
      </c>
    </row>
    <row r="151" spans="9:12">
      <c r="I151">
        <f>IFERROR(VLOOKUP(H151,Rates!$A$2:$B$3,2,0),1)</f>
        <v>1</v>
      </c>
      <c r="J151" t="str">
        <f t="shared" si="2"/>
        <v/>
      </c>
      <c r="K151" t="str">
        <f>IF(J151&lt;&gt;"",SUM($J$2:J151),"")</f>
        <v/>
      </c>
      <c r="L151">
        <f ca="1" t="shared" si="3"/>
        <v>45942</v>
      </c>
    </row>
    <row r="152" spans="9:12">
      <c r="I152">
        <f>IFERROR(VLOOKUP(H152,Rates!$A$2:$B$3,2,0),1)</f>
        <v>1</v>
      </c>
      <c r="J152" t="str">
        <f t="shared" si="2"/>
        <v/>
      </c>
      <c r="K152" t="str">
        <f>IF(J152&lt;&gt;"",SUM($J$2:J152),"")</f>
        <v/>
      </c>
      <c r="L152">
        <f ca="1" t="shared" si="3"/>
        <v>45942</v>
      </c>
    </row>
    <row r="153" spans="9:12">
      <c r="I153">
        <f>IFERROR(VLOOKUP(H153,Rates!$A$2:$B$3,2,0),1)</f>
        <v>1</v>
      </c>
      <c r="J153" t="str">
        <f t="shared" si="2"/>
        <v/>
      </c>
      <c r="K153" t="str">
        <f>IF(J153&lt;&gt;"",SUM($J$2:J153),"")</f>
        <v/>
      </c>
      <c r="L153">
        <f ca="1" t="shared" si="3"/>
        <v>45942</v>
      </c>
    </row>
    <row r="154" spans="9:12">
      <c r="I154">
        <f>IFERROR(VLOOKUP(H154,Rates!$A$2:$B$3,2,0),1)</f>
        <v>1</v>
      </c>
      <c r="J154" t="str">
        <f t="shared" si="2"/>
        <v/>
      </c>
      <c r="K154" t="str">
        <f>IF(J154&lt;&gt;"",SUM($J$2:J154),"")</f>
        <v/>
      </c>
      <c r="L154">
        <f ca="1" t="shared" si="3"/>
        <v>45942</v>
      </c>
    </row>
    <row r="155" spans="9:12">
      <c r="I155">
        <f>IFERROR(VLOOKUP(H155,Rates!$A$2:$B$3,2,0),1)</f>
        <v>1</v>
      </c>
      <c r="J155" t="str">
        <f t="shared" si="2"/>
        <v/>
      </c>
      <c r="K155" t="str">
        <f>IF(J155&lt;&gt;"",SUM($J$2:J155),"")</f>
        <v/>
      </c>
      <c r="L155">
        <f ca="1" t="shared" si="3"/>
        <v>45942</v>
      </c>
    </row>
    <row r="156" spans="9:12">
      <c r="I156">
        <f>IFERROR(VLOOKUP(H156,Rates!$A$2:$B$3,2,0),1)</f>
        <v>1</v>
      </c>
      <c r="J156" t="str">
        <f t="shared" si="2"/>
        <v/>
      </c>
      <c r="K156" t="str">
        <f>IF(J156&lt;&gt;"",SUM($J$2:J156),"")</f>
        <v/>
      </c>
      <c r="L156">
        <f ca="1" t="shared" si="3"/>
        <v>45942</v>
      </c>
    </row>
    <row r="157" spans="9:12">
      <c r="I157">
        <f>IFERROR(VLOOKUP(H157,Rates!$A$2:$B$3,2,0),1)</f>
        <v>1</v>
      </c>
      <c r="J157" t="str">
        <f t="shared" si="2"/>
        <v/>
      </c>
      <c r="K157" t="str">
        <f>IF(J157&lt;&gt;"",SUM($J$2:J157),"")</f>
        <v/>
      </c>
      <c r="L157">
        <f ca="1" t="shared" si="3"/>
        <v>45942</v>
      </c>
    </row>
    <row r="158" spans="9:12">
      <c r="I158">
        <f>IFERROR(VLOOKUP(H158,Rates!$A$2:$B$3,2,0),1)</f>
        <v>1</v>
      </c>
      <c r="J158" t="str">
        <f t="shared" si="2"/>
        <v/>
      </c>
      <c r="K158" t="str">
        <f>IF(J158&lt;&gt;"",SUM($J$2:J158),"")</f>
        <v/>
      </c>
      <c r="L158">
        <f ca="1" t="shared" si="3"/>
        <v>45942</v>
      </c>
    </row>
    <row r="159" spans="9:12">
      <c r="I159">
        <f>IFERROR(VLOOKUP(H159,Rates!$A$2:$B$3,2,0),1)</f>
        <v>1</v>
      </c>
      <c r="J159" t="str">
        <f t="shared" si="2"/>
        <v/>
      </c>
      <c r="K159" t="str">
        <f>IF(J159&lt;&gt;"",SUM($J$2:J159),"")</f>
        <v/>
      </c>
      <c r="L159">
        <f ca="1" t="shared" si="3"/>
        <v>45942</v>
      </c>
    </row>
    <row r="160" spans="9:12">
      <c r="I160">
        <f>IFERROR(VLOOKUP(H160,Rates!$A$2:$B$3,2,0),1)</f>
        <v>1</v>
      </c>
      <c r="J160" t="str">
        <f t="shared" si="2"/>
        <v/>
      </c>
      <c r="K160" t="str">
        <f>IF(J160&lt;&gt;"",SUM($J$2:J160),"")</f>
        <v/>
      </c>
      <c r="L160">
        <f ca="1" t="shared" si="3"/>
        <v>45942</v>
      </c>
    </row>
    <row r="161" spans="9:12">
      <c r="I161">
        <f>IFERROR(VLOOKUP(H161,Rates!$A$2:$B$3,2,0),1)</f>
        <v>1</v>
      </c>
      <c r="J161" t="str">
        <f t="shared" si="2"/>
        <v/>
      </c>
      <c r="K161" t="str">
        <f>IF(J161&lt;&gt;"",SUM($J$2:J161),"")</f>
        <v/>
      </c>
      <c r="L161">
        <f ca="1" t="shared" si="3"/>
        <v>45942</v>
      </c>
    </row>
    <row r="162" spans="9:12">
      <c r="I162">
        <f>IFERROR(VLOOKUP(H162,Rates!$A$2:$B$3,2,0),1)</f>
        <v>1</v>
      </c>
      <c r="J162" t="str">
        <f t="shared" si="2"/>
        <v/>
      </c>
      <c r="K162" t="str">
        <f>IF(J162&lt;&gt;"",SUM($J$2:J162),"")</f>
        <v/>
      </c>
      <c r="L162">
        <f ca="1" t="shared" si="3"/>
        <v>45942</v>
      </c>
    </row>
    <row r="163" spans="9:12">
      <c r="I163">
        <f>IFERROR(VLOOKUP(H163,Rates!$A$2:$B$3,2,0),1)</f>
        <v>1</v>
      </c>
      <c r="J163" t="str">
        <f t="shared" si="2"/>
        <v/>
      </c>
      <c r="K163" t="str">
        <f>IF(J163&lt;&gt;"",SUM($J$2:J163),"")</f>
        <v/>
      </c>
      <c r="L163">
        <f ca="1" t="shared" si="3"/>
        <v>45942</v>
      </c>
    </row>
    <row r="164" spans="9:12">
      <c r="I164">
        <f>IFERROR(VLOOKUP(H164,Rates!$A$2:$B$3,2,0),1)</f>
        <v>1</v>
      </c>
      <c r="J164" t="str">
        <f t="shared" si="2"/>
        <v/>
      </c>
      <c r="K164" t="str">
        <f>IF(J164&lt;&gt;"",SUM($J$2:J164),"")</f>
        <v/>
      </c>
      <c r="L164">
        <f ca="1" t="shared" si="3"/>
        <v>45942</v>
      </c>
    </row>
    <row r="165" spans="9:12">
      <c r="I165">
        <f>IFERROR(VLOOKUP(H165,Rates!$A$2:$B$3,2,0),1)</f>
        <v>1</v>
      </c>
      <c r="J165" t="str">
        <f t="shared" si="2"/>
        <v/>
      </c>
      <c r="K165" t="str">
        <f>IF(J165&lt;&gt;"",SUM($J$2:J165),"")</f>
        <v/>
      </c>
      <c r="L165">
        <f ca="1" t="shared" si="3"/>
        <v>45942</v>
      </c>
    </row>
    <row r="166" spans="9:12">
      <c r="I166">
        <f>IFERROR(VLOOKUP(H166,Rates!$A$2:$B$3,2,0),1)</f>
        <v>1</v>
      </c>
      <c r="J166" t="str">
        <f t="shared" si="2"/>
        <v/>
      </c>
      <c r="K166" t="str">
        <f>IF(J166&lt;&gt;"",SUM($J$2:J166),"")</f>
        <v/>
      </c>
      <c r="L166">
        <f ca="1" t="shared" si="3"/>
        <v>45942</v>
      </c>
    </row>
    <row r="167" spans="9:12">
      <c r="I167">
        <f>IFERROR(VLOOKUP(H167,Rates!$A$2:$B$3,2,0),1)</f>
        <v>1</v>
      </c>
      <c r="J167" t="str">
        <f t="shared" si="2"/>
        <v/>
      </c>
      <c r="K167" t="str">
        <f>IF(J167&lt;&gt;"",SUM($J$2:J167),"")</f>
        <v/>
      </c>
      <c r="L167">
        <f ca="1" t="shared" si="3"/>
        <v>45942</v>
      </c>
    </row>
    <row r="168" spans="9:12">
      <c r="I168">
        <f>IFERROR(VLOOKUP(H168,Rates!$A$2:$B$3,2,0),1)</f>
        <v>1</v>
      </c>
      <c r="J168" t="str">
        <f t="shared" si="2"/>
        <v/>
      </c>
      <c r="K168" t="str">
        <f>IF(J168&lt;&gt;"",SUM($J$2:J168),"")</f>
        <v/>
      </c>
      <c r="L168">
        <f ca="1" t="shared" si="3"/>
        <v>45942</v>
      </c>
    </row>
    <row r="169" spans="9:12">
      <c r="I169">
        <f>IFERROR(VLOOKUP(H169,Rates!$A$2:$B$3,2,0),1)</f>
        <v>1</v>
      </c>
      <c r="J169" t="str">
        <f t="shared" si="2"/>
        <v/>
      </c>
      <c r="K169" t="str">
        <f>IF(J169&lt;&gt;"",SUM($J$2:J169),"")</f>
        <v/>
      </c>
      <c r="L169">
        <f ca="1" t="shared" si="3"/>
        <v>45942</v>
      </c>
    </row>
    <row r="170" spans="9:12">
      <c r="I170">
        <f>IFERROR(VLOOKUP(H170,Rates!$A$2:$B$3,2,0),1)</f>
        <v>1</v>
      </c>
      <c r="J170" t="str">
        <f t="shared" si="2"/>
        <v/>
      </c>
      <c r="K170" t="str">
        <f>IF(J170&lt;&gt;"",SUM($J$2:J170),"")</f>
        <v/>
      </c>
      <c r="L170">
        <f ca="1" t="shared" si="3"/>
        <v>45942</v>
      </c>
    </row>
    <row r="171" spans="9:12">
      <c r="I171">
        <f>IFERROR(VLOOKUP(H171,Rates!$A$2:$B$3,2,0),1)</f>
        <v>1</v>
      </c>
      <c r="J171" t="str">
        <f t="shared" si="2"/>
        <v/>
      </c>
      <c r="K171" t="str">
        <f>IF(J171&lt;&gt;"",SUM($J$2:J171),"")</f>
        <v/>
      </c>
      <c r="L171">
        <f ca="1" t="shared" si="3"/>
        <v>45942</v>
      </c>
    </row>
    <row r="172" spans="9:12">
      <c r="I172">
        <f>IFERROR(VLOOKUP(H172,Rates!$A$2:$B$3,2,0),1)</f>
        <v>1</v>
      </c>
      <c r="J172" t="str">
        <f t="shared" si="2"/>
        <v/>
      </c>
      <c r="K172" t="str">
        <f>IF(J172&lt;&gt;"",SUM($J$2:J172),"")</f>
        <v/>
      </c>
      <c r="L172">
        <f ca="1" t="shared" si="3"/>
        <v>45942</v>
      </c>
    </row>
    <row r="173" spans="9:12">
      <c r="I173">
        <f>IFERROR(VLOOKUP(H173,Rates!$A$2:$B$3,2,0),1)</f>
        <v>1</v>
      </c>
      <c r="J173" t="str">
        <f t="shared" si="2"/>
        <v/>
      </c>
      <c r="K173" t="str">
        <f>IF(J173&lt;&gt;"",SUM($J$2:J173),"")</f>
        <v/>
      </c>
      <c r="L173">
        <f ca="1" t="shared" si="3"/>
        <v>45942</v>
      </c>
    </row>
    <row r="174" spans="9:12">
      <c r="I174">
        <f>IFERROR(VLOOKUP(H174,Rates!$A$2:$B$3,2,0),1)</f>
        <v>1</v>
      </c>
      <c r="J174" t="str">
        <f t="shared" si="2"/>
        <v/>
      </c>
      <c r="K174" t="str">
        <f>IF(J174&lt;&gt;"",SUM($J$2:J174),"")</f>
        <v/>
      </c>
      <c r="L174">
        <f ca="1" t="shared" si="3"/>
        <v>45942</v>
      </c>
    </row>
    <row r="175" spans="9:12">
      <c r="I175">
        <f>IFERROR(VLOOKUP(H175,Rates!$A$2:$B$3,2,0),1)</f>
        <v>1</v>
      </c>
      <c r="J175" t="str">
        <f t="shared" si="2"/>
        <v/>
      </c>
      <c r="K175" t="str">
        <f>IF(J175&lt;&gt;"",SUM($J$2:J175),"")</f>
        <v/>
      </c>
      <c r="L175">
        <f ca="1" t="shared" si="3"/>
        <v>45942</v>
      </c>
    </row>
    <row r="176" spans="9:12">
      <c r="I176">
        <f>IFERROR(VLOOKUP(H176,Rates!$A$2:$B$3,2,0),1)</f>
        <v>1</v>
      </c>
      <c r="J176" t="str">
        <f t="shared" si="2"/>
        <v/>
      </c>
      <c r="K176" t="str">
        <f>IF(J176&lt;&gt;"",SUM($J$2:J176),"")</f>
        <v/>
      </c>
      <c r="L176">
        <f ca="1" t="shared" si="3"/>
        <v>45942</v>
      </c>
    </row>
    <row r="177" spans="9:12">
      <c r="I177">
        <f>IFERROR(VLOOKUP(H177,Rates!$A$2:$B$3,2,0),1)</f>
        <v>1</v>
      </c>
      <c r="J177" t="str">
        <f t="shared" si="2"/>
        <v/>
      </c>
      <c r="K177" t="str">
        <f>IF(J177&lt;&gt;"",SUM($J$2:J177),"")</f>
        <v/>
      </c>
      <c r="L177">
        <f ca="1" t="shared" si="3"/>
        <v>45942</v>
      </c>
    </row>
    <row r="178" spans="9:12">
      <c r="I178">
        <f>IFERROR(VLOOKUP(H178,Rates!$A$2:$B$3,2,0),1)</f>
        <v>1</v>
      </c>
      <c r="J178" t="str">
        <f t="shared" si="2"/>
        <v/>
      </c>
      <c r="K178" t="str">
        <f>IF(J178&lt;&gt;"",SUM($J$2:J178),"")</f>
        <v/>
      </c>
      <c r="L178">
        <f ca="1" t="shared" si="3"/>
        <v>45942</v>
      </c>
    </row>
    <row r="179" spans="9:12">
      <c r="I179">
        <f>IFERROR(VLOOKUP(H179,Rates!$A$2:$B$3,2,0),1)</f>
        <v>1</v>
      </c>
      <c r="J179" t="str">
        <f t="shared" si="2"/>
        <v/>
      </c>
      <c r="K179" t="str">
        <f>IF(J179&lt;&gt;"",SUM($J$2:J179),"")</f>
        <v/>
      </c>
      <c r="L179">
        <f ca="1" t="shared" si="3"/>
        <v>45942</v>
      </c>
    </row>
    <row r="180" spans="9:12">
      <c r="I180">
        <f>IFERROR(VLOOKUP(H180,Rates!$A$2:$B$3,2,0),1)</f>
        <v>1</v>
      </c>
      <c r="J180" t="str">
        <f t="shared" si="2"/>
        <v/>
      </c>
      <c r="K180" t="str">
        <f>IF(J180&lt;&gt;"",SUM($J$2:J180),"")</f>
        <v/>
      </c>
      <c r="L180">
        <f ca="1" t="shared" si="3"/>
        <v>45942</v>
      </c>
    </row>
    <row r="181" spans="9:12">
      <c r="I181">
        <f>IFERROR(VLOOKUP(H181,Rates!$A$2:$B$3,2,0),1)</f>
        <v>1</v>
      </c>
      <c r="J181" t="str">
        <f t="shared" si="2"/>
        <v/>
      </c>
      <c r="K181" t="str">
        <f>IF(J181&lt;&gt;"",SUM($J$2:J181),"")</f>
        <v/>
      </c>
      <c r="L181">
        <f ca="1" t="shared" si="3"/>
        <v>45942</v>
      </c>
    </row>
    <row r="182" spans="9:12">
      <c r="I182">
        <f>IFERROR(VLOOKUP(H182,Rates!$A$2:$B$3,2,0),1)</f>
        <v>1</v>
      </c>
      <c r="J182" t="str">
        <f t="shared" si="2"/>
        <v/>
      </c>
      <c r="K182" t="str">
        <f>IF(J182&lt;&gt;"",SUM($J$2:J182),"")</f>
        <v/>
      </c>
      <c r="L182">
        <f ca="1" t="shared" si="3"/>
        <v>45942</v>
      </c>
    </row>
    <row r="183" spans="9:12">
      <c r="I183">
        <f>IFERROR(VLOOKUP(H183,Rates!$A$2:$B$3,2,0),1)</f>
        <v>1</v>
      </c>
      <c r="J183" t="str">
        <f t="shared" si="2"/>
        <v/>
      </c>
      <c r="K183" t="str">
        <f>IF(J183&lt;&gt;"",SUM($J$2:J183),"")</f>
        <v/>
      </c>
      <c r="L183">
        <f ca="1" t="shared" si="3"/>
        <v>45942</v>
      </c>
    </row>
    <row r="184" spans="9:12">
      <c r="I184">
        <f>IFERROR(VLOOKUP(H184,Rates!$A$2:$B$3,2,0),1)</f>
        <v>1</v>
      </c>
      <c r="J184" t="str">
        <f t="shared" si="2"/>
        <v/>
      </c>
      <c r="K184" t="str">
        <f>IF(J184&lt;&gt;"",SUM($J$2:J184),"")</f>
        <v/>
      </c>
      <c r="L184">
        <f ca="1" t="shared" si="3"/>
        <v>45942</v>
      </c>
    </row>
    <row r="185" spans="9:12">
      <c r="I185">
        <f>IFERROR(VLOOKUP(H185,Rates!$A$2:$B$3,2,0),1)</f>
        <v>1</v>
      </c>
      <c r="J185" t="str">
        <f t="shared" si="2"/>
        <v/>
      </c>
      <c r="K185" t="str">
        <f>IF(J185&lt;&gt;"",SUM($J$2:J185),"")</f>
        <v/>
      </c>
      <c r="L185">
        <f ca="1" t="shared" si="3"/>
        <v>45942</v>
      </c>
    </row>
    <row r="186" spans="9:12">
      <c r="I186">
        <f>IFERROR(VLOOKUP(H186,Rates!$A$2:$B$3,2,0),1)</f>
        <v>1</v>
      </c>
      <c r="J186" t="str">
        <f t="shared" si="2"/>
        <v/>
      </c>
      <c r="K186" t="str">
        <f>IF(J186&lt;&gt;"",SUM($J$2:J186),"")</f>
        <v/>
      </c>
      <c r="L186">
        <f ca="1" t="shared" si="3"/>
        <v>45942</v>
      </c>
    </row>
    <row r="187" spans="9:12">
      <c r="I187">
        <f>IFERROR(VLOOKUP(H187,Rates!$A$2:$B$3,2,0),1)</f>
        <v>1</v>
      </c>
      <c r="J187" t="str">
        <f t="shared" si="2"/>
        <v/>
      </c>
      <c r="K187" t="str">
        <f>IF(J187&lt;&gt;"",SUM($J$2:J187),"")</f>
        <v/>
      </c>
      <c r="L187">
        <f ca="1" t="shared" si="3"/>
        <v>45942</v>
      </c>
    </row>
    <row r="188" spans="9:12">
      <c r="I188">
        <f>IFERROR(VLOOKUP(H188,Rates!$A$2:$B$3,2,0),1)</f>
        <v>1</v>
      </c>
      <c r="J188" t="str">
        <f t="shared" si="2"/>
        <v/>
      </c>
      <c r="K188" t="str">
        <f>IF(J188&lt;&gt;"",SUM($J$2:J188),"")</f>
        <v/>
      </c>
      <c r="L188">
        <f ca="1" t="shared" si="3"/>
        <v>45942</v>
      </c>
    </row>
    <row r="189" spans="9:12">
      <c r="I189">
        <f>IFERROR(VLOOKUP(H189,Rates!$A$2:$B$3,2,0),1)</f>
        <v>1</v>
      </c>
      <c r="J189" t="str">
        <f t="shared" si="2"/>
        <v/>
      </c>
      <c r="K189" t="str">
        <f>IF(J189&lt;&gt;"",SUM($J$2:J189),"")</f>
        <v/>
      </c>
      <c r="L189">
        <f ca="1" t="shared" si="3"/>
        <v>45942</v>
      </c>
    </row>
    <row r="190" spans="9:12">
      <c r="I190">
        <f>IFERROR(VLOOKUP(H190,Rates!$A$2:$B$3,2,0),1)</f>
        <v>1</v>
      </c>
      <c r="J190" t="str">
        <f t="shared" si="2"/>
        <v/>
      </c>
      <c r="K190" t="str">
        <f>IF(J190&lt;&gt;"",SUM($J$2:J190),"")</f>
        <v/>
      </c>
      <c r="L190">
        <f ca="1" t="shared" si="3"/>
        <v>45942</v>
      </c>
    </row>
    <row r="191" spans="9:12">
      <c r="I191">
        <f>IFERROR(VLOOKUP(H191,Rates!$A$2:$B$3,2,0),1)</f>
        <v>1</v>
      </c>
      <c r="J191" t="str">
        <f t="shared" si="2"/>
        <v/>
      </c>
      <c r="K191" t="str">
        <f>IF(J191&lt;&gt;"",SUM($J$2:J191),"")</f>
        <v/>
      </c>
      <c r="L191">
        <f ca="1" t="shared" si="3"/>
        <v>45942</v>
      </c>
    </row>
    <row r="192" spans="9:12">
      <c r="I192">
        <f>IFERROR(VLOOKUP(H192,Rates!$A$2:$B$3,2,0),1)</f>
        <v>1</v>
      </c>
      <c r="J192" t="str">
        <f t="shared" si="2"/>
        <v/>
      </c>
      <c r="K192" t="str">
        <f>IF(J192&lt;&gt;"",SUM($J$2:J192),"")</f>
        <v/>
      </c>
      <c r="L192">
        <f ca="1" t="shared" si="3"/>
        <v>45942</v>
      </c>
    </row>
    <row r="193" spans="9:12">
      <c r="I193">
        <f>IFERROR(VLOOKUP(H193,Rates!$A$2:$B$3,2,0),1)</f>
        <v>1</v>
      </c>
      <c r="J193" t="str">
        <f t="shared" si="2"/>
        <v/>
      </c>
      <c r="K193" t="str">
        <f>IF(J193&lt;&gt;"",SUM($J$2:J193),"")</f>
        <v/>
      </c>
      <c r="L193">
        <f ca="1" t="shared" si="3"/>
        <v>45942</v>
      </c>
    </row>
    <row r="194" spans="9:12">
      <c r="I194">
        <f>IFERROR(VLOOKUP(H194,Rates!$A$2:$B$3,2,0),1)</f>
        <v>1</v>
      </c>
      <c r="J194" t="str">
        <f t="shared" ref="J194:J257" si="4">IF(G194&lt;&gt;"",G194*I194,"")</f>
        <v/>
      </c>
      <c r="K194" t="str">
        <f>IF(J194&lt;&gt;"",SUM($J$2:J194),"")</f>
        <v/>
      </c>
      <c r="L194">
        <f ca="1" t="shared" ref="L194:L257" si="5">IF(COUNTA(A194:K194)&gt;0,TODAY(),"")</f>
        <v>45942</v>
      </c>
    </row>
    <row r="195" spans="9:12">
      <c r="I195">
        <f>IFERROR(VLOOKUP(H195,Rates!$A$2:$B$3,2,0),1)</f>
        <v>1</v>
      </c>
      <c r="J195" t="str">
        <f t="shared" si="4"/>
        <v/>
      </c>
      <c r="K195" t="str">
        <f>IF(J195&lt;&gt;"",SUM($J$2:J195),"")</f>
        <v/>
      </c>
      <c r="L195">
        <f ca="1" t="shared" si="5"/>
        <v>45942</v>
      </c>
    </row>
    <row r="196" spans="9:12">
      <c r="I196">
        <f>IFERROR(VLOOKUP(H196,Rates!$A$2:$B$3,2,0),1)</f>
        <v>1</v>
      </c>
      <c r="J196" t="str">
        <f t="shared" si="4"/>
        <v/>
      </c>
      <c r="K196" t="str">
        <f>IF(J196&lt;&gt;"",SUM($J$2:J196),"")</f>
        <v/>
      </c>
      <c r="L196">
        <f ca="1" t="shared" si="5"/>
        <v>45942</v>
      </c>
    </row>
    <row r="197" spans="9:12">
      <c r="I197">
        <f>IFERROR(VLOOKUP(H197,Rates!$A$2:$B$3,2,0),1)</f>
        <v>1</v>
      </c>
      <c r="J197" t="str">
        <f t="shared" si="4"/>
        <v/>
      </c>
      <c r="K197" t="str">
        <f>IF(J197&lt;&gt;"",SUM($J$2:J197),"")</f>
        <v/>
      </c>
      <c r="L197">
        <f ca="1" t="shared" si="5"/>
        <v>45942</v>
      </c>
    </row>
    <row r="198" spans="9:12">
      <c r="I198">
        <f>IFERROR(VLOOKUP(H198,Rates!$A$2:$B$3,2,0),1)</f>
        <v>1</v>
      </c>
      <c r="J198" t="str">
        <f t="shared" si="4"/>
        <v/>
      </c>
      <c r="K198" t="str">
        <f>IF(J198&lt;&gt;"",SUM($J$2:J198),"")</f>
        <v/>
      </c>
      <c r="L198">
        <f ca="1" t="shared" si="5"/>
        <v>45942</v>
      </c>
    </row>
    <row r="199" spans="9:12">
      <c r="I199">
        <f>IFERROR(VLOOKUP(H199,Rates!$A$2:$B$3,2,0),1)</f>
        <v>1</v>
      </c>
      <c r="J199" t="str">
        <f t="shared" si="4"/>
        <v/>
      </c>
      <c r="K199" t="str">
        <f>IF(J199&lt;&gt;"",SUM($J$2:J199),"")</f>
        <v/>
      </c>
      <c r="L199">
        <f ca="1" t="shared" si="5"/>
        <v>45942</v>
      </c>
    </row>
    <row r="200" spans="9:12">
      <c r="I200">
        <f>IFERROR(VLOOKUP(H200,Rates!$A$2:$B$3,2,0),1)</f>
        <v>1</v>
      </c>
      <c r="J200" t="str">
        <f t="shared" si="4"/>
        <v/>
      </c>
      <c r="K200" t="str">
        <f>IF(J200&lt;&gt;"",SUM($J$2:J200),"")</f>
        <v/>
      </c>
      <c r="L200">
        <f ca="1" t="shared" si="5"/>
        <v>45942</v>
      </c>
    </row>
    <row r="201" spans="9:12">
      <c r="I201">
        <f>IFERROR(VLOOKUP(H201,Rates!$A$2:$B$3,2,0),1)</f>
        <v>1</v>
      </c>
      <c r="J201" t="str">
        <f t="shared" si="4"/>
        <v/>
      </c>
      <c r="K201" t="str">
        <f>IF(J201&lt;&gt;"",SUM($J$2:J201),"")</f>
        <v/>
      </c>
      <c r="L201">
        <f ca="1" t="shared" si="5"/>
        <v>45942</v>
      </c>
    </row>
    <row r="202" spans="9:12">
      <c r="I202">
        <f>IFERROR(VLOOKUP(H202,Rates!$A$2:$B$3,2,0),1)</f>
        <v>1</v>
      </c>
      <c r="J202" t="str">
        <f t="shared" si="4"/>
        <v/>
      </c>
      <c r="K202" t="str">
        <f>IF(J202&lt;&gt;"",SUM($J$2:J202),"")</f>
        <v/>
      </c>
      <c r="L202">
        <f ca="1" t="shared" si="5"/>
        <v>45942</v>
      </c>
    </row>
    <row r="203" spans="9:12">
      <c r="I203">
        <f>IFERROR(VLOOKUP(H203,Rates!$A$2:$B$3,2,0),1)</f>
        <v>1</v>
      </c>
      <c r="J203" t="str">
        <f t="shared" si="4"/>
        <v/>
      </c>
      <c r="K203" t="str">
        <f>IF(J203&lt;&gt;"",SUM($J$2:J203),"")</f>
        <v/>
      </c>
      <c r="L203">
        <f ca="1" t="shared" si="5"/>
        <v>45942</v>
      </c>
    </row>
    <row r="204" spans="9:12">
      <c r="I204">
        <f>IFERROR(VLOOKUP(H204,Rates!$A$2:$B$3,2,0),1)</f>
        <v>1</v>
      </c>
      <c r="J204" t="str">
        <f t="shared" si="4"/>
        <v/>
      </c>
      <c r="K204" t="str">
        <f>IF(J204&lt;&gt;"",SUM($J$2:J204),"")</f>
        <v/>
      </c>
      <c r="L204">
        <f ca="1" t="shared" si="5"/>
        <v>45942</v>
      </c>
    </row>
    <row r="205" spans="9:12">
      <c r="I205">
        <f>IFERROR(VLOOKUP(H205,Rates!$A$2:$B$3,2,0),1)</f>
        <v>1</v>
      </c>
      <c r="J205" t="str">
        <f t="shared" si="4"/>
        <v/>
      </c>
      <c r="K205" t="str">
        <f>IF(J205&lt;&gt;"",SUM($J$2:J205),"")</f>
        <v/>
      </c>
      <c r="L205">
        <f ca="1" t="shared" si="5"/>
        <v>45942</v>
      </c>
    </row>
    <row r="206" spans="9:12">
      <c r="I206">
        <f>IFERROR(VLOOKUP(H206,Rates!$A$2:$B$3,2,0),1)</f>
        <v>1</v>
      </c>
      <c r="J206" t="str">
        <f t="shared" si="4"/>
        <v/>
      </c>
      <c r="K206" t="str">
        <f>IF(J206&lt;&gt;"",SUM($J$2:J206),"")</f>
        <v/>
      </c>
      <c r="L206">
        <f ca="1" t="shared" si="5"/>
        <v>45942</v>
      </c>
    </row>
    <row r="207" spans="9:12">
      <c r="I207">
        <f>IFERROR(VLOOKUP(H207,Rates!$A$2:$B$3,2,0),1)</f>
        <v>1</v>
      </c>
      <c r="J207" t="str">
        <f t="shared" si="4"/>
        <v/>
      </c>
      <c r="K207" t="str">
        <f>IF(J207&lt;&gt;"",SUM($J$2:J207),"")</f>
        <v/>
      </c>
      <c r="L207">
        <f ca="1" t="shared" si="5"/>
        <v>45942</v>
      </c>
    </row>
    <row r="208" spans="9:12">
      <c r="I208">
        <f>IFERROR(VLOOKUP(H208,Rates!$A$2:$B$3,2,0),1)</f>
        <v>1</v>
      </c>
      <c r="J208" t="str">
        <f t="shared" si="4"/>
        <v/>
      </c>
      <c r="K208" t="str">
        <f>IF(J208&lt;&gt;"",SUM($J$2:J208),"")</f>
        <v/>
      </c>
      <c r="L208">
        <f ca="1" t="shared" si="5"/>
        <v>45942</v>
      </c>
    </row>
    <row r="209" spans="9:12">
      <c r="I209">
        <f>IFERROR(VLOOKUP(H209,Rates!$A$2:$B$3,2,0),1)</f>
        <v>1</v>
      </c>
      <c r="J209" t="str">
        <f t="shared" si="4"/>
        <v/>
      </c>
      <c r="K209" t="str">
        <f>IF(J209&lt;&gt;"",SUM($J$2:J209),"")</f>
        <v/>
      </c>
      <c r="L209">
        <f ca="1" t="shared" si="5"/>
        <v>45942</v>
      </c>
    </row>
    <row r="210" spans="9:12">
      <c r="I210">
        <f>IFERROR(VLOOKUP(H210,Rates!$A$2:$B$3,2,0),1)</f>
        <v>1</v>
      </c>
      <c r="J210" t="str">
        <f t="shared" si="4"/>
        <v/>
      </c>
      <c r="K210" t="str">
        <f>IF(J210&lt;&gt;"",SUM($J$2:J210),"")</f>
        <v/>
      </c>
      <c r="L210">
        <f ca="1" t="shared" si="5"/>
        <v>45942</v>
      </c>
    </row>
    <row r="211" spans="9:12">
      <c r="I211">
        <f>IFERROR(VLOOKUP(H211,Rates!$A$2:$B$3,2,0),1)</f>
        <v>1</v>
      </c>
      <c r="J211" t="str">
        <f t="shared" si="4"/>
        <v/>
      </c>
      <c r="K211" t="str">
        <f>IF(J211&lt;&gt;"",SUM($J$2:J211),"")</f>
        <v/>
      </c>
      <c r="L211">
        <f ca="1" t="shared" si="5"/>
        <v>45942</v>
      </c>
    </row>
    <row r="212" spans="9:12">
      <c r="I212">
        <f>IFERROR(VLOOKUP(H212,Rates!$A$2:$B$3,2,0),1)</f>
        <v>1</v>
      </c>
      <c r="J212" t="str">
        <f t="shared" si="4"/>
        <v/>
      </c>
      <c r="K212" t="str">
        <f>IF(J212&lt;&gt;"",SUM($J$2:J212),"")</f>
        <v/>
      </c>
      <c r="L212">
        <f ca="1" t="shared" si="5"/>
        <v>45942</v>
      </c>
    </row>
    <row r="213" spans="9:12">
      <c r="I213">
        <f>IFERROR(VLOOKUP(H213,Rates!$A$2:$B$3,2,0),1)</f>
        <v>1</v>
      </c>
      <c r="J213" t="str">
        <f t="shared" si="4"/>
        <v/>
      </c>
      <c r="K213" t="str">
        <f>IF(J213&lt;&gt;"",SUM($J$2:J213),"")</f>
        <v/>
      </c>
      <c r="L213">
        <f ca="1" t="shared" si="5"/>
        <v>45942</v>
      </c>
    </row>
    <row r="214" spans="9:12">
      <c r="I214">
        <f>IFERROR(VLOOKUP(H214,Rates!$A$2:$B$3,2,0),1)</f>
        <v>1</v>
      </c>
      <c r="J214" t="str">
        <f t="shared" si="4"/>
        <v/>
      </c>
      <c r="K214" t="str">
        <f>IF(J214&lt;&gt;"",SUM($J$2:J214),"")</f>
        <v/>
      </c>
      <c r="L214">
        <f ca="1" t="shared" si="5"/>
        <v>45942</v>
      </c>
    </row>
    <row r="215" spans="9:12">
      <c r="I215">
        <f>IFERROR(VLOOKUP(H215,Rates!$A$2:$B$3,2,0),1)</f>
        <v>1</v>
      </c>
      <c r="J215" t="str">
        <f t="shared" si="4"/>
        <v/>
      </c>
      <c r="K215" t="str">
        <f>IF(J215&lt;&gt;"",SUM($J$2:J215),"")</f>
        <v/>
      </c>
      <c r="L215">
        <f ca="1" t="shared" si="5"/>
        <v>45942</v>
      </c>
    </row>
    <row r="216" spans="9:12">
      <c r="I216">
        <f>IFERROR(VLOOKUP(H216,Rates!$A$2:$B$3,2,0),1)</f>
        <v>1</v>
      </c>
      <c r="J216" t="str">
        <f t="shared" si="4"/>
        <v/>
      </c>
      <c r="K216" t="str">
        <f>IF(J216&lt;&gt;"",SUM($J$2:J216),"")</f>
        <v/>
      </c>
      <c r="L216">
        <f ca="1" t="shared" si="5"/>
        <v>45942</v>
      </c>
    </row>
    <row r="217" spans="9:12">
      <c r="I217">
        <f>IFERROR(VLOOKUP(H217,Rates!$A$2:$B$3,2,0),1)</f>
        <v>1</v>
      </c>
      <c r="J217" t="str">
        <f t="shared" si="4"/>
        <v/>
      </c>
      <c r="K217" t="str">
        <f>IF(J217&lt;&gt;"",SUM($J$2:J217),"")</f>
        <v/>
      </c>
      <c r="L217">
        <f ca="1" t="shared" si="5"/>
        <v>45942</v>
      </c>
    </row>
    <row r="218" spans="9:12">
      <c r="I218">
        <f>IFERROR(VLOOKUP(H218,Rates!$A$2:$B$3,2,0),1)</f>
        <v>1</v>
      </c>
      <c r="J218" t="str">
        <f t="shared" si="4"/>
        <v/>
      </c>
      <c r="K218" t="str">
        <f>IF(J218&lt;&gt;"",SUM($J$2:J218),"")</f>
        <v/>
      </c>
      <c r="L218">
        <f ca="1" t="shared" si="5"/>
        <v>45942</v>
      </c>
    </row>
    <row r="219" spans="9:12">
      <c r="I219">
        <f>IFERROR(VLOOKUP(H219,Rates!$A$2:$B$3,2,0),1)</f>
        <v>1</v>
      </c>
      <c r="J219" t="str">
        <f t="shared" si="4"/>
        <v/>
      </c>
      <c r="K219" t="str">
        <f>IF(J219&lt;&gt;"",SUM($J$2:J219),"")</f>
        <v/>
      </c>
      <c r="L219">
        <f ca="1" t="shared" si="5"/>
        <v>45942</v>
      </c>
    </row>
    <row r="220" spans="9:12">
      <c r="I220">
        <f>IFERROR(VLOOKUP(H220,Rates!$A$2:$B$3,2,0),1)</f>
        <v>1</v>
      </c>
      <c r="J220" t="str">
        <f t="shared" si="4"/>
        <v/>
      </c>
      <c r="K220" t="str">
        <f>IF(J220&lt;&gt;"",SUM($J$2:J220),"")</f>
        <v/>
      </c>
      <c r="L220">
        <f ca="1" t="shared" si="5"/>
        <v>45942</v>
      </c>
    </row>
    <row r="221" spans="9:12">
      <c r="I221">
        <f>IFERROR(VLOOKUP(H221,Rates!$A$2:$B$3,2,0),1)</f>
        <v>1</v>
      </c>
      <c r="J221" t="str">
        <f t="shared" si="4"/>
        <v/>
      </c>
      <c r="K221" t="str">
        <f>IF(J221&lt;&gt;"",SUM($J$2:J221),"")</f>
        <v/>
      </c>
      <c r="L221">
        <f ca="1" t="shared" si="5"/>
        <v>45942</v>
      </c>
    </row>
    <row r="222" spans="9:12">
      <c r="I222">
        <f>IFERROR(VLOOKUP(H222,Rates!$A$2:$B$3,2,0),1)</f>
        <v>1</v>
      </c>
      <c r="J222" t="str">
        <f t="shared" si="4"/>
        <v/>
      </c>
      <c r="K222" t="str">
        <f>IF(J222&lt;&gt;"",SUM($J$2:J222),"")</f>
        <v/>
      </c>
      <c r="L222">
        <f ca="1" t="shared" si="5"/>
        <v>45942</v>
      </c>
    </row>
    <row r="223" spans="9:12">
      <c r="I223">
        <f>IFERROR(VLOOKUP(H223,Rates!$A$2:$B$3,2,0),1)</f>
        <v>1</v>
      </c>
      <c r="J223" t="str">
        <f t="shared" si="4"/>
        <v/>
      </c>
      <c r="K223" t="str">
        <f>IF(J223&lt;&gt;"",SUM($J$2:J223),"")</f>
        <v/>
      </c>
      <c r="L223">
        <f ca="1" t="shared" si="5"/>
        <v>45942</v>
      </c>
    </row>
    <row r="224" spans="9:12">
      <c r="I224">
        <f>IFERROR(VLOOKUP(H224,Rates!$A$2:$B$3,2,0),1)</f>
        <v>1</v>
      </c>
      <c r="J224" t="str">
        <f t="shared" si="4"/>
        <v/>
      </c>
      <c r="K224" t="str">
        <f>IF(J224&lt;&gt;"",SUM($J$2:J224),"")</f>
        <v/>
      </c>
      <c r="L224">
        <f ca="1" t="shared" si="5"/>
        <v>45942</v>
      </c>
    </row>
    <row r="225" spans="9:12">
      <c r="I225">
        <f>IFERROR(VLOOKUP(H225,Rates!$A$2:$B$3,2,0),1)</f>
        <v>1</v>
      </c>
      <c r="J225" t="str">
        <f t="shared" si="4"/>
        <v/>
      </c>
      <c r="K225" t="str">
        <f>IF(J225&lt;&gt;"",SUM($J$2:J225),"")</f>
        <v/>
      </c>
      <c r="L225">
        <f ca="1" t="shared" si="5"/>
        <v>45942</v>
      </c>
    </row>
    <row r="226" spans="9:12">
      <c r="I226">
        <f>IFERROR(VLOOKUP(H226,Rates!$A$2:$B$3,2,0),1)</f>
        <v>1</v>
      </c>
      <c r="J226" t="str">
        <f t="shared" si="4"/>
        <v/>
      </c>
      <c r="K226" t="str">
        <f>IF(J226&lt;&gt;"",SUM($J$2:J226),"")</f>
        <v/>
      </c>
      <c r="L226">
        <f ca="1" t="shared" si="5"/>
        <v>45942</v>
      </c>
    </row>
    <row r="227" spans="9:12">
      <c r="I227">
        <f>IFERROR(VLOOKUP(H227,Rates!$A$2:$B$3,2,0),1)</f>
        <v>1</v>
      </c>
      <c r="J227" t="str">
        <f t="shared" si="4"/>
        <v/>
      </c>
      <c r="K227" t="str">
        <f>IF(J227&lt;&gt;"",SUM($J$2:J227),"")</f>
        <v/>
      </c>
      <c r="L227">
        <f ca="1" t="shared" si="5"/>
        <v>45942</v>
      </c>
    </row>
    <row r="228" spans="9:12">
      <c r="I228">
        <f>IFERROR(VLOOKUP(H228,Rates!$A$2:$B$3,2,0),1)</f>
        <v>1</v>
      </c>
      <c r="J228" t="str">
        <f t="shared" si="4"/>
        <v/>
      </c>
      <c r="K228" t="str">
        <f>IF(J228&lt;&gt;"",SUM($J$2:J228),"")</f>
        <v/>
      </c>
      <c r="L228">
        <f ca="1" t="shared" si="5"/>
        <v>45942</v>
      </c>
    </row>
    <row r="229" spans="9:12">
      <c r="I229">
        <f>IFERROR(VLOOKUP(H229,Rates!$A$2:$B$3,2,0),1)</f>
        <v>1</v>
      </c>
      <c r="J229" t="str">
        <f t="shared" si="4"/>
        <v/>
      </c>
      <c r="K229" t="str">
        <f>IF(J229&lt;&gt;"",SUM($J$2:J229),"")</f>
        <v/>
      </c>
      <c r="L229">
        <f ca="1" t="shared" si="5"/>
        <v>45942</v>
      </c>
    </row>
    <row r="230" spans="9:12">
      <c r="I230">
        <f>IFERROR(VLOOKUP(H230,Rates!$A$2:$B$3,2,0),1)</f>
        <v>1</v>
      </c>
      <c r="J230" t="str">
        <f t="shared" si="4"/>
        <v/>
      </c>
      <c r="K230" t="str">
        <f>IF(J230&lt;&gt;"",SUM($J$2:J230),"")</f>
        <v/>
      </c>
      <c r="L230">
        <f ca="1" t="shared" si="5"/>
        <v>45942</v>
      </c>
    </row>
    <row r="231" spans="9:12">
      <c r="I231">
        <f>IFERROR(VLOOKUP(H231,Rates!$A$2:$B$3,2,0),1)</f>
        <v>1</v>
      </c>
      <c r="J231" t="str">
        <f t="shared" si="4"/>
        <v/>
      </c>
      <c r="K231" t="str">
        <f>IF(J231&lt;&gt;"",SUM($J$2:J231),"")</f>
        <v/>
      </c>
      <c r="L231">
        <f ca="1" t="shared" si="5"/>
        <v>45942</v>
      </c>
    </row>
    <row r="232" spans="9:12">
      <c r="I232">
        <f>IFERROR(VLOOKUP(H232,Rates!$A$2:$B$3,2,0),1)</f>
        <v>1</v>
      </c>
      <c r="J232" t="str">
        <f t="shared" si="4"/>
        <v/>
      </c>
      <c r="K232" t="str">
        <f>IF(J232&lt;&gt;"",SUM($J$2:J232),"")</f>
        <v/>
      </c>
      <c r="L232">
        <f ca="1" t="shared" si="5"/>
        <v>45942</v>
      </c>
    </row>
    <row r="233" spans="9:12">
      <c r="I233">
        <f>IFERROR(VLOOKUP(H233,Rates!$A$2:$B$3,2,0),1)</f>
        <v>1</v>
      </c>
      <c r="J233" t="str">
        <f t="shared" si="4"/>
        <v/>
      </c>
      <c r="K233" t="str">
        <f>IF(J233&lt;&gt;"",SUM($J$2:J233),"")</f>
        <v/>
      </c>
      <c r="L233">
        <f ca="1" t="shared" si="5"/>
        <v>45942</v>
      </c>
    </row>
    <row r="234" spans="9:12">
      <c r="I234">
        <f>IFERROR(VLOOKUP(H234,Rates!$A$2:$B$3,2,0),1)</f>
        <v>1</v>
      </c>
      <c r="J234" t="str">
        <f t="shared" si="4"/>
        <v/>
      </c>
      <c r="K234" t="str">
        <f>IF(J234&lt;&gt;"",SUM($J$2:J234),"")</f>
        <v/>
      </c>
      <c r="L234">
        <f ca="1" t="shared" si="5"/>
        <v>45942</v>
      </c>
    </row>
    <row r="235" spans="9:12">
      <c r="I235">
        <f>IFERROR(VLOOKUP(H235,Rates!$A$2:$B$3,2,0),1)</f>
        <v>1</v>
      </c>
      <c r="J235" t="str">
        <f t="shared" si="4"/>
        <v/>
      </c>
      <c r="K235" t="str">
        <f>IF(J235&lt;&gt;"",SUM($J$2:J235),"")</f>
        <v/>
      </c>
      <c r="L235">
        <f ca="1" t="shared" si="5"/>
        <v>45942</v>
      </c>
    </row>
    <row r="236" spans="9:12">
      <c r="I236">
        <f>IFERROR(VLOOKUP(H236,Rates!$A$2:$B$3,2,0),1)</f>
        <v>1</v>
      </c>
      <c r="J236" t="str">
        <f t="shared" si="4"/>
        <v/>
      </c>
      <c r="K236" t="str">
        <f>IF(J236&lt;&gt;"",SUM($J$2:J236),"")</f>
        <v/>
      </c>
      <c r="L236">
        <f ca="1" t="shared" si="5"/>
        <v>45942</v>
      </c>
    </row>
    <row r="237" spans="9:12">
      <c r="I237">
        <f>IFERROR(VLOOKUP(H237,Rates!$A$2:$B$3,2,0),1)</f>
        <v>1</v>
      </c>
      <c r="J237" t="str">
        <f t="shared" si="4"/>
        <v/>
      </c>
      <c r="K237" t="str">
        <f>IF(J237&lt;&gt;"",SUM($J$2:J237),"")</f>
        <v/>
      </c>
      <c r="L237">
        <f ca="1" t="shared" si="5"/>
        <v>45942</v>
      </c>
    </row>
    <row r="238" spans="9:12">
      <c r="I238">
        <f>IFERROR(VLOOKUP(H238,Rates!$A$2:$B$3,2,0),1)</f>
        <v>1</v>
      </c>
      <c r="J238" t="str">
        <f t="shared" si="4"/>
        <v/>
      </c>
      <c r="K238" t="str">
        <f>IF(J238&lt;&gt;"",SUM($J$2:J238),"")</f>
        <v/>
      </c>
      <c r="L238">
        <f ca="1" t="shared" si="5"/>
        <v>45942</v>
      </c>
    </row>
    <row r="239" spans="9:12">
      <c r="I239">
        <f>IFERROR(VLOOKUP(H239,Rates!$A$2:$B$3,2,0),1)</f>
        <v>1</v>
      </c>
      <c r="J239" t="str">
        <f t="shared" si="4"/>
        <v/>
      </c>
      <c r="K239" t="str">
        <f>IF(J239&lt;&gt;"",SUM($J$2:J239),"")</f>
        <v/>
      </c>
      <c r="L239">
        <f ca="1" t="shared" si="5"/>
        <v>45942</v>
      </c>
    </row>
    <row r="240" spans="9:12">
      <c r="I240">
        <f>IFERROR(VLOOKUP(H240,Rates!$A$2:$B$3,2,0),1)</f>
        <v>1</v>
      </c>
      <c r="J240" t="str">
        <f t="shared" si="4"/>
        <v/>
      </c>
      <c r="K240" t="str">
        <f>IF(J240&lt;&gt;"",SUM($J$2:J240),"")</f>
        <v/>
      </c>
      <c r="L240">
        <f ca="1" t="shared" si="5"/>
        <v>45942</v>
      </c>
    </row>
    <row r="241" spans="9:12">
      <c r="I241">
        <f>IFERROR(VLOOKUP(H241,Rates!$A$2:$B$3,2,0),1)</f>
        <v>1</v>
      </c>
      <c r="J241" t="str">
        <f t="shared" si="4"/>
        <v/>
      </c>
      <c r="K241" t="str">
        <f>IF(J241&lt;&gt;"",SUM($J$2:J241),"")</f>
        <v/>
      </c>
      <c r="L241">
        <f ca="1" t="shared" si="5"/>
        <v>45942</v>
      </c>
    </row>
    <row r="242" spans="9:12">
      <c r="I242">
        <f>IFERROR(VLOOKUP(H242,Rates!$A$2:$B$3,2,0),1)</f>
        <v>1</v>
      </c>
      <c r="J242" t="str">
        <f t="shared" si="4"/>
        <v/>
      </c>
      <c r="K242" t="str">
        <f>IF(J242&lt;&gt;"",SUM($J$2:J242),"")</f>
        <v/>
      </c>
      <c r="L242">
        <f ca="1" t="shared" si="5"/>
        <v>45942</v>
      </c>
    </row>
    <row r="243" spans="9:12">
      <c r="I243">
        <f>IFERROR(VLOOKUP(H243,Rates!$A$2:$B$3,2,0),1)</f>
        <v>1</v>
      </c>
      <c r="J243" t="str">
        <f t="shared" si="4"/>
        <v/>
      </c>
      <c r="K243" t="str">
        <f>IF(J243&lt;&gt;"",SUM($J$2:J243),"")</f>
        <v/>
      </c>
      <c r="L243">
        <f ca="1" t="shared" si="5"/>
        <v>45942</v>
      </c>
    </row>
    <row r="244" spans="9:12">
      <c r="I244">
        <f>IFERROR(VLOOKUP(H244,Rates!$A$2:$B$3,2,0),1)</f>
        <v>1</v>
      </c>
      <c r="J244" t="str">
        <f t="shared" si="4"/>
        <v/>
      </c>
      <c r="K244" t="str">
        <f>IF(J244&lt;&gt;"",SUM($J$2:J244),"")</f>
        <v/>
      </c>
      <c r="L244">
        <f ca="1" t="shared" si="5"/>
        <v>45942</v>
      </c>
    </row>
    <row r="245" spans="9:12">
      <c r="I245">
        <f>IFERROR(VLOOKUP(H245,Rates!$A$2:$B$3,2,0),1)</f>
        <v>1</v>
      </c>
      <c r="J245" t="str">
        <f t="shared" si="4"/>
        <v/>
      </c>
      <c r="K245" t="str">
        <f>IF(J245&lt;&gt;"",SUM($J$2:J245),"")</f>
        <v/>
      </c>
      <c r="L245">
        <f ca="1" t="shared" si="5"/>
        <v>45942</v>
      </c>
    </row>
    <row r="246" spans="9:12">
      <c r="I246">
        <f>IFERROR(VLOOKUP(H246,Rates!$A$2:$B$3,2,0),1)</f>
        <v>1</v>
      </c>
      <c r="J246" t="str">
        <f t="shared" si="4"/>
        <v/>
      </c>
      <c r="K246" t="str">
        <f>IF(J246&lt;&gt;"",SUM($J$2:J246),"")</f>
        <v/>
      </c>
      <c r="L246">
        <f ca="1" t="shared" si="5"/>
        <v>45942</v>
      </c>
    </row>
    <row r="247" spans="9:12">
      <c r="I247">
        <f>IFERROR(VLOOKUP(H247,Rates!$A$2:$B$3,2,0),1)</f>
        <v>1</v>
      </c>
      <c r="J247" t="str">
        <f t="shared" si="4"/>
        <v/>
      </c>
      <c r="K247" t="str">
        <f>IF(J247&lt;&gt;"",SUM($J$2:J247),"")</f>
        <v/>
      </c>
      <c r="L247">
        <f ca="1" t="shared" si="5"/>
        <v>45942</v>
      </c>
    </row>
    <row r="248" spans="9:12">
      <c r="I248">
        <f>IFERROR(VLOOKUP(H248,Rates!$A$2:$B$3,2,0),1)</f>
        <v>1</v>
      </c>
      <c r="J248" t="str">
        <f t="shared" si="4"/>
        <v/>
      </c>
      <c r="K248" t="str">
        <f>IF(J248&lt;&gt;"",SUM($J$2:J248),"")</f>
        <v/>
      </c>
      <c r="L248">
        <f ca="1" t="shared" si="5"/>
        <v>45942</v>
      </c>
    </row>
    <row r="249" spans="9:12">
      <c r="I249">
        <f>IFERROR(VLOOKUP(H249,Rates!$A$2:$B$3,2,0),1)</f>
        <v>1</v>
      </c>
      <c r="J249" t="str">
        <f t="shared" si="4"/>
        <v/>
      </c>
      <c r="K249" t="str">
        <f>IF(J249&lt;&gt;"",SUM($J$2:J249),"")</f>
        <v/>
      </c>
      <c r="L249">
        <f ca="1" t="shared" si="5"/>
        <v>45942</v>
      </c>
    </row>
    <row r="250" spans="9:12">
      <c r="I250">
        <f>IFERROR(VLOOKUP(H250,Rates!$A$2:$B$3,2,0),1)</f>
        <v>1</v>
      </c>
      <c r="J250" t="str">
        <f t="shared" si="4"/>
        <v/>
      </c>
      <c r="K250" t="str">
        <f>IF(J250&lt;&gt;"",SUM($J$2:J250),"")</f>
        <v/>
      </c>
      <c r="L250">
        <f ca="1" t="shared" si="5"/>
        <v>45942</v>
      </c>
    </row>
    <row r="251" spans="9:12">
      <c r="I251">
        <f>IFERROR(VLOOKUP(H251,Rates!$A$2:$B$3,2,0),1)</f>
        <v>1</v>
      </c>
      <c r="J251" t="str">
        <f t="shared" si="4"/>
        <v/>
      </c>
      <c r="K251" t="str">
        <f>IF(J251&lt;&gt;"",SUM($J$2:J251),"")</f>
        <v/>
      </c>
      <c r="L251">
        <f ca="1" t="shared" si="5"/>
        <v>45942</v>
      </c>
    </row>
    <row r="252" spans="9:12">
      <c r="I252">
        <f>IFERROR(VLOOKUP(H252,Rates!$A$2:$B$3,2,0),1)</f>
        <v>1</v>
      </c>
      <c r="J252" t="str">
        <f t="shared" si="4"/>
        <v/>
      </c>
      <c r="K252" t="str">
        <f>IF(J252&lt;&gt;"",SUM($J$2:J252),"")</f>
        <v/>
      </c>
      <c r="L252">
        <f ca="1" t="shared" si="5"/>
        <v>45942</v>
      </c>
    </row>
    <row r="253" spans="9:12">
      <c r="I253">
        <f>IFERROR(VLOOKUP(H253,Rates!$A$2:$B$3,2,0),1)</f>
        <v>1</v>
      </c>
      <c r="J253" t="str">
        <f t="shared" si="4"/>
        <v/>
      </c>
      <c r="K253" t="str">
        <f>IF(J253&lt;&gt;"",SUM($J$2:J253),"")</f>
        <v/>
      </c>
      <c r="L253">
        <f ca="1" t="shared" si="5"/>
        <v>45942</v>
      </c>
    </row>
    <row r="254" spans="9:12">
      <c r="I254">
        <f>IFERROR(VLOOKUP(H254,Rates!$A$2:$B$3,2,0),1)</f>
        <v>1</v>
      </c>
      <c r="J254" t="str">
        <f t="shared" si="4"/>
        <v/>
      </c>
      <c r="K254" t="str">
        <f>IF(J254&lt;&gt;"",SUM($J$2:J254),"")</f>
        <v/>
      </c>
      <c r="L254">
        <f ca="1" t="shared" si="5"/>
        <v>45942</v>
      </c>
    </row>
    <row r="255" spans="9:12">
      <c r="I255">
        <f>IFERROR(VLOOKUP(H255,Rates!$A$2:$B$3,2,0),1)</f>
        <v>1</v>
      </c>
      <c r="J255" t="str">
        <f t="shared" si="4"/>
        <v/>
      </c>
      <c r="K255" t="str">
        <f>IF(J255&lt;&gt;"",SUM($J$2:J255),"")</f>
        <v/>
      </c>
      <c r="L255">
        <f ca="1" t="shared" si="5"/>
        <v>45942</v>
      </c>
    </row>
    <row r="256" spans="9:12">
      <c r="I256">
        <f>IFERROR(VLOOKUP(H256,Rates!$A$2:$B$3,2,0),1)</f>
        <v>1</v>
      </c>
      <c r="J256" t="str">
        <f t="shared" si="4"/>
        <v/>
      </c>
      <c r="K256" t="str">
        <f>IF(J256&lt;&gt;"",SUM($J$2:J256),"")</f>
        <v/>
      </c>
      <c r="L256">
        <f ca="1" t="shared" si="5"/>
        <v>45942</v>
      </c>
    </row>
    <row r="257" spans="9:12">
      <c r="I257">
        <f>IFERROR(VLOOKUP(H257,Rates!$A$2:$B$3,2,0),1)</f>
        <v>1</v>
      </c>
      <c r="J257" t="str">
        <f t="shared" si="4"/>
        <v/>
      </c>
      <c r="K257" t="str">
        <f>IF(J257&lt;&gt;"",SUM($J$2:J257),"")</f>
        <v/>
      </c>
      <c r="L257">
        <f ca="1" t="shared" si="5"/>
        <v>45942</v>
      </c>
    </row>
    <row r="258" spans="9:12">
      <c r="I258">
        <f>IFERROR(VLOOKUP(H258,Rates!$A$2:$B$3,2,0),1)</f>
        <v>1</v>
      </c>
      <c r="J258" t="str">
        <f t="shared" ref="J258:J296" si="6">IF(G258&lt;&gt;"",G258*I258,"")</f>
        <v/>
      </c>
      <c r="K258" t="str">
        <f>IF(J258&lt;&gt;"",SUM($J$2:J258),"")</f>
        <v/>
      </c>
      <c r="L258">
        <f ca="1" t="shared" ref="L258:L296" si="7">IF(COUNTA(A258:K258)&gt;0,TODAY(),"")</f>
        <v>45942</v>
      </c>
    </row>
    <row r="259" spans="9:12">
      <c r="I259">
        <f>IFERROR(VLOOKUP(H259,Rates!$A$2:$B$3,2,0),1)</f>
        <v>1</v>
      </c>
      <c r="J259" t="str">
        <f t="shared" si="6"/>
        <v/>
      </c>
      <c r="K259" t="str">
        <f>IF(J259&lt;&gt;"",SUM($J$2:J259),"")</f>
        <v/>
      </c>
      <c r="L259">
        <f ca="1" t="shared" si="7"/>
        <v>45942</v>
      </c>
    </row>
    <row r="260" spans="9:12">
      <c r="I260">
        <f>IFERROR(VLOOKUP(H260,Rates!$A$2:$B$3,2,0),1)</f>
        <v>1</v>
      </c>
      <c r="J260" t="str">
        <f t="shared" si="6"/>
        <v/>
      </c>
      <c r="K260" t="str">
        <f>IF(J260&lt;&gt;"",SUM($J$2:J260),"")</f>
        <v/>
      </c>
      <c r="L260">
        <f ca="1" t="shared" si="7"/>
        <v>45942</v>
      </c>
    </row>
    <row r="261" spans="9:12">
      <c r="I261">
        <f>IFERROR(VLOOKUP(H261,Rates!$A$2:$B$3,2,0),1)</f>
        <v>1</v>
      </c>
      <c r="J261" t="str">
        <f t="shared" si="6"/>
        <v/>
      </c>
      <c r="K261" t="str">
        <f>IF(J261&lt;&gt;"",SUM($J$2:J261),"")</f>
        <v/>
      </c>
      <c r="L261">
        <f ca="1" t="shared" si="7"/>
        <v>45942</v>
      </c>
    </row>
    <row r="262" spans="9:12">
      <c r="I262">
        <f>IFERROR(VLOOKUP(H262,Rates!$A$2:$B$3,2,0),1)</f>
        <v>1</v>
      </c>
      <c r="J262" t="str">
        <f t="shared" si="6"/>
        <v/>
      </c>
      <c r="K262" t="str">
        <f>IF(J262&lt;&gt;"",SUM($J$2:J262),"")</f>
        <v/>
      </c>
      <c r="L262">
        <f ca="1" t="shared" si="7"/>
        <v>45942</v>
      </c>
    </row>
    <row r="263" spans="9:12">
      <c r="I263">
        <f>IFERROR(VLOOKUP(H263,Rates!$A$2:$B$3,2,0),1)</f>
        <v>1</v>
      </c>
      <c r="J263" t="str">
        <f t="shared" si="6"/>
        <v/>
      </c>
      <c r="K263" t="str">
        <f>IF(J263&lt;&gt;"",SUM($J$2:J263),"")</f>
        <v/>
      </c>
      <c r="L263">
        <f ca="1" t="shared" si="7"/>
        <v>45942</v>
      </c>
    </row>
    <row r="264" spans="9:12">
      <c r="I264">
        <f>IFERROR(VLOOKUP(H264,Rates!$A$2:$B$3,2,0),1)</f>
        <v>1</v>
      </c>
      <c r="J264" t="str">
        <f t="shared" si="6"/>
        <v/>
      </c>
      <c r="K264" t="str">
        <f>IF(J264&lt;&gt;"",SUM($J$2:J264),"")</f>
        <v/>
      </c>
      <c r="L264">
        <f ca="1" t="shared" si="7"/>
        <v>45942</v>
      </c>
    </row>
    <row r="265" spans="9:12">
      <c r="I265">
        <f>IFERROR(VLOOKUP(H265,Rates!$A$2:$B$3,2,0),1)</f>
        <v>1</v>
      </c>
      <c r="J265" t="str">
        <f t="shared" si="6"/>
        <v/>
      </c>
      <c r="K265" t="str">
        <f>IF(J265&lt;&gt;"",SUM($J$2:J265),"")</f>
        <v/>
      </c>
      <c r="L265">
        <f ca="1" t="shared" si="7"/>
        <v>45942</v>
      </c>
    </row>
    <row r="266" spans="9:12">
      <c r="I266">
        <f>IFERROR(VLOOKUP(H266,Rates!$A$2:$B$3,2,0),1)</f>
        <v>1</v>
      </c>
      <c r="J266" t="str">
        <f t="shared" si="6"/>
        <v/>
      </c>
      <c r="K266" t="str">
        <f>IF(J266&lt;&gt;"",SUM($J$2:J266),"")</f>
        <v/>
      </c>
      <c r="L266">
        <f ca="1" t="shared" si="7"/>
        <v>45942</v>
      </c>
    </row>
    <row r="267" spans="9:12">
      <c r="I267">
        <f>IFERROR(VLOOKUP(H267,Rates!$A$2:$B$3,2,0),1)</f>
        <v>1</v>
      </c>
      <c r="J267" t="str">
        <f t="shared" si="6"/>
        <v/>
      </c>
      <c r="K267" t="str">
        <f>IF(J267&lt;&gt;"",SUM($J$2:J267),"")</f>
        <v/>
      </c>
      <c r="L267">
        <f ca="1" t="shared" si="7"/>
        <v>45942</v>
      </c>
    </row>
    <row r="268" spans="9:12">
      <c r="I268">
        <f>IFERROR(VLOOKUP(H268,Rates!$A$2:$B$3,2,0),1)</f>
        <v>1</v>
      </c>
      <c r="J268" t="str">
        <f t="shared" si="6"/>
        <v/>
      </c>
      <c r="K268" t="str">
        <f>IF(J268&lt;&gt;"",SUM($J$2:J268),"")</f>
        <v/>
      </c>
      <c r="L268">
        <f ca="1" t="shared" si="7"/>
        <v>45942</v>
      </c>
    </row>
    <row r="269" spans="9:12">
      <c r="I269">
        <f>IFERROR(VLOOKUP(H269,Rates!$A$2:$B$3,2,0),1)</f>
        <v>1</v>
      </c>
      <c r="J269" t="str">
        <f t="shared" si="6"/>
        <v/>
      </c>
      <c r="K269" t="str">
        <f>IF(J269&lt;&gt;"",SUM($J$2:J269),"")</f>
        <v/>
      </c>
      <c r="L269">
        <f ca="1" t="shared" si="7"/>
        <v>45942</v>
      </c>
    </row>
    <row r="270" spans="9:12">
      <c r="I270">
        <f>IFERROR(VLOOKUP(H270,Rates!$A$2:$B$3,2,0),1)</f>
        <v>1</v>
      </c>
      <c r="J270" t="str">
        <f t="shared" si="6"/>
        <v/>
      </c>
      <c r="K270" t="str">
        <f>IF(J270&lt;&gt;"",SUM($J$2:J270),"")</f>
        <v/>
      </c>
      <c r="L270">
        <f ca="1" t="shared" si="7"/>
        <v>45942</v>
      </c>
    </row>
    <row r="271" spans="9:12">
      <c r="I271">
        <f>IFERROR(VLOOKUP(H271,Rates!$A$2:$B$3,2,0),1)</f>
        <v>1</v>
      </c>
      <c r="J271" t="str">
        <f t="shared" si="6"/>
        <v/>
      </c>
      <c r="K271" t="str">
        <f>IF(J271&lt;&gt;"",SUM($J$2:J271),"")</f>
        <v/>
      </c>
      <c r="L271">
        <f ca="1" t="shared" si="7"/>
        <v>45942</v>
      </c>
    </row>
    <row r="272" spans="9:12">
      <c r="I272">
        <f>IFERROR(VLOOKUP(H272,Rates!$A$2:$B$3,2,0),1)</f>
        <v>1</v>
      </c>
      <c r="J272" t="str">
        <f t="shared" si="6"/>
        <v/>
      </c>
      <c r="K272" t="str">
        <f>IF(J272&lt;&gt;"",SUM($J$2:J272),"")</f>
        <v/>
      </c>
      <c r="L272">
        <f ca="1" t="shared" si="7"/>
        <v>45942</v>
      </c>
    </row>
    <row r="273" spans="9:12">
      <c r="I273">
        <f>IFERROR(VLOOKUP(H273,Rates!$A$2:$B$3,2,0),1)</f>
        <v>1</v>
      </c>
      <c r="J273" t="str">
        <f t="shared" si="6"/>
        <v/>
      </c>
      <c r="K273" t="str">
        <f>IF(J273&lt;&gt;"",SUM($J$2:J273),"")</f>
        <v/>
      </c>
      <c r="L273">
        <f ca="1" t="shared" si="7"/>
        <v>45942</v>
      </c>
    </row>
    <row r="274" spans="9:12">
      <c r="I274">
        <f>IFERROR(VLOOKUP(H274,Rates!$A$2:$B$3,2,0),1)</f>
        <v>1</v>
      </c>
      <c r="J274" t="str">
        <f t="shared" si="6"/>
        <v/>
      </c>
      <c r="K274" t="str">
        <f>IF(J274&lt;&gt;"",SUM($J$2:J274),"")</f>
        <v/>
      </c>
      <c r="L274">
        <f ca="1" t="shared" si="7"/>
        <v>45942</v>
      </c>
    </row>
    <row r="275" spans="9:12">
      <c r="I275">
        <f>IFERROR(VLOOKUP(H275,Rates!$A$2:$B$3,2,0),1)</f>
        <v>1</v>
      </c>
      <c r="J275" t="str">
        <f t="shared" si="6"/>
        <v/>
      </c>
      <c r="K275" t="str">
        <f>IF(J275&lt;&gt;"",SUM($J$2:J275),"")</f>
        <v/>
      </c>
      <c r="L275">
        <f ca="1" t="shared" si="7"/>
        <v>45942</v>
      </c>
    </row>
    <row r="276" spans="9:12">
      <c r="I276">
        <f>IFERROR(VLOOKUP(H276,Rates!$A$2:$B$3,2,0),1)</f>
        <v>1</v>
      </c>
      <c r="J276" t="str">
        <f t="shared" si="6"/>
        <v/>
      </c>
      <c r="K276" t="str">
        <f>IF(J276&lt;&gt;"",SUM($J$2:J276),"")</f>
        <v/>
      </c>
      <c r="L276">
        <f ca="1" t="shared" si="7"/>
        <v>45942</v>
      </c>
    </row>
    <row r="277" spans="9:12">
      <c r="I277">
        <f>IFERROR(VLOOKUP(H277,Rates!$A$2:$B$3,2,0),1)</f>
        <v>1</v>
      </c>
      <c r="J277" t="str">
        <f t="shared" si="6"/>
        <v/>
      </c>
      <c r="K277" t="str">
        <f>IF(J277&lt;&gt;"",SUM($J$2:J277),"")</f>
        <v/>
      </c>
      <c r="L277">
        <f ca="1" t="shared" si="7"/>
        <v>45942</v>
      </c>
    </row>
    <row r="278" spans="9:12">
      <c r="I278">
        <f>IFERROR(VLOOKUP(H278,Rates!$A$2:$B$3,2,0),1)</f>
        <v>1</v>
      </c>
      <c r="J278" t="str">
        <f t="shared" si="6"/>
        <v/>
      </c>
      <c r="K278" t="str">
        <f>IF(J278&lt;&gt;"",SUM($J$2:J278),"")</f>
        <v/>
      </c>
      <c r="L278">
        <f ca="1" t="shared" si="7"/>
        <v>45942</v>
      </c>
    </row>
    <row r="279" spans="9:12">
      <c r="I279">
        <f>IFERROR(VLOOKUP(H279,Rates!$A$2:$B$3,2,0),1)</f>
        <v>1</v>
      </c>
      <c r="J279" t="str">
        <f t="shared" si="6"/>
        <v/>
      </c>
      <c r="K279" t="str">
        <f>IF(J279&lt;&gt;"",SUM($J$2:J279),"")</f>
        <v/>
      </c>
      <c r="L279">
        <f ca="1" t="shared" si="7"/>
        <v>45942</v>
      </c>
    </row>
    <row r="280" spans="9:12">
      <c r="I280">
        <f>IFERROR(VLOOKUP(H280,Rates!$A$2:$B$3,2,0),1)</f>
        <v>1</v>
      </c>
      <c r="J280" t="str">
        <f t="shared" si="6"/>
        <v/>
      </c>
      <c r="K280" t="str">
        <f>IF(J280&lt;&gt;"",SUM($J$2:J280),"")</f>
        <v/>
      </c>
      <c r="L280">
        <f ca="1" t="shared" si="7"/>
        <v>45942</v>
      </c>
    </row>
    <row r="281" spans="9:12">
      <c r="I281">
        <f>IFERROR(VLOOKUP(H281,Rates!$A$2:$B$3,2,0),1)</f>
        <v>1</v>
      </c>
      <c r="J281" t="str">
        <f t="shared" si="6"/>
        <v/>
      </c>
      <c r="K281" t="str">
        <f>IF(J281&lt;&gt;"",SUM($J$2:J281),"")</f>
        <v/>
      </c>
      <c r="L281">
        <f ca="1" t="shared" si="7"/>
        <v>45942</v>
      </c>
    </row>
    <row r="282" spans="9:12">
      <c r="I282">
        <f>IFERROR(VLOOKUP(H282,Rates!$A$2:$B$3,2,0),1)</f>
        <v>1</v>
      </c>
      <c r="J282" t="str">
        <f t="shared" si="6"/>
        <v/>
      </c>
      <c r="K282" t="str">
        <f>IF(J282&lt;&gt;"",SUM($J$2:J282),"")</f>
        <v/>
      </c>
      <c r="L282">
        <f ca="1" t="shared" si="7"/>
        <v>45942</v>
      </c>
    </row>
    <row r="283" spans="9:12">
      <c r="I283">
        <f>IFERROR(VLOOKUP(H283,Rates!$A$2:$B$3,2,0),1)</f>
        <v>1</v>
      </c>
      <c r="J283" t="str">
        <f t="shared" si="6"/>
        <v/>
      </c>
      <c r="K283" t="str">
        <f>IF(J283&lt;&gt;"",SUM($J$2:J283),"")</f>
        <v/>
      </c>
      <c r="L283">
        <f ca="1" t="shared" si="7"/>
        <v>45942</v>
      </c>
    </row>
    <row r="284" spans="9:12">
      <c r="I284">
        <f>IFERROR(VLOOKUP(H284,Rates!$A$2:$B$3,2,0),1)</f>
        <v>1</v>
      </c>
      <c r="J284" t="str">
        <f t="shared" si="6"/>
        <v/>
      </c>
      <c r="K284" t="str">
        <f>IF(J284&lt;&gt;"",SUM($J$2:J284),"")</f>
        <v/>
      </c>
      <c r="L284">
        <f ca="1" t="shared" si="7"/>
        <v>45942</v>
      </c>
    </row>
    <row r="285" spans="9:12">
      <c r="I285">
        <f>IFERROR(VLOOKUP(H285,Rates!$A$2:$B$3,2,0),1)</f>
        <v>1</v>
      </c>
      <c r="J285" t="str">
        <f t="shared" si="6"/>
        <v/>
      </c>
      <c r="K285" t="str">
        <f>IF(J285&lt;&gt;"",SUM($J$2:J285),"")</f>
        <v/>
      </c>
      <c r="L285">
        <f ca="1" t="shared" si="7"/>
        <v>45942</v>
      </c>
    </row>
    <row r="286" spans="9:12">
      <c r="I286">
        <f>IFERROR(VLOOKUP(H286,Rates!$A$2:$B$3,2,0),1)</f>
        <v>1</v>
      </c>
      <c r="J286" t="str">
        <f t="shared" si="6"/>
        <v/>
      </c>
      <c r="K286" t="str">
        <f>IF(J286&lt;&gt;"",SUM($J$2:J286),"")</f>
        <v/>
      </c>
      <c r="L286">
        <f ca="1" t="shared" si="7"/>
        <v>45942</v>
      </c>
    </row>
    <row r="287" spans="9:12">
      <c r="I287">
        <f>IFERROR(VLOOKUP(H287,Rates!$A$2:$B$3,2,0),1)</f>
        <v>1</v>
      </c>
      <c r="J287" t="str">
        <f t="shared" si="6"/>
        <v/>
      </c>
      <c r="K287" t="str">
        <f>IF(J287&lt;&gt;"",SUM($J$2:J287),"")</f>
        <v/>
      </c>
      <c r="L287">
        <f ca="1" t="shared" si="7"/>
        <v>45942</v>
      </c>
    </row>
    <row r="288" spans="9:12">
      <c r="I288">
        <f>IFERROR(VLOOKUP(H288,Rates!$A$2:$B$3,2,0),1)</f>
        <v>1</v>
      </c>
      <c r="J288" t="str">
        <f t="shared" si="6"/>
        <v/>
      </c>
      <c r="K288" t="str">
        <f>IF(J288&lt;&gt;"",SUM($J$2:J288),"")</f>
        <v/>
      </c>
      <c r="L288">
        <f ca="1" t="shared" si="7"/>
        <v>45942</v>
      </c>
    </row>
    <row r="289" spans="9:12">
      <c r="I289">
        <f>IFERROR(VLOOKUP(H289,Rates!$A$2:$B$3,2,0),1)</f>
        <v>1</v>
      </c>
      <c r="J289" t="str">
        <f t="shared" si="6"/>
        <v/>
      </c>
      <c r="K289" t="str">
        <f>IF(J289&lt;&gt;"",SUM($J$2:J289),"")</f>
        <v/>
      </c>
      <c r="L289">
        <f ca="1" t="shared" si="7"/>
        <v>45942</v>
      </c>
    </row>
    <row r="290" spans="9:12">
      <c r="I290">
        <f>IFERROR(VLOOKUP(H290,Rates!$A$2:$B$3,2,0),1)</f>
        <v>1</v>
      </c>
      <c r="J290" t="str">
        <f t="shared" si="6"/>
        <v/>
      </c>
      <c r="K290" t="str">
        <f>IF(J290&lt;&gt;"",SUM($J$2:J290),"")</f>
        <v/>
      </c>
      <c r="L290">
        <f ca="1" t="shared" si="7"/>
        <v>45942</v>
      </c>
    </row>
    <row r="291" spans="9:12">
      <c r="I291">
        <f>IFERROR(VLOOKUP(H291,Rates!$A$2:$B$3,2,0),1)</f>
        <v>1</v>
      </c>
      <c r="J291" t="str">
        <f t="shared" si="6"/>
        <v/>
      </c>
      <c r="K291" t="str">
        <f>IF(J291&lt;&gt;"",SUM($J$2:J291),"")</f>
        <v/>
      </c>
      <c r="L291">
        <f ca="1" t="shared" si="7"/>
        <v>45942</v>
      </c>
    </row>
    <row r="292" spans="9:12">
      <c r="I292">
        <f>IFERROR(VLOOKUP(H292,Rates!$A$2:$B$3,2,0),1)</f>
        <v>1</v>
      </c>
      <c r="J292" t="str">
        <f t="shared" si="6"/>
        <v/>
      </c>
      <c r="K292" t="str">
        <f>IF(J292&lt;&gt;"",SUM($J$2:J292),"")</f>
        <v/>
      </c>
      <c r="L292">
        <f ca="1" t="shared" si="7"/>
        <v>45942</v>
      </c>
    </row>
    <row r="293" spans="9:12">
      <c r="I293">
        <f>IFERROR(VLOOKUP(H293,Rates!$A$2:$B$3,2,0),1)</f>
        <v>1</v>
      </c>
      <c r="J293" t="str">
        <f t="shared" si="6"/>
        <v/>
      </c>
      <c r="K293" t="str">
        <f>IF(J293&lt;&gt;"",SUM($J$2:J293),"")</f>
        <v/>
      </c>
      <c r="L293">
        <f ca="1" t="shared" si="7"/>
        <v>45942</v>
      </c>
    </row>
    <row r="294" spans="9:12">
      <c r="I294">
        <f>IFERROR(VLOOKUP(H294,Rates!$A$2:$B$3,2,0),1)</f>
        <v>1</v>
      </c>
      <c r="J294" t="str">
        <f t="shared" si="6"/>
        <v/>
      </c>
      <c r="K294" t="str">
        <f>IF(J294&lt;&gt;"",SUM($J$2:J294),"")</f>
        <v/>
      </c>
      <c r="L294">
        <f ca="1" t="shared" si="7"/>
        <v>45942</v>
      </c>
    </row>
    <row r="295" spans="9:12">
      <c r="I295">
        <f>IFERROR(VLOOKUP(H295,Rates!$A$2:$B$3,2,0),1)</f>
        <v>1</v>
      </c>
      <c r="J295" t="str">
        <f t="shared" si="6"/>
        <v/>
      </c>
      <c r="K295" t="str">
        <f>IF(J295&lt;&gt;"",SUM($J$2:J295),"")</f>
        <v/>
      </c>
      <c r="L295">
        <f ca="1" t="shared" si="7"/>
        <v>45942</v>
      </c>
    </row>
    <row r="296" spans="9:12">
      <c r="I296">
        <f>IFERROR(VLOOKUP(H296,Rates!$A$2:$B$3,2,0),1)</f>
        <v>1</v>
      </c>
      <c r="J296" t="str">
        <f t="shared" si="6"/>
        <v/>
      </c>
      <c r="K296" t="str">
        <f>IF(J296&lt;&gt;"",SUM($J$2:J296),"")</f>
        <v/>
      </c>
      <c r="L296">
        <f ca="1" t="shared" si="7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workbookViewId="0">
      <pane ySplit="1" topLeftCell="A2" activePane="bottomLeft" state="frozen"/>
      <selection/>
      <selection pane="bottomLeft" activeCell="G21" sqref="G21"/>
    </sheetView>
  </sheetViews>
  <sheetFormatPr defaultColWidth="9" defaultRowHeight="16.8"/>
  <cols>
    <col min="1" max="1" width="22" customWidth="1"/>
    <col min="2" max="2" width="12" customWidth="1"/>
    <col min="3" max="4" width="16" customWidth="1"/>
    <col min="5" max="5" width="26" customWidth="1"/>
    <col min="6" max="6" width="36" customWidth="1"/>
    <col min="7" max="7" width="12" customWidth="1"/>
    <col min="8" max="9" width="10" customWidth="1"/>
    <col min="10" max="10" width="14" customWidth="1"/>
    <col min="11" max="11" width="16" customWidth="1"/>
    <col min="12" max="12" width="14" customWidth="1"/>
    <col min="14" max="14" width="2" customWidth="1"/>
    <col min="16" max="16" width="2" customWidth="1"/>
  </cols>
  <sheetData>
    <row r="1" spans="1:12">
      <c r="A1" t="s">
        <v>36</v>
      </c>
      <c r="B1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</row>
    <row r="2" spans="1:12">
      <c r="A2" t="s">
        <v>51</v>
      </c>
      <c r="B2" s="4">
        <v>45664</v>
      </c>
      <c r="F2" t="s">
        <v>64</v>
      </c>
      <c r="G2" s="5">
        <v>199278</v>
      </c>
      <c r="H2" t="s">
        <v>3</v>
      </c>
      <c r="I2">
        <f>IFERROR(VLOOKUP(H2,Rates!$A$2:$B$3,2,0),1)</f>
        <v>1</v>
      </c>
      <c r="J2">
        <f t="shared" ref="J2:J65" si="0">IF(G2&lt;&gt;"",G2*I2,"")</f>
        <v>199278</v>
      </c>
      <c r="K2">
        <f>IF(J2&lt;&gt;"",J2,"")</f>
        <v>199278</v>
      </c>
      <c r="L2">
        <f ca="1" t="shared" ref="L2:L65" si="1">IF(COUNTA(A2:K2)&gt;0,TODAY(),"")</f>
        <v>45942</v>
      </c>
    </row>
    <row r="3" spans="1:12">
      <c r="A3" t="s">
        <v>51</v>
      </c>
      <c r="B3" s="4">
        <v>45723</v>
      </c>
      <c r="C3" t="s">
        <v>17</v>
      </c>
      <c r="E3" t="s">
        <v>46</v>
      </c>
      <c r="F3" t="s">
        <v>140</v>
      </c>
      <c r="G3">
        <v>1000000</v>
      </c>
      <c r="H3" t="s">
        <v>3</v>
      </c>
      <c r="I3">
        <f>IFERROR(VLOOKUP(H3,Rates!$A$2:$B$3,2,0),1)</f>
        <v>1</v>
      </c>
      <c r="J3">
        <f t="shared" si="0"/>
        <v>1000000</v>
      </c>
      <c r="K3">
        <f>IF(J3&lt;&gt;"",SUM($J$2:J3),"")</f>
        <v>1199278</v>
      </c>
      <c r="L3">
        <f ca="1" t="shared" si="1"/>
        <v>45942</v>
      </c>
    </row>
    <row r="4" spans="1:12">
      <c r="A4" t="s">
        <v>51</v>
      </c>
      <c r="B4" s="4">
        <v>45754</v>
      </c>
      <c r="C4" t="s">
        <v>17</v>
      </c>
      <c r="E4" t="s">
        <v>54</v>
      </c>
      <c r="F4" t="s">
        <v>141</v>
      </c>
      <c r="G4" s="5">
        <v>-496200</v>
      </c>
      <c r="H4" t="s">
        <v>3</v>
      </c>
      <c r="I4">
        <f>IFERROR(VLOOKUP(H4,Rates!$A$2:$B$3,2,0),1)</f>
        <v>1</v>
      </c>
      <c r="J4">
        <f t="shared" si="0"/>
        <v>-496200</v>
      </c>
      <c r="K4">
        <f>IF(J4&lt;&gt;"",SUM($J$2:J4),"")</f>
        <v>703078</v>
      </c>
      <c r="L4">
        <f ca="1" t="shared" si="1"/>
        <v>45942</v>
      </c>
    </row>
    <row r="5" spans="1:12">
      <c r="A5" t="s">
        <v>51</v>
      </c>
      <c r="B5" s="4">
        <v>45754</v>
      </c>
      <c r="C5" t="s">
        <v>17</v>
      </c>
      <c r="E5" t="s">
        <v>54</v>
      </c>
      <c r="F5" t="s">
        <v>141</v>
      </c>
      <c r="G5" s="5">
        <v>-12000</v>
      </c>
      <c r="I5">
        <f>IFERROR(VLOOKUP(H5,Rates!$A$2:$B$3,2,0),1)</f>
        <v>1</v>
      </c>
      <c r="J5">
        <f t="shared" si="0"/>
        <v>-12000</v>
      </c>
      <c r="K5">
        <f>IF(J5&lt;&gt;"",SUM($J$2:J5),"")</f>
        <v>691078</v>
      </c>
      <c r="L5">
        <f ca="1" t="shared" si="1"/>
        <v>45942</v>
      </c>
    </row>
    <row r="6" spans="1:12">
      <c r="A6" t="s">
        <v>51</v>
      </c>
      <c r="B6" s="4">
        <v>45937</v>
      </c>
      <c r="C6" t="s">
        <v>17</v>
      </c>
      <c r="E6" t="s">
        <v>50</v>
      </c>
      <c r="F6" t="s">
        <v>142</v>
      </c>
      <c r="G6" s="5">
        <v>-624803</v>
      </c>
      <c r="I6">
        <f>IFERROR(VLOOKUP(H6,Rates!$A$2:$B$3,2,0),1)</f>
        <v>1</v>
      </c>
      <c r="J6">
        <f t="shared" si="0"/>
        <v>-624803</v>
      </c>
      <c r="K6">
        <f>IF(J6&lt;&gt;"",SUM($J$2:J6),"")</f>
        <v>66275</v>
      </c>
      <c r="L6">
        <f ca="1" t="shared" si="1"/>
        <v>45942</v>
      </c>
    </row>
    <row r="7" spans="1:12">
      <c r="A7" t="s">
        <v>51</v>
      </c>
      <c r="B7" s="4" t="s">
        <v>143</v>
      </c>
      <c r="C7" t="s">
        <v>19</v>
      </c>
      <c r="F7" t="s">
        <v>144</v>
      </c>
      <c r="G7">
        <v>1318</v>
      </c>
      <c r="I7">
        <f>IFERROR(VLOOKUP(H7,Rates!$A$2:$B$3,2,0),1)</f>
        <v>1</v>
      </c>
      <c r="J7">
        <f t="shared" si="0"/>
        <v>1318</v>
      </c>
      <c r="K7">
        <f>IF(J7&lt;&gt;"",SUM($J$2:J7),"")</f>
        <v>67593</v>
      </c>
      <c r="L7">
        <f ca="1" t="shared" si="1"/>
        <v>45942</v>
      </c>
    </row>
    <row r="8" spans="2:12">
      <c r="B8" s="4"/>
      <c r="C8"/>
      <c r="D8"/>
      <c r="G8" s="5"/>
      <c r="K8" t="str">
        <f>IF(J8&lt;&gt;"",SUM($J$2:J8),"")</f>
        <v/>
      </c>
      <c r="L8">
        <f ca="1" t="shared" si="1"/>
        <v>45942</v>
      </c>
    </row>
    <row r="9" spans="2:12">
      <c r="B9" s="4"/>
      <c r="C9"/>
      <c r="G9" s="5"/>
      <c r="K9" t="str">
        <f>IF(J9&lt;&gt;"",SUM($J$2:J9),"")</f>
        <v/>
      </c>
      <c r="L9">
        <f ca="1" t="shared" si="1"/>
        <v>45942</v>
      </c>
    </row>
    <row r="10" spans="2:12">
      <c r="B10" s="4"/>
      <c r="C10"/>
      <c r="D10"/>
      <c r="G10" s="5"/>
      <c r="K10" t="str">
        <f>IF(J10&lt;&gt;"",SUM($J$2:J10),"")</f>
        <v/>
      </c>
      <c r="L10">
        <f ca="1" t="shared" si="1"/>
        <v>45942</v>
      </c>
    </row>
    <row r="11" spans="2:12">
      <c r="B11" s="4"/>
      <c r="C11"/>
      <c r="G11" s="5"/>
      <c r="K11" t="str">
        <f>IF(J11&lt;&gt;"",SUM($J$2:J11),"")</f>
        <v/>
      </c>
      <c r="L11">
        <f ca="1" t="shared" si="1"/>
        <v>45942</v>
      </c>
    </row>
    <row r="12" spans="2:12">
      <c r="B12" s="4"/>
      <c r="C12"/>
      <c r="G12" s="5"/>
      <c r="K12" t="str">
        <f>IF(J12&lt;&gt;"",SUM($J$2:J12),"")</f>
        <v/>
      </c>
      <c r="L12">
        <f ca="1" t="shared" si="1"/>
        <v>45942</v>
      </c>
    </row>
    <row r="13" spans="2:12">
      <c r="B13" s="4"/>
      <c r="K13" t="str">
        <f>IF(J13&lt;&gt;"",SUM($J$2:J13),"")</f>
        <v/>
      </c>
      <c r="L13">
        <f ca="1" t="shared" si="1"/>
        <v>45942</v>
      </c>
    </row>
    <row r="14" spans="11:12">
      <c r="K14" t="str">
        <f>IF(J14&lt;&gt;"",SUM($J$2:J14),"")</f>
        <v/>
      </c>
      <c r="L14">
        <f ca="1" t="shared" si="1"/>
        <v>45942</v>
      </c>
    </row>
    <row r="15" spans="11:12">
      <c r="K15" t="str">
        <f>IF(J15&lt;&gt;"",SUM($J$2:J15),"")</f>
        <v/>
      </c>
      <c r="L15">
        <f ca="1" t="shared" si="1"/>
        <v>45942</v>
      </c>
    </row>
    <row r="16" spans="11:12">
      <c r="K16" t="str">
        <f>IF(J16&lt;&gt;"",SUM($J$2:J16),"")</f>
        <v/>
      </c>
      <c r="L16">
        <f ca="1" t="shared" si="1"/>
        <v>45942</v>
      </c>
    </row>
    <row r="17" spans="9:12">
      <c r="I17">
        <f>IFERROR(VLOOKUP(H17,Rates!$A$2:$B$3,2,0),1)</f>
        <v>1</v>
      </c>
      <c r="J17" t="str">
        <f t="shared" si="0"/>
        <v/>
      </c>
      <c r="K17" t="str">
        <f>IF(J17&lt;&gt;"",SUM($J$2:J17),"")</f>
        <v/>
      </c>
      <c r="L17">
        <f ca="1" t="shared" si="1"/>
        <v>45942</v>
      </c>
    </row>
    <row r="18" spans="9:12">
      <c r="I18">
        <f>IFERROR(VLOOKUP(H18,Rates!$A$2:$B$3,2,0),1)</f>
        <v>1</v>
      </c>
      <c r="J18" t="str">
        <f t="shared" si="0"/>
        <v/>
      </c>
      <c r="K18" t="str">
        <f>IF(J18&lt;&gt;"",SUM($J$2:J18),"")</f>
        <v/>
      </c>
      <c r="L18">
        <f ca="1" t="shared" si="1"/>
        <v>45942</v>
      </c>
    </row>
    <row r="19" spans="9:12">
      <c r="I19">
        <f>IFERROR(VLOOKUP(H19,Rates!$A$2:$B$3,2,0),1)</f>
        <v>1</v>
      </c>
      <c r="J19" t="str">
        <f t="shared" si="0"/>
        <v/>
      </c>
      <c r="K19" t="str">
        <f>IF(J19&lt;&gt;"",SUM($J$2:J19),"")</f>
        <v/>
      </c>
      <c r="L19">
        <f ca="1" t="shared" si="1"/>
        <v>45942</v>
      </c>
    </row>
    <row r="20" spans="9:12">
      <c r="I20">
        <f>IFERROR(VLOOKUP(H20,Rates!$A$2:$B$3,2,0),1)</f>
        <v>1</v>
      </c>
      <c r="J20" t="str">
        <f t="shared" si="0"/>
        <v/>
      </c>
      <c r="K20" t="str">
        <f>IF(J20&lt;&gt;"",SUM($J$2:J20),"")</f>
        <v/>
      </c>
      <c r="L20">
        <f ca="1" t="shared" si="1"/>
        <v>45942</v>
      </c>
    </row>
    <row r="21" spans="9:12">
      <c r="I21">
        <f>IFERROR(VLOOKUP(H21,Rates!$A$2:$B$3,2,0),1)</f>
        <v>1</v>
      </c>
      <c r="J21" t="str">
        <f t="shared" si="0"/>
        <v/>
      </c>
      <c r="K21" t="str">
        <f>IF(J21&lt;&gt;"",SUM($J$2:J21),"")</f>
        <v/>
      </c>
      <c r="L21">
        <f ca="1" t="shared" si="1"/>
        <v>45942</v>
      </c>
    </row>
    <row r="22" spans="9:12">
      <c r="I22">
        <f>IFERROR(VLOOKUP(H22,Rates!$A$2:$B$3,2,0),1)</f>
        <v>1</v>
      </c>
      <c r="J22" t="str">
        <f t="shared" si="0"/>
        <v/>
      </c>
      <c r="K22" t="str">
        <f>IF(J22&lt;&gt;"",SUM($J$2:J22),"")</f>
        <v/>
      </c>
      <c r="L22">
        <f ca="1" t="shared" si="1"/>
        <v>45942</v>
      </c>
    </row>
    <row r="23" spans="9:12">
      <c r="I23">
        <f>IFERROR(VLOOKUP(H23,Rates!$A$2:$B$3,2,0),1)</f>
        <v>1</v>
      </c>
      <c r="J23" t="str">
        <f t="shared" si="0"/>
        <v/>
      </c>
      <c r="K23" t="str">
        <f>IF(J23&lt;&gt;"",SUM($J$2:J23),"")</f>
        <v/>
      </c>
      <c r="L23">
        <f ca="1" t="shared" si="1"/>
        <v>45942</v>
      </c>
    </row>
    <row r="24" spans="9:12">
      <c r="I24">
        <f>IFERROR(VLOOKUP(H24,Rates!$A$2:$B$3,2,0),1)</f>
        <v>1</v>
      </c>
      <c r="J24" t="str">
        <f t="shared" si="0"/>
        <v/>
      </c>
      <c r="K24" t="str">
        <f>IF(J24&lt;&gt;"",SUM($J$2:J24),"")</f>
        <v/>
      </c>
      <c r="L24">
        <f ca="1" t="shared" si="1"/>
        <v>45942</v>
      </c>
    </row>
    <row r="25" spans="9:12">
      <c r="I25">
        <f>IFERROR(VLOOKUP(H25,Rates!$A$2:$B$3,2,0),1)</f>
        <v>1</v>
      </c>
      <c r="J25" t="str">
        <f t="shared" si="0"/>
        <v/>
      </c>
      <c r="K25" t="str">
        <f>IF(J25&lt;&gt;"",SUM($J$2:J25),"")</f>
        <v/>
      </c>
      <c r="L25">
        <f ca="1" t="shared" si="1"/>
        <v>45942</v>
      </c>
    </row>
    <row r="26" spans="9:12">
      <c r="I26">
        <f>IFERROR(VLOOKUP(H26,Rates!$A$2:$B$3,2,0),1)</f>
        <v>1</v>
      </c>
      <c r="J26" t="str">
        <f t="shared" si="0"/>
        <v/>
      </c>
      <c r="K26" t="str">
        <f>IF(J26&lt;&gt;"",SUM($J$2:J26),"")</f>
        <v/>
      </c>
      <c r="L26">
        <f ca="1" t="shared" si="1"/>
        <v>45942</v>
      </c>
    </row>
    <row r="27" spans="9:12">
      <c r="I27">
        <f>IFERROR(VLOOKUP(H27,Rates!$A$2:$B$3,2,0),1)</f>
        <v>1</v>
      </c>
      <c r="J27" t="str">
        <f t="shared" si="0"/>
        <v/>
      </c>
      <c r="K27" t="str">
        <f>IF(J27&lt;&gt;"",SUM($J$2:J27),"")</f>
        <v/>
      </c>
      <c r="L27">
        <f ca="1" t="shared" si="1"/>
        <v>45942</v>
      </c>
    </row>
    <row r="28" spans="9:12">
      <c r="I28">
        <f>IFERROR(VLOOKUP(H28,Rates!$A$2:$B$3,2,0),1)</f>
        <v>1</v>
      </c>
      <c r="J28" t="str">
        <f t="shared" si="0"/>
        <v/>
      </c>
      <c r="K28" t="str">
        <f>IF(J28&lt;&gt;"",SUM($J$2:J28),"")</f>
        <v/>
      </c>
      <c r="L28">
        <f ca="1" t="shared" si="1"/>
        <v>45942</v>
      </c>
    </row>
    <row r="29" spans="9:12">
      <c r="I29">
        <f>IFERROR(VLOOKUP(H29,Rates!$A$2:$B$3,2,0),1)</f>
        <v>1</v>
      </c>
      <c r="J29" t="str">
        <f t="shared" si="0"/>
        <v/>
      </c>
      <c r="K29" t="str">
        <f>IF(J29&lt;&gt;"",SUM($J$2:J29),"")</f>
        <v/>
      </c>
      <c r="L29">
        <f ca="1" t="shared" si="1"/>
        <v>45942</v>
      </c>
    </row>
    <row r="30" spans="9:12">
      <c r="I30">
        <f>IFERROR(VLOOKUP(H30,Rates!$A$2:$B$3,2,0),1)</f>
        <v>1</v>
      </c>
      <c r="J30" t="str">
        <f t="shared" si="0"/>
        <v/>
      </c>
      <c r="K30" t="str">
        <f>IF(J30&lt;&gt;"",SUM($J$2:J30),"")</f>
        <v/>
      </c>
      <c r="L30">
        <f ca="1" t="shared" si="1"/>
        <v>45942</v>
      </c>
    </row>
    <row r="31" spans="9:12">
      <c r="I31">
        <f>IFERROR(VLOOKUP(H31,Rates!$A$2:$B$3,2,0),1)</f>
        <v>1</v>
      </c>
      <c r="J31" t="str">
        <f t="shared" si="0"/>
        <v/>
      </c>
      <c r="K31" t="str">
        <f>IF(J31&lt;&gt;"",SUM($J$2:J31),"")</f>
        <v/>
      </c>
      <c r="L31">
        <f ca="1" t="shared" si="1"/>
        <v>45942</v>
      </c>
    </row>
    <row r="32" spans="9:12">
      <c r="I32">
        <f>IFERROR(VLOOKUP(H32,Rates!$A$2:$B$3,2,0),1)</f>
        <v>1</v>
      </c>
      <c r="J32" t="str">
        <f t="shared" si="0"/>
        <v/>
      </c>
      <c r="K32" t="str">
        <f>IF(J32&lt;&gt;"",SUM($J$2:J32),"")</f>
        <v/>
      </c>
      <c r="L32">
        <f ca="1" t="shared" si="1"/>
        <v>45942</v>
      </c>
    </row>
    <row r="33" spans="9:12">
      <c r="I33">
        <f>IFERROR(VLOOKUP(H33,Rates!$A$2:$B$3,2,0),1)</f>
        <v>1</v>
      </c>
      <c r="J33" t="str">
        <f t="shared" si="0"/>
        <v/>
      </c>
      <c r="K33" t="str">
        <f>IF(J33&lt;&gt;"",SUM($J$2:J33),"")</f>
        <v/>
      </c>
      <c r="L33">
        <f ca="1" t="shared" si="1"/>
        <v>45942</v>
      </c>
    </row>
    <row r="34" spans="9:12">
      <c r="I34">
        <f>IFERROR(VLOOKUP(H34,Rates!$A$2:$B$3,2,0),1)</f>
        <v>1</v>
      </c>
      <c r="J34" t="str">
        <f t="shared" si="0"/>
        <v/>
      </c>
      <c r="K34" t="str">
        <f>IF(J34&lt;&gt;"",SUM($J$2:J34),"")</f>
        <v/>
      </c>
      <c r="L34">
        <f ca="1" t="shared" si="1"/>
        <v>45942</v>
      </c>
    </row>
    <row r="35" spans="9:12">
      <c r="I35">
        <f>IFERROR(VLOOKUP(H35,Rates!$A$2:$B$3,2,0),1)</f>
        <v>1</v>
      </c>
      <c r="J35" t="str">
        <f t="shared" si="0"/>
        <v/>
      </c>
      <c r="K35" t="str">
        <f>IF(J35&lt;&gt;"",SUM($J$2:J35),"")</f>
        <v/>
      </c>
      <c r="L35">
        <f ca="1" t="shared" si="1"/>
        <v>45942</v>
      </c>
    </row>
    <row r="36" spans="9:12">
      <c r="I36">
        <f>IFERROR(VLOOKUP(H36,Rates!$A$2:$B$3,2,0),1)</f>
        <v>1</v>
      </c>
      <c r="J36" t="str">
        <f t="shared" si="0"/>
        <v/>
      </c>
      <c r="K36" t="str">
        <f>IF(J36&lt;&gt;"",SUM($J$2:J36),"")</f>
        <v/>
      </c>
      <c r="L36">
        <f ca="1" t="shared" si="1"/>
        <v>45942</v>
      </c>
    </row>
    <row r="37" spans="9:12">
      <c r="I37">
        <f>IFERROR(VLOOKUP(H37,Rates!$A$2:$B$3,2,0),1)</f>
        <v>1</v>
      </c>
      <c r="J37" t="str">
        <f t="shared" si="0"/>
        <v/>
      </c>
      <c r="K37" t="str">
        <f>IF(J37&lt;&gt;"",SUM($J$2:J37),"")</f>
        <v/>
      </c>
      <c r="L37">
        <f ca="1" t="shared" si="1"/>
        <v>45942</v>
      </c>
    </row>
    <row r="38" spans="9:12">
      <c r="I38">
        <f>IFERROR(VLOOKUP(H38,Rates!$A$2:$B$3,2,0),1)</f>
        <v>1</v>
      </c>
      <c r="J38" t="str">
        <f t="shared" si="0"/>
        <v/>
      </c>
      <c r="K38" t="str">
        <f>IF(J38&lt;&gt;"",SUM($J$2:J38),"")</f>
        <v/>
      </c>
      <c r="L38">
        <f ca="1" t="shared" si="1"/>
        <v>45942</v>
      </c>
    </row>
    <row r="39" spans="9:12">
      <c r="I39">
        <f>IFERROR(VLOOKUP(H39,Rates!$A$2:$B$3,2,0),1)</f>
        <v>1</v>
      </c>
      <c r="J39" t="str">
        <f t="shared" si="0"/>
        <v/>
      </c>
      <c r="K39" t="str">
        <f>IF(J39&lt;&gt;"",SUM($J$2:J39),"")</f>
        <v/>
      </c>
      <c r="L39">
        <f ca="1" t="shared" si="1"/>
        <v>45942</v>
      </c>
    </row>
    <row r="40" spans="9:12">
      <c r="I40">
        <f>IFERROR(VLOOKUP(H40,Rates!$A$2:$B$3,2,0),1)</f>
        <v>1</v>
      </c>
      <c r="J40" t="str">
        <f t="shared" si="0"/>
        <v/>
      </c>
      <c r="K40" t="str">
        <f>IF(J40&lt;&gt;"",SUM($J$2:J40),"")</f>
        <v/>
      </c>
      <c r="L40">
        <f ca="1" t="shared" si="1"/>
        <v>45942</v>
      </c>
    </row>
    <row r="41" spans="9:12">
      <c r="I41">
        <f>IFERROR(VLOOKUP(H41,Rates!$A$2:$B$3,2,0),1)</f>
        <v>1</v>
      </c>
      <c r="J41" t="str">
        <f t="shared" si="0"/>
        <v/>
      </c>
      <c r="K41" t="str">
        <f>IF(J41&lt;&gt;"",SUM($J$2:J41),"")</f>
        <v/>
      </c>
      <c r="L41">
        <f ca="1" t="shared" si="1"/>
        <v>45942</v>
      </c>
    </row>
    <row r="42" spans="9:12">
      <c r="I42">
        <f>IFERROR(VLOOKUP(H42,Rates!$A$2:$B$3,2,0),1)</f>
        <v>1</v>
      </c>
      <c r="J42" t="str">
        <f t="shared" si="0"/>
        <v/>
      </c>
      <c r="K42" t="str">
        <f>IF(J42&lt;&gt;"",SUM($J$2:J42),"")</f>
        <v/>
      </c>
      <c r="L42">
        <f ca="1" t="shared" si="1"/>
        <v>45942</v>
      </c>
    </row>
    <row r="43" spans="9:12">
      <c r="I43">
        <f>IFERROR(VLOOKUP(H43,Rates!$A$2:$B$3,2,0),1)</f>
        <v>1</v>
      </c>
      <c r="J43" t="str">
        <f t="shared" si="0"/>
        <v/>
      </c>
      <c r="K43" t="str">
        <f>IF(J43&lt;&gt;"",SUM($J$2:J43),"")</f>
        <v/>
      </c>
      <c r="L43">
        <f ca="1" t="shared" si="1"/>
        <v>45942</v>
      </c>
    </row>
    <row r="44" spans="9:12">
      <c r="I44">
        <f>IFERROR(VLOOKUP(H44,Rates!$A$2:$B$3,2,0),1)</f>
        <v>1</v>
      </c>
      <c r="J44" t="str">
        <f t="shared" si="0"/>
        <v/>
      </c>
      <c r="K44" t="str">
        <f>IF(J44&lt;&gt;"",SUM($J$2:J44),"")</f>
        <v/>
      </c>
      <c r="L44">
        <f ca="1" t="shared" si="1"/>
        <v>45942</v>
      </c>
    </row>
    <row r="45" spans="9:12">
      <c r="I45">
        <f>IFERROR(VLOOKUP(H45,Rates!$A$2:$B$3,2,0),1)</f>
        <v>1</v>
      </c>
      <c r="J45" t="str">
        <f t="shared" si="0"/>
        <v/>
      </c>
      <c r="K45" t="str">
        <f>IF(J45&lt;&gt;"",SUM($J$2:J45),"")</f>
        <v/>
      </c>
      <c r="L45">
        <f ca="1" t="shared" si="1"/>
        <v>45942</v>
      </c>
    </row>
    <row r="46" spans="9:12">
      <c r="I46">
        <f>IFERROR(VLOOKUP(H46,Rates!$A$2:$B$3,2,0),1)</f>
        <v>1</v>
      </c>
      <c r="J46" t="str">
        <f t="shared" si="0"/>
        <v/>
      </c>
      <c r="K46" t="str">
        <f>IF(J46&lt;&gt;"",SUM($J$2:J46),"")</f>
        <v/>
      </c>
      <c r="L46">
        <f ca="1" t="shared" si="1"/>
        <v>45942</v>
      </c>
    </row>
    <row r="47" spans="9:12">
      <c r="I47">
        <f>IFERROR(VLOOKUP(H47,Rates!$A$2:$B$3,2,0),1)</f>
        <v>1</v>
      </c>
      <c r="J47" t="str">
        <f t="shared" si="0"/>
        <v/>
      </c>
      <c r="K47" t="str">
        <f>IF(J47&lt;&gt;"",SUM($J$2:J47),"")</f>
        <v/>
      </c>
      <c r="L47">
        <f ca="1" t="shared" si="1"/>
        <v>45942</v>
      </c>
    </row>
    <row r="48" spans="9:12">
      <c r="I48">
        <f>IFERROR(VLOOKUP(H48,Rates!$A$2:$B$3,2,0),1)</f>
        <v>1</v>
      </c>
      <c r="J48" t="str">
        <f t="shared" si="0"/>
        <v/>
      </c>
      <c r="K48" t="str">
        <f>IF(J48&lt;&gt;"",SUM($J$2:J48),"")</f>
        <v/>
      </c>
      <c r="L48">
        <f ca="1" t="shared" si="1"/>
        <v>45942</v>
      </c>
    </row>
    <row r="49" spans="9:12">
      <c r="I49">
        <f>IFERROR(VLOOKUP(H49,Rates!$A$2:$B$3,2,0),1)</f>
        <v>1</v>
      </c>
      <c r="J49" t="str">
        <f t="shared" si="0"/>
        <v/>
      </c>
      <c r="K49" t="str">
        <f>IF(J49&lt;&gt;"",SUM($J$2:J49),"")</f>
        <v/>
      </c>
      <c r="L49">
        <f ca="1" t="shared" si="1"/>
        <v>45942</v>
      </c>
    </row>
    <row r="50" spans="9:12">
      <c r="I50">
        <f>IFERROR(VLOOKUP(H50,Rates!$A$2:$B$3,2,0),1)</f>
        <v>1</v>
      </c>
      <c r="J50" t="str">
        <f t="shared" si="0"/>
        <v/>
      </c>
      <c r="K50" t="str">
        <f>IF(J50&lt;&gt;"",SUM($J$2:J50),"")</f>
        <v/>
      </c>
      <c r="L50">
        <f ca="1" t="shared" si="1"/>
        <v>45942</v>
      </c>
    </row>
    <row r="51" spans="9:12">
      <c r="I51">
        <f>IFERROR(VLOOKUP(H51,Rates!$A$2:$B$3,2,0),1)</f>
        <v>1</v>
      </c>
      <c r="J51" t="str">
        <f t="shared" si="0"/>
        <v/>
      </c>
      <c r="K51" t="str">
        <f>IF(J51&lt;&gt;"",SUM($J$2:J51),"")</f>
        <v/>
      </c>
      <c r="L51">
        <f ca="1" t="shared" si="1"/>
        <v>45942</v>
      </c>
    </row>
    <row r="52" spans="9:12">
      <c r="I52">
        <f>IFERROR(VLOOKUP(H52,Rates!$A$2:$B$3,2,0),1)</f>
        <v>1</v>
      </c>
      <c r="J52" t="str">
        <f t="shared" si="0"/>
        <v/>
      </c>
      <c r="K52" t="str">
        <f>IF(J52&lt;&gt;"",SUM($J$2:J52),"")</f>
        <v/>
      </c>
      <c r="L52">
        <f ca="1" t="shared" si="1"/>
        <v>45942</v>
      </c>
    </row>
    <row r="53" spans="9:12">
      <c r="I53">
        <f>IFERROR(VLOOKUP(H53,Rates!$A$2:$B$3,2,0),1)</f>
        <v>1</v>
      </c>
      <c r="J53" t="str">
        <f t="shared" si="0"/>
        <v/>
      </c>
      <c r="K53" t="str">
        <f>IF(J53&lt;&gt;"",SUM($J$2:J53),"")</f>
        <v/>
      </c>
      <c r="L53">
        <f ca="1" t="shared" si="1"/>
        <v>45942</v>
      </c>
    </row>
    <row r="54" spans="9:12">
      <c r="I54">
        <f>IFERROR(VLOOKUP(H54,Rates!$A$2:$B$3,2,0),1)</f>
        <v>1</v>
      </c>
      <c r="J54" t="str">
        <f t="shared" si="0"/>
        <v/>
      </c>
      <c r="K54" t="str">
        <f>IF(J54&lt;&gt;"",SUM($J$2:J54),"")</f>
        <v/>
      </c>
      <c r="L54">
        <f ca="1" t="shared" si="1"/>
        <v>45942</v>
      </c>
    </row>
    <row r="55" spans="9:12">
      <c r="I55">
        <f>IFERROR(VLOOKUP(H55,Rates!$A$2:$B$3,2,0),1)</f>
        <v>1</v>
      </c>
      <c r="J55" t="str">
        <f t="shared" si="0"/>
        <v/>
      </c>
      <c r="K55" t="str">
        <f>IF(J55&lt;&gt;"",SUM($J$2:J55),"")</f>
        <v/>
      </c>
      <c r="L55">
        <f ca="1" t="shared" si="1"/>
        <v>45942</v>
      </c>
    </row>
    <row r="56" spans="9:12">
      <c r="I56">
        <f>IFERROR(VLOOKUP(H56,Rates!$A$2:$B$3,2,0),1)</f>
        <v>1</v>
      </c>
      <c r="J56" t="str">
        <f t="shared" si="0"/>
        <v/>
      </c>
      <c r="K56" t="str">
        <f>IF(J56&lt;&gt;"",SUM($J$2:J56),"")</f>
        <v/>
      </c>
      <c r="L56">
        <f ca="1" t="shared" si="1"/>
        <v>45942</v>
      </c>
    </row>
    <row r="57" spans="9:12">
      <c r="I57">
        <f>IFERROR(VLOOKUP(H57,Rates!$A$2:$B$3,2,0),1)</f>
        <v>1</v>
      </c>
      <c r="J57" t="str">
        <f t="shared" si="0"/>
        <v/>
      </c>
      <c r="K57" t="str">
        <f>IF(J57&lt;&gt;"",SUM($J$2:J57),"")</f>
        <v/>
      </c>
      <c r="L57">
        <f ca="1" t="shared" si="1"/>
        <v>45942</v>
      </c>
    </row>
    <row r="58" spans="9:12">
      <c r="I58">
        <f>IFERROR(VLOOKUP(H58,Rates!$A$2:$B$3,2,0),1)</f>
        <v>1</v>
      </c>
      <c r="J58" t="str">
        <f t="shared" si="0"/>
        <v/>
      </c>
      <c r="K58" t="str">
        <f>IF(J58&lt;&gt;"",SUM($J$2:J58),"")</f>
        <v/>
      </c>
      <c r="L58">
        <f ca="1" t="shared" si="1"/>
        <v>45942</v>
      </c>
    </row>
    <row r="59" spans="9:12">
      <c r="I59">
        <f>IFERROR(VLOOKUP(H59,Rates!$A$2:$B$3,2,0),1)</f>
        <v>1</v>
      </c>
      <c r="J59" t="str">
        <f t="shared" si="0"/>
        <v/>
      </c>
      <c r="K59" t="str">
        <f>IF(J59&lt;&gt;"",SUM($J$2:J59),"")</f>
        <v/>
      </c>
      <c r="L59">
        <f ca="1" t="shared" si="1"/>
        <v>45942</v>
      </c>
    </row>
    <row r="60" spans="9:12">
      <c r="I60">
        <f>IFERROR(VLOOKUP(H60,Rates!$A$2:$B$3,2,0),1)</f>
        <v>1</v>
      </c>
      <c r="J60" t="str">
        <f t="shared" si="0"/>
        <v/>
      </c>
      <c r="K60" t="str">
        <f>IF(J60&lt;&gt;"",SUM($J$2:J60),"")</f>
        <v/>
      </c>
      <c r="L60">
        <f ca="1" t="shared" si="1"/>
        <v>45942</v>
      </c>
    </row>
    <row r="61" spans="9:12">
      <c r="I61">
        <f>IFERROR(VLOOKUP(H61,Rates!$A$2:$B$3,2,0),1)</f>
        <v>1</v>
      </c>
      <c r="J61" t="str">
        <f t="shared" si="0"/>
        <v/>
      </c>
      <c r="K61" t="str">
        <f>IF(J61&lt;&gt;"",SUM($J$2:J61),"")</f>
        <v/>
      </c>
      <c r="L61">
        <f ca="1" t="shared" si="1"/>
        <v>45942</v>
      </c>
    </row>
    <row r="62" spans="9:12">
      <c r="I62">
        <f>IFERROR(VLOOKUP(H62,Rates!$A$2:$B$3,2,0),1)</f>
        <v>1</v>
      </c>
      <c r="J62" t="str">
        <f t="shared" si="0"/>
        <v/>
      </c>
      <c r="K62" t="str">
        <f>IF(J62&lt;&gt;"",SUM($J$2:J62),"")</f>
        <v/>
      </c>
      <c r="L62">
        <f ca="1" t="shared" si="1"/>
        <v>45942</v>
      </c>
    </row>
    <row r="63" spans="9:12">
      <c r="I63">
        <f>IFERROR(VLOOKUP(H63,Rates!$A$2:$B$3,2,0),1)</f>
        <v>1</v>
      </c>
      <c r="J63" t="str">
        <f t="shared" si="0"/>
        <v/>
      </c>
      <c r="K63" t="str">
        <f>IF(J63&lt;&gt;"",SUM($J$2:J63),"")</f>
        <v/>
      </c>
      <c r="L63">
        <f ca="1" t="shared" si="1"/>
        <v>45942</v>
      </c>
    </row>
    <row r="64" spans="9:12">
      <c r="I64">
        <f>IFERROR(VLOOKUP(H64,Rates!$A$2:$B$3,2,0),1)</f>
        <v>1</v>
      </c>
      <c r="J64" t="str">
        <f t="shared" si="0"/>
        <v/>
      </c>
      <c r="K64" t="str">
        <f>IF(J64&lt;&gt;"",SUM($J$2:J64),"")</f>
        <v/>
      </c>
      <c r="L64">
        <f ca="1" t="shared" si="1"/>
        <v>45942</v>
      </c>
    </row>
    <row r="65" spans="9:12">
      <c r="I65">
        <f>IFERROR(VLOOKUP(H65,Rates!$A$2:$B$3,2,0),1)</f>
        <v>1</v>
      </c>
      <c r="J65" t="str">
        <f t="shared" si="0"/>
        <v/>
      </c>
      <c r="K65" t="str">
        <f>IF(J65&lt;&gt;"",SUM($J$2:J65),"")</f>
        <v/>
      </c>
      <c r="L65">
        <f ca="1" t="shared" si="1"/>
        <v>45942</v>
      </c>
    </row>
    <row r="66" spans="9:12">
      <c r="I66">
        <f>IFERROR(VLOOKUP(H66,Rates!$A$2:$B$3,2,0),1)</f>
        <v>1</v>
      </c>
      <c r="J66" t="str">
        <f t="shared" ref="J66:J129" si="2">IF(G66&lt;&gt;"",G66*I66,"")</f>
        <v/>
      </c>
      <c r="K66" t="str">
        <f>IF(J66&lt;&gt;"",SUM($J$2:J66),"")</f>
        <v/>
      </c>
      <c r="L66">
        <f ca="1" t="shared" ref="L66:L129" si="3">IF(COUNTA(A66:K66)&gt;0,TODAY(),"")</f>
        <v>45942</v>
      </c>
    </row>
    <row r="67" spans="9:12">
      <c r="I67">
        <f>IFERROR(VLOOKUP(H67,Rates!$A$2:$B$3,2,0),1)</f>
        <v>1</v>
      </c>
      <c r="J67" t="str">
        <f t="shared" si="2"/>
        <v/>
      </c>
      <c r="K67" t="str">
        <f>IF(J67&lt;&gt;"",SUM($J$2:J67),"")</f>
        <v/>
      </c>
      <c r="L67">
        <f ca="1" t="shared" si="3"/>
        <v>45942</v>
      </c>
    </row>
    <row r="68" spans="9:12">
      <c r="I68">
        <f>IFERROR(VLOOKUP(H68,Rates!$A$2:$B$3,2,0),1)</f>
        <v>1</v>
      </c>
      <c r="J68" t="str">
        <f t="shared" si="2"/>
        <v/>
      </c>
      <c r="K68" t="str">
        <f>IF(J68&lt;&gt;"",SUM($J$2:J68),"")</f>
        <v/>
      </c>
      <c r="L68">
        <f ca="1" t="shared" si="3"/>
        <v>45942</v>
      </c>
    </row>
    <row r="69" spans="9:12">
      <c r="I69">
        <f>IFERROR(VLOOKUP(H69,Rates!$A$2:$B$3,2,0),1)</f>
        <v>1</v>
      </c>
      <c r="J69" t="str">
        <f t="shared" si="2"/>
        <v/>
      </c>
      <c r="K69" t="str">
        <f>IF(J69&lt;&gt;"",SUM($J$2:J69),"")</f>
        <v/>
      </c>
      <c r="L69">
        <f ca="1" t="shared" si="3"/>
        <v>45942</v>
      </c>
    </row>
    <row r="70" spans="9:12">
      <c r="I70">
        <f>IFERROR(VLOOKUP(H70,Rates!$A$2:$B$3,2,0),1)</f>
        <v>1</v>
      </c>
      <c r="J70" t="str">
        <f t="shared" si="2"/>
        <v/>
      </c>
      <c r="K70" t="str">
        <f>IF(J70&lt;&gt;"",SUM($J$2:J70),"")</f>
        <v/>
      </c>
      <c r="L70">
        <f ca="1" t="shared" si="3"/>
        <v>45942</v>
      </c>
    </row>
    <row r="71" spans="9:12">
      <c r="I71">
        <f>IFERROR(VLOOKUP(H71,Rates!$A$2:$B$3,2,0),1)</f>
        <v>1</v>
      </c>
      <c r="J71" t="str">
        <f t="shared" si="2"/>
        <v/>
      </c>
      <c r="K71" t="str">
        <f>IF(J71&lt;&gt;"",SUM($J$2:J71),"")</f>
        <v/>
      </c>
      <c r="L71">
        <f ca="1" t="shared" si="3"/>
        <v>45942</v>
      </c>
    </row>
    <row r="72" spans="9:12">
      <c r="I72">
        <f>IFERROR(VLOOKUP(H72,Rates!$A$2:$B$3,2,0),1)</f>
        <v>1</v>
      </c>
      <c r="J72" t="str">
        <f t="shared" si="2"/>
        <v/>
      </c>
      <c r="K72" t="str">
        <f>IF(J72&lt;&gt;"",SUM($J$2:J72),"")</f>
        <v/>
      </c>
      <c r="L72">
        <f ca="1" t="shared" si="3"/>
        <v>45942</v>
      </c>
    </row>
    <row r="73" spans="9:12">
      <c r="I73">
        <f>IFERROR(VLOOKUP(H73,Rates!$A$2:$B$3,2,0),1)</f>
        <v>1</v>
      </c>
      <c r="J73" t="str">
        <f t="shared" si="2"/>
        <v/>
      </c>
      <c r="K73" t="str">
        <f>IF(J73&lt;&gt;"",SUM($J$2:J73),"")</f>
        <v/>
      </c>
      <c r="L73">
        <f ca="1" t="shared" si="3"/>
        <v>45942</v>
      </c>
    </row>
    <row r="74" spans="9:12">
      <c r="I74">
        <f>IFERROR(VLOOKUP(H74,Rates!$A$2:$B$3,2,0),1)</f>
        <v>1</v>
      </c>
      <c r="J74" t="str">
        <f t="shared" si="2"/>
        <v/>
      </c>
      <c r="K74" t="str">
        <f>IF(J74&lt;&gt;"",SUM($J$2:J74),"")</f>
        <v/>
      </c>
      <c r="L74">
        <f ca="1" t="shared" si="3"/>
        <v>45942</v>
      </c>
    </row>
    <row r="75" spans="9:12">
      <c r="I75">
        <f>IFERROR(VLOOKUP(H75,Rates!$A$2:$B$3,2,0),1)</f>
        <v>1</v>
      </c>
      <c r="J75" t="str">
        <f t="shared" si="2"/>
        <v/>
      </c>
      <c r="K75" t="str">
        <f>IF(J75&lt;&gt;"",SUM($J$2:J75),"")</f>
        <v/>
      </c>
      <c r="L75">
        <f ca="1" t="shared" si="3"/>
        <v>45942</v>
      </c>
    </row>
    <row r="76" spans="9:12">
      <c r="I76">
        <f>IFERROR(VLOOKUP(H76,Rates!$A$2:$B$3,2,0),1)</f>
        <v>1</v>
      </c>
      <c r="J76" t="str">
        <f t="shared" si="2"/>
        <v/>
      </c>
      <c r="K76" t="str">
        <f>IF(J76&lt;&gt;"",SUM($J$2:J76),"")</f>
        <v/>
      </c>
      <c r="L76">
        <f ca="1" t="shared" si="3"/>
        <v>45942</v>
      </c>
    </row>
    <row r="77" spans="9:12">
      <c r="I77">
        <f>IFERROR(VLOOKUP(H77,Rates!$A$2:$B$3,2,0),1)</f>
        <v>1</v>
      </c>
      <c r="J77" t="str">
        <f t="shared" si="2"/>
        <v/>
      </c>
      <c r="K77" t="str">
        <f>IF(J77&lt;&gt;"",SUM($J$2:J77),"")</f>
        <v/>
      </c>
      <c r="L77">
        <f ca="1" t="shared" si="3"/>
        <v>45942</v>
      </c>
    </row>
    <row r="78" spans="9:12">
      <c r="I78">
        <f>IFERROR(VLOOKUP(H78,Rates!$A$2:$B$3,2,0),1)</f>
        <v>1</v>
      </c>
      <c r="J78" t="str">
        <f t="shared" si="2"/>
        <v/>
      </c>
      <c r="K78" t="str">
        <f>IF(J78&lt;&gt;"",SUM($J$2:J78),"")</f>
        <v/>
      </c>
      <c r="L78">
        <f ca="1" t="shared" si="3"/>
        <v>45942</v>
      </c>
    </row>
    <row r="79" spans="9:12">
      <c r="I79">
        <f>IFERROR(VLOOKUP(H79,Rates!$A$2:$B$3,2,0),1)</f>
        <v>1</v>
      </c>
      <c r="J79" t="str">
        <f t="shared" si="2"/>
        <v/>
      </c>
      <c r="K79" t="str">
        <f>IF(J79&lt;&gt;"",SUM($J$2:J79),"")</f>
        <v/>
      </c>
      <c r="L79">
        <f ca="1" t="shared" si="3"/>
        <v>45942</v>
      </c>
    </row>
    <row r="80" spans="9:12">
      <c r="I80">
        <f>IFERROR(VLOOKUP(H80,Rates!$A$2:$B$3,2,0),1)</f>
        <v>1</v>
      </c>
      <c r="J80" t="str">
        <f t="shared" si="2"/>
        <v/>
      </c>
      <c r="K80" t="str">
        <f>IF(J80&lt;&gt;"",SUM($J$2:J80),"")</f>
        <v/>
      </c>
      <c r="L80">
        <f ca="1" t="shared" si="3"/>
        <v>45942</v>
      </c>
    </row>
    <row r="81" spans="9:12">
      <c r="I81">
        <f>IFERROR(VLOOKUP(H81,Rates!$A$2:$B$3,2,0),1)</f>
        <v>1</v>
      </c>
      <c r="J81" t="str">
        <f t="shared" si="2"/>
        <v/>
      </c>
      <c r="K81" t="str">
        <f>IF(J81&lt;&gt;"",SUM($J$2:J81),"")</f>
        <v/>
      </c>
      <c r="L81">
        <f ca="1" t="shared" si="3"/>
        <v>45942</v>
      </c>
    </row>
    <row r="82" spans="9:12">
      <c r="I82">
        <f>IFERROR(VLOOKUP(H82,Rates!$A$2:$B$3,2,0),1)</f>
        <v>1</v>
      </c>
      <c r="J82" t="str">
        <f t="shared" si="2"/>
        <v/>
      </c>
      <c r="K82" t="str">
        <f>IF(J82&lt;&gt;"",SUM($J$2:J82),"")</f>
        <v/>
      </c>
      <c r="L82">
        <f ca="1" t="shared" si="3"/>
        <v>45942</v>
      </c>
    </row>
    <row r="83" spans="9:12">
      <c r="I83">
        <f>IFERROR(VLOOKUP(H83,Rates!$A$2:$B$3,2,0),1)</f>
        <v>1</v>
      </c>
      <c r="J83" t="str">
        <f t="shared" si="2"/>
        <v/>
      </c>
      <c r="K83" t="str">
        <f>IF(J83&lt;&gt;"",SUM($J$2:J83),"")</f>
        <v/>
      </c>
      <c r="L83">
        <f ca="1" t="shared" si="3"/>
        <v>45942</v>
      </c>
    </row>
    <row r="84" spans="9:12">
      <c r="I84">
        <f>IFERROR(VLOOKUP(H84,Rates!$A$2:$B$3,2,0),1)</f>
        <v>1</v>
      </c>
      <c r="J84" t="str">
        <f t="shared" si="2"/>
        <v/>
      </c>
      <c r="K84" t="str">
        <f>IF(J84&lt;&gt;"",SUM($J$2:J84),"")</f>
        <v/>
      </c>
      <c r="L84">
        <f ca="1" t="shared" si="3"/>
        <v>45942</v>
      </c>
    </row>
    <row r="85" spans="9:12">
      <c r="I85">
        <f>IFERROR(VLOOKUP(H85,Rates!$A$2:$B$3,2,0),1)</f>
        <v>1</v>
      </c>
      <c r="J85" t="str">
        <f t="shared" si="2"/>
        <v/>
      </c>
      <c r="K85" t="str">
        <f>IF(J85&lt;&gt;"",SUM($J$2:J85),"")</f>
        <v/>
      </c>
      <c r="L85">
        <f ca="1" t="shared" si="3"/>
        <v>45942</v>
      </c>
    </row>
    <row r="86" spans="9:12">
      <c r="I86">
        <f>IFERROR(VLOOKUP(H86,Rates!$A$2:$B$3,2,0),1)</f>
        <v>1</v>
      </c>
      <c r="J86" t="str">
        <f t="shared" si="2"/>
        <v/>
      </c>
      <c r="K86" t="str">
        <f>IF(J86&lt;&gt;"",SUM($J$2:J86),"")</f>
        <v/>
      </c>
      <c r="L86">
        <f ca="1" t="shared" si="3"/>
        <v>45942</v>
      </c>
    </row>
    <row r="87" spans="9:12">
      <c r="I87">
        <f>IFERROR(VLOOKUP(H87,Rates!$A$2:$B$3,2,0),1)</f>
        <v>1</v>
      </c>
      <c r="J87" t="str">
        <f t="shared" si="2"/>
        <v/>
      </c>
      <c r="K87" t="str">
        <f>IF(J87&lt;&gt;"",SUM($J$2:J87),"")</f>
        <v/>
      </c>
      <c r="L87">
        <f ca="1" t="shared" si="3"/>
        <v>45942</v>
      </c>
    </row>
    <row r="88" spans="9:12">
      <c r="I88">
        <f>IFERROR(VLOOKUP(H88,Rates!$A$2:$B$3,2,0),1)</f>
        <v>1</v>
      </c>
      <c r="J88" t="str">
        <f t="shared" si="2"/>
        <v/>
      </c>
      <c r="K88" t="str">
        <f>IF(J88&lt;&gt;"",SUM($J$2:J88),"")</f>
        <v/>
      </c>
      <c r="L88">
        <f ca="1" t="shared" si="3"/>
        <v>45942</v>
      </c>
    </row>
    <row r="89" spans="9:12">
      <c r="I89">
        <f>IFERROR(VLOOKUP(H89,Rates!$A$2:$B$3,2,0),1)</f>
        <v>1</v>
      </c>
      <c r="J89" t="str">
        <f t="shared" si="2"/>
        <v/>
      </c>
      <c r="K89" t="str">
        <f>IF(J89&lt;&gt;"",SUM($J$2:J89),"")</f>
        <v/>
      </c>
      <c r="L89">
        <f ca="1" t="shared" si="3"/>
        <v>45942</v>
      </c>
    </row>
    <row r="90" spans="9:12">
      <c r="I90">
        <f>IFERROR(VLOOKUP(H90,Rates!$A$2:$B$3,2,0),1)</f>
        <v>1</v>
      </c>
      <c r="J90" t="str">
        <f t="shared" si="2"/>
        <v/>
      </c>
      <c r="K90" t="str">
        <f>IF(J90&lt;&gt;"",SUM($J$2:J90),"")</f>
        <v/>
      </c>
      <c r="L90">
        <f ca="1" t="shared" si="3"/>
        <v>45942</v>
      </c>
    </row>
    <row r="91" spans="9:12">
      <c r="I91">
        <f>IFERROR(VLOOKUP(H91,Rates!$A$2:$B$3,2,0),1)</f>
        <v>1</v>
      </c>
      <c r="J91" t="str">
        <f t="shared" si="2"/>
        <v/>
      </c>
      <c r="K91" t="str">
        <f>IF(J91&lt;&gt;"",SUM($J$2:J91),"")</f>
        <v/>
      </c>
      <c r="L91">
        <f ca="1" t="shared" si="3"/>
        <v>45942</v>
      </c>
    </row>
    <row r="92" spans="9:12">
      <c r="I92">
        <f>IFERROR(VLOOKUP(H92,Rates!$A$2:$B$3,2,0),1)</f>
        <v>1</v>
      </c>
      <c r="J92" t="str">
        <f t="shared" si="2"/>
        <v/>
      </c>
      <c r="K92" t="str">
        <f>IF(J92&lt;&gt;"",SUM($J$2:J92),"")</f>
        <v/>
      </c>
      <c r="L92">
        <f ca="1" t="shared" si="3"/>
        <v>45942</v>
      </c>
    </row>
    <row r="93" spans="9:12">
      <c r="I93">
        <f>IFERROR(VLOOKUP(H93,Rates!$A$2:$B$3,2,0),1)</f>
        <v>1</v>
      </c>
      <c r="J93" t="str">
        <f t="shared" si="2"/>
        <v/>
      </c>
      <c r="K93" t="str">
        <f>IF(J93&lt;&gt;"",SUM($J$2:J93),"")</f>
        <v/>
      </c>
      <c r="L93">
        <f ca="1" t="shared" si="3"/>
        <v>45942</v>
      </c>
    </row>
    <row r="94" spans="9:12">
      <c r="I94">
        <f>IFERROR(VLOOKUP(H94,Rates!$A$2:$B$3,2,0),1)</f>
        <v>1</v>
      </c>
      <c r="J94" t="str">
        <f t="shared" si="2"/>
        <v/>
      </c>
      <c r="K94" t="str">
        <f>IF(J94&lt;&gt;"",SUM($J$2:J94),"")</f>
        <v/>
      </c>
      <c r="L94">
        <f ca="1" t="shared" si="3"/>
        <v>45942</v>
      </c>
    </row>
    <row r="95" spans="9:12">
      <c r="I95">
        <f>IFERROR(VLOOKUP(H95,Rates!$A$2:$B$3,2,0),1)</f>
        <v>1</v>
      </c>
      <c r="J95" t="str">
        <f t="shared" si="2"/>
        <v/>
      </c>
      <c r="K95" t="str">
        <f>IF(J95&lt;&gt;"",SUM($J$2:J95),"")</f>
        <v/>
      </c>
      <c r="L95">
        <f ca="1" t="shared" si="3"/>
        <v>45942</v>
      </c>
    </row>
    <row r="96" spans="9:12">
      <c r="I96">
        <f>IFERROR(VLOOKUP(H96,Rates!$A$2:$B$3,2,0),1)</f>
        <v>1</v>
      </c>
      <c r="J96" t="str">
        <f t="shared" si="2"/>
        <v/>
      </c>
      <c r="K96" t="str">
        <f>IF(J96&lt;&gt;"",SUM($J$2:J96),"")</f>
        <v/>
      </c>
      <c r="L96">
        <f ca="1" t="shared" si="3"/>
        <v>45942</v>
      </c>
    </row>
    <row r="97" spans="9:12">
      <c r="I97">
        <f>IFERROR(VLOOKUP(H97,Rates!$A$2:$B$3,2,0),1)</f>
        <v>1</v>
      </c>
      <c r="J97" t="str">
        <f t="shared" si="2"/>
        <v/>
      </c>
      <c r="K97" t="str">
        <f>IF(J97&lt;&gt;"",SUM($J$2:J97),"")</f>
        <v/>
      </c>
      <c r="L97">
        <f ca="1" t="shared" si="3"/>
        <v>45942</v>
      </c>
    </row>
    <row r="98" spans="9:12">
      <c r="I98">
        <f>IFERROR(VLOOKUP(H98,Rates!$A$2:$B$3,2,0),1)</f>
        <v>1</v>
      </c>
      <c r="J98" t="str">
        <f t="shared" si="2"/>
        <v/>
      </c>
      <c r="K98" t="str">
        <f>IF(J98&lt;&gt;"",SUM($J$2:J98),"")</f>
        <v/>
      </c>
      <c r="L98">
        <f ca="1" t="shared" si="3"/>
        <v>45942</v>
      </c>
    </row>
    <row r="99" spans="9:12">
      <c r="I99">
        <f>IFERROR(VLOOKUP(H99,Rates!$A$2:$B$3,2,0),1)</f>
        <v>1</v>
      </c>
      <c r="J99" t="str">
        <f t="shared" si="2"/>
        <v/>
      </c>
      <c r="K99" t="str">
        <f>IF(J99&lt;&gt;"",SUM($J$2:J99),"")</f>
        <v/>
      </c>
      <c r="L99">
        <f ca="1" t="shared" si="3"/>
        <v>45942</v>
      </c>
    </row>
    <row r="100" spans="9:12">
      <c r="I100">
        <f>IFERROR(VLOOKUP(H100,Rates!$A$2:$B$3,2,0),1)</f>
        <v>1</v>
      </c>
      <c r="J100" t="str">
        <f t="shared" si="2"/>
        <v/>
      </c>
      <c r="K100" t="str">
        <f>IF(J100&lt;&gt;"",SUM($J$2:J100),"")</f>
        <v/>
      </c>
      <c r="L100">
        <f ca="1" t="shared" si="3"/>
        <v>45942</v>
      </c>
    </row>
    <row r="101" spans="9:12">
      <c r="I101">
        <f>IFERROR(VLOOKUP(H101,Rates!$A$2:$B$3,2,0),1)</f>
        <v>1</v>
      </c>
      <c r="J101" t="str">
        <f t="shared" si="2"/>
        <v/>
      </c>
      <c r="K101" t="str">
        <f>IF(J101&lt;&gt;"",SUM($J$2:J101),"")</f>
        <v/>
      </c>
      <c r="L101">
        <f ca="1" t="shared" si="3"/>
        <v>45942</v>
      </c>
    </row>
    <row r="102" spans="9:12">
      <c r="I102">
        <f>IFERROR(VLOOKUP(H102,Rates!$A$2:$B$3,2,0),1)</f>
        <v>1</v>
      </c>
      <c r="J102" t="str">
        <f t="shared" si="2"/>
        <v/>
      </c>
      <c r="K102" t="str">
        <f>IF(J102&lt;&gt;"",SUM($J$2:J102),"")</f>
        <v/>
      </c>
      <c r="L102">
        <f ca="1" t="shared" si="3"/>
        <v>45942</v>
      </c>
    </row>
    <row r="103" spans="9:12">
      <c r="I103">
        <f>IFERROR(VLOOKUP(H103,Rates!$A$2:$B$3,2,0),1)</f>
        <v>1</v>
      </c>
      <c r="J103" t="str">
        <f t="shared" si="2"/>
        <v/>
      </c>
      <c r="K103" t="str">
        <f>IF(J103&lt;&gt;"",SUM($J$2:J103),"")</f>
        <v/>
      </c>
      <c r="L103">
        <f ca="1" t="shared" si="3"/>
        <v>45942</v>
      </c>
    </row>
    <row r="104" spans="9:12">
      <c r="I104">
        <f>IFERROR(VLOOKUP(H104,Rates!$A$2:$B$3,2,0),1)</f>
        <v>1</v>
      </c>
      <c r="J104" t="str">
        <f t="shared" si="2"/>
        <v/>
      </c>
      <c r="K104" t="str">
        <f>IF(J104&lt;&gt;"",SUM($J$2:J104),"")</f>
        <v/>
      </c>
      <c r="L104">
        <f ca="1" t="shared" si="3"/>
        <v>45942</v>
      </c>
    </row>
    <row r="105" spans="9:12">
      <c r="I105">
        <f>IFERROR(VLOOKUP(H105,Rates!$A$2:$B$3,2,0),1)</f>
        <v>1</v>
      </c>
      <c r="J105" t="str">
        <f t="shared" si="2"/>
        <v/>
      </c>
      <c r="K105" t="str">
        <f>IF(J105&lt;&gt;"",SUM($J$2:J105),"")</f>
        <v/>
      </c>
      <c r="L105">
        <f ca="1" t="shared" si="3"/>
        <v>45942</v>
      </c>
    </row>
    <row r="106" spans="9:12">
      <c r="I106">
        <f>IFERROR(VLOOKUP(H106,Rates!$A$2:$B$3,2,0),1)</f>
        <v>1</v>
      </c>
      <c r="J106" t="str">
        <f t="shared" si="2"/>
        <v/>
      </c>
      <c r="K106" t="str">
        <f>IF(J106&lt;&gt;"",SUM($J$2:J106),"")</f>
        <v/>
      </c>
      <c r="L106">
        <f ca="1" t="shared" si="3"/>
        <v>45942</v>
      </c>
    </row>
    <row r="107" spans="9:12">
      <c r="I107">
        <f>IFERROR(VLOOKUP(H107,Rates!$A$2:$B$3,2,0),1)</f>
        <v>1</v>
      </c>
      <c r="J107" t="str">
        <f t="shared" si="2"/>
        <v/>
      </c>
      <c r="K107" t="str">
        <f>IF(J107&lt;&gt;"",SUM($J$2:J107),"")</f>
        <v/>
      </c>
      <c r="L107">
        <f ca="1" t="shared" si="3"/>
        <v>45942</v>
      </c>
    </row>
    <row r="108" spans="9:12">
      <c r="I108">
        <f>IFERROR(VLOOKUP(H108,Rates!$A$2:$B$3,2,0),1)</f>
        <v>1</v>
      </c>
      <c r="J108" t="str">
        <f t="shared" si="2"/>
        <v/>
      </c>
      <c r="K108" t="str">
        <f>IF(J108&lt;&gt;"",SUM($J$2:J108),"")</f>
        <v/>
      </c>
      <c r="L108">
        <f ca="1" t="shared" si="3"/>
        <v>45942</v>
      </c>
    </row>
    <row r="109" spans="9:12">
      <c r="I109">
        <f>IFERROR(VLOOKUP(H109,Rates!$A$2:$B$3,2,0),1)</f>
        <v>1</v>
      </c>
      <c r="J109" t="str">
        <f t="shared" si="2"/>
        <v/>
      </c>
      <c r="K109" t="str">
        <f>IF(J109&lt;&gt;"",SUM($J$2:J109),"")</f>
        <v/>
      </c>
      <c r="L109">
        <f ca="1" t="shared" si="3"/>
        <v>45942</v>
      </c>
    </row>
    <row r="110" spans="9:12">
      <c r="I110">
        <f>IFERROR(VLOOKUP(H110,Rates!$A$2:$B$3,2,0),1)</f>
        <v>1</v>
      </c>
      <c r="J110" t="str">
        <f t="shared" si="2"/>
        <v/>
      </c>
      <c r="K110" t="str">
        <f>IF(J110&lt;&gt;"",SUM($J$2:J110),"")</f>
        <v/>
      </c>
      <c r="L110">
        <f ca="1" t="shared" si="3"/>
        <v>45942</v>
      </c>
    </row>
    <row r="111" spans="9:12">
      <c r="I111">
        <f>IFERROR(VLOOKUP(H111,Rates!$A$2:$B$3,2,0),1)</f>
        <v>1</v>
      </c>
      <c r="J111" t="str">
        <f t="shared" si="2"/>
        <v/>
      </c>
      <c r="K111" t="str">
        <f>IF(J111&lt;&gt;"",SUM($J$2:J111),"")</f>
        <v/>
      </c>
      <c r="L111">
        <f ca="1" t="shared" si="3"/>
        <v>45942</v>
      </c>
    </row>
    <row r="112" spans="9:12">
      <c r="I112">
        <f>IFERROR(VLOOKUP(H112,Rates!$A$2:$B$3,2,0),1)</f>
        <v>1</v>
      </c>
      <c r="J112" t="str">
        <f t="shared" si="2"/>
        <v/>
      </c>
      <c r="K112" t="str">
        <f>IF(J112&lt;&gt;"",SUM($J$2:J112),"")</f>
        <v/>
      </c>
      <c r="L112">
        <f ca="1" t="shared" si="3"/>
        <v>45942</v>
      </c>
    </row>
    <row r="113" spans="9:12">
      <c r="I113">
        <f>IFERROR(VLOOKUP(H113,Rates!$A$2:$B$3,2,0),1)</f>
        <v>1</v>
      </c>
      <c r="J113" t="str">
        <f t="shared" si="2"/>
        <v/>
      </c>
      <c r="K113" t="str">
        <f>IF(J113&lt;&gt;"",SUM($J$2:J113),"")</f>
        <v/>
      </c>
      <c r="L113">
        <f ca="1" t="shared" si="3"/>
        <v>45942</v>
      </c>
    </row>
    <row r="114" spans="9:12">
      <c r="I114">
        <f>IFERROR(VLOOKUP(H114,Rates!$A$2:$B$3,2,0),1)</f>
        <v>1</v>
      </c>
      <c r="J114" t="str">
        <f t="shared" si="2"/>
        <v/>
      </c>
      <c r="K114" t="str">
        <f>IF(J114&lt;&gt;"",SUM($J$2:J114),"")</f>
        <v/>
      </c>
      <c r="L114">
        <f ca="1" t="shared" si="3"/>
        <v>45942</v>
      </c>
    </row>
    <row r="115" spans="9:12">
      <c r="I115">
        <f>IFERROR(VLOOKUP(H115,Rates!$A$2:$B$3,2,0),1)</f>
        <v>1</v>
      </c>
      <c r="J115" t="str">
        <f t="shared" si="2"/>
        <v/>
      </c>
      <c r="K115" t="str">
        <f>IF(J115&lt;&gt;"",SUM($J$2:J115),"")</f>
        <v/>
      </c>
      <c r="L115">
        <f ca="1" t="shared" si="3"/>
        <v>45942</v>
      </c>
    </row>
    <row r="116" spans="9:12">
      <c r="I116">
        <f>IFERROR(VLOOKUP(H116,Rates!$A$2:$B$3,2,0),1)</f>
        <v>1</v>
      </c>
      <c r="J116" t="str">
        <f t="shared" si="2"/>
        <v/>
      </c>
      <c r="K116" t="str">
        <f>IF(J116&lt;&gt;"",SUM($J$2:J116),"")</f>
        <v/>
      </c>
      <c r="L116">
        <f ca="1" t="shared" si="3"/>
        <v>45942</v>
      </c>
    </row>
    <row r="117" spans="9:12">
      <c r="I117">
        <f>IFERROR(VLOOKUP(H117,Rates!$A$2:$B$3,2,0),1)</f>
        <v>1</v>
      </c>
      <c r="J117" t="str">
        <f t="shared" si="2"/>
        <v/>
      </c>
      <c r="K117" t="str">
        <f>IF(J117&lt;&gt;"",SUM($J$2:J117),"")</f>
        <v/>
      </c>
      <c r="L117">
        <f ca="1" t="shared" si="3"/>
        <v>45942</v>
      </c>
    </row>
    <row r="118" spans="9:12">
      <c r="I118">
        <f>IFERROR(VLOOKUP(H118,Rates!$A$2:$B$3,2,0),1)</f>
        <v>1</v>
      </c>
      <c r="J118" t="str">
        <f t="shared" si="2"/>
        <v/>
      </c>
      <c r="K118" t="str">
        <f>IF(J118&lt;&gt;"",SUM($J$2:J118),"")</f>
        <v/>
      </c>
      <c r="L118">
        <f ca="1" t="shared" si="3"/>
        <v>45942</v>
      </c>
    </row>
    <row r="119" spans="9:12">
      <c r="I119">
        <f>IFERROR(VLOOKUP(H119,Rates!$A$2:$B$3,2,0),1)</f>
        <v>1</v>
      </c>
      <c r="J119" t="str">
        <f t="shared" si="2"/>
        <v/>
      </c>
      <c r="K119" t="str">
        <f>IF(J119&lt;&gt;"",SUM($J$2:J119),"")</f>
        <v/>
      </c>
      <c r="L119">
        <f ca="1" t="shared" si="3"/>
        <v>45942</v>
      </c>
    </row>
    <row r="120" spans="9:12">
      <c r="I120">
        <f>IFERROR(VLOOKUP(H120,Rates!$A$2:$B$3,2,0),1)</f>
        <v>1</v>
      </c>
      <c r="J120" t="str">
        <f t="shared" si="2"/>
        <v/>
      </c>
      <c r="K120" t="str">
        <f>IF(J120&lt;&gt;"",SUM($J$2:J120),"")</f>
        <v/>
      </c>
      <c r="L120">
        <f ca="1" t="shared" si="3"/>
        <v>45942</v>
      </c>
    </row>
    <row r="121" spans="9:12">
      <c r="I121">
        <f>IFERROR(VLOOKUP(H121,Rates!$A$2:$B$3,2,0),1)</f>
        <v>1</v>
      </c>
      <c r="J121" t="str">
        <f t="shared" si="2"/>
        <v/>
      </c>
      <c r="K121" t="str">
        <f>IF(J121&lt;&gt;"",SUM($J$2:J121),"")</f>
        <v/>
      </c>
      <c r="L121">
        <f ca="1" t="shared" si="3"/>
        <v>45942</v>
      </c>
    </row>
    <row r="122" spans="9:12">
      <c r="I122">
        <f>IFERROR(VLOOKUP(H122,Rates!$A$2:$B$3,2,0),1)</f>
        <v>1</v>
      </c>
      <c r="J122" t="str">
        <f t="shared" si="2"/>
        <v/>
      </c>
      <c r="K122" t="str">
        <f>IF(J122&lt;&gt;"",SUM($J$2:J122),"")</f>
        <v/>
      </c>
      <c r="L122">
        <f ca="1" t="shared" si="3"/>
        <v>45942</v>
      </c>
    </row>
    <row r="123" spans="9:12">
      <c r="I123">
        <f>IFERROR(VLOOKUP(H123,Rates!$A$2:$B$3,2,0),1)</f>
        <v>1</v>
      </c>
      <c r="J123" t="str">
        <f t="shared" si="2"/>
        <v/>
      </c>
      <c r="K123" t="str">
        <f>IF(J123&lt;&gt;"",SUM($J$2:J123),"")</f>
        <v/>
      </c>
      <c r="L123">
        <f ca="1" t="shared" si="3"/>
        <v>45942</v>
      </c>
    </row>
    <row r="124" spans="9:12">
      <c r="I124">
        <f>IFERROR(VLOOKUP(H124,Rates!$A$2:$B$3,2,0),1)</f>
        <v>1</v>
      </c>
      <c r="J124" t="str">
        <f t="shared" si="2"/>
        <v/>
      </c>
      <c r="K124" t="str">
        <f>IF(J124&lt;&gt;"",SUM($J$2:J124),"")</f>
        <v/>
      </c>
      <c r="L124">
        <f ca="1" t="shared" si="3"/>
        <v>45942</v>
      </c>
    </row>
    <row r="125" spans="9:12">
      <c r="I125">
        <f>IFERROR(VLOOKUP(H125,Rates!$A$2:$B$3,2,0),1)</f>
        <v>1</v>
      </c>
      <c r="J125" t="str">
        <f t="shared" si="2"/>
        <v/>
      </c>
      <c r="K125" t="str">
        <f>IF(J125&lt;&gt;"",SUM($J$2:J125),"")</f>
        <v/>
      </c>
      <c r="L125">
        <f ca="1" t="shared" si="3"/>
        <v>45942</v>
      </c>
    </row>
    <row r="126" spans="9:12">
      <c r="I126">
        <f>IFERROR(VLOOKUP(H126,Rates!$A$2:$B$3,2,0),1)</f>
        <v>1</v>
      </c>
      <c r="J126" t="str">
        <f t="shared" si="2"/>
        <v/>
      </c>
      <c r="K126" t="str">
        <f>IF(J126&lt;&gt;"",SUM($J$2:J126),"")</f>
        <v/>
      </c>
      <c r="L126">
        <f ca="1" t="shared" si="3"/>
        <v>45942</v>
      </c>
    </row>
    <row r="127" spans="9:12">
      <c r="I127">
        <f>IFERROR(VLOOKUP(H127,Rates!$A$2:$B$3,2,0),1)</f>
        <v>1</v>
      </c>
      <c r="J127" t="str">
        <f t="shared" si="2"/>
        <v/>
      </c>
      <c r="K127" t="str">
        <f>IF(J127&lt;&gt;"",SUM($J$2:J127),"")</f>
        <v/>
      </c>
      <c r="L127">
        <f ca="1" t="shared" si="3"/>
        <v>45942</v>
      </c>
    </row>
    <row r="128" spans="9:12">
      <c r="I128">
        <f>IFERROR(VLOOKUP(H128,Rates!$A$2:$B$3,2,0),1)</f>
        <v>1</v>
      </c>
      <c r="J128" t="str">
        <f t="shared" si="2"/>
        <v/>
      </c>
      <c r="K128" t="str">
        <f>IF(J128&lt;&gt;"",SUM($J$2:J128),"")</f>
        <v/>
      </c>
      <c r="L128">
        <f ca="1" t="shared" si="3"/>
        <v>45942</v>
      </c>
    </row>
    <row r="129" spans="9:12">
      <c r="I129">
        <f>IFERROR(VLOOKUP(H129,Rates!$A$2:$B$3,2,0),1)</f>
        <v>1</v>
      </c>
      <c r="J129" t="str">
        <f t="shared" si="2"/>
        <v/>
      </c>
      <c r="K129" t="str">
        <f>IF(J129&lt;&gt;"",SUM($J$2:J129),"")</f>
        <v/>
      </c>
      <c r="L129">
        <f ca="1" t="shared" si="3"/>
        <v>45942</v>
      </c>
    </row>
    <row r="130" spans="9:12">
      <c r="I130">
        <f>IFERROR(VLOOKUP(H130,Rates!$A$2:$B$3,2,0),1)</f>
        <v>1</v>
      </c>
      <c r="J130" t="str">
        <f t="shared" ref="J130:J193" si="4">IF(G130&lt;&gt;"",G130*I130,"")</f>
        <v/>
      </c>
      <c r="K130" t="str">
        <f>IF(J130&lt;&gt;"",SUM($J$2:J130),"")</f>
        <v/>
      </c>
      <c r="L130">
        <f ca="1" t="shared" ref="L130:L193" si="5">IF(COUNTA(A130:K130)&gt;0,TODAY(),"")</f>
        <v>45942</v>
      </c>
    </row>
    <row r="131" spans="9:12">
      <c r="I131">
        <f>IFERROR(VLOOKUP(H131,Rates!$A$2:$B$3,2,0),1)</f>
        <v>1</v>
      </c>
      <c r="J131" t="str">
        <f t="shared" si="4"/>
        <v/>
      </c>
      <c r="K131" t="str">
        <f>IF(J131&lt;&gt;"",SUM($J$2:J131),"")</f>
        <v/>
      </c>
      <c r="L131">
        <f ca="1" t="shared" si="5"/>
        <v>45942</v>
      </c>
    </row>
    <row r="132" spans="9:12">
      <c r="I132">
        <f>IFERROR(VLOOKUP(H132,Rates!$A$2:$B$3,2,0),1)</f>
        <v>1</v>
      </c>
      <c r="J132" t="str">
        <f t="shared" si="4"/>
        <v/>
      </c>
      <c r="K132" t="str">
        <f>IF(J132&lt;&gt;"",SUM($J$2:J132),"")</f>
        <v/>
      </c>
      <c r="L132">
        <f ca="1" t="shared" si="5"/>
        <v>45942</v>
      </c>
    </row>
    <row r="133" spans="9:12">
      <c r="I133">
        <f>IFERROR(VLOOKUP(H133,Rates!$A$2:$B$3,2,0),1)</f>
        <v>1</v>
      </c>
      <c r="J133" t="str">
        <f t="shared" si="4"/>
        <v/>
      </c>
      <c r="K133" t="str">
        <f>IF(J133&lt;&gt;"",SUM($J$2:J133),"")</f>
        <v/>
      </c>
      <c r="L133">
        <f ca="1" t="shared" si="5"/>
        <v>45942</v>
      </c>
    </row>
    <row r="134" spans="9:12">
      <c r="I134">
        <f>IFERROR(VLOOKUP(H134,Rates!$A$2:$B$3,2,0),1)</f>
        <v>1</v>
      </c>
      <c r="J134" t="str">
        <f t="shared" si="4"/>
        <v/>
      </c>
      <c r="K134" t="str">
        <f>IF(J134&lt;&gt;"",SUM($J$2:J134),"")</f>
        <v/>
      </c>
      <c r="L134">
        <f ca="1" t="shared" si="5"/>
        <v>45942</v>
      </c>
    </row>
    <row r="135" spans="9:12">
      <c r="I135">
        <f>IFERROR(VLOOKUP(H135,Rates!$A$2:$B$3,2,0),1)</f>
        <v>1</v>
      </c>
      <c r="J135" t="str">
        <f t="shared" si="4"/>
        <v/>
      </c>
      <c r="K135" t="str">
        <f>IF(J135&lt;&gt;"",SUM($J$2:J135),"")</f>
        <v/>
      </c>
      <c r="L135">
        <f ca="1" t="shared" si="5"/>
        <v>45942</v>
      </c>
    </row>
    <row r="136" spans="9:12">
      <c r="I136">
        <f>IFERROR(VLOOKUP(H136,Rates!$A$2:$B$3,2,0),1)</f>
        <v>1</v>
      </c>
      <c r="J136" t="str">
        <f t="shared" si="4"/>
        <v/>
      </c>
      <c r="K136" t="str">
        <f>IF(J136&lt;&gt;"",SUM($J$2:J136),"")</f>
        <v/>
      </c>
      <c r="L136">
        <f ca="1" t="shared" si="5"/>
        <v>45942</v>
      </c>
    </row>
    <row r="137" spans="9:12">
      <c r="I137">
        <f>IFERROR(VLOOKUP(H137,Rates!$A$2:$B$3,2,0),1)</f>
        <v>1</v>
      </c>
      <c r="J137" t="str">
        <f t="shared" si="4"/>
        <v/>
      </c>
      <c r="K137" t="str">
        <f>IF(J137&lt;&gt;"",SUM($J$2:J137),"")</f>
        <v/>
      </c>
      <c r="L137">
        <f ca="1" t="shared" si="5"/>
        <v>45942</v>
      </c>
    </row>
    <row r="138" spans="9:12">
      <c r="I138">
        <f>IFERROR(VLOOKUP(H138,Rates!$A$2:$B$3,2,0),1)</f>
        <v>1</v>
      </c>
      <c r="J138" t="str">
        <f t="shared" si="4"/>
        <v/>
      </c>
      <c r="K138" t="str">
        <f>IF(J138&lt;&gt;"",SUM($J$2:J138),"")</f>
        <v/>
      </c>
      <c r="L138">
        <f ca="1" t="shared" si="5"/>
        <v>45942</v>
      </c>
    </row>
    <row r="139" spans="9:12">
      <c r="I139">
        <f>IFERROR(VLOOKUP(H139,Rates!$A$2:$B$3,2,0),1)</f>
        <v>1</v>
      </c>
      <c r="J139" t="str">
        <f t="shared" si="4"/>
        <v/>
      </c>
      <c r="K139" t="str">
        <f>IF(J139&lt;&gt;"",SUM($J$2:J139),"")</f>
        <v/>
      </c>
      <c r="L139">
        <f ca="1" t="shared" si="5"/>
        <v>45942</v>
      </c>
    </row>
    <row r="140" spans="9:12">
      <c r="I140">
        <f>IFERROR(VLOOKUP(H140,Rates!$A$2:$B$3,2,0),1)</f>
        <v>1</v>
      </c>
      <c r="J140" t="str">
        <f t="shared" si="4"/>
        <v/>
      </c>
      <c r="K140" t="str">
        <f>IF(J140&lt;&gt;"",SUM($J$2:J140),"")</f>
        <v/>
      </c>
      <c r="L140">
        <f ca="1" t="shared" si="5"/>
        <v>45942</v>
      </c>
    </row>
    <row r="141" spans="9:12">
      <c r="I141">
        <f>IFERROR(VLOOKUP(H141,Rates!$A$2:$B$3,2,0),1)</f>
        <v>1</v>
      </c>
      <c r="J141" t="str">
        <f t="shared" si="4"/>
        <v/>
      </c>
      <c r="K141" t="str">
        <f>IF(J141&lt;&gt;"",SUM($J$2:J141),"")</f>
        <v/>
      </c>
      <c r="L141">
        <f ca="1" t="shared" si="5"/>
        <v>45942</v>
      </c>
    </row>
    <row r="142" spans="9:12">
      <c r="I142">
        <f>IFERROR(VLOOKUP(H142,Rates!$A$2:$B$3,2,0),1)</f>
        <v>1</v>
      </c>
      <c r="J142" t="str">
        <f t="shared" si="4"/>
        <v/>
      </c>
      <c r="K142" t="str">
        <f>IF(J142&lt;&gt;"",SUM($J$2:J142),"")</f>
        <v/>
      </c>
      <c r="L142">
        <f ca="1" t="shared" si="5"/>
        <v>45942</v>
      </c>
    </row>
    <row r="143" spans="9:12">
      <c r="I143">
        <f>IFERROR(VLOOKUP(H143,Rates!$A$2:$B$3,2,0),1)</f>
        <v>1</v>
      </c>
      <c r="J143" t="str">
        <f t="shared" si="4"/>
        <v/>
      </c>
      <c r="K143" t="str">
        <f>IF(J143&lt;&gt;"",SUM($J$2:J143),"")</f>
        <v/>
      </c>
      <c r="L143">
        <f ca="1" t="shared" si="5"/>
        <v>45942</v>
      </c>
    </row>
    <row r="144" spans="9:12">
      <c r="I144">
        <f>IFERROR(VLOOKUP(H144,Rates!$A$2:$B$3,2,0),1)</f>
        <v>1</v>
      </c>
      <c r="J144" t="str">
        <f t="shared" si="4"/>
        <v/>
      </c>
      <c r="K144" t="str">
        <f>IF(J144&lt;&gt;"",SUM($J$2:J144),"")</f>
        <v/>
      </c>
      <c r="L144">
        <f ca="1" t="shared" si="5"/>
        <v>45942</v>
      </c>
    </row>
    <row r="145" spans="9:12">
      <c r="I145">
        <f>IFERROR(VLOOKUP(H145,Rates!$A$2:$B$3,2,0),1)</f>
        <v>1</v>
      </c>
      <c r="J145" t="str">
        <f t="shared" si="4"/>
        <v/>
      </c>
      <c r="K145" t="str">
        <f>IF(J145&lt;&gt;"",SUM($J$2:J145),"")</f>
        <v/>
      </c>
      <c r="L145">
        <f ca="1" t="shared" si="5"/>
        <v>45942</v>
      </c>
    </row>
    <row r="146" spans="9:12">
      <c r="I146">
        <f>IFERROR(VLOOKUP(H146,Rates!$A$2:$B$3,2,0),1)</f>
        <v>1</v>
      </c>
      <c r="J146" t="str">
        <f t="shared" si="4"/>
        <v/>
      </c>
      <c r="K146" t="str">
        <f>IF(J146&lt;&gt;"",SUM($J$2:J146),"")</f>
        <v/>
      </c>
      <c r="L146">
        <f ca="1" t="shared" si="5"/>
        <v>45942</v>
      </c>
    </row>
    <row r="147" spans="9:12">
      <c r="I147">
        <f>IFERROR(VLOOKUP(H147,Rates!$A$2:$B$3,2,0),1)</f>
        <v>1</v>
      </c>
      <c r="J147" t="str">
        <f t="shared" si="4"/>
        <v/>
      </c>
      <c r="K147" t="str">
        <f>IF(J147&lt;&gt;"",SUM($J$2:J147),"")</f>
        <v/>
      </c>
      <c r="L147">
        <f ca="1" t="shared" si="5"/>
        <v>45942</v>
      </c>
    </row>
    <row r="148" spans="9:12">
      <c r="I148">
        <f>IFERROR(VLOOKUP(H148,Rates!$A$2:$B$3,2,0),1)</f>
        <v>1</v>
      </c>
      <c r="J148" t="str">
        <f t="shared" si="4"/>
        <v/>
      </c>
      <c r="K148" t="str">
        <f>IF(J148&lt;&gt;"",SUM($J$2:J148),"")</f>
        <v/>
      </c>
      <c r="L148">
        <f ca="1" t="shared" si="5"/>
        <v>45942</v>
      </c>
    </row>
    <row r="149" spans="9:12">
      <c r="I149">
        <f>IFERROR(VLOOKUP(H149,Rates!$A$2:$B$3,2,0),1)</f>
        <v>1</v>
      </c>
      <c r="J149" t="str">
        <f t="shared" si="4"/>
        <v/>
      </c>
      <c r="K149" t="str">
        <f>IF(J149&lt;&gt;"",SUM($J$2:J149),"")</f>
        <v/>
      </c>
      <c r="L149">
        <f ca="1" t="shared" si="5"/>
        <v>45942</v>
      </c>
    </row>
    <row r="150" spans="9:12">
      <c r="I150">
        <f>IFERROR(VLOOKUP(H150,Rates!$A$2:$B$3,2,0),1)</f>
        <v>1</v>
      </c>
      <c r="J150" t="str">
        <f t="shared" si="4"/>
        <v/>
      </c>
      <c r="K150" t="str">
        <f>IF(J150&lt;&gt;"",SUM($J$2:J150),"")</f>
        <v/>
      </c>
      <c r="L150">
        <f ca="1" t="shared" si="5"/>
        <v>45942</v>
      </c>
    </row>
    <row r="151" spans="9:12">
      <c r="I151">
        <f>IFERROR(VLOOKUP(H151,Rates!$A$2:$B$3,2,0),1)</f>
        <v>1</v>
      </c>
      <c r="J151" t="str">
        <f t="shared" si="4"/>
        <v/>
      </c>
      <c r="K151" t="str">
        <f>IF(J151&lt;&gt;"",SUM($J$2:J151),"")</f>
        <v/>
      </c>
      <c r="L151">
        <f ca="1" t="shared" si="5"/>
        <v>45942</v>
      </c>
    </row>
    <row r="152" spans="9:12">
      <c r="I152">
        <f>IFERROR(VLOOKUP(H152,Rates!$A$2:$B$3,2,0),1)</f>
        <v>1</v>
      </c>
      <c r="J152" t="str">
        <f t="shared" si="4"/>
        <v/>
      </c>
      <c r="K152" t="str">
        <f>IF(J152&lt;&gt;"",SUM($J$2:J152),"")</f>
        <v/>
      </c>
      <c r="L152">
        <f ca="1" t="shared" si="5"/>
        <v>45942</v>
      </c>
    </row>
    <row r="153" spans="9:12">
      <c r="I153">
        <f>IFERROR(VLOOKUP(H153,Rates!$A$2:$B$3,2,0),1)</f>
        <v>1</v>
      </c>
      <c r="J153" t="str">
        <f t="shared" si="4"/>
        <v/>
      </c>
      <c r="K153" t="str">
        <f>IF(J153&lt;&gt;"",SUM($J$2:J153),"")</f>
        <v/>
      </c>
      <c r="L153">
        <f ca="1" t="shared" si="5"/>
        <v>45942</v>
      </c>
    </row>
    <row r="154" spans="9:12">
      <c r="I154">
        <f>IFERROR(VLOOKUP(H154,Rates!$A$2:$B$3,2,0),1)</f>
        <v>1</v>
      </c>
      <c r="J154" t="str">
        <f t="shared" si="4"/>
        <v/>
      </c>
      <c r="K154" t="str">
        <f>IF(J154&lt;&gt;"",SUM($J$2:J154),"")</f>
        <v/>
      </c>
      <c r="L154">
        <f ca="1" t="shared" si="5"/>
        <v>45942</v>
      </c>
    </row>
    <row r="155" spans="9:12">
      <c r="I155">
        <f>IFERROR(VLOOKUP(H155,Rates!$A$2:$B$3,2,0),1)</f>
        <v>1</v>
      </c>
      <c r="J155" t="str">
        <f t="shared" si="4"/>
        <v/>
      </c>
      <c r="K155" t="str">
        <f>IF(J155&lt;&gt;"",SUM($J$2:J155),"")</f>
        <v/>
      </c>
      <c r="L155">
        <f ca="1" t="shared" si="5"/>
        <v>45942</v>
      </c>
    </row>
    <row r="156" spans="9:12">
      <c r="I156">
        <f>IFERROR(VLOOKUP(H156,Rates!$A$2:$B$3,2,0),1)</f>
        <v>1</v>
      </c>
      <c r="J156" t="str">
        <f t="shared" si="4"/>
        <v/>
      </c>
      <c r="K156" t="str">
        <f>IF(J156&lt;&gt;"",SUM($J$2:J156),"")</f>
        <v/>
      </c>
      <c r="L156">
        <f ca="1" t="shared" si="5"/>
        <v>45942</v>
      </c>
    </row>
    <row r="157" spans="9:12">
      <c r="I157">
        <f>IFERROR(VLOOKUP(H157,Rates!$A$2:$B$3,2,0),1)</f>
        <v>1</v>
      </c>
      <c r="J157" t="str">
        <f t="shared" si="4"/>
        <v/>
      </c>
      <c r="K157" t="str">
        <f>IF(J157&lt;&gt;"",SUM($J$2:J157),"")</f>
        <v/>
      </c>
      <c r="L157">
        <f ca="1" t="shared" si="5"/>
        <v>45942</v>
      </c>
    </row>
    <row r="158" spans="9:12">
      <c r="I158">
        <f>IFERROR(VLOOKUP(H158,Rates!$A$2:$B$3,2,0),1)</f>
        <v>1</v>
      </c>
      <c r="J158" t="str">
        <f t="shared" si="4"/>
        <v/>
      </c>
      <c r="K158" t="str">
        <f>IF(J158&lt;&gt;"",SUM($J$2:J158),"")</f>
        <v/>
      </c>
      <c r="L158">
        <f ca="1" t="shared" si="5"/>
        <v>45942</v>
      </c>
    </row>
    <row r="159" spans="9:12">
      <c r="I159">
        <f>IFERROR(VLOOKUP(H159,Rates!$A$2:$B$3,2,0),1)</f>
        <v>1</v>
      </c>
      <c r="J159" t="str">
        <f t="shared" si="4"/>
        <v/>
      </c>
      <c r="K159" t="str">
        <f>IF(J159&lt;&gt;"",SUM($J$2:J159),"")</f>
        <v/>
      </c>
      <c r="L159">
        <f ca="1" t="shared" si="5"/>
        <v>45942</v>
      </c>
    </row>
    <row r="160" spans="9:12">
      <c r="I160">
        <f>IFERROR(VLOOKUP(H160,Rates!$A$2:$B$3,2,0),1)</f>
        <v>1</v>
      </c>
      <c r="J160" t="str">
        <f t="shared" si="4"/>
        <v/>
      </c>
      <c r="K160" t="str">
        <f>IF(J160&lt;&gt;"",SUM($J$2:J160),"")</f>
        <v/>
      </c>
      <c r="L160">
        <f ca="1" t="shared" si="5"/>
        <v>45942</v>
      </c>
    </row>
    <row r="161" spans="9:12">
      <c r="I161">
        <f>IFERROR(VLOOKUP(H161,Rates!$A$2:$B$3,2,0),1)</f>
        <v>1</v>
      </c>
      <c r="J161" t="str">
        <f t="shared" si="4"/>
        <v/>
      </c>
      <c r="K161" t="str">
        <f>IF(J161&lt;&gt;"",SUM($J$2:J161),"")</f>
        <v/>
      </c>
      <c r="L161">
        <f ca="1" t="shared" si="5"/>
        <v>45942</v>
      </c>
    </row>
    <row r="162" spans="9:12">
      <c r="I162">
        <f>IFERROR(VLOOKUP(H162,Rates!$A$2:$B$3,2,0),1)</f>
        <v>1</v>
      </c>
      <c r="J162" t="str">
        <f t="shared" si="4"/>
        <v/>
      </c>
      <c r="K162" t="str">
        <f>IF(J162&lt;&gt;"",SUM($J$2:J162),"")</f>
        <v/>
      </c>
      <c r="L162">
        <f ca="1" t="shared" si="5"/>
        <v>45942</v>
      </c>
    </row>
    <row r="163" spans="9:12">
      <c r="I163">
        <f>IFERROR(VLOOKUP(H163,Rates!$A$2:$B$3,2,0),1)</f>
        <v>1</v>
      </c>
      <c r="J163" t="str">
        <f t="shared" si="4"/>
        <v/>
      </c>
      <c r="K163" t="str">
        <f>IF(J163&lt;&gt;"",SUM($J$2:J163),"")</f>
        <v/>
      </c>
      <c r="L163">
        <f ca="1" t="shared" si="5"/>
        <v>45942</v>
      </c>
    </row>
    <row r="164" spans="9:12">
      <c r="I164">
        <f>IFERROR(VLOOKUP(H164,Rates!$A$2:$B$3,2,0),1)</f>
        <v>1</v>
      </c>
      <c r="J164" t="str">
        <f t="shared" si="4"/>
        <v/>
      </c>
      <c r="K164" t="str">
        <f>IF(J164&lt;&gt;"",SUM($J$2:J164),"")</f>
        <v/>
      </c>
      <c r="L164">
        <f ca="1" t="shared" si="5"/>
        <v>45942</v>
      </c>
    </row>
    <row r="165" spans="9:12">
      <c r="I165">
        <f>IFERROR(VLOOKUP(H165,Rates!$A$2:$B$3,2,0),1)</f>
        <v>1</v>
      </c>
      <c r="J165" t="str">
        <f t="shared" si="4"/>
        <v/>
      </c>
      <c r="K165" t="str">
        <f>IF(J165&lt;&gt;"",SUM($J$2:J165),"")</f>
        <v/>
      </c>
      <c r="L165">
        <f ca="1" t="shared" si="5"/>
        <v>45942</v>
      </c>
    </row>
    <row r="166" spans="9:12">
      <c r="I166">
        <f>IFERROR(VLOOKUP(H166,Rates!$A$2:$B$3,2,0),1)</f>
        <v>1</v>
      </c>
      <c r="J166" t="str">
        <f t="shared" si="4"/>
        <v/>
      </c>
      <c r="K166" t="str">
        <f>IF(J166&lt;&gt;"",SUM($J$2:J166),"")</f>
        <v/>
      </c>
      <c r="L166">
        <f ca="1" t="shared" si="5"/>
        <v>45942</v>
      </c>
    </row>
    <row r="167" spans="9:12">
      <c r="I167">
        <f>IFERROR(VLOOKUP(H167,Rates!$A$2:$B$3,2,0),1)</f>
        <v>1</v>
      </c>
      <c r="J167" t="str">
        <f t="shared" si="4"/>
        <v/>
      </c>
      <c r="K167" t="str">
        <f>IF(J167&lt;&gt;"",SUM($J$2:J167),"")</f>
        <v/>
      </c>
      <c r="L167">
        <f ca="1" t="shared" si="5"/>
        <v>45942</v>
      </c>
    </row>
    <row r="168" spans="9:12">
      <c r="I168">
        <f>IFERROR(VLOOKUP(H168,Rates!$A$2:$B$3,2,0),1)</f>
        <v>1</v>
      </c>
      <c r="J168" t="str">
        <f t="shared" si="4"/>
        <v/>
      </c>
      <c r="K168" t="str">
        <f>IF(J168&lt;&gt;"",SUM($J$2:J168),"")</f>
        <v/>
      </c>
      <c r="L168">
        <f ca="1" t="shared" si="5"/>
        <v>45942</v>
      </c>
    </row>
    <row r="169" spans="9:12">
      <c r="I169">
        <f>IFERROR(VLOOKUP(H169,Rates!$A$2:$B$3,2,0),1)</f>
        <v>1</v>
      </c>
      <c r="J169" t="str">
        <f t="shared" si="4"/>
        <v/>
      </c>
      <c r="K169" t="str">
        <f>IF(J169&lt;&gt;"",SUM($J$2:J169),"")</f>
        <v/>
      </c>
      <c r="L169">
        <f ca="1" t="shared" si="5"/>
        <v>45942</v>
      </c>
    </row>
    <row r="170" spans="9:12">
      <c r="I170">
        <f>IFERROR(VLOOKUP(H170,Rates!$A$2:$B$3,2,0),1)</f>
        <v>1</v>
      </c>
      <c r="J170" t="str">
        <f t="shared" si="4"/>
        <v/>
      </c>
      <c r="K170" t="str">
        <f>IF(J170&lt;&gt;"",SUM($J$2:J170),"")</f>
        <v/>
      </c>
      <c r="L170">
        <f ca="1" t="shared" si="5"/>
        <v>45942</v>
      </c>
    </row>
    <row r="171" spans="9:12">
      <c r="I171">
        <f>IFERROR(VLOOKUP(H171,Rates!$A$2:$B$3,2,0),1)</f>
        <v>1</v>
      </c>
      <c r="J171" t="str">
        <f t="shared" si="4"/>
        <v/>
      </c>
      <c r="K171" t="str">
        <f>IF(J171&lt;&gt;"",SUM($J$2:J171),"")</f>
        <v/>
      </c>
      <c r="L171">
        <f ca="1" t="shared" si="5"/>
        <v>45942</v>
      </c>
    </row>
    <row r="172" spans="9:12">
      <c r="I172">
        <f>IFERROR(VLOOKUP(H172,Rates!$A$2:$B$3,2,0),1)</f>
        <v>1</v>
      </c>
      <c r="J172" t="str">
        <f t="shared" si="4"/>
        <v/>
      </c>
      <c r="K172" t="str">
        <f>IF(J172&lt;&gt;"",SUM($J$2:J172),"")</f>
        <v/>
      </c>
      <c r="L172">
        <f ca="1" t="shared" si="5"/>
        <v>45942</v>
      </c>
    </row>
    <row r="173" spans="9:12">
      <c r="I173">
        <f>IFERROR(VLOOKUP(H173,Rates!$A$2:$B$3,2,0),1)</f>
        <v>1</v>
      </c>
      <c r="J173" t="str">
        <f t="shared" si="4"/>
        <v/>
      </c>
      <c r="K173" t="str">
        <f>IF(J173&lt;&gt;"",SUM($J$2:J173),"")</f>
        <v/>
      </c>
      <c r="L173">
        <f ca="1" t="shared" si="5"/>
        <v>45942</v>
      </c>
    </row>
    <row r="174" spans="9:12">
      <c r="I174">
        <f>IFERROR(VLOOKUP(H174,Rates!$A$2:$B$3,2,0),1)</f>
        <v>1</v>
      </c>
      <c r="J174" t="str">
        <f t="shared" si="4"/>
        <v/>
      </c>
      <c r="K174" t="str">
        <f>IF(J174&lt;&gt;"",SUM($J$2:J174),"")</f>
        <v/>
      </c>
      <c r="L174">
        <f ca="1" t="shared" si="5"/>
        <v>45942</v>
      </c>
    </row>
    <row r="175" spans="9:12">
      <c r="I175">
        <f>IFERROR(VLOOKUP(H175,Rates!$A$2:$B$3,2,0),1)</f>
        <v>1</v>
      </c>
      <c r="J175" t="str">
        <f t="shared" si="4"/>
        <v/>
      </c>
      <c r="K175" t="str">
        <f>IF(J175&lt;&gt;"",SUM($J$2:J175),"")</f>
        <v/>
      </c>
      <c r="L175">
        <f ca="1" t="shared" si="5"/>
        <v>45942</v>
      </c>
    </row>
    <row r="176" spans="9:12">
      <c r="I176">
        <f>IFERROR(VLOOKUP(H176,Rates!$A$2:$B$3,2,0),1)</f>
        <v>1</v>
      </c>
      <c r="J176" t="str">
        <f t="shared" si="4"/>
        <v/>
      </c>
      <c r="K176" t="str">
        <f>IF(J176&lt;&gt;"",SUM($J$2:J176),"")</f>
        <v/>
      </c>
      <c r="L176">
        <f ca="1" t="shared" si="5"/>
        <v>45942</v>
      </c>
    </row>
    <row r="177" spans="9:12">
      <c r="I177">
        <f>IFERROR(VLOOKUP(H177,Rates!$A$2:$B$3,2,0),1)</f>
        <v>1</v>
      </c>
      <c r="J177" t="str">
        <f t="shared" si="4"/>
        <v/>
      </c>
      <c r="K177" t="str">
        <f>IF(J177&lt;&gt;"",SUM($J$2:J177),"")</f>
        <v/>
      </c>
      <c r="L177">
        <f ca="1" t="shared" si="5"/>
        <v>45942</v>
      </c>
    </row>
    <row r="178" spans="9:12">
      <c r="I178">
        <f>IFERROR(VLOOKUP(H178,Rates!$A$2:$B$3,2,0),1)</f>
        <v>1</v>
      </c>
      <c r="J178" t="str">
        <f t="shared" si="4"/>
        <v/>
      </c>
      <c r="K178" t="str">
        <f>IF(J178&lt;&gt;"",SUM($J$2:J178),"")</f>
        <v/>
      </c>
      <c r="L178">
        <f ca="1" t="shared" si="5"/>
        <v>45942</v>
      </c>
    </row>
    <row r="179" spans="9:12">
      <c r="I179">
        <f>IFERROR(VLOOKUP(H179,Rates!$A$2:$B$3,2,0),1)</f>
        <v>1</v>
      </c>
      <c r="J179" t="str">
        <f t="shared" si="4"/>
        <v/>
      </c>
      <c r="K179" t="str">
        <f>IF(J179&lt;&gt;"",SUM($J$2:J179),"")</f>
        <v/>
      </c>
      <c r="L179">
        <f ca="1" t="shared" si="5"/>
        <v>45942</v>
      </c>
    </row>
    <row r="180" spans="9:12">
      <c r="I180">
        <f>IFERROR(VLOOKUP(H180,Rates!$A$2:$B$3,2,0),1)</f>
        <v>1</v>
      </c>
      <c r="J180" t="str">
        <f t="shared" si="4"/>
        <v/>
      </c>
      <c r="K180" t="str">
        <f>IF(J180&lt;&gt;"",SUM($J$2:J180),"")</f>
        <v/>
      </c>
      <c r="L180">
        <f ca="1" t="shared" si="5"/>
        <v>45942</v>
      </c>
    </row>
    <row r="181" spans="9:12">
      <c r="I181">
        <f>IFERROR(VLOOKUP(H181,Rates!$A$2:$B$3,2,0),1)</f>
        <v>1</v>
      </c>
      <c r="J181" t="str">
        <f t="shared" si="4"/>
        <v/>
      </c>
      <c r="K181" t="str">
        <f>IF(J181&lt;&gt;"",SUM($J$2:J181),"")</f>
        <v/>
      </c>
      <c r="L181">
        <f ca="1" t="shared" si="5"/>
        <v>45942</v>
      </c>
    </row>
    <row r="182" spans="9:12">
      <c r="I182">
        <f>IFERROR(VLOOKUP(H182,Rates!$A$2:$B$3,2,0),1)</f>
        <v>1</v>
      </c>
      <c r="J182" t="str">
        <f t="shared" si="4"/>
        <v/>
      </c>
      <c r="K182" t="str">
        <f>IF(J182&lt;&gt;"",SUM($J$2:J182),"")</f>
        <v/>
      </c>
      <c r="L182">
        <f ca="1" t="shared" si="5"/>
        <v>45942</v>
      </c>
    </row>
    <row r="183" spans="9:12">
      <c r="I183">
        <f>IFERROR(VLOOKUP(H183,Rates!$A$2:$B$3,2,0),1)</f>
        <v>1</v>
      </c>
      <c r="J183" t="str">
        <f t="shared" si="4"/>
        <v/>
      </c>
      <c r="K183" t="str">
        <f>IF(J183&lt;&gt;"",SUM($J$2:J183),"")</f>
        <v/>
      </c>
      <c r="L183">
        <f ca="1" t="shared" si="5"/>
        <v>45942</v>
      </c>
    </row>
    <row r="184" spans="9:12">
      <c r="I184">
        <f>IFERROR(VLOOKUP(H184,Rates!$A$2:$B$3,2,0),1)</f>
        <v>1</v>
      </c>
      <c r="J184" t="str">
        <f t="shared" si="4"/>
        <v/>
      </c>
      <c r="K184" t="str">
        <f>IF(J184&lt;&gt;"",SUM($J$2:J184),"")</f>
        <v/>
      </c>
      <c r="L184">
        <f ca="1" t="shared" si="5"/>
        <v>45942</v>
      </c>
    </row>
    <row r="185" spans="9:12">
      <c r="I185">
        <f>IFERROR(VLOOKUP(H185,Rates!$A$2:$B$3,2,0),1)</f>
        <v>1</v>
      </c>
      <c r="J185" t="str">
        <f t="shared" si="4"/>
        <v/>
      </c>
      <c r="K185" t="str">
        <f>IF(J185&lt;&gt;"",SUM($J$2:J185),"")</f>
        <v/>
      </c>
      <c r="L185">
        <f ca="1" t="shared" si="5"/>
        <v>45942</v>
      </c>
    </row>
    <row r="186" spans="9:12">
      <c r="I186">
        <f>IFERROR(VLOOKUP(H186,Rates!$A$2:$B$3,2,0),1)</f>
        <v>1</v>
      </c>
      <c r="J186" t="str">
        <f t="shared" si="4"/>
        <v/>
      </c>
      <c r="K186" t="str">
        <f>IF(J186&lt;&gt;"",SUM($J$2:J186),"")</f>
        <v/>
      </c>
      <c r="L186">
        <f ca="1" t="shared" si="5"/>
        <v>45942</v>
      </c>
    </row>
    <row r="187" spans="9:12">
      <c r="I187">
        <f>IFERROR(VLOOKUP(H187,Rates!$A$2:$B$3,2,0),1)</f>
        <v>1</v>
      </c>
      <c r="J187" t="str">
        <f t="shared" si="4"/>
        <v/>
      </c>
      <c r="K187" t="str">
        <f>IF(J187&lt;&gt;"",SUM($J$2:J187),"")</f>
        <v/>
      </c>
      <c r="L187">
        <f ca="1" t="shared" si="5"/>
        <v>45942</v>
      </c>
    </row>
    <row r="188" spans="9:12">
      <c r="I188">
        <f>IFERROR(VLOOKUP(H188,Rates!$A$2:$B$3,2,0),1)</f>
        <v>1</v>
      </c>
      <c r="J188" t="str">
        <f t="shared" si="4"/>
        <v/>
      </c>
      <c r="K188" t="str">
        <f>IF(J188&lt;&gt;"",SUM($J$2:J188),"")</f>
        <v/>
      </c>
      <c r="L188">
        <f ca="1" t="shared" si="5"/>
        <v>45942</v>
      </c>
    </row>
    <row r="189" spans="9:12">
      <c r="I189">
        <f>IFERROR(VLOOKUP(H189,Rates!$A$2:$B$3,2,0),1)</f>
        <v>1</v>
      </c>
      <c r="J189" t="str">
        <f t="shared" si="4"/>
        <v/>
      </c>
      <c r="K189" t="str">
        <f>IF(J189&lt;&gt;"",SUM($J$2:J189),"")</f>
        <v/>
      </c>
      <c r="L189">
        <f ca="1" t="shared" si="5"/>
        <v>45942</v>
      </c>
    </row>
    <row r="190" spans="9:12">
      <c r="I190">
        <f>IFERROR(VLOOKUP(H190,Rates!$A$2:$B$3,2,0),1)</f>
        <v>1</v>
      </c>
      <c r="J190" t="str">
        <f t="shared" si="4"/>
        <v/>
      </c>
      <c r="K190" t="str">
        <f>IF(J190&lt;&gt;"",SUM($J$2:J190),"")</f>
        <v/>
      </c>
      <c r="L190">
        <f ca="1" t="shared" si="5"/>
        <v>45942</v>
      </c>
    </row>
    <row r="191" spans="9:12">
      <c r="I191">
        <f>IFERROR(VLOOKUP(H191,Rates!$A$2:$B$3,2,0),1)</f>
        <v>1</v>
      </c>
      <c r="J191" t="str">
        <f t="shared" si="4"/>
        <v/>
      </c>
      <c r="K191" t="str">
        <f>IF(J191&lt;&gt;"",SUM($J$2:J191),"")</f>
        <v/>
      </c>
      <c r="L191">
        <f ca="1" t="shared" si="5"/>
        <v>45942</v>
      </c>
    </row>
    <row r="192" spans="9:12">
      <c r="I192">
        <f>IFERROR(VLOOKUP(H192,Rates!$A$2:$B$3,2,0),1)</f>
        <v>1</v>
      </c>
      <c r="J192" t="str">
        <f t="shared" si="4"/>
        <v/>
      </c>
      <c r="K192" t="str">
        <f>IF(J192&lt;&gt;"",SUM($J$2:J192),"")</f>
        <v/>
      </c>
      <c r="L192">
        <f ca="1" t="shared" si="5"/>
        <v>45942</v>
      </c>
    </row>
    <row r="193" spans="9:12">
      <c r="I193">
        <f>IFERROR(VLOOKUP(H193,Rates!$A$2:$B$3,2,0),1)</f>
        <v>1</v>
      </c>
      <c r="J193" t="str">
        <f t="shared" si="4"/>
        <v/>
      </c>
      <c r="K193" t="str">
        <f>IF(J193&lt;&gt;"",SUM($J$2:J193),"")</f>
        <v/>
      </c>
      <c r="L193">
        <f ca="1" t="shared" si="5"/>
        <v>45942</v>
      </c>
    </row>
    <row r="194" spans="9:12">
      <c r="I194">
        <f>IFERROR(VLOOKUP(H194,Rates!$A$2:$B$3,2,0),1)</f>
        <v>1</v>
      </c>
      <c r="J194" t="str">
        <f t="shared" ref="J194:J257" si="6">IF(G194&lt;&gt;"",G194*I194,"")</f>
        <v/>
      </c>
      <c r="K194" t="str">
        <f>IF(J194&lt;&gt;"",SUM($J$2:J194),"")</f>
        <v/>
      </c>
      <c r="L194">
        <f ca="1" t="shared" ref="L194:L257" si="7">IF(COUNTA(A194:K194)&gt;0,TODAY(),"")</f>
        <v>45942</v>
      </c>
    </row>
    <row r="195" spans="9:12">
      <c r="I195">
        <f>IFERROR(VLOOKUP(H195,Rates!$A$2:$B$3,2,0),1)</f>
        <v>1</v>
      </c>
      <c r="J195" t="str">
        <f t="shared" si="6"/>
        <v/>
      </c>
      <c r="K195" t="str">
        <f>IF(J195&lt;&gt;"",SUM($J$2:J195),"")</f>
        <v/>
      </c>
      <c r="L195">
        <f ca="1" t="shared" si="7"/>
        <v>45942</v>
      </c>
    </row>
    <row r="196" spans="9:12">
      <c r="I196">
        <f>IFERROR(VLOOKUP(H196,Rates!$A$2:$B$3,2,0),1)</f>
        <v>1</v>
      </c>
      <c r="J196" t="str">
        <f t="shared" si="6"/>
        <v/>
      </c>
      <c r="K196" t="str">
        <f>IF(J196&lt;&gt;"",SUM($J$2:J196),"")</f>
        <v/>
      </c>
      <c r="L196">
        <f ca="1" t="shared" si="7"/>
        <v>45942</v>
      </c>
    </row>
    <row r="197" spans="9:12">
      <c r="I197">
        <f>IFERROR(VLOOKUP(H197,Rates!$A$2:$B$3,2,0),1)</f>
        <v>1</v>
      </c>
      <c r="J197" t="str">
        <f t="shared" si="6"/>
        <v/>
      </c>
      <c r="K197" t="str">
        <f>IF(J197&lt;&gt;"",SUM($J$2:J197),"")</f>
        <v/>
      </c>
      <c r="L197">
        <f ca="1" t="shared" si="7"/>
        <v>45942</v>
      </c>
    </row>
    <row r="198" spans="9:12">
      <c r="I198">
        <f>IFERROR(VLOOKUP(H198,Rates!$A$2:$B$3,2,0),1)</f>
        <v>1</v>
      </c>
      <c r="J198" t="str">
        <f t="shared" si="6"/>
        <v/>
      </c>
      <c r="K198" t="str">
        <f>IF(J198&lt;&gt;"",SUM($J$2:J198),"")</f>
        <v/>
      </c>
      <c r="L198">
        <f ca="1" t="shared" si="7"/>
        <v>45942</v>
      </c>
    </row>
    <row r="199" spans="9:12">
      <c r="I199">
        <f>IFERROR(VLOOKUP(H199,Rates!$A$2:$B$3,2,0),1)</f>
        <v>1</v>
      </c>
      <c r="J199" t="str">
        <f t="shared" si="6"/>
        <v/>
      </c>
      <c r="K199" t="str">
        <f>IF(J199&lt;&gt;"",SUM($J$2:J199),"")</f>
        <v/>
      </c>
      <c r="L199">
        <f ca="1" t="shared" si="7"/>
        <v>45942</v>
      </c>
    </row>
    <row r="200" spans="9:12">
      <c r="I200">
        <f>IFERROR(VLOOKUP(H200,Rates!$A$2:$B$3,2,0),1)</f>
        <v>1</v>
      </c>
      <c r="J200" t="str">
        <f t="shared" si="6"/>
        <v/>
      </c>
      <c r="K200" t="str">
        <f>IF(J200&lt;&gt;"",SUM($J$2:J200),"")</f>
        <v/>
      </c>
      <c r="L200">
        <f ca="1" t="shared" si="7"/>
        <v>45942</v>
      </c>
    </row>
    <row r="201" spans="9:12">
      <c r="I201">
        <f>IFERROR(VLOOKUP(H201,Rates!$A$2:$B$3,2,0),1)</f>
        <v>1</v>
      </c>
      <c r="J201" t="str">
        <f t="shared" si="6"/>
        <v/>
      </c>
      <c r="K201" t="str">
        <f>IF(J201&lt;&gt;"",SUM($J$2:J201),"")</f>
        <v/>
      </c>
      <c r="L201">
        <f ca="1" t="shared" si="7"/>
        <v>45942</v>
      </c>
    </row>
    <row r="202" spans="9:12">
      <c r="I202">
        <f>IFERROR(VLOOKUP(H202,Rates!$A$2:$B$3,2,0),1)</f>
        <v>1</v>
      </c>
      <c r="J202" t="str">
        <f t="shared" si="6"/>
        <v/>
      </c>
      <c r="K202" t="str">
        <f>IF(J202&lt;&gt;"",SUM($J$2:J202),"")</f>
        <v/>
      </c>
      <c r="L202">
        <f ca="1" t="shared" si="7"/>
        <v>45942</v>
      </c>
    </row>
    <row r="203" spans="9:12">
      <c r="I203">
        <f>IFERROR(VLOOKUP(H203,Rates!$A$2:$B$3,2,0),1)</f>
        <v>1</v>
      </c>
      <c r="J203" t="str">
        <f t="shared" si="6"/>
        <v/>
      </c>
      <c r="K203" t="str">
        <f>IF(J203&lt;&gt;"",SUM($J$2:J203),"")</f>
        <v/>
      </c>
      <c r="L203">
        <f ca="1" t="shared" si="7"/>
        <v>45942</v>
      </c>
    </row>
    <row r="204" spans="9:12">
      <c r="I204">
        <f>IFERROR(VLOOKUP(H204,Rates!$A$2:$B$3,2,0),1)</f>
        <v>1</v>
      </c>
      <c r="J204" t="str">
        <f t="shared" si="6"/>
        <v/>
      </c>
      <c r="K204" t="str">
        <f>IF(J204&lt;&gt;"",SUM($J$2:J204),"")</f>
        <v/>
      </c>
      <c r="L204">
        <f ca="1" t="shared" si="7"/>
        <v>45942</v>
      </c>
    </row>
    <row r="205" spans="9:12">
      <c r="I205">
        <f>IFERROR(VLOOKUP(H205,Rates!$A$2:$B$3,2,0),1)</f>
        <v>1</v>
      </c>
      <c r="J205" t="str">
        <f t="shared" si="6"/>
        <v/>
      </c>
      <c r="K205" t="str">
        <f>IF(J205&lt;&gt;"",SUM($J$2:J205),"")</f>
        <v/>
      </c>
      <c r="L205">
        <f ca="1" t="shared" si="7"/>
        <v>45942</v>
      </c>
    </row>
    <row r="206" spans="9:12">
      <c r="I206">
        <f>IFERROR(VLOOKUP(H206,Rates!$A$2:$B$3,2,0),1)</f>
        <v>1</v>
      </c>
      <c r="J206" t="str">
        <f t="shared" si="6"/>
        <v/>
      </c>
      <c r="K206" t="str">
        <f>IF(J206&lt;&gt;"",SUM($J$2:J206),"")</f>
        <v/>
      </c>
      <c r="L206">
        <f ca="1" t="shared" si="7"/>
        <v>45942</v>
      </c>
    </row>
    <row r="207" spans="9:12">
      <c r="I207">
        <f>IFERROR(VLOOKUP(H207,Rates!$A$2:$B$3,2,0),1)</f>
        <v>1</v>
      </c>
      <c r="J207" t="str">
        <f t="shared" si="6"/>
        <v/>
      </c>
      <c r="K207" t="str">
        <f>IF(J207&lt;&gt;"",SUM($J$2:J207),"")</f>
        <v/>
      </c>
      <c r="L207">
        <f ca="1" t="shared" si="7"/>
        <v>45942</v>
      </c>
    </row>
    <row r="208" spans="9:12">
      <c r="I208">
        <f>IFERROR(VLOOKUP(H208,Rates!$A$2:$B$3,2,0),1)</f>
        <v>1</v>
      </c>
      <c r="J208" t="str">
        <f t="shared" si="6"/>
        <v/>
      </c>
      <c r="K208" t="str">
        <f>IF(J208&lt;&gt;"",SUM($J$2:J208),"")</f>
        <v/>
      </c>
      <c r="L208">
        <f ca="1" t="shared" si="7"/>
        <v>45942</v>
      </c>
    </row>
    <row r="209" spans="9:12">
      <c r="I209">
        <f>IFERROR(VLOOKUP(H209,Rates!$A$2:$B$3,2,0),1)</f>
        <v>1</v>
      </c>
      <c r="J209" t="str">
        <f t="shared" si="6"/>
        <v/>
      </c>
      <c r="K209" t="str">
        <f>IF(J209&lt;&gt;"",SUM($J$2:J209),"")</f>
        <v/>
      </c>
      <c r="L209">
        <f ca="1" t="shared" si="7"/>
        <v>45942</v>
      </c>
    </row>
    <row r="210" spans="9:12">
      <c r="I210">
        <f>IFERROR(VLOOKUP(H210,Rates!$A$2:$B$3,2,0),1)</f>
        <v>1</v>
      </c>
      <c r="J210" t="str">
        <f t="shared" si="6"/>
        <v/>
      </c>
      <c r="K210" t="str">
        <f>IF(J210&lt;&gt;"",SUM($J$2:J210),"")</f>
        <v/>
      </c>
      <c r="L210">
        <f ca="1" t="shared" si="7"/>
        <v>45942</v>
      </c>
    </row>
    <row r="211" spans="9:12">
      <c r="I211">
        <f>IFERROR(VLOOKUP(H211,Rates!$A$2:$B$3,2,0),1)</f>
        <v>1</v>
      </c>
      <c r="J211" t="str">
        <f t="shared" si="6"/>
        <v/>
      </c>
      <c r="K211" t="str">
        <f>IF(J211&lt;&gt;"",SUM($J$2:J211),"")</f>
        <v/>
      </c>
      <c r="L211">
        <f ca="1" t="shared" si="7"/>
        <v>45942</v>
      </c>
    </row>
    <row r="212" spans="9:12">
      <c r="I212">
        <f>IFERROR(VLOOKUP(H212,Rates!$A$2:$B$3,2,0),1)</f>
        <v>1</v>
      </c>
      <c r="J212" t="str">
        <f t="shared" si="6"/>
        <v/>
      </c>
      <c r="K212" t="str">
        <f>IF(J212&lt;&gt;"",SUM($J$2:J212),"")</f>
        <v/>
      </c>
      <c r="L212">
        <f ca="1" t="shared" si="7"/>
        <v>45942</v>
      </c>
    </row>
    <row r="213" spans="9:12">
      <c r="I213">
        <f>IFERROR(VLOOKUP(H213,Rates!$A$2:$B$3,2,0),1)</f>
        <v>1</v>
      </c>
      <c r="J213" t="str">
        <f t="shared" si="6"/>
        <v/>
      </c>
      <c r="K213" t="str">
        <f>IF(J213&lt;&gt;"",SUM($J$2:J213),"")</f>
        <v/>
      </c>
      <c r="L213">
        <f ca="1" t="shared" si="7"/>
        <v>45942</v>
      </c>
    </row>
    <row r="214" spans="9:12">
      <c r="I214">
        <f>IFERROR(VLOOKUP(H214,Rates!$A$2:$B$3,2,0),1)</f>
        <v>1</v>
      </c>
      <c r="J214" t="str">
        <f t="shared" si="6"/>
        <v/>
      </c>
      <c r="K214" t="str">
        <f>IF(J214&lt;&gt;"",SUM($J$2:J214),"")</f>
        <v/>
      </c>
      <c r="L214">
        <f ca="1" t="shared" si="7"/>
        <v>45942</v>
      </c>
    </row>
    <row r="215" spans="9:12">
      <c r="I215">
        <f>IFERROR(VLOOKUP(H215,Rates!$A$2:$B$3,2,0),1)</f>
        <v>1</v>
      </c>
      <c r="J215" t="str">
        <f t="shared" si="6"/>
        <v/>
      </c>
      <c r="K215" t="str">
        <f>IF(J215&lt;&gt;"",SUM($J$2:J215),"")</f>
        <v/>
      </c>
      <c r="L215">
        <f ca="1" t="shared" si="7"/>
        <v>45942</v>
      </c>
    </row>
    <row r="216" spans="9:12">
      <c r="I216">
        <f>IFERROR(VLOOKUP(H216,Rates!$A$2:$B$3,2,0),1)</f>
        <v>1</v>
      </c>
      <c r="J216" t="str">
        <f t="shared" si="6"/>
        <v/>
      </c>
      <c r="K216" t="str">
        <f>IF(J216&lt;&gt;"",SUM($J$2:J216),"")</f>
        <v/>
      </c>
      <c r="L216">
        <f ca="1" t="shared" si="7"/>
        <v>45942</v>
      </c>
    </row>
    <row r="217" spans="9:12">
      <c r="I217">
        <f>IFERROR(VLOOKUP(H217,Rates!$A$2:$B$3,2,0),1)</f>
        <v>1</v>
      </c>
      <c r="J217" t="str">
        <f t="shared" si="6"/>
        <v/>
      </c>
      <c r="K217" t="str">
        <f>IF(J217&lt;&gt;"",SUM($J$2:J217),"")</f>
        <v/>
      </c>
      <c r="L217">
        <f ca="1" t="shared" si="7"/>
        <v>45942</v>
      </c>
    </row>
    <row r="218" spans="9:12">
      <c r="I218">
        <f>IFERROR(VLOOKUP(H218,Rates!$A$2:$B$3,2,0),1)</f>
        <v>1</v>
      </c>
      <c r="J218" t="str">
        <f t="shared" si="6"/>
        <v/>
      </c>
      <c r="K218" t="str">
        <f>IF(J218&lt;&gt;"",SUM($J$2:J218),"")</f>
        <v/>
      </c>
      <c r="L218">
        <f ca="1" t="shared" si="7"/>
        <v>45942</v>
      </c>
    </row>
    <row r="219" spans="9:12">
      <c r="I219">
        <f>IFERROR(VLOOKUP(H219,Rates!$A$2:$B$3,2,0),1)</f>
        <v>1</v>
      </c>
      <c r="J219" t="str">
        <f t="shared" si="6"/>
        <v/>
      </c>
      <c r="K219" t="str">
        <f>IF(J219&lt;&gt;"",SUM($J$2:J219),"")</f>
        <v/>
      </c>
      <c r="L219">
        <f ca="1" t="shared" si="7"/>
        <v>45942</v>
      </c>
    </row>
    <row r="220" spans="9:12">
      <c r="I220">
        <f>IFERROR(VLOOKUP(H220,Rates!$A$2:$B$3,2,0),1)</f>
        <v>1</v>
      </c>
      <c r="J220" t="str">
        <f t="shared" si="6"/>
        <v/>
      </c>
      <c r="K220" t="str">
        <f>IF(J220&lt;&gt;"",SUM($J$2:J220),"")</f>
        <v/>
      </c>
      <c r="L220">
        <f ca="1" t="shared" si="7"/>
        <v>45942</v>
      </c>
    </row>
    <row r="221" spans="9:12">
      <c r="I221">
        <f>IFERROR(VLOOKUP(H221,Rates!$A$2:$B$3,2,0),1)</f>
        <v>1</v>
      </c>
      <c r="J221" t="str">
        <f t="shared" si="6"/>
        <v/>
      </c>
      <c r="K221" t="str">
        <f>IF(J221&lt;&gt;"",SUM($J$2:J221),"")</f>
        <v/>
      </c>
      <c r="L221">
        <f ca="1" t="shared" si="7"/>
        <v>45942</v>
      </c>
    </row>
    <row r="222" spans="9:12">
      <c r="I222">
        <f>IFERROR(VLOOKUP(H222,Rates!$A$2:$B$3,2,0),1)</f>
        <v>1</v>
      </c>
      <c r="J222" t="str">
        <f t="shared" si="6"/>
        <v/>
      </c>
      <c r="K222" t="str">
        <f>IF(J222&lt;&gt;"",SUM($J$2:J222),"")</f>
        <v/>
      </c>
      <c r="L222">
        <f ca="1" t="shared" si="7"/>
        <v>45942</v>
      </c>
    </row>
    <row r="223" spans="9:12">
      <c r="I223">
        <f>IFERROR(VLOOKUP(H223,Rates!$A$2:$B$3,2,0),1)</f>
        <v>1</v>
      </c>
      <c r="J223" t="str">
        <f t="shared" si="6"/>
        <v/>
      </c>
      <c r="K223" t="str">
        <f>IF(J223&lt;&gt;"",SUM($J$2:J223),"")</f>
        <v/>
      </c>
      <c r="L223">
        <f ca="1" t="shared" si="7"/>
        <v>45942</v>
      </c>
    </row>
    <row r="224" spans="9:12">
      <c r="I224">
        <f>IFERROR(VLOOKUP(H224,Rates!$A$2:$B$3,2,0),1)</f>
        <v>1</v>
      </c>
      <c r="J224" t="str">
        <f t="shared" si="6"/>
        <v/>
      </c>
      <c r="K224" t="str">
        <f>IF(J224&lt;&gt;"",SUM($J$2:J224),"")</f>
        <v/>
      </c>
      <c r="L224">
        <f ca="1" t="shared" si="7"/>
        <v>45942</v>
      </c>
    </row>
    <row r="225" spans="9:12">
      <c r="I225">
        <f>IFERROR(VLOOKUP(H225,Rates!$A$2:$B$3,2,0),1)</f>
        <v>1</v>
      </c>
      <c r="J225" t="str">
        <f t="shared" si="6"/>
        <v/>
      </c>
      <c r="K225" t="str">
        <f>IF(J225&lt;&gt;"",SUM($J$2:J225),"")</f>
        <v/>
      </c>
      <c r="L225">
        <f ca="1" t="shared" si="7"/>
        <v>45942</v>
      </c>
    </row>
    <row r="226" spans="9:12">
      <c r="I226">
        <f>IFERROR(VLOOKUP(H226,Rates!$A$2:$B$3,2,0),1)</f>
        <v>1</v>
      </c>
      <c r="J226" t="str">
        <f t="shared" si="6"/>
        <v/>
      </c>
      <c r="K226" t="str">
        <f>IF(J226&lt;&gt;"",SUM($J$2:J226),"")</f>
        <v/>
      </c>
      <c r="L226">
        <f ca="1" t="shared" si="7"/>
        <v>45942</v>
      </c>
    </row>
    <row r="227" spans="9:12">
      <c r="I227">
        <f>IFERROR(VLOOKUP(H227,Rates!$A$2:$B$3,2,0),1)</f>
        <v>1</v>
      </c>
      <c r="J227" t="str">
        <f t="shared" si="6"/>
        <v/>
      </c>
      <c r="K227" t="str">
        <f>IF(J227&lt;&gt;"",SUM($J$2:J227),"")</f>
        <v/>
      </c>
      <c r="L227">
        <f ca="1" t="shared" si="7"/>
        <v>45942</v>
      </c>
    </row>
    <row r="228" spans="9:12">
      <c r="I228">
        <f>IFERROR(VLOOKUP(H228,Rates!$A$2:$B$3,2,0),1)</f>
        <v>1</v>
      </c>
      <c r="J228" t="str">
        <f t="shared" si="6"/>
        <v/>
      </c>
      <c r="K228" t="str">
        <f>IF(J228&lt;&gt;"",SUM($J$2:J228),"")</f>
        <v/>
      </c>
      <c r="L228">
        <f ca="1" t="shared" si="7"/>
        <v>45942</v>
      </c>
    </row>
    <row r="229" spans="9:12">
      <c r="I229">
        <f>IFERROR(VLOOKUP(H229,Rates!$A$2:$B$3,2,0),1)</f>
        <v>1</v>
      </c>
      <c r="J229" t="str">
        <f t="shared" si="6"/>
        <v/>
      </c>
      <c r="K229" t="str">
        <f>IF(J229&lt;&gt;"",SUM($J$2:J229),"")</f>
        <v/>
      </c>
      <c r="L229">
        <f ca="1" t="shared" si="7"/>
        <v>45942</v>
      </c>
    </row>
    <row r="230" spans="9:12">
      <c r="I230">
        <f>IFERROR(VLOOKUP(H230,Rates!$A$2:$B$3,2,0),1)</f>
        <v>1</v>
      </c>
      <c r="J230" t="str">
        <f t="shared" si="6"/>
        <v/>
      </c>
      <c r="K230" t="str">
        <f>IF(J230&lt;&gt;"",SUM($J$2:J230),"")</f>
        <v/>
      </c>
      <c r="L230">
        <f ca="1" t="shared" si="7"/>
        <v>45942</v>
      </c>
    </row>
    <row r="231" spans="9:12">
      <c r="I231">
        <f>IFERROR(VLOOKUP(H231,Rates!$A$2:$B$3,2,0),1)</f>
        <v>1</v>
      </c>
      <c r="J231" t="str">
        <f t="shared" si="6"/>
        <v/>
      </c>
      <c r="K231" t="str">
        <f>IF(J231&lt;&gt;"",SUM($J$2:J231),"")</f>
        <v/>
      </c>
      <c r="L231">
        <f ca="1" t="shared" si="7"/>
        <v>45942</v>
      </c>
    </row>
    <row r="232" spans="9:12">
      <c r="I232">
        <f>IFERROR(VLOOKUP(H232,Rates!$A$2:$B$3,2,0),1)</f>
        <v>1</v>
      </c>
      <c r="J232" t="str">
        <f t="shared" si="6"/>
        <v/>
      </c>
      <c r="K232" t="str">
        <f>IF(J232&lt;&gt;"",SUM($J$2:J232),"")</f>
        <v/>
      </c>
      <c r="L232">
        <f ca="1" t="shared" si="7"/>
        <v>45942</v>
      </c>
    </row>
    <row r="233" spans="9:12">
      <c r="I233">
        <f>IFERROR(VLOOKUP(H233,Rates!$A$2:$B$3,2,0),1)</f>
        <v>1</v>
      </c>
      <c r="J233" t="str">
        <f t="shared" si="6"/>
        <v/>
      </c>
      <c r="K233" t="str">
        <f>IF(J233&lt;&gt;"",SUM($J$2:J233),"")</f>
        <v/>
      </c>
      <c r="L233">
        <f ca="1" t="shared" si="7"/>
        <v>45942</v>
      </c>
    </row>
    <row r="234" spans="9:12">
      <c r="I234">
        <f>IFERROR(VLOOKUP(H234,Rates!$A$2:$B$3,2,0),1)</f>
        <v>1</v>
      </c>
      <c r="J234" t="str">
        <f t="shared" si="6"/>
        <v/>
      </c>
      <c r="K234" t="str">
        <f>IF(J234&lt;&gt;"",SUM($J$2:J234),"")</f>
        <v/>
      </c>
      <c r="L234">
        <f ca="1" t="shared" si="7"/>
        <v>45942</v>
      </c>
    </row>
    <row r="235" spans="9:12">
      <c r="I235">
        <f>IFERROR(VLOOKUP(H235,Rates!$A$2:$B$3,2,0),1)</f>
        <v>1</v>
      </c>
      <c r="J235" t="str">
        <f t="shared" si="6"/>
        <v/>
      </c>
      <c r="K235" t="str">
        <f>IF(J235&lt;&gt;"",SUM($J$2:J235),"")</f>
        <v/>
      </c>
      <c r="L235">
        <f ca="1" t="shared" si="7"/>
        <v>45942</v>
      </c>
    </row>
    <row r="236" spans="9:12">
      <c r="I236">
        <f>IFERROR(VLOOKUP(H236,Rates!$A$2:$B$3,2,0),1)</f>
        <v>1</v>
      </c>
      <c r="J236" t="str">
        <f t="shared" si="6"/>
        <v/>
      </c>
      <c r="K236" t="str">
        <f>IF(J236&lt;&gt;"",SUM($J$2:J236),"")</f>
        <v/>
      </c>
      <c r="L236">
        <f ca="1" t="shared" si="7"/>
        <v>45942</v>
      </c>
    </row>
    <row r="237" spans="9:12">
      <c r="I237">
        <f>IFERROR(VLOOKUP(H237,Rates!$A$2:$B$3,2,0),1)</f>
        <v>1</v>
      </c>
      <c r="J237" t="str">
        <f t="shared" si="6"/>
        <v/>
      </c>
      <c r="K237" t="str">
        <f>IF(J237&lt;&gt;"",SUM($J$2:J237),"")</f>
        <v/>
      </c>
      <c r="L237">
        <f ca="1" t="shared" si="7"/>
        <v>45942</v>
      </c>
    </row>
    <row r="238" spans="9:12">
      <c r="I238">
        <f>IFERROR(VLOOKUP(H238,Rates!$A$2:$B$3,2,0),1)</f>
        <v>1</v>
      </c>
      <c r="J238" t="str">
        <f t="shared" si="6"/>
        <v/>
      </c>
      <c r="K238" t="str">
        <f>IF(J238&lt;&gt;"",SUM($J$2:J238),"")</f>
        <v/>
      </c>
      <c r="L238">
        <f ca="1" t="shared" si="7"/>
        <v>45942</v>
      </c>
    </row>
    <row r="239" spans="9:12">
      <c r="I239">
        <f>IFERROR(VLOOKUP(H239,Rates!$A$2:$B$3,2,0),1)</f>
        <v>1</v>
      </c>
      <c r="J239" t="str">
        <f t="shared" si="6"/>
        <v/>
      </c>
      <c r="K239" t="str">
        <f>IF(J239&lt;&gt;"",SUM($J$2:J239),"")</f>
        <v/>
      </c>
      <c r="L239">
        <f ca="1" t="shared" si="7"/>
        <v>45942</v>
      </c>
    </row>
    <row r="240" spans="9:12">
      <c r="I240">
        <f>IFERROR(VLOOKUP(H240,Rates!$A$2:$B$3,2,0),1)</f>
        <v>1</v>
      </c>
      <c r="J240" t="str">
        <f t="shared" si="6"/>
        <v/>
      </c>
      <c r="K240" t="str">
        <f>IF(J240&lt;&gt;"",SUM($J$2:J240),"")</f>
        <v/>
      </c>
      <c r="L240">
        <f ca="1" t="shared" si="7"/>
        <v>45942</v>
      </c>
    </row>
    <row r="241" spans="9:12">
      <c r="I241">
        <f>IFERROR(VLOOKUP(H241,Rates!$A$2:$B$3,2,0),1)</f>
        <v>1</v>
      </c>
      <c r="J241" t="str">
        <f t="shared" si="6"/>
        <v/>
      </c>
      <c r="K241" t="str">
        <f>IF(J241&lt;&gt;"",SUM($J$2:J241),"")</f>
        <v/>
      </c>
      <c r="L241">
        <f ca="1" t="shared" si="7"/>
        <v>45942</v>
      </c>
    </row>
    <row r="242" spans="9:12">
      <c r="I242">
        <f>IFERROR(VLOOKUP(H242,Rates!$A$2:$B$3,2,0),1)</f>
        <v>1</v>
      </c>
      <c r="J242" t="str">
        <f t="shared" si="6"/>
        <v/>
      </c>
      <c r="K242" t="str">
        <f>IF(J242&lt;&gt;"",SUM($J$2:J242),"")</f>
        <v/>
      </c>
      <c r="L242">
        <f ca="1" t="shared" si="7"/>
        <v>45942</v>
      </c>
    </row>
    <row r="243" spans="9:12">
      <c r="I243">
        <f>IFERROR(VLOOKUP(H243,Rates!$A$2:$B$3,2,0),1)</f>
        <v>1</v>
      </c>
      <c r="J243" t="str">
        <f t="shared" si="6"/>
        <v/>
      </c>
      <c r="K243" t="str">
        <f>IF(J243&lt;&gt;"",SUM($J$2:J243),"")</f>
        <v/>
      </c>
      <c r="L243">
        <f ca="1" t="shared" si="7"/>
        <v>45942</v>
      </c>
    </row>
    <row r="244" spans="9:12">
      <c r="I244">
        <f>IFERROR(VLOOKUP(H244,Rates!$A$2:$B$3,2,0),1)</f>
        <v>1</v>
      </c>
      <c r="J244" t="str">
        <f t="shared" si="6"/>
        <v/>
      </c>
      <c r="K244" t="str">
        <f>IF(J244&lt;&gt;"",SUM($J$2:J244),"")</f>
        <v/>
      </c>
      <c r="L244">
        <f ca="1" t="shared" si="7"/>
        <v>45942</v>
      </c>
    </row>
    <row r="245" spans="9:12">
      <c r="I245">
        <f>IFERROR(VLOOKUP(H245,Rates!$A$2:$B$3,2,0),1)</f>
        <v>1</v>
      </c>
      <c r="J245" t="str">
        <f t="shared" si="6"/>
        <v/>
      </c>
      <c r="K245" t="str">
        <f>IF(J245&lt;&gt;"",SUM($J$2:J245),"")</f>
        <v/>
      </c>
      <c r="L245">
        <f ca="1" t="shared" si="7"/>
        <v>45942</v>
      </c>
    </row>
    <row r="246" spans="9:12">
      <c r="I246">
        <f>IFERROR(VLOOKUP(H246,Rates!$A$2:$B$3,2,0),1)</f>
        <v>1</v>
      </c>
      <c r="J246" t="str">
        <f t="shared" si="6"/>
        <v/>
      </c>
      <c r="K246" t="str">
        <f>IF(J246&lt;&gt;"",SUM($J$2:J246),"")</f>
        <v/>
      </c>
      <c r="L246">
        <f ca="1" t="shared" si="7"/>
        <v>45942</v>
      </c>
    </row>
    <row r="247" spans="9:12">
      <c r="I247">
        <f>IFERROR(VLOOKUP(H247,Rates!$A$2:$B$3,2,0),1)</f>
        <v>1</v>
      </c>
      <c r="J247" t="str">
        <f t="shared" si="6"/>
        <v/>
      </c>
      <c r="K247" t="str">
        <f>IF(J247&lt;&gt;"",SUM($J$2:J247),"")</f>
        <v/>
      </c>
      <c r="L247">
        <f ca="1" t="shared" si="7"/>
        <v>45942</v>
      </c>
    </row>
    <row r="248" spans="9:12">
      <c r="I248">
        <f>IFERROR(VLOOKUP(H248,Rates!$A$2:$B$3,2,0),1)</f>
        <v>1</v>
      </c>
      <c r="J248" t="str">
        <f t="shared" si="6"/>
        <v/>
      </c>
      <c r="K248" t="str">
        <f>IF(J248&lt;&gt;"",SUM($J$2:J248),"")</f>
        <v/>
      </c>
      <c r="L248">
        <f ca="1" t="shared" si="7"/>
        <v>45942</v>
      </c>
    </row>
    <row r="249" spans="9:12">
      <c r="I249">
        <f>IFERROR(VLOOKUP(H249,Rates!$A$2:$B$3,2,0),1)</f>
        <v>1</v>
      </c>
      <c r="J249" t="str">
        <f t="shared" si="6"/>
        <v/>
      </c>
      <c r="K249" t="str">
        <f>IF(J249&lt;&gt;"",SUM($J$2:J249),"")</f>
        <v/>
      </c>
      <c r="L249">
        <f ca="1" t="shared" si="7"/>
        <v>45942</v>
      </c>
    </row>
    <row r="250" spans="9:12">
      <c r="I250">
        <f>IFERROR(VLOOKUP(H250,Rates!$A$2:$B$3,2,0),1)</f>
        <v>1</v>
      </c>
      <c r="J250" t="str">
        <f t="shared" si="6"/>
        <v/>
      </c>
      <c r="K250" t="str">
        <f>IF(J250&lt;&gt;"",SUM($J$2:J250),"")</f>
        <v/>
      </c>
      <c r="L250">
        <f ca="1" t="shared" si="7"/>
        <v>45942</v>
      </c>
    </row>
    <row r="251" spans="9:12">
      <c r="I251">
        <f>IFERROR(VLOOKUP(H251,Rates!$A$2:$B$3,2,0),1)</f>
        <v>1</v>
      </c>
      <c r="J251" t="str">
        <f t="shared" si="6"/>
        <v/>
      </c>
      <c r="K251" t="str">
        <f>IF(J251&lt;&gt;"",SUM($J$2:J251),"")</f>
        <v/>
      </c>
      <c r="L251">
        <f ca="1" t="shared" si="7"/>
        <v>45942</v>
      </c>
    </row>
    <row r="252" spans="9:12">
      <c r="I252">
        <f>IFERROR(VLOOKUP(H252,Rates!$A$2:$B$3,2,0),1)</f>
        <v>1</v>
      </c>
      <c r="J252" t="str">
        <f t="shared" si="6"/>
        <v/>
      </c>
      <c r="K252" t="str">
        <f>IF(J252&lt;&gt;"",SUM($J$2:J252),"")</f>
        <v/>
      </c>
      <c r="L252">
        <f ca="1" t="shared" si="7"/>
        <v>45942</v>
      </c>
    </row>
    <row r="253" spans="9:12">
      <c r="I253">
        <f>IFERROR(VLOOKUP(H253,Rates!$A$2:$B$3,2,0),1)</f>
        <v>1</v>
      </c>
      <c r="J253" t="str">
        <f t="shared" si="6"/>
        <v/>
      </c>
      <c r="K253" t="str">
        <f>IF(J253&lt;&gt;"",SUM($J$2:J253),"")</f>
        <v/>
      </c>
      <c r="L253">
        <f ca="1" t="shared" si="7"/>
        <v>45942</v>
      </c>
    </row>
    <row r="254" spans="9:12">
      <c r="I254">
        <f>IFERROR(VLOOKUP(H254,Rates!$A$2:$B$3,2,0),1)</f>
        <v>1</v>
      </c>
      <c r="J254" t="str">
        <f t="shared" si="6"/>
        <v/>
      </c>
      <c r="K254" t="str">
        <f>IF(J254&lt;&gt;"",SUM($J$2:J254),"")</f>
        <v/>
      </c>
      <c r="L254">
        <f ca="1" t="shared" si="7"/>
        <v>45942</v>
      </c>
    </row>
    <row r="255" spans="9:12">
      <c r="I255">
        <f>IFERROR(VLOOKUP(H255,Rates!$A$2:$B$3,2,0),1)</f>
        <v>1</v>
      </c>
      <c r="J255" t="str">
        <f t="shared" si="6"/>
        <v/>
      </c>
      <c r="K255" t="str">
        <f>IF(J255&lt;&gt;"",SUM($J$2:J255),"")</f>
        <v/>
      </c>
      <c r="L255">
        <f ca="1" t="shared" si="7"/>
        <v>45942</v>
      </c>
    </row>
    <row r="256" spans="9:12">
      <c r="I256">
        <f>IFERROR(VLOOKUP(H256,Rates!$A$2:$B$3,2,0),1)</f>
        <v>1</v>
      </c>
      <c r="J256" t="str">
        <f t="shared" si="6"/>
        <v/>
      </c>
      <c r="K256" t="str">
        <f>IF(J256&lt;&gt;"",SUM($J$2:J256),"")</f>
        <v/>
      </c>
      <c r="L256">
        <f ca="1" t="shared" si="7"/>
        <v>45942</v>
      </c>
    </row>
    <row r="257" spans="9:12">
      <c r="I257">
        <f>IFERROR(VLOOKUP(H257,Rates!$A$2:$B$3,2,0),1)</f>
        <v>1</v>
      </c>
      <c r="J257" t="str">
        <f t="shared" si="6"/>
        <v/>
      </c>
      <c r="K257" t="str">
        <f>IF(J257&lt;&gt;"",SUM($J$2:J257),"")</f>
        <v/>
      </c>
      <c r="L257">
        <f ca="1" t="shared" si="7"/>
        <v>45942</v>
      </c>
    </row>
    <row r="258" spans="9:12">
      <c r="I258">
        <f>IFERROR(VLOOKUP(H258,Rates!$A$2:$B$3,2,0),1)</f>
        <v>1</v>
      </c>
      <c r="J258" t="str">
        <f t="shared" ref="J258:J301" si="8">IF(G258&lt;&gt;"",G258*I258,"")</f>
        <v/>
      </c>
      <c r="K258" t="str">
        <f>IF(J258&lt;&gt;"",SUM($J$2:J258),"")</f>
        <v/>
      </c>
      <c r="L258">
        <f ca="1" t="shared" ref="L258:L301" si="9">IF(COUNTA(A258:K258)&gt;0,TODAY(),"")</f>
        <v>45942</v>
      </c>
    </row>
    <row r="259" spans="9:12">
      <c r="I259">
        <f>IFERROR(VLOOKUP(H259,Rates!$A$2:$B$3,2,0),1)</f>
        <v>1</v>
      </c>
      <c r="J259" t="str">
        <f t="shared" si="8"/>
        <v/>
      </c>
      <c r="K259" t="str">
        <f>IF(J259&lt;&gt;"",SUM($J$2:J259),"")</f>
        <v/>
      </c>
      <c r="L259">
        <f ca="1" t="shared" si="9"/>
        <v>45942</v>
      </c>
    </row>
    <row r="260" spans="9:12">
      <c r="I260">
        <f>IFERROR(VLOOKUP(H260,Rates!$A$2:$B$3,2,0),1)</f>
        <v>1</v>
      </c>
      <c r="J260" t="str">
        <f t="shared" si="8"/>
        <v/>
      </c>
      <c r="K260" t="str">
        <f>IF(J260&lt;&gt;"",SUM($J$2:J260),"")</f>
        <v/>
      </c>
      <c r="L260">
        <f ca="1" t="shared" si="9"/>
        <v>45942</v>
      </c>
    </row>
    <row r="261" spans="9:12">
      <c r="I261">
        <f>IFERROR(VLOOKUP(H261,Rates!$A$2:$B$3,2,0),1)</f>
        <v>1</v>
      </c>
      <c r="J261" t="str">
        <f t="shared" si="8"/>
        <v/>
      </c>
      <c r="K261" t="str">
        <f>IF(J261&lt;&gt;"",SUM($J$2:J261),"")</f>
        <v/>
      </c>
      <c r="L261">
        <f ca="1" t="shared" si="9"/>
        <v>45942</v>
      </c>
    </row>
    <row r="262" spans="9:12">
      <c r="I262">
        <f>IFERROR(VLOOKUP(H262,Rates!$A$2:$B$3,2,0),1)</f>
        <v>1</v>
      </c>
      <c r="J262" t="str">
        <f t="shared" si="8"/>
        <v/>
      </c>
      <c r="K262" t="str">
        <f>IF(J262&lt;&gt;"",SUM($J$2:J262),"")</f>
        <v/>
      </c>
      <c r="L262">
        <f ca="1" t="shared" si="9"/>
        <v>45942</v>
      </c>
    </row>
    <row r="263" spans="9:12">
      <c r="I263">
        <f>IFERROR(VLOOKUP(H263,Rates!$A$2:$B$3,2,0),1)</f>
        <v>1</v>
      </c>
      <c r="J263" t="str">
        <f t="shared" si="8"/>
        <v/>
      </c>
      <c r="K263" t="str">
        <f>IF(J263&lt;&gt;"",SUM($J$2:J263),"")</f>
        <v/>
      </c>
      <c r="L263">
        <f ca="1" t="shared" si="9"/>
        <v>45942</v>
      </c>
    </row>
    <row r="264" spans="9:12">
      <c r="I264">
        <f>IFERROR(VLOOKUP(H264,Rates!$A$2:$B$3,2,0),1)</f>
        <v>1</v>
      </c>
      <c r="J264" t="str">
        <f t="shared" si="8"/>
        <v/>
      </c>
      <c r="K264" t="str">
        <f>IF(J264&lt;&gt;"",SUM($J$2:J264),"")</f>
        <v/>
      </c>
      <c r="L264">
        <f ca="1" t="shared" si="9"/>
        <v>45942</v>
      </c>
    </row>
    <row r="265" spans="9:12">
      <c r="I265">
        <f>IFERROR(VLOOKUP(H265,Rates!$A$2:$B$3,2,0),1)</f>
        <v>1</v>
      </c>
      <c r="J265" t="str">
        <f t="shared" si="8"/>
        <v/>
      </c>
      <c r="K265" t="str">
        <f>IF(J265&lt;&gt;"",SUM($J$2:J265),"")</f>
        <v/>
      </c>
      <c r="L265">
        <f ca="1" t="shared" si="9"/>
        <v>45942</v>
      </c>
    </row>
    <row r="266" spans="9:12">
      <c r="I266">
        <f>IFERROR(VLOOKUP(H266,Rates!$A$2:$B$3,2,0),1)</f>
        <v>1</v>
      </c>
      <c r="J266" t="str">
        <f t="shared" si="8"/>
        <v/>
      </c>
      <c r="K266" t="str">
        <f>IF(J266&lt;&gt;"",SUM($J$2:J266),"")</f>
        <v/>
      </c>
      <c r="L266">
        <f ca="1" t="shared" si="9"/>
        <v>45942</v>
      </c>
    </row>
    <row r="267" spans="9:12">
      <c r="I267">
        <f>IFERROR(VLOOKUP(H267,Rates!$A$2:$B$3,2,0),1)</f>
        <v>1</v>
      </c>
      <c r="J267" t="str">
        <f t="shared" si="8"/>
        <v/>
      </c>
      <c r="K267" t="str">
        <f>IF(J267&lt;&gt;"",SUM($J$2:J267),"")</f>
        <v/>
      </c>
      <c r="L267">
        <f ca="1" t="shared" si="9"/>
        <v>45942</v>
      </c>
    </row>
    <row r="268" spans="9:12">
      <c r="I268">
        <f>IFERROR(VLOOKUP(H268,Rates!$A$2:$B$3,2,0),1)</f>
        <v>1</v>
      </c>
      <c r="J268" t="str">
        <f t="shared" si="8"/>
        <v/>
      </c>
      <c r="K268" t="str">
        <f>IF(J268&lt;&gt;"",SUM($J$2:J268),"")</f>
        <v/>
      </c>
      <c r="L268">
        <f ca="1" t="shared" si="9"/>
        <v>45942</v>
      </c>
    </row>
    <row r="269" spans="9:12">
      <c r="I269">
        <f>IFERROR(VLOOKUP(H269,Rates!$A$2:$B$3,2,0),1)</f>
        <v>1</v>
      </c>
      <c r="J269" t="str">
        <f t="shared" si="8"/>
        <v/>
      </c>
      <c r="K269" t="str">
        <f>IF(J269&lt;&gt;"",SUM($J$2:J269),"")</f>
        <v/>
      </c>
      <c r="L269">
        <f ca="1" t="shared" si="9"/>
        <v>45942</v>
      </c>
    </row>
    <row r="270" spans="9:12">
      <c r="I270">
        <f>IFERROR(VLOOKUP(H270,Rates!$A$2:$B$3,2,0),1)</f>
        <v>1</v>
      </c>
      <c r="J270" t="str">
        <f t="shared" si="8"/>
        <v/>
      </c>
      <c r="K270" t="str">
        <f>IF(J270&lt;&gt;"",SUM($J$2:J270),"")</f>
        <v/>
      </c>
      <c r="L270">
        <f ca="1" t="shared" si="9"/>
        <v>45942</v>
      </c>
    </row>
    <row r="271" spans="9:12">
      <c r="I271">
        <f>IFERROR(VLOOKUP(H271,Rates!$A$2:$B$3,2,0),1)</f>
        <v>1</v>
      </c>
      <c r="J271" t="str">
        <f t="shared" si="8"/>
        <v/>
      </c>
      <c r="K271" t="str">
        <f>IF(J271&lt;&gt;"",SUM($J$2:J271),"")</f>
        <v/>
      </c>
      <c r="L271">
        <f ca="1" t="shared" si="9"/>
        <v>45942</v>
      </c>
    </row>
    <row r="272" spans="9:12">
      <c r="I272">
        <f>IFERROR(VLOOKUP(H272,Rates!$A$2:$B$3,2,0),1)</f>
        <v>1</v>
      </c>
      <c r="J272" t="str">
        <f t="shared" si="8"/>
        <v/>
      </c>
      <c r="K272" t="str">
        <f>IF(J272&lt;&gt;"",SUM($J$2:J272),"")</f>
        <v/>
      </c>
      <c r="L272">
        <f ca="1" t="shared" si="9"/>
        <v>45942</v>
      </c>
    </row>
    <row r="273" spans="9:12">
      <c r="I273">
        <f>IFERROR(VLOOKUP(H273,Rates!$A$2:$B$3,2,0),1)</f>
        <v>1</v>
      </c>
      <c r="J273" t="str">
        <f t="shared" si="8"/>
        <v/>
      </c>
      <c r="K273" t="str">
        <f>IF(J273&lt;&gt;"",SUM($J$2:J273),"")</f>
        <v/>
      </c>
      <c r="L273">
        <f ca="1" t="shared" si="9"/>
        <v>45942</v>
      </c>
    </row>
    <row r="274" spans="9:12">
      <c r="I274">
        <f>IFERROR(VLOOKUP(H274,Rates!$A$2:$B$3,2,0),1)</f>
        <v>1</v>
      </c>
      <c r="J274" t="str">
        <f t="shared" si="8"/>
        <v/>
      </c>
      <c r="K274" t="str">
        <f>IF(J274&lt;&gt;"",SUM($J$2:J274),"")</f>
        <v/>
      </c>
      <c r="L274">
        <f ca="1" t="shared" si="9"/>
        <v>45942</v>
      </c>
    </row>
    <row r="275" spans="9:12">
      <c r="I275">
        <f>IFERROR(VLOOKUP(H275,Rates!$A$2:$B$3,2,0),1)</f>
        <v>1</v>
      </c>
      <c r="J275" t="str">
        <f t="shared" si="8"/>
        <v/>
      </c>
      <c r="K275" t="str">
        <f>IF(J275&lt;&gt;"",SUM($J$2:J275),"")</f>
        <v/>
      </c>
      <c r="L275">
        <f ca="1" t="shared" si="9"/>
        <v>45942</v>
      </c>
    </row>
    <row r="276" spans="9:12">
      <c r="I276">
        <f>IFERROR(VLOOKUP(H276,Rates!$A$2:$B$3,2,0),1)</f>
        <v>1</v>
      </c>
      <c r="J276" t="str">
        <f t="shared" si="8"/>
        <v/>
      </c>
      <c r="K276" t="str">
        <f>IF(J276&lt;&gt;"",SUM($J$2:J276),"")</f>
        <v/>
      </c>
      <c r="L276">
        <f ca="1" t="shared" si="9"/>
        <v>45942</v>
      </c>
    </row>
    <row r="277" spans="9:12">
      <c r="I277">
        <f>IFERROR(VLOOKUP(H277,Rates!$A$2:$B$3,2,0),1)</f>
        <v>1</v>
      </c>
      <c r="J277" t="str">
        <f t="shared" si="8"/>
        <v/>
      </c>
      <c r="K277" t="str">
        <f>IF(J277&lt;&gt;"",SUM($J$2:J277),"")</f>
        <v/>
      </c>
      <c r="L277">
        <f ca="1" t="shared" si="9"/>
        <v>45942</v>
      </c>
    </row>
    <row r="278" spans="9:12">
      <c r="I278">
        <f>IFERROR(VLOOKUP(H278,Rates!$A$2:$B$3,2,0),1)</f>
        <v>1</v>
      </c>
      <c r="J278" t="str">
        <f t="shared" si="8"/>
        <v/>
      </c>
      <c r="K278" t="str">
        <f>IF(J278&lt;&gt;"",SUM($J$2:J278),"")</f>
        <v/>
      </c>
      <c r="L278">
        <f ca="1" t="shared" si="9"/>
        <v>45942</v>
      </c>
    </row>
    <row r="279" spans="9:12">
      <c r="I279">
        <f>IFERROR(VLOOKUP(H279,Rates!$A$2:$B$3,2,0),1)</f>
        <v>1</v>
      </c>
      <c r="J279" t="str">
        <f t="shared" si="8"/>
        <v/>
      </c>
      <c r="K279" t="str">
        <f>IF(J279&lt;&gt;"",SUM($J$2:J279),"")</f>
        <v/>
      </c>
      <c r="L279">
        <f ca="1" t="shared" si="9"/>
        <v>45942</v>
      </c>
    </row>
    <row r="280" spans="9:12">
      <c r="I280">
        <f>IFERROR(VLOOKUP(H280,Rates!$A$2:$B$3,2,0),1)</f>
        <v>1</v>
      </c>
      <c r="J280" t="str">
        <f t="shared" si="8"/>
        <v/>
      </c>
      <c r="K280" t="str">
        <f>IF(J280&lt;&gt;"",SUM($J$2:J280),"")</f>
        <v/>
      </c>
      <c r="L280">
        <f ca="1" t="shared" si="9"/>
        <v>45942</v>
      </c>
    </row>
    <row r="281" spans="9:12">
      <c r="I281">
        <f>IFERROR(VLOOKUP(H281,Rates!$A$2:$B$3,2,0),1)</f>
        <v>1</v>
      </c>
      <c r="J281" t="str">
        <f t="shared" si="8"/>
        <v/>
      </c>
      <c r="K281" t="str">
        <f>IF(J281&lt;&gt;"",SUM($J$2:J281),"")</f>
        <v/>
      </c>
      <c r="L281">
        <f ca="1" t="shared" si="9"/>
        <v>45942</v>
      </c>
    </row>
    <row r="282" spans="9:12">
      <c r="I282">
        <f>IFERROR(VLOOKUP(H282,Rates!$A$2:$B$3,2,0),1)</f>
        <v>1</v>
      </c>
      <c r="J282" t="str">
        <f t="shared" si="8"/>
        <v/>
      </c>
      <c r="K282" t="str">
        <f>IF(J282&lt;&gt;"",SUM($J$2:J282),"")</f>
        <v/>
      </c>
      <c r="L282">
        <f ca="1" t="shared" si="9"/>
        <v>45942</v>
      </c>
    </row>
    <row r="283" spans="9:12">
      <c r="I283">
        <f>IFERROR(VLOOKUP(H283,Rates!$A$2:$B$3,2,0),1)</f>
        <v>1</v>
      </c>
      <c r="J283" t="str">
        <f t="shared" si="8"/>
        <v/>
      </c>
      <c r="K283" t="str">
        <f>IF(J283&lt;&gt;"",SUM($J$2:J283),"")</f>
        <v/>
      </c>
      <c r="L283">
        <f ca="1" t="shared" si="9"/>
        <v>45942</v>
      </c>
    </row>
    <row r="284" spans="9:12">
      <c r="I284">
        <f>IFERROR(VLOOKUP(H284,Rates!$A$2:$B$3,2,0),1)</f>
        <v>1</v>
      </c>
      <c r="J284" t="str">
        <f t="shared" si="8"/>
        <v/>
      </c>
      <c r="K284" t="str">
        <f>IF(J284&lt;&gt;"",SUM($J$2:J284),"")</f>
        <v/>
      </c>
      <c r="L284">
        <f ca="1" t="shared" si="9"/>
        <v>45942</v>
      </c>
    </row>
    <row r="285" spans="9:12">
      <c r="I285">
        <f>IFERROR(VLOOKUP(H285,Rates!$A$2:$B$3,2,0),1)</f>
        <v>1</v>
      </c>
      <c r="J285" t="str">
        <f t="shared" si="8"/>
        <v/>
      </c>
      <c r="K285" t="str">
        <f>IF(J285&lt;&gt;"",SUM($J$2:J285),"")</f>
        <v/>
      </c>
      <c r="L285">
        <f ca="1" t="shared" si="9"/>
        <v>45942</v>
      </c>
    </row>
    <row r="286" spans="9:12">
      <c r="I286">
        <f>IFERROR(VLOOKUP(H286,Rates!$A$2:$B$3,2,0),1)</f>
        <v>1</v>
      </c>
      <c r="J286" t="str">
        <f t="shared" si="8"/>
        <v/>
      </c>
      <c r="K286" t="str">
        <f>IF(J286&lt;&gt;"",SUM($J$2:J286),"")</f>
        <v/>
      </c>
      <c r="L286">
        <f ca="1" t="shared" si="9"/>
        <v>45942</v>
      </c>
    </row>
    <row r="287" spans="9:12">
      <c r="I287">
        <f>IFERROR(VLOOKUP(H287,Rates!$A$2:$B$3,2,0),1)</f>
        <v>1</v>
      </c>
      <c r="J287" t="str">
        <f t="shared" si="8"/>
        <v/>
      </c>
      <c r="K287" t="str">
        <f>IF(J287&lt;&gt;"",SUM($J$2:J287),"")</f>
        <v/>
      </c>
      <c r="L287">
        <f ca="1" t="shared" si="9"/>
        <v>45942</v>
      </c>
    </row>
    <row r="288" spans="9:12">
      <c r="I288">
        <f>IFERROR(VLOOKUP(H288,Rates!$A$2:$B$3,2,0),1)</f>
        <v>1</v>
      </c>
      <c r="J288" t="str">
        <f t="shared" si="8"/>
        <v/>
      </c>
      <c r="K288" t="str">
        <f>IF(J288&lt;&gt;"",SUM($J$2:J288),"")</f>
        <v/>
      </c>
      <c r="L288">
        <f ca="1" t="shared" si="9"/>
        <v>45942</v>
      </c>
    </row>
    <row r="289" spans="9:12">
      <c r="I289">
        <f>IFERROR(VLOOKUP(H289,Rates!$A$2:$B$3,2,0),1)</f>
        <v>1</v>
      </c>
      <c r="J289" t="str">
        <f t="shared" si="8"/>
        <v/>
      </c>
      <c r="K289" t="str">
        <f>IF(J289&lt;&gt;"",SUM($J$2:J289),"")</f>
        <v/>
      </c>
      <c r="L289">
        <f ca="1" t="shared" si="9"/>
        <v>45942</v>
      </c>
    </row>
    <row r="290" spans="9:12">
      <c r="I290">
        <f>IFERROR(VLOOKUP(H290,Rates!$A$2:$B$3,2,0),1)</f>
        <v>1</v>
      </c>
      <c r="J290" t="str">
        <f t="shared" si="8"/>
        <v/>
      </c>
      <c r="K290" t="str">
        <f>IF(J290&lt;&gt;"",SUM($J$2:J290),"")</f>
        <v/>
      </c>
      <c r="L290">
        <f ca="1" t="shared" si="9"/>
        <v>45942</v>
      </c>
    </row>
    <row r="291" spans="9:12">
      <c r="I291">
        <f>IFERROR(VLOOKUP(H291,Rates!$A$2:$B$3,2,0),1)</f>
        <v>1</v>
      </c>
      <c r="J291" t="str">
        <f t="shared" si="8"/>
        <v/>
      </c>
      <c r="K291" t="str">
        <f>IF(J291&lt;&gt;"",SUM($J$2:J291),"")</f>
        <v/>
      </c>
      <c r="L291">
        <f ca="1" t="shared" si="9"/>
        <v>45942</v>
      </c>
    </row>
    <row r="292" spans="9:12">
      <c r="I292">
        <f>IFERROR(VLOOKUP(H292,Rates!$A$2:$B$3,2,0),1)</f>
        <v>1</v>
      </c>
      <c r="J292" t="str">
        <f t="shared" si="8"/>
        <v/>
      </c>
      <c r="K292" t="str">
        <f>IF(J292&lt;&gt;"",SUM($J$2:J292),"")</f>
        <v/>
      </c>
      <c r="L292">
        <f ca="1" t="shared" si="9"/>
        <v>45942</v>
      </c>
    </row>
    <row r="293" spans="9:12">
      <c r="I293">
        <f>IFERROR(VLOOKUP(H293,Rates!$A$2:$B$3,2,0),1)</f>
        <v>1</v>
      </c>
      <c r="J293" t="str">
        <f t="shared" si="8"/>
        <v/>
      </c>
      <c r="K293" t="str">
        <f>IF(J293&lt;&gt;"",SUM($J$2:J293),"")</f>
        <v/>
      </c>
      <c r="L293">
        <f ca="1" t="shared" si="9"/>
        <v>45942</v>
      </c>
    </row>
    <row r="294" spans="9:12">
      <c r="I294">
        <f>IFERROR(VLOOKUP(H294,Rates!$A$2:$B$3,2,0),1)</f>
        <v>1</v>
      </c>
      <c r="J294" t="str">
        <f t="shared" si="8"/>
        <v/>
      </c>
      <c r="K294" t="str">
        <f>IF(J294&lt;&gt;"",SUM($J$2:J294),"")</f>
        <v/>
      </c>
      <c r="L294">
        <f ca="1" t="shared" si="9"/>
        <v>45942</v>
      </c>
    </row>
    <row r="295" spans="9:12">
      <c r="I295">
        <f>IFERROR(VLOOKUP(H295,Rates!$A$2:$B$3,2,0),1)</f>
        <v>1</v>
      </c>
      <c r="J295" t="str">
        <f t="shared" si="8"/>
        <v/>
      </c>
      <c r="K295" t="str">
        <f>IF(J295&lt;&gt;"",SUM($J$2:J295),"")</f>
        <v/>
      </c>
      <c r="L295">
        <f ca="1" t="shared" si="9"/>
        <v>45942</v>
      </c>
    </row>
    <row r="296" spans="9:12">
      <c r="I296">
        <f>IFERROR(VLOOKUP(H296,Rates!$A$2:$B$3,2,0),1)</f>
        <v>1</v>
      </c>
      <c r="J296" t="str">
        <f t="shared" si="8"/>
        <v/>
      </c>
      <c r="K296" t="str">
        <f>IF(J296&lt;&gt;"",SUM($J$2:J296),"")</f>
        <v/>
      </c>
      <c r="L296">
        <f ca="1" t="shared" si="9"/>
        <v>45942</v>
      </c>
    </row>
    <row r="297" spans="9:12">
      <c r="I297">
        <f>IFERROR(VLOOKUP(H297,Rates!$A$2:$B$3,2,0),1)</f>
        <v>1</v>
      </c>
      <c r="J297" t="str">
        <f t="shared" si="8"/>
        <v/>
      </c>
      <c r="K297" t="str">
        <f>IF(J297&lt;&gt;"",SUM($J$2:J297),"")</f>
        <v/>
      </c>
      <c r="L297">
        <f ca="1" t="shared" si="9"/>
        <v>45942</v>
      </c>
    </row>
    <row r="298" spans="9:12">
      <c r="I298">
        <f>IFERROR(VLOOKUP(H298,Rates!$A$2:$B$3,2,0),1)</f>
        <v>1</v>
      </c>
      <c r="J298" t="str">
        <f t="shared" si="8"/>
        <v/>
      </c>
      <c r="K298" t="str">
        <f>IF(J298&lt;&gt;"",SUM($J$2:J298),"")</f>
        <v/>
      </c>
      <c r="L298">
        <f ca="1" t="shared" si="9"/>
        <v>45942</v>
      </c>
    </row>
    <row r="299" spans="9:12">
      <c r="I299">
        <f>IFERROR(VLOOKUP(H299,Rates!$A$2:$B$3,2,0),1)</f>
        <v>1</v>
      </c>
      <c r="J299" t="str">
        <f t="shared" si="8"/>
        <v/>
      </c>
      <c r="K299" t="str">
        <f>IF(J299&lt;&gt;"",SUM($J$2:J299),"")</f>
        <v/>
      </c>
      <c r="L299">
        <f ca="1" t="shared" si="9"/>
        <v>45942</v>
      </c>
    </row>
    <row r="300" spans="9:12">
      <c r="I300">
        <f>IFERROR(VLOOKUP(H300,Rates!$A$2:$B$3,2,0),1)</f>
        <v>1</v>
      </c>
      <c r="J300" t="str">
        <f t="shared" si="8"/>
        <v/>
      </c>
      <c r="K300" t="str">
        <f>IF(J300&lt;&gt;"",SUM($J$2:J300),"")</f>
        <v/>
      </c>
      <c r="L300">
        <f ca="1" t="shared" si="9"/>
        <v>45942</v>
      </c>
    </row>
    <row r="301" spans="9:12">
      <c r="I301">
        <f>IFERROR(VLOOKUP(H301,Rates!$A$2:$B$3,2,0),1)</f>
        <v>1</v>
      </c>
      <c r="J301" t="str">
        <f t="shared" si="8"/>
        <v/>
      </c>
      <c r="K301" t="str">
        <f>IF(J301&lt;&gt;"",SUM($J$2:J301),"")</f>
        <v/>
      </c>
      <c r="L301">
        <f ca="1" t="shared" si="9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workbookViewId="0">
      <pane ySplit="1" topLeftCell="A2" activePane="bottomLeft" state="frozen"/>
      <selection/>
      <selection pane="bottomLeft" activeCell="O25" sqref="O1:O25"/>
    </sheetView>
  </sheetViews>
  <sheetFormatPr defaultColWidth="9" defaultRowHeight="16.8"/>
  <cols>
    <col min="1" max="1" width="22" customWidth="1"/>
    <col min="2" max="2" width="12" customWidth="1"/>
    <col min="3" max="4" width="16" customWidth="1"/>
    <col min="5" max="5" width="26" customWidth="1"/>
    <col min="6" max="6" width="36" customWidth="1"/>
    <col min="7" max="7" width="12" customWidth="1"/>
    <col min="8" max="9" width="10" customWidth="1"/>
    <col min="10" max="10" width="14" customWidth="1"/>
    <col min="11" max="11" width="16" customWidth="1"/>
    <col min="12" max="12" width="14" customWidth="1"/>
    <col min="14" max="14" width="2" customWidth="1"/>
    <col min="16" max="16" width="2" customWidth="1"/>
  </cols>
  <sheetData>
    <row r="1" spans="1:12">
      <c r="A1" t="s">
        <v>36</v>
      </c>
      <c r="B1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</row>
    <row r="2" spans="8:12">
      <c r="H2" t="s">
        <v>3</v>
      </c>
      <c r="I2">
        <f>IFERROR(VLOOKUP(H2,Rates!$A$2:$B$3,2,0),1)</f>
        <v>1</v>
      </c>
      <c r="J2" t="str">
        <f t="shared" ref="J2:J65" si="0">IF(G2&lt;&gt;"",G2*I2,"")</f>
        <v/>
      </c>
      <c r="K2" t="str">
        <f>IF(J2&lt;&gt;"",J2,"")</f>
        <v/>
      </c>
      <c r="L2">
        <f ca="1" t="shared" ref="L2:L65" si="1">IF(COUNTA(A2:K2)&gt;0,TODAY(),"")</f>
        <v>45942</v>
      </c>
    </row>
    <row r="3" spans="8:12">
      <c r="H3" t="s">
        <v>3</v>
      </c>
      <c r="I3">
        <f>IFERROR(VLOOKUP(H3,Rates!$A$2:$B$3,2,0),1)</f>
        <v>1</v>
      </c>
      <c r="J3" t="str">
        <f t="shared" si="0"/>
        <v/>
      </c>
      <c r="K3" t="str">
        <f>IF(J3&lt;&gt;"",SUM($J$2:J3),"")</f>
        <v/>
      </c>
      <c r="L3">
        <f ca="1" t="shared" si="1"/>
        <v>45942</v>
      </c>
    </row>
    <row r="4" spans="8:12">
      <c r="H4" t="s">
        <v>3</v>
      </c>
      <c r="I4">
        <f>IFERROR(VLOOKUP(H4,Rates!$A$2:$B$3,2,0),1)</f>
        <v>1</v>
      </c>
      <c r="J4" t="str">
        <f t="shared" si="0"/>
        <v/>
      </c>
      <c r="K4" t="str">
        <f>IF(J4&lt;&gt;"",SUM($J$2:J4),"")</f>
        <v/>
      </c>
      <c r="L4">
        <f ca="1" t="shared" si="1"/>
        <v>45942</v>
      </c>
    </row>
    <row r="5" spans="9:12">
      <c r="I5">
        <f>IFERROR(VLOOKUP(H5,Rates!$A$2:$B$3,2,0),1)</f>
        <v>1</v>
      </c>
      <c r="J5" t="str">
        <f t="shared" si="0"/>
        <v/>
      </c>
      <c r="K5" t="str">
        <f>IF(J5&lt;&gt;"",SUM($J$2:J5),"")</f>
        <v/>
      </c>
      <c r="L5">
        <f ca="1" t="shared" si="1"/>
        <v>45942</v>
      </c>
    </row>
    <row r="6" spans="9:12">
      <c r="I6">
        <f>IFERROR(VLOOKUP(H6,Rates!$A$2:$B$3,2,0),1)</f>
        <v>1</v>
      </c>
      <c r="J6" t="str">
        <f t="shared" si="0"/>
        <v/>
      </c>
      <c r="K6" t="str">
        <f>IF(J6&lt;&gt;"",SUM($J$2:J6),"")</f>
        <v/>
      </c>
      <c r="L6">
        <f ca="1" t="shared" si="1"/>
        <v>45942</v>
      </c>
    </row>
    <row r="7" spans="9:12">
      <c r="I7">
        <f>IFERROR(VLOOKUP(H7,Rates!$A$2:$B$3,2,0),1)</f>
        <v>1</v>
      </c>
      <c r="J7" t="str">
        <f t="shared" si="0"/>
        <v/>
      </c>
      <c r="K7" t="str">
        <f>IF(J7&lt;&gt;"",SUM($J$2:J7),"")</f>
        <v/>
      </c>
      <c r="L7">
        <f ca="1" t="shared" si="1"/>
        <v>45942</v>
      </c>
    </row>
    <row r="8" spans="9:12">
      <c r="I8">
        <f>IFERROR(VLOOKUP(H8,Rates!$A$2:$B$3,2,0),1)</f>
        <v>1</v>
      </c>
      <c r="J8" t="str">
        <f t="shared" si="0"/>
        <v/>
      </c>
      <c r="K8" t="str">
        <f>IF(J8&lt;&gt;"",SUM($J$2:J8),"")</f>
        <v/>
      </c>
      <c r="L8">
        <f ca="1" t="shared" si="1"/>
        <v>45942</v>
      </c>
    </row>
    <row r="9" spans="9:12">
      <c r="I9">
        <f>IFERROR(VLOOKUP(H9,Rates!$A$2:$B$3,2,0),1)</f>
        <v>1</v>
      </c>
      <c r="J9" t="str">
        <f t="shared" si="0"/>
        <v/>
      </c>
      <c r="K9" t="str">
        <f>IF(J9&lt;&gt;"",SUM($J$2:J9),"")</f>
        <v/>
      </c>
      <c r="L9">
        <f ca="1" t="shared" si="1"/>
        <v>45942</v>
      </c>
    </row>
    <row r="10" spans="9:12">
      <c r="I10">
        <f>IFERROR(VLOOKUP(H10,Rates!$A$2:$B$3,2,0),1)</f>
        <v>1</v>
      </c>
      <c r="J10" t="str">
        <f t="shared" si="0"/>
        <v/>
      </c>
      <c r="K10" t="str">
        <f>IF(J10&lt;&gt;"",SUM($J$2:J10),"")</f>
        <v/>
      </c>
      <c r="L10">
        <f ca="1" t="shared" si="1"/>
        <v>45942</v>
      </c>
    </row>
    <row r="11" spans="9:12">
      <c r="I11">
        <f>IFERROR(VLOOKUP(H11,Rates!$A$2:$B$3,2,0),1)</f>
        <v>1</v>
      </c>
      <c r="J11" t="str">
        <f t="shared" si="0"/>
        <v/>
      </c>
      <c r="K11" t="str">
        <f>IF(J11&lt;&gt;"",SUM($J$2:J11),"")</f>
        <v/>
      </c>
      <c r="L11">
        <f ca="1" t="shared" si="1"/>
        <v>45942</v>
      </c>
    </row>
    <row r="12" spans="9:12">
      <c r="I12">
        <f>IFERROR(VLOOKUP(H12,Rates!$A$2:$B$3,2,0),1)</f>
        <v>1</v>
      </c>
      <c r="J12" t="str">
        <f t="shared" si="0"/>
        <v/>
      </c>
      <c r="K12" t="str">
        <f>IF(J12&lt;&gt;"",SUM($J$2:J12),"")</f>
        <v/>
      </c>
      <c r="L12">
        <f ca="1" t="shared" si="1"/>
        <v>45942</v>
      </c>
    </row>
    <row r="13" spans="9:12">
      <c r="I13">
        <f>IFERROR(VLOOKUP(H13,Rates!$A$2:$B$3,2,0),1)</f>
        <v>1</v>
      </c>
      <c r="J13" t="str">
        <f t="shared" si="0"/>
        <v/>
      </c>
      <c r="K13" t="str">
        <f>IF(J13&lt;&gt;"",SUM($J$2:J13),"")</f>
        <v/>
      </c>
      <c r="L13">
        <f ca="1" t="shared" si="1"/>
        <v>45942</v>
      </c>
    </row>
    <row r="14" spans="9:12">
      <c r="I14">
        <f>IFERROR(VLOOKUP(H14,Rates!$A$2:$B$3,2,0),1)</f>
        <v>1</v>
      </c>
      <c r="J14" t="str">
        <f t="shared" si="0"/>
        <v/>
      </c>
      <c r="K14" t="str">
        <f>IF(J14&lt;&gt;"",SUM($J$2:J14),"")</f>
        <v/>
      </c>
      <c r="L14">
        <f ca="1" t="shared" si="1"/>
        <v>45942</v>
      </c>
    </row>
    <row r="15" spans="9:12">
      <c r="I15">
        <f>IFERROR(VLOOKUP(H15,Rates!$A$2:$B$3,2,0),1)</f>
        <v>1</v>
      </c>
      <c r="J15" t="str">
        <f t="shared" si="0"/>
        <v/>
      </c>
      <c r="K15" t="str">
        <f>IF(J15&lt;&gt;"",SUM($J$2:J15),"")</f>
        <v/>
      </c>
      <c r="L15">
        <f ca="1" t="shared" si="1"/>
        <v>45942</v>
      </c>
    </row>
    <row r="16" spans="9:12">
      <c r="I16">
        <f>IFERROR(VLOOKUP(H16,Rates!$A$2:$B$3,2,0),1)</f>
        <v>1</v>
      </c>
      <c r="J16" t="str">
        <f t="shared" si="0"/>
        <v/>
      </c>
      <c r="K16" t="str">
        <f>IF(J16&lt;&gt;"",SUM($J$2:J16),"")</f>
        <v/>
      </c>
      <c r="L16">
        <f ca="1" t="shared" si="1"/>
        <v>45942</v>
      </c>
    </row>
    <row r="17" spans="9:12">
      <c r="I17">
        <f>IFERROR(VLOOKUP(H17,Rates!$A$2:$B$3,2,0),1)</f>
        <v>1</v>
      </c>
      <c r="J17" t="str">
        <f t="shared" si="0"/>
        <v/>
      </c>
      <c r="K17" t="str">
        <f>IF(J17&lt;&gt;"",SUM($J$2:J17),"")</f>
        <v/>
      </c>
      <c r="L17">
        <f ca="1" t="shared" si="1"/>
        <v>45942</v>
      </c>
    </row>
    <row r="18" spans="9:12">
      <c r="I18">
        <f>IFERROR(VLOOKUP(H18,Rates!$A$2:$B$3,2,0),1)</f>
        <v>1</v>
      </c>
      <c r="J18" t="str">
        <f t="shared" si="0"/>
        <v/>
      </c>
      <c r="K18" t="str">
        <f>IF(J18&lt;&gt;"",SUM($J$2:J18),"")</f>
        <v/>
      </c>
      <c r="L18">
        <f ca="1" t="shared" si="1"/>
        <v>45942</v>
      </c>
    </row>
    <row r="19" spans="9:12">
      <c r="I19">
        <f>IFERROR(VLOOKUP(H19,Rates!$A$2:$B$3,2,0),1)</f>
        <v>1</v>
      </c>
      <c r="J19" t="str">
        <f t="shared" si="0"/>
        <v/>
      </c>
      <c r="K19" t="str">
        <f>IF(J19&lt;&gt;"",SUM($J$2:J19),"")</f>
        <v/>
      </c>
      <c r="L19">
        <f ca="1" t="shared" si="1"/>
        <v>45942</v>
      </c>
    </row>
    <row r="20" spans="9:12">
      <c r="I20">
        <f>IFERROR(VLOOKUP(H20,Rates!$A$2:$B$3,2,0),1)</f>
        <v>1</v>
      </c>
      <c r="J20" t="str">
        <f t="shared" si="0"/>
        <v/>
      </c>
      <c r="K20" t="str">
        <f>IF(J20&lt;&gt;"",SUM($J$2:J20),"")</f>
        <v/>
      </c>
      <c r="L20">
        <f ca="1" t="shared" si="1"/>
        <v>45942</v>
      </c>
    </row>
    <row r="21" spans="9:12">
      <c r="I21">
        <f>IFERROR(VLOOKUP(H21,Rates!$A$2:$B$3,2,0),1)</f>
        <v>1</v>
      </c>
      <c r="J21" t="str">
        <f t="shared" si="0"/>
        <v/>
      </c>
      <c r="K21" t="str">
        <f>IF(J21&lt;&gt;"",SUM($J$2:J21),"")</f>
        <v/>
      </c>
      <c r="L21">
        <f ca="1" t="shared" si="1"/>
        <v>45942</v>
      </c>
    </row>
    <row r="22" spans="9:12">
      <c r="I22">
        <f>IFERROR(VLOOKUP(H22,Rates!$A$2:$B$3,2,0),1)</f>
        <v>1</v>
      </c>
      <c r="J22" t="str">
        <f t="shared" si="0"/>
        <v/>
      </c>
      <c r="K22" t="str">
        <f>IF(J22&lt;&gt;"",SUM($J$2:J22),"")</f>
        <v/>
      </c>
      <c r="L22">
        <f ca="1" t="shared" si="1"/>
        <v>45942</v>
      </c>
    </row>
    <row r="23" spans="9:12">
      <c r="I23">
        <f>IFERROR(VLOOKUP(H23,Rates!$A$2:$B$3,2,0),1)</f>
        <v>1</v>
      </c>
      <c r="J23" t="str">
        <f t="shared" si="0"/>
        <v/>
      </c>
      <c r="K23" t="str">
        <f>IF(J23&lt;&gt;"",SUM($J$2:J23),"")</f>
        <v/>
      </c>
      <c r="L23">
        <f ca="1" t="shared" si="1"/>
        <v>45942</v>
      </c>
    </row>
    <row r="24" spans="9:12">
      <c r="I24">
        <f>IFERROR(VLOOKUP(H24,Rates!$A$2:$B$3,2,0),1)</f>
        <v>1</v>
      </c>
      <c r="J24" t="str">
        <f t="shared" si="0"/>
        <v/>
      </c>
      <c r="K24" t="str">
        <f>IF(J24&lt;&gt;"",SUM($J$2:J24),"")</f>
        <v/>
      </c>
      <c r="L24">
        <f ca="1" t="shared" si="1"/>
        <v>45942</v>
      </c>
    </row>
    <row r="25" spans="9:12">
      <c r="I25">
        <f>IFERROR(VLOOKUP(H25,Rates!$A$2:$B$3,2,0),1)</f>
        <v>1</v>
      </c>
      <c r="J25" t="str">
        <f t="shared" si="0"/>
        <v/>
      </c>
      <c r="K25" t="str">
        <f>IF(J25&lt;&gt;"",SUM($J$2:J25),"")</f>
        <v/>
      </c>
      <c r="L25">
        <f ca="1" t="shared" si="1"/>
        <v>45942</v>
      </c>
    </row>
    <row r="26" spans="9:12">
      <c r="I26">
        <f>IFERROR(VLOOKUP(H26,Rates!$A$2:$B$3,2,0),1)</f>
        <v>1</v>
      </c>
      <c r="J26" t="str">
        <f t="shared" si="0"/>
        <v/>
      </c>
      <c r="K26" t="str">
        <f>IF(J26&lt;&gt;"",SUM($J$2:J26),"")</f>
        <v/>
      </c>
      <c r="L26">
        <f ca="1" t="shared" si="1"/>
        <v>45942</v>
      </c>
    </row>
    <row r="27" spans="9:12">
      <c r="I27">
        <f>IFERROR(VLOOKUP(H27,Rates!$A$2:$B$3,2,0),1)</f>
        <v>1</v>
      </c>
      <c r="J27" t="str">
        <f t="shared" si="0"/>
        <v/>
      </c>
      <c r="K27" t="str">
        <f>IF(J27&lt;&gt;"",SUM($J$2:J27),"")</f>
        <v/>
      </c>
      <c r="L27">
        <f ca="1" t="shared" si="1"/>
        <v>45942</v>
      </c>
    </row>
    <row r="28" spans="9:12">
      <c r="I28">
        <f>IFERROR(VLOOKUP(H28,Rates!$A$2:$B$3,2,0),1)</f>
        <v>1</v>
      </c>
      <c r="J28" t="str">
        <f t="shared" si="0"/>
        <v/>
      </c>
      <c r="K28" t="str">
        <f>IF(J28&lt;&gt;"",SUM($J$2:J28),"")</f>
        <v/>
      </c>
      <c r="L28">
        <f ca="1" t="shared" si="1"/>
        <v>45942</v>
      </c>
    </row>
    <row r="29" spans="9:12">
      <c r="I29">
        <f>IFERROR(VLOOKUP(H29,Rates!$A$2:$B$3,2,0),1)</f>
        <v>1</v>
      </c>
      <c r="J29" t="str">
        <f t="shared" si="0"/>
        <v/>
      </c>
      <c r="K29" t="str">
        <f>IF(J29&lt;&gt;"",SUM($J$2:J29),"")</f>
        <v/>
      </c>
      <c r="L29">
        <f ca="1" t="shared" si="1"/>
        <v>45942</v>
      </c>
    </row>
    <row r="30" spans="9:12">
      <c r="I30">
        <f>IFERROR(VLOOKUP(H30,Rates!$A$2:$B$3,2,0),1)</f>
        <v>1</v>
      </c>
      <c r="J30" t="str">
        <f t="shared" si="0"/>
        <v/>
      </c>
      <c r="K30" t="str">
        <f>IF(J30&lt;&gt;"",SUM($J$2:J30),"")</f>
        <v/>
      </c>
      <c r="L30">
        <f ca="1" t="shared" si="1"/>
        <v>45942</v>
      </c>
    </row>
    <row r="31" spans="9:12">
      <c r="I31">
        <f>IFERROR(VLOOKUP(H31,Rates!$A$2:$B$3,2,0),1)</f>
        <v>1</v>
      </c>
      <c r="J31" t="str">
        <f t="shared" si="0"/>
        <v/>
      </c>
      <c r="K31" t="str">
        <f>IF(J31&lt;&gt;"",SUM($J$2:J31),"")</f>
        <v/>
      </c>
      <c r="L31">
        <f ca="1" t="shared" si="1"/>
        <v>45942</v>
      </c>
    </row>
    <row r="32" spans="9:12">
      <c r="I32">
        <f>IFERROR(VLOOKUP(H32,Rates!$A$2:$B$3,2,0),1)</f>
        <v>1</v>
      </c>
      <c r="J32" t="str">
        <f t="shared" si="0"/>
        <v/>
      </c>
      <c r="K32" t="str">
        <f>IF(J32&lt;&gt;"",SUM($J$2:J32),"")</f>
        <v/>
      </c>
      <c r="L32">
        <f ca="1" t="shared" si="1"/>
        <v>45942</v>
      </c>
    </row>
    <row r="33" spans="9:12">
      <c r="I33">
        <f>IFERROR(VLOOKUP(H33,Rates!$A$2:$B$3,2,0),1)</f>
        <v>1</v>
      </c>
      <c r="J33" t="str">
        <f t="shared" si="0"/>
        <v/>
      </c>
      <c r="K33" t="str">
        <f>IF(J33&lt;&gt;"",SUM($J$2:J33),"")</f>
        <v/>
      </c>
      <c r="L33">
        <f ca="1" t="shared" si="1"/>
        <v>45942</v>
      </c>
    </row>
    <row r="34" spans="9:12">
      <c r="I34">
        <f>IFERROR(VLOOKUP(H34,Rates!$A$2:$B$3,2,0),1)</f>
        <v>1</v>
      </c>
      <c r="J34" t="str">
        <f t="shared" si="0"/>
        <v/>
      </c>
      <c r="K34" t="str">
        <f>IF(J34&lt;&gt;"",SUM($J$2:J34),"")</f>
        <v/>
      </c>
      <c r="L34">
        <f ca="1" t="shared" si="1"/>
        <v>45942</v>
      </c>
    </row>
    <row r="35" spans="9:12">
      <c r="I35">
        <f>IFERROR(VLOOKUP(H35,Rates!$A$2:$B$3,2,0),1)</f>
        <v>1</v>
      </c>
      <c r="J35" t="str">
        <f t="shared" si="0"/>
        <v/>
      </c>
      <c r="K35" t="str">
        <f>IF(J35&lt;&gt;"",SUM($J$2:J35),"")</f>
        <v/>
      </c>
      <c r="L35">
        <f ca="1" t="shared" si="1"/>
        <v>45942</v>
      </c>
    </row>
    <row r="36" spans="9:12">
      <c r="I36">
        <f>IFERROR(VLOOKUP(H36,Rates!$A$2:$B$3,2,0),1)</f>
        <v>1</v>
      </c>
      <c r="J36" t="str">
        <f t="shared" si="0"/>
        <v/>
      </c>
      <c r="K36" t="str">
        <f>IF(J36&lt;&gt;"",SUM($J$2:J36),"")</f>
        <v/>
      </c>
      <c r="L36">
        <f ca="1" t="shared" si="1"/>
        <v>45942</v>
      </c>
    </row>
    <row r="37" spans="9:12">
      <c r="I37">
        <f>IFERROR(VLOOKUP(H37,Rates!$A$2:$B$3,2,0),1)</f>
        <v>1</v>
      </c>
      <c r="J37" t="str">
        <f t="shared" si="0"/>
        <v/>
      </c>
      <c r="K37" t="str">
        <f>IF(J37&lt;&gt;"",SUM($J$2:J37),"")</f>
        <v/>
      </c>
      <c r="L37">
        <f ca="1" t="shared" si="1"/>
        <v>45942</v>
      </c>
    </row>
    <row r="38" spans="9:12">
      <c r="I38">
        <f>IFERROR(VLOOKUP(H38,Rates!$A$2:$B$3,2,0),1)</f>
        <v>1</v>
      </c>
      <c r="J38" t="str">
        <f t="shared" si="0"/>
        <v/>
      </c>
      <c r="K38" t="str">
        <f>IF(J38&lt;&gt;"",SUM($J$2:J38),"")</f>
        <v/>
      </c>
      <c r="L38">
        <f ca="1" t="shared" si="1"/>
        <v>45942</v>
      </c>
    </row>
    <row r="39" spans="9:12">
      <c r="I39">
        <f>IFERROR(VLOOKUP(H39,Rates!$A$2:$B$3,2,0),1)</f>
        <v>1</v>
      </c>
      <c r="J39" t="str">
        <f t="shared" si="0"/>
        <v/>
      </c>
      <c r="K39" t="str">
        <f>IF(J39&lt;&gt;"",SUM($J$2:J39),"")</f>
        <v/>
      </c>
      <c r="L39">
        <f ca="1" t="shared" si="1"/>
        <v>45942</v>
      </c>
    </row>
    <row r="40" spans="9:12">
      <c r="I40">
        <f>IFERROR(VLOOKUP(H40,Rates!$A$2:$B$3,2,0),1)</f>
        <v>1</v>
      </c>
      <c r="J40" t="str">
        <f t="shared" si="0"/>
        <v/>
      </c>
      <c r="K40" t="str">
        <f>IF(J40&lt;&gt;"",SUM($J$2:J40),"")</f>
        <v/>
      </c>
      <c r="L40">
        <f ca="1" t="shared" si="1"/>
        <v>45942</v>
      </c>
    </row>
    <row r="41" spans="9:12">
      <c r="I41">
        <f>IFERROR(VLOOKUP(H41,Rates!$A$2:$B$3,2,0),1)</f>
        <v>1</v>
      </c>
      <c r="J41" t="str">
        <f t="shared" si="0"/>
        <v/>
      </c>
      <c r="K41" t="str">
        <f>IF(J41&lt;&gt;"",SUM($J$2:J41),"")</f>
        <v/>
      </c>
      <c r="L41">
        <f ca="1" t="shared" si="1"/>
        <v>45942</v>
      </c>
    </row>
    <row r="42" spans="9:12">
      <c r="I42">
        <f>IFERROR(VLOOKUP(H42,Rates!$A$2:$B$3,2,0),1)</f>
        <v>1</v>
      </c>
      <c r="J42" t="str">
        <f t="shared" si="0"/>
        <v/>
      </c>
      <c r="K42" t="str">
        <f>IF(J42&lt;&gt;"",SUM($J$2:J42),"")</f>
        <v/>
      </c>
      <c r="L42">
        <f ca="1" t="shared" si="1"/>
        <v>45942</v>
      </c>
    </row>
    <row r="43" spans="9:12">
      <c r="I43">
        <f>IFERROR(VLOOKUP(H43,Rates!$A$2:$B$3,2,0),1)</f>
        <v>1</v>
      </c>
      <c r="J43" t="str">
        <f t="shared" si="0"/>
        <v/>
      </c>
      <c r="K43" t="str">
        <f>IF(J43&lt;&gt;"",SUM($J$2:J43),"")</f>
        <v/>
      </c>
      <c r="L43">
        <f ca="1" t="shared" si="1"/>
        <v>45942</v>
      </c>
    </row>
    <row r="44" spans="9:12">
      <c r="I44">
        <f>IFERROR(VLOOKUP(H44,Rates!$A$2:$B$3,2,0),1)</f>
        <v>1</v>
      </c>
      <c r="J44" t="str">
        <f t="shared" si="0"/>
        <v/>
      </c>
      <c r="K44" t="str">
        <f>IF(J44&lt;&gt;"",SUM($J$2:J44),"")</f>
        <v/>
      </c>
      <c r="L44">
        <f ca="1" t="shared" si="1"/>
        <v>45942</v>
      </c>
    </row>
    <row r="45" spans="9:12">
      <c r="I45">
        <f>IFERROR(VLOOKUP(H45,Rates!$A$2:$B$3,2,0),1)</f>
        <v>1</v>
      </c>
      <c r="J45" t="str">
        <f t="shared" si="0"/>
        <v/>
      </c>
      <c r="K45" t="str">
        <f>IF(J45&lt;&gt;"",SUM($J$2:J45),"")</f>
        <v/>
      </c>
      <c r="L45">
        <f ca="1" t="shared" si="1"/>
        <v>45942</v>
      </c>
    </row>
    <row r="46" spans="9:12">
      <c r="I46">
        <f>IFERROR(VLOOKUP(H46,Rates!$A$2:$B$3,2,0),1)</f>
        <v>1</v>
      </c>
      <c r="J46" t="str">
        <f t="shared" si="0"/>
        <v/>
      </c>
      <c r="K46" t="str">
        <f>IF(J46&lt;&gt;"",SUM($J$2:J46),"")</f>
        <v/>
      </c>
      <c r="L46">
        <f ca="1" t="shared" si="1"/>
        <v>45942</v>
      </c>
    </row>
    <row r="47" spans="9:12">
      <c r="I47">
        <f>IFERROR(VLOOKUP(H47,Rates!$A$2:$B$3,2,0),1)</f>
        <v>1</v>
      </c>
      <c r="J47" t="str">
        <f t="shared" si="0"/>
        <v/>
      </c>
      <c r="K47" t="str">
        <f>IF(J47&lt;&gt;"",SUM($J$2:J47),"")</f>
        <v/>
      </c>
      <c r="L47">
        <f ca="1" t="shared" si="1"/>
        <v>45942</v>
      </c>
    </row>
    <row r="48" spans="9:12">
      <c r="I48">
        <f>IFERROR(VLOOKUP(H48,Rates!$A$2:$B$3,2,0),1)</f>
        <v>1</v>
      </c>
      <c r="J48" t="str">
        <f t="shared" si="0"/>
        <v/>
      </c>
      <c r="K48" t="str">
        <f>IF(J48&lt;&gt;"",SUM($J$2:J48),"")</f>
        <v/>
      </c>
      <c r="L48">
        <f ca="1" t="shared" si="1"/>
        <v>45942</v>
      </c>
    </row>
    <row r="49" spans="9:12">
      <c r="I49">
        <f>IFERROR(VLOOKUP(H49,Rates!$A$2:$B$3,2,0),1)</f>
        <v>1</v>
      </c>
      <c r="J49" t="str">
        <f t="shared" si="0"/>
        <v/>
      </c>
      <c r="K49" t="str">
        <f>IF(J49&lt;&gt;"",SUM($J$2:J49),"")</f>
        <v/>
      </c>
      <c r="L49">
        <f ca="1" t="shared" si="1"/>
        <v>45942</v>
      </c>
    </row>
    <row r="50" spans="9:12">
      <c r="I50">
        <f>IFERROR(VLOOKUP(H50,Rates!$A$2:$B$3,2,0),1)</f>
        <v>1</v>
      </c>
      <c r="J50" t="str">
        <f t="shared" si="0"/>
        <v/>
      </c>
      <c r="K50" t="str">
        <f>IF(J50&lt;&gt;"",SUM($J$2:J50),"")</f>
        <v/>
      </c>
      <c r="L50">
        <f ca="1" t="shared" si="1"/>
        <v>45942</v>
      </c>
    </row>
    <row r="51" spans="9:12">
      <c r="I51">
        <f>IFERROR(VLOOKUP(H51,Rates!$A$2:$B$3,2,0),1)</f>
        <v>1</v>
      </c>
      <c r="J51" t="str">
        <f t="shared" si="0"/>
        <v/>
      </c>
      <c r="K51" t="str">
        <f>IF(J51&lt;&gt;"",SUM($J$2:J51),"")</f>
        <v/>
      </c>
      <c r="L51">
        <f ca="1" t="shared" si="1"/>
        <v>45942</v>
      </c>
    </row>
    <row r="52" spans="9:12">
      <c r="I52">
        <f>IFERROR(VLOOKUP(H52,Rates!$A$2:$B$3,2,0),1)</f>
        <v>1</v>
      </c>
      <c r="J52" t="str">
        <f t="shared" si="0"/>
        <v/>
      </c>
      <c r="K52" t="str">
        <f>IF(J52&lt;&gt;"",SUM($J$2:J52),"")</f>
        <v/>
      </c>
      <c r="L52">
        <f ca="1" t="shared" si="1"/>
        <v>45942</v>
      </c>
    </row>
    <row r="53" spans="9:12">
      <c r="I53">
        <f>IFERROR(VLOOKUP(H53,Rates!$A$2:$B$3,2,0),1)</f>
        <v>1</v>
      </c>
      <c r="J53" t="str">
        <f t="shared" si="0"/>
        <v/>
      </c>
      <c r="K53" t="str">
        <f>IF(J53&lt;&gt;"",SUM($J$2:J53),"")</f>
        <v/>
      </c>
      <c r="L53">
        <f ca="1" t="shared" si="1"/>
        <v>45942</v>
      </c>
    </row>
    <row r="54" spans="9:12">
      <c r="I54">
        <f>IFERROR(VLOOKUP(H54,Rates!$A$2:$B$3,2,0),1)</f>
        <v>1</v>
      </c>
      <c r="J54" t="str">
        <f t="shared" si="0"/>
        <v/>
      </c>
      <c r="K54" t="str">
        <f>IF(J54&lt;&gt;"",SUM($J$2:J54),"")</f>
        <v/>
      </c>
      <c r="L54">
        <f ca="1" t="shared" si="1"/>
        <v>45942</v>
      </c>
    </row>
    <row r="55" spans="9:12">
      <c r="I55">
        <f>IFERROR(VLOOKUP(H55,Rates!$A$2:$B$3,2,0),1)</f>
        <v>1</v>
      </c>
      <c r="J55" t="str">
        <f t="shared" si="0"/>
        <v/>
      </c>
      <c r="K55" t="str">
        <f>IF(J55&lt;&gt;"",SUM($J$2:J55),"")</f>
        <v/>
      </c>
      <c r="L55">
        <f ca="1" t="shared" si="1"/>
        <v>45942</v>
      </c>
    </row>
    <row r="56" spans="9:12">
      <c r="I56">
        <f>IFERROR(VLOOKUP(H56,Rates!$A$2:$B$3,2,0),1)</f>
        <v>1</v>
      </c>
      <c r="J56" t="str">
        <f t="shared" si="0"/>
        <v/>
      </c>
      <c r="K56" t="str">
        <f>IF(J56&lt;&gt;"",SUM($J$2:J56),"")</f>
        <v/>
      </c>
      <c r="L56">
        <f ca="1" t="shared" si="1"/>
        <v>45942</v>
      </c>
    </row>
    <row r="57" spans="9:12">
      <c r="I57">
        <f>IFERROR(VLOOKUP(H57,Rates!$A$2:$B$3,2,0),1)</f>
        <v>1</v>
      </c>
      <c r="J57" t="str">
        <f t="shared" si="0"/>
        <v/>
      </c>
      <c r="K57" t="str">
        <f>IF(J57&lt;&gt;"",SUM($J$2:J57),"")</f>
        <v/>
      </c>
      <c r="L57">
        <f ca="1" t="shared" si="1"/>
        <v>45942</v>
      </c>
    </row>
    <row r="58" spans="9:12">
      <c r="I58">
        <f>IFERROR(VLOOKUP(H58,Rates!$A$2:$B$3,2,0),1)</f>
        <v>1</v>
      </c>
      <c r="J58" t="str">
        <f t="shared" si="0"/>
        <v/>
      </c>
      <c r="K58" t="str">
        <f>IF(J58&lt;&gt;"",SUM($J$2:J58),"")</f>
        <v/>
      </c>
      <c r="L58">
        <f ca="1" t="shared" si="1"/>
        <v>45942</v>
      </c>
    </row>
    <row r="59" spans="9:12">
      <c r="I59">
        <f>IFERROR(VLOOKUP(H59,Rates!$A$2:$B$3,2,0),1)</f>
        <v>1</v>
      </c>
      <c r="J59" t="str">
        <f t="shared" si="0"/>
        <v/>
      </c>
      <c r="K59" t="str">
        <f>IF(J59&lt;&gt;"",SUM($J$2:J59),"")</f>
        <v/>
      </c>
      <c r="L59">
        <f ca="1" t="shared" si="1"/>
        <v>45942</v>
      </c>
    </row>
    <row r="60" spans="9:12">
      <c r="I60">
        <f>IFERROR(VLOOKUP(H60,Rates!$A$2:$B$3,2,0),1)</f>
        <v>1</v>
      </c>
      <c r="J60" t="str">
        <f t="shared" si="0"/>
        <v/>
      </c>
      <c r="K60" t="str">
        <f>IF(J60&lt;&gt;"",SUM($J$2:J60),"")</f>
        <v/>
      </c>
      <c r="L60">
        <f ca="1" t="shared" si="1"/>
        <v>45942</v>
      </c>
    </row>
    <row r="61" spans="9:12">
      <c r="I61">
        <f>IFERROR(VLOOKUP(H61,Rates!$A$2:$B$3,2,0),1)</f>
        <v>1</v>
      </c>
      <c r="J61" t="str">
        <f t="shared" si="0"/>
        <v/>
      </c>
      <c r="K61" t="str">
        <f>IF(J61&lt;&gt;"",SUM($J$2:J61),"")</f>
        <v/>
      </c>
      <c r="L61">
        <f ca="1" t="shared" si="1"/>
        <v>45942</v>
      </c>
    </row>
    <row r="62" spans="9:12">
      <c r="I62">
        <f>IFERROR(VLOOKUP(H62,Rates!$A$2:$B$3,2,0),1)</f>
        <v>1</v>
      </c>
      <c r="J62" t="str">
        <f t="shared" si="0"/>
        <v/>
      </c>
      <c r="K62" t="str">
        <f>IF(J62&lt;&gt;"",SUM($J$2:J62),"")</f>
        <v/>
      </c>
      <c r="L62">
        <f ca="1" t="shared" si="1"/>
        <v>45942</v>
      </c>
    </row>
    <row r="63" spans="9:12">
      <c r="I63">
        <f>IFERROR(VLOOKUP(H63,Rates!$A$2:$B$3,2,0),1)</f>
        <v>1</v>
      </c>
      <c r="J63" t="str">
        <f t="shared" si="0"/>
        <v/>
      </c>
      <c r="K63" t="str">
        <f>IF(J63&lt;&gt;"",SUM($J$2:J63),"")</f>
        <v/>
      </c>
      <c r="L63">
        <f ca="1" t="shared" si="1"/>
        <v>45942</v>
      </c>
    </row>
    <row r="64" spans="9:12">
      <c r="I64">
        <f>IFERROR(VLOOKUP(H64,Rates!$A$2:$B$3,2,0),1)</f>
        <v>1</v>
      </c>
      <c r="J64" t="str">
        <f t="shared" si="0"/>
        <v/>
      </c>
      <c r="K64" t="str">
        <f>IF(J64&lt;&gt;"",SUM($J$2:J64),"")</f>
        <v/>
      </c>
      <c r="L64">
        <f ca="1" t="shared" si="1"/>
        <v>45942</v>
      </c>
    </row>
    <row r="65" spans="9:12">
      <c r="I65">
        <f>IFERROR(VLOOKUP(H65,Rates!$A$2:$B$3,2,0),1)</f>
        <v>1</v>
      </c>
      <c r="J65" t="str">
        <f t="shared" si="0"/>
        <v/>
      </c>
      <c r="K65" t="str">
        <f>IF(J65&lt;&gt;"",SUM($J$2:J65),"")</f>
        <v/>
      </c>
      <c r="L65">
        <f ca="1" t="shared" si="1"/>
        <v>45942</v>
      </c>
    </row>
    <row r="66" spans="9:12">
      <c r="I66">
        <f>IFERROR(VLOOKUP(H66,Rates!$A$2:$B$3,2,0),1)</f>
        <v>1</v>
      </c>
      <c r="J66" t="str">
        <f t="shared" ref="J66:J129" si="2">IF(G66&lt;&gt;"",G66*I66,"")</f>
        <v/>
      </c>
      <c r="K66" t="str">
        <f>IF(J66&lt;&gt;"",SUM($J$2:J66),"")</f>
        <v/>
      </c>
      <c r="L66">
        <f ca="1" t="shared" ref="L66:L129" si="3">IF(COUNTA(A66:K66)&gt;0,TODAY(),"")</f>
        <v>45942</v>
      </c>
    </row>
    <row r="67" spans="9:12">
      <c r="I67">
        <f>IFERROR(VLOOKUP(H67,Rates!$A$2:$B$3,2,0),1)</f>
        <v>1</v>
      </c>
      <c r="J67" t="str">
        <f t="shared" si="2"/>
        <v/>
      </c>
      <c r="K67" t="str">
        <f>IF(J67&lt;&gt;"",SUM($J$2:J67),"")</f>
        <v/>
      </c>
      <c r="L67">
        <f ca="1" t="shared" si="3"/>
        <v>45942</v>
      </c>
    </row>
    <row r="68" spans="9:12">
      <c r="I68">
        <f>IFERROR(VLOOKUP(H68,Rates!$A$2:$B$3,2,0),1)</f>
        <v>1</v>
      </c>
      <c r="J68" t="str">
        <f t="shared" si="2"/>
        <v/>
      </c>
      <c r="K68" t="str">
        <f>IF(J68&lt;&gt;"",SUM($J$2:J68),"")</f>
        <v/>
      </c>
      <c r="L68">
        <f ca="1" t="shared" si="3"/>
        <v>45942</v>
      </c>
    </row>
    <row r="69" spans="9:12">
      <c r="I69">
        <f>IFERROR(VLOOKUP(H69,Rates!$A$2:$B$3,2,0),1)</f>
        <v>1</v>
      </c>
      <c r="J69" t="str">
        <f t="shared" si="2"/>
        <v/>
      </c>
      <c r="K69" t="str">
        <f>IF(J69&lt;&gt;"",SUM($J$2:J69),"")</f>
        <v/>
      </c>
      <c r="L69">
        <f ca="1" t="shared" si="3"/>
        <v>45942</v>
      </c>
    </row>
    <row r="70" spans="9:12">
      <c r="I70">
        <f>IFERROR(VLOOKUP(H70,Rates!$A$2:$B$3,2,0),1)</f>
        <v>1</v>
      </c>
      <c r="J70" t="str">
        <f t="shared" si="2"/>
        <v/>
      </c>
      <c r="K70" t="str">
        <f>IF(J70&lt;&gt;"",SUM($J$2:J70),"")</f>
        <v/>
      </c>
      <c r="L70">
        <f ca="1" t="shared" si="3"/>
        <v>45942</v>
      </c>
    </row>
    <row r="71" spans="9:12">
      <c r="I71">
        <f>IFERROR(VLOOKUP(H71,Rates!$A$2:$B$3,2,0),1)</f>
        <v>1</v>
      </c>
      <c r="J71" t="str">
        <f t="shared" si="2"/>
        <v/>
      </c>
      <c r="K71" t="str">
        <f>IF(J71&lt;&gt;"",SUM($J$2:J71),"")</f>
        <v/>
      </c>
      <c r="L71">
        <f ca="1" t="shared" si="3"/>
        <v>45942</v>
      </c>
    </row>
    <row r="72" spans="9:12">
      <c r="I72">
        <f>IFERROR(VLOOKUP(H72,Rates!$A$2:$B$3,2,0),1)</f>
        <v>1</v>
      </c>
      <c r="J72" t="str">
        <f t="shared" si="2"/>
        <v/>
      </c>
      <c r="K72" t="str">
        <f>IF(J72&lt;&gt;"",SUM($J$2:J72),"")</f>
        <v/>
      </c>
      <c r="L72">
        <f ca="1" t="shared" si="3"/>
        <v>45942</v>
      </c>
    </row>
    <row r="73" spans="9:12">
      <c r="I73">
        <f>IFERROR(VLOOKUP(H73,Rates!$A$2:$B$3,2,0),1)</f>
        <v>1</v>
      </c>
      <c r="J73" t="str">
        <f t="shared" si="2"/>
        <v/>
      </c>
      <c r="K73" t="str">
        <f>IF(J73&lt;&gt;"",SUM($J$2:J73),"")</f>
        <v/>
      </c>
      <c r="L73">
        <f ca="1" t="shared" si="3"/>
        <v>45942</v>
      </c>
    </row>
    <row r="74" spans="9:12">
      <c r="I74">
        <f>IFERROR(VLOOKUP(H74,Rates!$A$2:$B$3,2,0),1)</f>
        <v>1</v>
      </c>
      <c r="J74" t="str">
        <f t="shared" si="2"/>
        <v/>
      </c>
      <c r="K74" t="str">
        <f>IF(J74&lt;&gt;"",SUM($J$2:J74),"")</f>
        <v/>
      </c>
      <c r="L74">
        <f ca="1" t="shared" si="3"/>
        <v>45942</v>
      </c>
    </row>
    <row r="75" spans="9:12">
      <c r="I75">
        <f>IFERROR(VLOOKUP(H75,Rates!$A$2:$B$3,2,0),1)</f>
        <v>1</v>
      </c>
      <c r="J75" t="str">
        <f t="shared" si="2"/>
        <v/>
      </c>
      <c r="K75" t="str">
        <f>IF(J75&lt;&gt;"",SUM($J$2:J75),"")</f>
        <v/>
      </c>
      <c r="L75">
        <f ca="1" t="shared" si="3"/>
        <v>45942</v>
      </c>
    </row>
    <row r="76" spans="9:12">
      <c r="I76">
        <f>IFERROR(VLOOKUP(H76,Rates!$A$2:$B$3,2,0),1)</f>
        <v>1</v>
      </c>
      <c r="J76" t="str">
        <f t="shared" si="2"/>
        <v/>
      </c>
      <c r="K76" t="str">
        <f>IF(J76&lt;&gt;"",SUM($J$2:J76),"")</f>
        <v/>
      </c>
      <c r="L76">
        <f ca="1" t="shared" si="3"/>
        <v>45942</v>
      </c>
    </row>
    <row r="77" spans="9:12">
      <c r="I77">
        <f>IFERROR(VLOOKUP(H77,Rates!$A$2:$B$3,2,0),1)</f>
        <v>1</v>
      </c>
      <c r="J77" t="str">
        <f t="shared" si="2"/>
        <v/>
      </c>
      <c r="K77" t="str">
        <f>IF(J77&lt;&gt;"",SUM($J$2:J77),"")</f>
        <v/>
      </c>
      <c r="L77">
        <f ca="1" t="shared" si="3"/>
        <v>45942</v>
      </c>
    </row>
    <row r="78" spans="9:12">
      <c r="I78">
        <f>IFERROR(VLOOKUP(H78,Rates!$A$2:$B$3,2,0),1)</f>
        <v>1</v>
      </c>
      <c r="J78" t="str">
        <f t="shared" si="2"/>
        <v/>
      </c>
      <c r="K78" t="str">
        <f>IF(J78&lt;&gt;"",SUM($J$2:J78),"")</f>
        <v/>
      </c>
      <c r="L78">
        <f ca="1" t="shared" si="3"/>
        <v>45942</v>
      </c>
    </row>
    <row r="79" spans="9:12">
      <c r="I79">
        <f>IFERROR(VLOOKUP(H79,Rates!$A$2:$B$3,2,0),1)</f>
        <v>1</v>
      </c>
      <c r="J79" t="str">
        <f t="shared" si="2"/>
        <v/>
      </c>
      <c r="K79" t="str">
        <f>IF(J79&lt;&gt;"",SUM($J$2:J79),"")</f>
        <v/>
      </c>
      <c r="L79">
        <f ca="1" t="shared" si="3"/>
        <v>45942</v>
      </c>
    </row>
    <row r="80" spans="9:12">
      <c r="I80">
        <f>IFERROR(VLOOKUP(H80,Rates!$A$2:$B$3,2,0),1)</f>
        <v>1</v>
      </c>
      <c r="J80" t="str">
        <f t="shared" si="2"/>
        <v/>
      </c>
      <c r="K80" t="str">
        <f>IF(J80&lt;&gt;"",SUM($J$2:J80),"")</f>
        <v/>
      </c>
      <c r="L80">
        <f ca="1" t="shared" si="3"/>
        <v>45942</v>
      </c>
    </row>
    <row r="81" spans="9:12">
      <c r="I81">
        <f>IFERROR(VLOOKUP(H81,Rates!$A$2:$B$3,2,0),1)</f>
        <v>1</v>
      </c>
      <c r="J81" t="str">
        <f t="shared" si="2"/>
        <v/>
      </c>
      <c r="K81" t="str">
        <f>IF(J81&lt;&gt;"",SUM($J$2:J81),"")</f>
        <v/>
      </c>
      <c r="L81">
        <f ca="1" t="shared" si="3"/>
        <v>45942</v>
      </c>
    </row>
    <row r="82" spans="9:12">
      <c r="I82">
        <f>IFERROR(VLOOKUP(H82,Rates!$A$2:$B$3,2,0),1)</f>
        <v>1</v>
      </c>
      <c r="J82" t="str">
        <f t="shared" si="2"/>
        <v/>
      </c>
      <c r="K82" t="str">
        <f>IF(J82&lt;&gt;"",SUM($J$2:J82),"")</f>
        <v/>
      </c>
      <c r="L82">
        <f ca="1" t="shared" si="3"/>
        <v>45942</v>
      </c>
    </row>
    <row r="83" spans="9:12">
      <c r="I83">
        <f>IFERROR(VLOOKUP(H83,Rates!$A$2:$B$3,2,0),1)</f>
        <v>1</v>
      </c>
      <c r="J83" t="str">
        <f t="shared" si="2"/>
        <v/>
      </c>
      <c r="K83" t="str">
        <f>IF(J83&lt;&gt;"",SUM($J$2:J83),"")</f>
        <v/>
      </c>
      <c r="L83">
        <f ca="1" t="shared" si="3"/>
        <v>45942</v>
      </c>
    </row>
    <row r="84" spans="9:12">
      <c r="I84">
        <f>IFERROR(VLOOKUP(H84,Rates!$A$2:$B$3,2,0),1)</f>
        <v>1</v>
      </c>
      <c r="J84" t="str">
        <f t="shared" si="2"/>
        <v/>
      </c>
      <c r="K84" t="str">
        <f>IF(J84&lt;&gt;"",SUM($J$2:J84),"")</f>
        <v/>
      </c>
      <c r="L84">
        <f ca="1" t="shared" si="3"/>
        <v>45942</v>
      </c>
    </row>
    <row r="85" spans="9:12">
      <c r="I85">
        <f>IFERROR(VLOOKUP(H85,Rates!$A$2:$B$3,2,0),1)</f>
        <v>1</v>
      </c>
      <c r="J85" t="str">
        <f t="shared" si="2"/>
        <v/>
      </c>
      <c r="K85" t="str">
        <f>IF(J85&lt;&gt;"",SUM($J$2:J85),"")</f>
        <v/>
      </c>
      <c r="L85">
        <f ca="1" t="shared" si="3"/>
        <v>45942</v>
      </c>
    </row>
    <row r="86" spans="9:12">
      <c r="I86">
        <f>IFERROR(VLOOKUP(H86,Rates!$A$2:$B$3,2,0),1)</f>
        <v>1</v>
      </c>
      <c r="J86" t="str">
        <f t="shared" si="2"/>
        <v/>
      </c>
      <c r="K86" t="str">
        <f>IF(J86&lt;&gt;"",SUM($J$2:J86),"")</f>
        <v/>
      </c>
      <c r="L86">
        <f ca="1" t="shared" si="3"/>
        <v>45942</v>
      </c>
    </row>
    <row r="87" spans="9:12">
      <c r="I87">
        <f>IFERROR(VLOOKUP(H87,Rates!$A$2:$B$3,2,0),1)</f>
        <v>1</v>
      </c>
      <c r="J87" t="str">
        <f t="shared" si="2"/>
        <v/>
      </c>
      <c r="K87" t="str">
        <f>IF(J87&lt;&gt;"",SUM($J$2:J87),"")</f>
        <v/>
      </c>
      <c r="L87">
        <f ca="1" t="shared" si="3"/>
        <v>45942</v>
      </c>
    </row>
    <row r="88" spans="9:12">
      <c r="I88">
        <f>IFERROR(VLOOKUP(H88,Rates!$A$2:$B$3,2,0),1)</f>
        <v>1</v>
      </c>
      <c r="J88" t="str">
        <f t="shared" si="2"/>
        <v/>
      </c>
      <c r="K88" t="str">
        <f>IF(J88&lt;&gt;"",SUM($J$2:J88),"")</f>
        <v/>
      </c>
      <c r="L88">
        <f ca="1" t="shared" si="3"/>
        <v>45942</v>
      </c>
    </row>
    <row r="89" spans="9:12">
      <c r="I89">
        <f>IFERROR(VLOOKUP(H89,Rates!$A$2:$B$3,2,0),1)</f>
        <v>1</v>
      </c>
      <c r="J89" t="str">
        <f t="shared" si="2"/>
        <v/>
      </c>
      <c r="K89" t="str">
        <f>IF(J89&lt;&gt;"",SUM($J$2:J89),"")</f>
        <v/>
      </c>
      <c r="L89">
        <f ca="1" t="shared" si="3"/>
        <v>45942</v>
      </c>
    </row>
    <row r="90" spans="9:12">
      <c r="I90">
        <f>IFERROR(VLOOKUP(H90,Rates!$A$2:$B$3,2,0),1)</f>
        <v>1</v>
      </c>
      <c r="J90" t="str">
        <f t="shared" si="2"/>
        <v/>
      </c>
      <c r="K90" t="str">
        <f>IF(J90&lt;&gt;"",SUM($J$2:J90),"")</f>
        <v/>
      </c>
      <c r="L90">
        <f ca="1" t="shared" si="3"/>
        <v>45942</v>
      </c>
    </row>
    <row r="91" spans="9:12">
      <c r="I91">
        <f>IFERROR(VLOOKUP(H91,Rates!$A$2:$B$3,2,0),1)</f>
        <v>1</v>
      </c>
      <c r="J91" t="str">
        <f t="shared" si="2"/>
        <v/>
      </c>
      <c r="K91" t="str">
        <f>IF(J91&lt;&gt;"",SUM($J$2:J91),"")</f>
        <v/>
      </c>
      <c r="L91">
        <f ca="1" t="shared" si="3"/>
        <v>45942</v>
      </c>
    </row>
    <row r="92" spans="9:12">
      <c r="I92">
        <f>IFERROR(VLOOKUP(H92,Rates!$A$2:$B$3,2,0),1)</f>
        <v>1</v>
      </c>
      <c r="J92" t="str">
        <f t="shared" si="2"/>
        <v/>
      </c>
      <c r="K92" t="str">
        <f>IF(J92&lt;&gt;"",SUM($J$2:J92),"")</f>
        <v/>
      </c>
      <c r="L92">
        <f ca="1" t="shared" si="3"/>
        <v>45942</v>
      </c>
    </row>
    <row r="93" spans="9:12">
      <c r="I93">
        <f>IFERROR(VLOOKUP(H93,Rates!$A$2:$B$3,2,0),1)</f>
        <v>1</v>
      </c>
      <c r="J93" t="str">
        <f t="shared" si="2"/>
        <v/>
      </c>
      <c r="K93" t="str">
        <f>IF(J93&lt;&gt;"",SUM($J$2:J93),"")</f>
        <v/>
      </c>
      <c r="L93">
        <f ca="1" t="shared" si="3"/>
        <v>45942</v>
      </c>
    </row>
    <row r="94" spans="9:12">
      <c r="I94">
        <f>IFERROR(VLOOKUP(H94,Rates!$A$2:$B$3,2,0),1)</f>
        <v>1</v>
      </c>
      <c r="J94" t="str">
        <f t="shared" si="2"/>
        <v/>
      </c>
      <c r="K94" t="str">
        <f>IF(J94&lt;&gt;"",SUM($J$2:J94),"")</f>
        <v/>
      </c>
      <c r="L94">
        <f ca="1" t="shared" si="3"/>
        <v>45942</v>
      </c>
    </row>
    <row r="95" spans="9:12">
      <c r="I95">
        <f>IFERROR(VLOOKUP(H95,Rates!$A$2:$B$3,2,0),1)</f>
        <v>1</v>
      </c>
      <c r="J95" t="str">
        <f t="shared" si="2"/>
        <v/>
      </c>
      <c r="K95" t="str">
        <f>IF(J95&lt;&gt;"",SUM($J$2:J95),"")</f>
        <v/>
      </c>
      <c r="L95">
        <f ca="1" t="shared" si="3"/>
        <v>45942</v>
      </c>
    </row>
    <row r="96" spans="9:12">
      <c r="I96">
        <f>IFERROR(VLOOKUP(H96,Rates!$A$2:$B$3,2,0),1)</f>
        <v>1</v>
      </c>
      <c r="J96" t="str">
        <f t="shared" si="2"/>
        <v/>
      </c>
      <c r="K96" t="str">
        <f>IF(J96&lt;&gt;"",SUM($J$2:J96),"")</f>
        <v/>
      </c>
      <c r="L96">
        <f ca="1" t="shared" si="3"/>
        <v>45942</v>
      </c>
    </row>
    <row r="97" spans="9:12">
      <c r="I97">
        <f>IFERROR(VLOOKUP(H97,Rates!$A$2:$B$3,2,0),1)</f>
        <v>1</v>
      </c>
      <c r="J97" t="str">
        <f t="shared" si="2"/>
        <v/>
      </c>
      <c r="K97" t="str">
        <f>IF(J97&lt;&gt;"",SUM($J$2:J97),"")</f>
        <v/>
      </c>
      <c r="L97">
        <f ca="1" t="shared" si="3"/>
        <v>45942</v>
      </c>
    </row>
    <row r="98" spans="9:12">
      <c r="I98">
        <f>IFERROR(VLOOKUP(H98,Rates!$A$2:$B$3,2,0),1)</f>
        <v>1</v>
      </c>
      <c r="J98" t="str">
        <f t="shared" si="2"/>
        <v/>
      </c>
      <c r="K98" t="str">
        <f>IF(J98&lt;&gt;"",SUM($J$2:J98),"")</f>
        <v/>
      </c>
      <c r="L98">
        <f ca="1" t="shared" si="3"/>
        <v>45942</v>
      </c>
    </row>
    <row r="99" spans="9:12">
      <c r="I99">
        <f>IFERROR(VLOOKUP(H99,Rates!$A$2:$B$3,2,0),1)</f>
        <v>1</v>
      </c>
      <c r="J99" t="str">
        <f t="shared" si="2"/>
        <v/>
      </c>
      <c r="K99" t="str">
        <f>IF(J99&lt;&gt;"",SUM($J$2:J99),"")</f>
        <v/>
      </c>
      <c r="L99">
        <f ca="1" t="shared" si="3"/>
        <v>45942</v>
      </c>
    </row>
    <row r="100" spans="9:12">
      <c r="I100">
        <f>IFERROR(VLOOKUP(H100,Rates!$A$2:$B$3,2,0),1)</f>
        <v>1</v>
      </c>
      <c r="J100" t="str">
        <f t="shared" si="2"/>
        <v/>
      </c>
      <c r="K100" t="str">
        <f>IF(J100&lt;&gt;"",SUM($J$2:J100),"")</f>
        <v/>
      </c>
      <c r="L100">
        <f ca="1" t="shared" si="3"/>
        <v>45942</v>
      </c>
    </row>
    <row r="101" spans="9:12">
      <c r="I101">
        <f>IFERROR(VLOOKUP(H101,Rates!$A$2:$B$3,2,0),1)</f>
        <v>1</v>
      </c>
      <c r="J101" t="str">
        <f t="shared" si="2"/>
        <v/>
      </c>
      <c r="K101" t="str">
        <f>IF(J101&lt;&gt;"",SUM($J$2:J101),"")</f>
        <v/>
      </c>
      <c r="L101">
        <f ca="1" t="shared" si="3"/>
        <v>45942</v>
      </c>
    </row>
    <row r="102" spans="9:12">
      <c r="I102">
        <f>IFERROR(VLOOKUP(H102,Rates!$A$2:$B$3,2,0),1)</f>
        <v>1</v>
      </c>
      <c r="J102" t="str">
        <f t="shared" si="2"/>
        <v/>
      </c>
      <c r="K102" t="str">
        <f>IF(J102&lt;&gt;"",SUM($J$2:J102),"")</f>
        <v/>
      </c>
      <c r="L102">
        <f ca="1" t="shared" si="3"/>
        <v>45942</v>
      </c>
    </row>
    <row r="103" spans="9:12">
      <c r="I103">
        <f>IFERROR(VLOOKUP(H103,Rates!$A$2:$B$3,2,0),1)</f>
        <v>1</v>
      </c>
      <c r="J103" t="str">
        <f t="shared" si="2"/>
        <v/>
      </c>
      <c r="K103" t="str">
        <f>IF(J103&lt;&gt;"",SUM($J$2:J103),"")</f>
        <v/>
      </c>
      <c r="L103">
        <f ca="1" t="shared" si="3"/>
        <v>45942</v>
      </c>
    </row>
    <row r="104" spans="9:12">
      <c r="I104">
        <f>IFERROR(VLOOKUP(H104,Rates!$A$2:$B$3,2,0),1)</f>
        <v>1</v>
      </c>
      <c r="J104" t="str">
        <f t="shared" si="2"/>
        <v/>
      </c>
      <c r="K104" t="str">
        <f>IF(J104&lt;&gt;"",SUM($J$2:J104),"")</f>
        <v/>
      </c>
      <c r="L104">
        <f ca="1" t="shared" si="3"/>
        <v>45942</v>
      </c>
    </row>
    <row r="105" spans="9:12">
      <c r="I105">
        <f>IFERROR(VLOOKUP(H105,Rates!$A$2:$B$3,2,0),1)</f>
        <v>1</v>
      </c>
      <c r="J105" t="str">
        <f t="shared" si="2"/>
        <v/>
      </c>
      <c r="K105" t="str">
        <f>IF(J105&lt;&gt;"",SUM($J$2:J105),"")</f>
        <v/>
      </c>
      <c r="L105">
        <f ca="1" t="shared" si="3"/>
        <v>45942</v>
      </c>
    </row>
    <row r="106" spans="9:12">
      <c r="I106">
        <f>IFERROR(VLOOKUP(H106,Rates!$A$2:$B$3,2,0),1)</f>
        <v>1</v>
      </c>
      <c r="J106" t="str">
        <f t="shared" si="2"/>
        <v/>
      </c>
      <c r="K106" t="str">
        <f>IF(J106&lt;&gt;"",SUM($J$2:J106),"")</f>
        <v/>
      </c>
      <c r="L106">
        <f ca="1" t="shared" si="3"/>
        <v>45942</v>
      </c>
    </row>
    <row r="107" spans="9:12">
      <c r="I107">
        <f>IFERROR(VLOOKUP(H107,Rates!$A$2:$B$3,2,0),1)</f>
        <v>1</v>
      </c>
      <c r="J107" t="str">
        <f t="shared" si="2"/>
        <v/>
      </c>
      <c r="K107" t="str">
        <f>IF(J107&lt;&gt;"",SUM($J$2:J107),"")</f>
        <v/>
      </c>
      <c r="L107">
        <f ca="1" t="shared" si="3"/>
        <v>45942</v>
      </c>
    </row>
    <row r="108" spans="9:12">
      <c r="I108">
        <f>IFERROR(VLOOKUP(H108,Rates!$A$2:$B$3,2,0),1)</f>
        <v>1</v>
      </c>
      <c r="J108" t="str">
        <f t="shared" si="2"/>
        <v/>
      </c>
      <c r="K108" t="str">
        <f>IF(J108&lt;&gt;"",SUM($J$2:J108),"")</f>
        <v/>
      </c>
      <c r="L108">
        <f ca="1" t="shared" si="3"/>
        <v>45942</v>
      </c>
    </row>
    <row r="109" spans="9:12">
      <c r="I109">
        <f>IFERROR(VLOOKUP(H109,Rates!$A$2:$B$3,2,0),1)</f>
        <v>1</v>
      </c>
      <c r="J109" t="str">
        <f t="shared" si="2"/>
        <v/>
      </c>
      <c r="K109" t="str">
        <f>IF(J109&lt;&gt;"",SUM($J$2:J109),"")</f>
        <v/>
      </c>
      <c r="L109">
        <f ca="1" t="shared" si="3"/>
        <v>45942</v>
      </c>
    </row>
    <row r="110" spans="9:12">
      <c r="I110">
        <f>IFERROR(VLOOKUP(H110,Rates!$A$2:$B$3,2,0),1)</f>
        <v>1</v>
      </c>
      <c r="J110" t="str">
        <f t="shared" si="2"/>
        <v/>
      </c>
      <c r="K110" t="str">
        <f>IF(J110&lt;&gt;"",SUM($J$2:J110),"")</f>
        <v/>
      </c>
      <c r="L110">
        <f ca="1" t="shared" si="3"/>
        <v>45942</v>
      </c>
    </row>
    <row r="111" spans="9:12">
      <c r="I111">
        <f>IFERROR(VLOOKUP(H111,Rates!$A$2:$B$3,2,0),1)</f>
        <v>1</v>
      </c>
      <c r="J111" t="str">
        <f t="shared" si="2"/>
        <v/>
      </c>
      <c r="K111" t="str">
        <f>IF(J111&lt;&gt;"",SUM($J$2:J111),"")</f>
        <v/>
      </c>
      <c r="L111">
        <f ca="1" t="shared" si="3"/>
        <v>45942</v>
      </c>
    </row>
    <row r="112" spans="9:12">
      <c r="I112">
        <f>IFERROR(VLOOKUP(H112,Rates!$A$2:$B$3,2,0),1)</f>
        <v>1</v>
      </c>
      <c r="J112" t="str">
        <f t="shared" si="2"/>
        <v/>
      </c>
      <c r="K112" t="str">
        <f>IF(J112&lt;&gt;"",SUM($J$2:J112),"")</f>
        <v/>
      </c>
      <c r="L112">
        <f ca="1" t="shared" si="3"/>
        <v>45942</v>
      </c>
    </row>
    <row r="113" spans="9:12">
      <c r="I113">
        <f>IFERROR(VLOOKUP(H113,Rates!$A$2:$B$3,2,0),1)</f>
        <v>1</v>
      </c>
      <c r="J113" t="str">
        <f t="shared" si="2"/>
        <v/>
      </c>
      <c r="K113" t="str">
        <f>IF(J113&lt;&gt;"",SUM($J$2:J113),"")</f>
        <v/>
      </c>
      <c r="L113">
        <f ca="1" t="shared" si="3"/>
        <v>45942</v>
      </c>
    </row>
    <row r="114" spans="9:12">
      <c r="I114">
        <f>IFERROR(VLOOKUP(H114,Rates!$A$2:$B$3,2,0),1)</f>
        <v>1</v>
      </c>
      <c r="J114" t="str">
        <f t="shared" si="2"/>
        <v/>
      </c>
      <c r="K114" t="str">
        <f>IF(J114&lt;&gt;"",SUM($J$2:J114),"")</f>
        <v/>
      </c>
      <c r="L114">
        <f ca="1" t="shared" si="3"/>
        <v>45942</v>
      </c>
    </row>
    <row r="115" spans="9:12">
      <c r="I115">
        <f>IFERROR(VLOOKUP(H115,Rates!$A$2:$B$3,2,0),1)</f>
        <v>1</v>
      </c>
      <c r="J115" t="str">
        <f t="shared" si="2"/>
        <v/>
      </c>
      <c r="K115" t="str">
        <f>IF(J115&lt;&gt;"",SUM($J$2:J115),"")</f>
        <v/>
      </c>
      <c r="L115">
        <f ca="1" t="shared" si="3"/>
        <v>45942</v>
      </c>
    </row>
    <row r="116" spans="9:12">
      <c r="I116">
        <f>IFERROR(VLOOKUP(H116,Rates!$A$2:$B$3,2,0),1)</f>
        <v>1</v>
      </c>
      <c r="J116" t="str">
        <f t="shared" si="2"/>
        <v/>
      </c>
      <c r="K116" t="str">
        <f>IF(J116&lt;&gt;"",SUM($J$2:J116),"")</f>
        <v/>
      </c>
      <c r="L116">
        <f ca="1" t="shared" si="3"/>
        <v>45942</v>
      </c>
    </row>
    <row r="117" spans="9:12">
      <c r="I117">
        <f>IFERROR(VLOOKUP(H117,Rates!$A$2:$B$3,2,0),1)</f>
        <v>1</v>
      </c>
      <c r="J117" t="str">
        <f t="shared" si="2"/>
        <v/>
      </c>
      <c r="K117" t="str">
        <f>IF(J117&lt;&gt;"",SUM($J$2:J117),"")</f>
        <v/>
      </c>
      <c r="L117">
        <f ca="1" t="shared" si="3"/>
        <v>45942</v>
      </c>
    </row>
    <row r="118" spans="9:12">
      <c r="I118">
        <f>IFERROR(VLOOKUP(H118,Rates!$A$2:$B$3,2,0),1)</f>
        <v>1</v>
      </c>
      <c r="J118" t="str">
        <f t="shared" si="2"/>
        <v/>
      </c>
      <c r="K118" t="str">
        <f>IF(J118&lt;&gt;"",SUM($J$2:J118),"")</f>
        <v/>
      </c>
      <c r="L118">
        <f ca="1" t="shared" si="3"/>
        <v>45942</v>
      </c>
    </row>
    <row r="119" spans="9:12">
      <c r="I119">
        <f>IFERROR(VLOOKUP(H119,Rates!$A$2:$B$3,2,0),1)</f>
        <v>1</v>
      </c>
      <c r="J119" t="str">
        <f t="shared" si="2"/>
        <v/>
      </c>
      <c r="K119" t="str">
        <f>IF(J119&lt;&gt;"",SUM($J$2:J119),"")</f>
        <v/>
      </c>
      <c r="L119">
        <f ca="1" t="shared" si="3"/>
        <v>45942</v>
      </c>
    </row>
    <row r="120" spans="9:12">
      <c r="I120">
        <f>IFERROR(VLOOKUP(H120,Rates!$A$2:$B$3,2,0),1)</f>
        <v>1</v>
      </c>
      <c r="J120" t="str">
        <f t="shared" si="2"/>
        <v/>
      </c>
      <c r="K120" t="str">
        <f>IF(J120&lt;&gt;"",SUM($J$2:J120),"")</f>
        <v/>
      </c>
      <c r="L120">
        <f ca="1" t="shared" si="3"/>
        <v>45942</v>
      </c>
    </row>
    <row r="121" spans="9:12">
      <c r="I121">
        <f>IFERROR(VLOOKUP(H121,Rates!$A$2:$B$3,2,0),1)</f>
        <v>1</v>
      </c>
      <c r="J121" t="str">
        <f t="shared" si="2"/>
        <v/>
      </c>
      <c r="K121" t="str">
        <f>IF(J121&lt;&gt;"",SUM($J$2:J121),"")</f>
        <v/>
      </c>
      <c r="L121">
        <f ca="1" t="shared" si="3"/>
        <v>45942</v>
      </c>
    </row>
    <row r="122" spans="9:12">
      <c r="I122">
        <f>IFERROR(VLOOKUP(H122,Rates!$A$2:$B$3,2,0),1)</f>
        <v>1</v>
      </c>
      <c r="J122" t="str">
        <f t="shared" si="2"/>
        <v/>
      </c>
      <c r="K122" t="str">
        <f>IF(J122&lt;&gt;"",SUM($J$2:J122),"")</f>
        <v/>
      </c>
      <c r="L122">
        <f ca="1" t="shared" si="3"/>
        <v>45942</v>
      </c>
    </row>
    <row r="123" spans="9:12">
      <c r="I123">
        <f>IFERROR(VLOOKUP(H123,Rates!$A$2:$B$3,2,0),1)</f>
        <v>1</v>
      </c>
      <c r="J123" t="str">
        <f t="shared" si="2"/>
        <v/>
      </c>
      <c r="K123" t="str">
        <f>IF(J123&lt;&gt;"",SUM($J$2:J123),"")</f>
        <v/>
      </c>
      <c r="L123">
        <f ca="1" t="shared" si="3"/>
        <v>45942</v>
      </c>
    </row>
    <row r="124" spans="9:12">
      <c r="I124">
        <f>IFERROR(VLOOKUP(H124,Rates!$A$2:$B$3,2,0),1)</f>
        <v>1</v>
      </c>
      <c r="J124" t="str">
        <f t="shared" si="2"/>
        <v/>
      </c>
      <c r="K124" t="str">
        <f>IF(J124&lt;&gt;"",SUM($J$2:J124),"")</f>
        <v/>
      </c>
      <c r="L124">
        <f ca="1" t="shared" si="3"/>
        <v>45942</v>
      </c>
    </row>
    <row r="125" spans="9:12">
      <c r="I125">
        <f>IFERROR(VLOOKUP(H125,Rates!$A$2:$B$3,2,0),1)</f>
        <v>1</v>
      </c>
      <c r="J125" t="str">
        <f t="shared" si="2"/>
        <v/>
      </c>
      <c r="K125" t="str">
        <f>IF(J125&lt;&gt;"",SUM($J$2:J125),"")</f>
        <v/>
      </c>
      <c r="L125">
        <f ca="1" t="shared" si="3"/>
        <v>45942</v>
      </c>
    </row>
    <row r="126" spans="9:12">
      <c r="I126">
        <f>IFERROR(VLOOKUP(H126,Rates!$A$2:$B$3,2,0),1)</f>
        <v>1</v>
      </c>
      <c r="J126" t="str">
        <f t="shared" si="2"/>
        <v/>
      </c>
      <c r="K126" t="str">
        <f>IF(J126&lt;&gt;"",SUM($J$2:J126),"")</f>
        <v/>
      </c>
      <c r="L126">
        <f ca="1" t="shared" si="3"/>
        <v>45942</v>
      </c>
    </row>
    <row r="127" spans="9:12">
      <c r="I127">
        <f>IFERROR(VLOOKUP(H127,Rates!$A$2:$B$3,2,0),1)</f>
        <v>1</v>
      </c>
      <c r="J127" t="str">
        <f t="shared" si="2"/>
        <v/>
      </c>
      <c r="K127" t="str">
        <f>IF(J127&lt;&gt;"",SUM($J$2:J127),"")</f>
        <v/>
      </c>
      <c r="L127">
        <f ca="1" t="shared" si="3"/>
        <v>45942</v>
      </c>
    </row>
    <row r="128" spans="9:12">
      <c r="I128">
        <f>IFERROR(VLOOKUP(H128,Rates!$A$2:$B$3,2,0),1)</f>
        <v>1</v>
      </c>
      <c r="J128" t="str">
        <f t="shared" si="2"/>
        <v/>
      </c>
      <c r="K128" t="str">
        <f>IF(J128&lt;&gt;"",SUM($J$2:J128),"")</f>
        <v/>
      </c>
      <c r="L128">
        <f ca="1" t="shared" si="3"/>
        <v>45942</v>
      </c>
    </row>
    <row r="129" spans="9:12">
      <c r="I129">
        <f>IFERROR(VLOOKUP(H129,Rates!$A$2:$B$3,2,0),1)</f>
        <v>1</v>
      </c>
      <c r="J129" t="str">
        <f t="shared" si="2"/>
        <v/>
      </c>
      <c r="K129" t="str">
        <f>IF(J129&lt;&gt;"",SUM($J$2:J129),"")</f>
        <v/>
      </c>
      <c r="L129">
        <f ca="1" t="shared" si="3"/>
        <v>45942</v>
      </c>
    </row>
    <row r="130" spans="9:12">
      <c r="I130">
        <f>IFERROR(VLOOKUP(H130,Rates!$A$2:$B$3,2,0),1)</f>
        <v>1</v>
      </c>
      <c r="J130" t="str">
        <f t="shared" ref="J130:J193" si="4">IF(G130&lt;&gt;"",G130*I130,"")</f>
        <v/>
      </c>
      <c r="K130" t="str">
        <f>IF(J130&lt;&gt;"",SUM($J$2:J130),"")</f>
        <v/>
      </c>
      <c r="L130">
        <f ca="1" t="shared" ref="L130:L193" si="5">IF(COUNTA(A130:K130)&gt;0,TODAY(),"")</f>
        <v>45942</v>
      </c>
    </row>
    <row r="131" spans="9:12">
      <c r="I131">
        <f>IFERROR(VLOOKUP(H131,Rates!$A$2:$B$3,2,0),1)</f>
        <v>1</v>
      </c>
      <c r="J131" t="str">
        <f t="shared" si="4"/>
        <v/>
      </c>
      <c r="K131" t="str">
        <f>IF(J131&lt;&gt;"",SUM($J$2:J131),"")</f>
        <v/>
      </c>
      <c r="L131">
        <f ca="1" t="shared" si="5"/>
        <v>45942</v>
      </c>
    </row>
    <row r="132" spans="9:12">
      <c r="I132">
        <f>IFERROR(VLOOKUP(H132,Rates!$A$2:$B$3,2,0),1)</f>
        <v>1</v>
      </c>
      <c r="J132" t="str">
        <f t="shared" si="4"/>
        <v/>
      </c>
      <c r="K132" t="str">
        <f>IF(J132&lt;&gt;"",SUM($J$2:J132),"")</f>
        <v/>
      </c>
      <c r="L132">
        <f ca="1" t="shared" si="5"/>
        <v>45942</v>
      </c>
    </row>
    <row r="133" spans="9:12">
      <c r="I133">
        <f>IFERROR(VLOOKUP(H133,Rates!$A$2:$B$3,2,0),1)</f>
        <v>1</v>
      </c>
      <c r="J133" t="str">
        <f t="shared" si="4"/>
        <v/>
      </c>
      <c r="K133" t="str">
        <f>IF(J133&lt;&gt;"",SUM($J$2:J133),"")</f>
        <v/>
      </c>
      <c r="L133">
        <f ca="1" t="shared" si="5"/>
        <v>45942</v>
      </c>
    </row>
    <row r="134" spans="9:12">
      <c r="I134">
        <f>IFERROR(VLOOKUP(H134,Rates!$A$2:$B$3,2,0),1)</f>
        <v>1</v>
      </c>
      <c r="J134" t="str">
        <f t="shared" si="4"/>
        <v/>
      </c>
      <c r="K134" t="str">
        <f>IF(J134&lt;&gt;"",SUM($J$2:J134),"")</f>
        <v/>
      </c>
      <c r="L134">
        <f ca="1" t="shared" si="5"/>
        <v>45942</v>
      </c>
    </row>
    <row r="135" spans="9:12">
      <c r="I135">
        <f>IFERROR(VLOOKUP(H135,Rates!$A$2:$B$3,2,0),1)</f>
        <v>1</v>
      </c>
      <c r="J135" t="str">
        <f t="shared" si="4"/>
        <v/>
      </c>
      <c r="K135" t="str">
        <f>IF(J135&lt;&gt;"",SUM($J$2:J135),"")</f>
        <v/>
      </c>
      <c r="L135">
        <f ca="1" t="shared" si="5"/>
        <v>45942</v>
      </c>
    </row>
    <row r="136" spans="9:12">
      <c r="I136">
        <f>IFERROR(VLOOKUP(H136,Rates!$A$2:$B$3,2,0),1)</f>
        <v>1</v>
      </c>
      <c r="J136" t="str">
        <f t="shared" si="4"/>
        <v/>
      </c>
      <c r="K136" t="str">
        <f>IF(J136&lt;&gt;"",SUM($J$2:J136),"")</f>
        <v/>
      </c>
      <c r="L136">
        <f ca="1" t="shared" si="5"/>
        <v>45942</v>
      </c>
    </row>
    <row r="137" spans="9:12">
      <c r="I137">
        <f>IFERROR(VLOOKUP(H137,Rates!$A$2:$B$3,2,0),1)</f>
        <v>1</v>
      </c>
      <c r="J137" t="str">
        <f t="shared" si="4"/>
        <v/>
      </c>
      <c r="K137" t="str">
        <f>IF(J137&lt;&gt;"",SUM($J$2:J137),"")</f>
        <v/>
      </c>
      <c r="L137">
        <f ca="1" t="shared" si="5"/>
        <v>45942</v>
      </c>
    </row>
    <row r="138" spans="9:12">
      <c r="I138">
        <f>IFERROR(VLOOKUP(H138,Rates!$A$2:$B$3,2,0),1)</f>
        <v>1</v>
      </c>
      <c r="J138" t="str">
        <f t="shared" si="4"/>
        <v/>
      </c>
      <c r="K138" t="str">
        <f>IF(J138&lt;&gt;"",SUM($J$2:J138),"")</f>
        <v/>
      </c>
      <c r="L138">
        <f ca="1" t="shared" si="5"/>
        <v>45942</v>
      </c>
    </row>
    <row r="139" spans="9:12">
      <c r="I139">
        <f>IFERROR(VLOOKUP(H139,Rates!$A$2:$B$3,2,0),1)</f>
        <v>1</v>
      </c>
      <c r="J139" t="str">
        <f t="shared" si="4"/>
        <v/>
      </c>
      <c r="K139" t="str">
        <f>IF(J139&lt;&gt;"",SUM($J$2:J139),"")</f>
        <v/>
      </c>
      <c r="L139">
        <f ca="1" t="shared" si="5"/>
        <v>45942</v>
      </c>
    </row>
    <row r="140" spans="9:12">
      <c r="I140">
        <f>IFERROR(VLOOKUP(H140,Rates!$A$2:$B$3,2,0),1)</f>
        <v>1</v>
      </c>
      <c r="J140" t="str">
        <f t="shared" si="4"/>
        <v/>
      </c>
      <c r="K140" t="str">
        <f>IF(J140&lt;&gt;"",SUM($J$2:J140),"")</f>
        <v/>
      </c>
      <c r="L140">
        <f ca="1" t="shared" si="5"/>
        <v>45942</v>
      </c>
    </row>
    <row r="141" spans="9:12">
      <c r="I141">
        <f>IFERROR(VLOOKUP(H141,Rates!$A$2:$B$3,2,0),1)</f>
        <v>1</v>
      </c>
      <c r="J141" t="str">
        <f t="shared" si="4"/>
        <v/>
      </c>
      <c r="K141" t="str">
        <f>IF(J141&lt;&gt;"",SUM($J$2:J141),"")</f>
        <v/>
      </c>
      <c r="L141">
        <f ca="1" t="shared" si="5"/>
        <v>45942</v>
      </c>
    </row>
    <row r="142" spans="9:12">
      <c r="I142">
        <f>IFERROR(VLOOKUP(H142,Rates!$A$2:$B$3,2,0),1)</f>
        <v>1</v>
      </c>
      <c r="J142" t="str">
        <f t="shared" si="4"/>
        <v/>
      </c>
      <c r="K142" t="str">
        <f>IF(J142&lt;&gt;"",SUM($J$2:J142),"")</f>
        <v/>
      </c>
      <c r="L142">
        <f ca="1" t="shared" si="5"/>
        <v>45942</v>
      </c>
    </row>
    <row r="143" spans="9:12">
      <c r="I143">
        <f>IFERROR(VLOOKUP(H143,Rates!$A$2:$B$3,2,0),1)</f>
        <v>1</v>
      </c>
      <c r="J143" t="str">
        <f t="shared" si="4"/>
        <v/>
      </c>
      <c r="K143" t="str">
        <f>IF(J143&lt;&gt;"",SUM($J$2:J143),"")</f>
        <v/>
      </c>
      <c r="L143">
        <f ca="1" t="shared" si="5"/>
        <v>45942</v>
      </c>
    </row>
    <row r="144" spans="9:12">
      <c r="I144">
        <f>IFERROR(VLOOKUP(H144,Rates!$A$2:$B$3,2,0),1)</f>
        <v>1</v>
      </c>
      <c r="J144" t="str">
        <f t="shared" si="4"/>
        <v/>
      </c>
      <c r="K144" t="str">
        <f>IF(J144&lt;&gt;"",SUM($J$2:J144),"")</f>
        <v/>
      </c>
      <c r="L144">
        <f ca="1" t="shared" si="5"/>
        <v>45942</v>
      </c>
    </row>
    <row r="145" spans="9:12">
      <c r="I145">
        <f>IFERROR(VLOOKUP(H145,Rates!$A$2:$B$3,2,0),1)</f>
        <v>1</v>
      </c>
      <c r="J145" t="str">
        <f t="shared" si="4"/>
        <v/>
      </c>
      <c r="K145" t="str">
        <f>IF(J145&lt;&gt;"",SUM($J$2:J145),"")</f>
        <v/>
      </c>
      <c r="L145">
        <f ca="1" t="shared" si="5"/>
        <v>45942</v>
      </c>
    </row>
    <row r="146" spans="9:12">
      <c r="I146">
        <f>IFERROR(VLOOKUP(H146,Rates!$A$2:$B$3,2,0),1)</f>
        <v>1</v>
      </c>
      <c r="J146" t="str">
        <f t="shared" si="4"/>
        <v/>
      </c>
      <c r="K146" t="str">
        <f>IF(J146&lt;&gt;"",SUM($J$2:J146),"")</f>
        <v/>
      </c>
      <c r="L146">
        <f ca="1" t="shared" si="5"/>
        <v>45942</v>
      </c>
    </row>
    <row r="147" spans="9:12">
      <c r="I147">
        <f>IFERROR(VLOOKUP(H147,Rates!$A$2:$B$3,2,0),1)</f>
        <v>1</v>
      </c>
      <c r="J147" t="str">
        <f t="shared" si="4"/>
        <v/>
      </c>
      <c r="K147" t="str">
        <f>IF(J147&lt;&gt;"",SUM($J$2:J147),"")</f>
        <v/>
      </c>
      <c r="L147">
        <f ca="1" t="shared" si="5"/>
        <v>45942</v>
      </c>
    </row>
    <row r="148" spans="9:12">
      <c r="I148">
        <f>IFERROR(VLOOKUP(H148,Rates!$A$2:$B$3,2,0),1)</f>
        <v>1</v>
      </c>
      <c r="J148" t="str">
        <f t="shared" si="4"/>
        <v/>
      </c>
      <c r="K148" t="str">
        <f>IF(J148&lt;&gt;"",SUM($J$2:J148),"")</f>
        <v/>
      </c>
      <c r="L148">
        <f ca="1" t="shared" si="5"/>
        <v>45942</v>
      </c>
    </row>
    <row r="149" spans="9:12">
      <c r="I149">
        <f>IFERROR(VLOOKUP(H149,Rates!$A$2:$B$3,2,0),1)</f>
        <v>1</v>
      </c>
      <c r="J149" t="str">
        <f t="shared" si="4"/>
        <v/>
      </c>
      <c r="K149" t="str">
        <f>IF(J149&lt;&gt;"",SUM($J$2:J149),"")</f>
        <v/>
      </c>
      <c r="L149">
        <f ca="1" t="shared" si="5"/>
        <v>45942</v>
      </c>
    </row>
    <row r="150" spans="9:12">
      <c r="I150">
        <f>IFERROR(VLOOKUP(H150,Rates!$A$2:$B$3,2,0),1)</f>
        <v>1</v>
      </c>
      <c r="J150" t="str">
        <f t="shared" si="4"/>
        <v/>
      </c>
      <c r="K150" t="str">
        <f>IF(J150&lt;&gt;"",SUM($J$2:J150),"")</f>
        <v/>
      </c>
      <c r="L150">
        <f ca="1" t="shared" si="5"/>
        <v>45942</v>
      </c>
    </row>
    <row r="151" spans="9:12">
      <c r="I151">
        <f>IFERROR(VLOOKUP(H151,Rates!$A$2:$B$3,2,0),1)</f>
        <v>1</v>
      </c>
      <c r="J151" t="str">
        <f t="shared" si="4"/>
        <v/>
      </c>
      <c r="K151" t="str">
        <f>IF(J151&lt;&gt;"",SUM($J$2:J151),"")</f>
        <v/>
      </c>
      <c r="L151">
        <f ca="1" t="shared" si="5"/>
        <v>45942</v>
      </c>
    </row>
    <row r="152" spans="9:12">
      <c r="I152">
        <f>IFERROR(VLOOKUP(H152,Rates!$A$2:$B$3,2,0),1)</f>
        <v>1</v>
      </c>
      <c r="J152" t="str">
        <f t="shared" si="4"/>
        <v/>
      </c>
      <c r="K152" t="str">
        <f>IF(J152&lt;&gt;"",SUM($J$2:J152),"")</f>
        <v/>
      </c>
      <c r="L152">
        <f ca="1" t="shared" si="5"/>
        <v>45942</v>
      </c>
    </row>
    <row r="153" spans="9:12">
      <c r="I153">
        <f>IFERROR(VLOOKUP(H153,Rates!$A$2:$B$3,2,0),1)</f>
        <v>1</v>
      </c>
      <c r="J153" t="str">
        <f t="shared" si="4"/>
        <v/>
      </c>
      <c r="K153" t="str">
        <f>IF(J153&lt;&gt;"",SUM($J$2:J153),"")</f>
        <v/>
      </c>
      <c r="L153">
        <f ca="1" t="shared" si="5"/>
        <v>45942</v>
      </c>
    </row>
    <row r="154" spans="9:12">
      <c r="I154">
        <f>IFERROR(VLOOKUP(H154,Rates!$A$2:$B$3,2,0),1)</f>
        <v>1</v>
      </c>
      <c r="J154" t="str">
        <f t="shared" si="4"/>
        <v/>
      </c>
      <c r="K154" t="str">
        <f>IF(J154&lt;&gt;"",SUM($J$2:J154),"")</f>
        <v/>
      </c>
      <c r="L154">
        <f ca="1" t="shared" si="5"/>
        <v>45942</v>
      </c>
    </row>
    <row r="155" spans="9:12">
      <c r="I155">
        <f>IFERROR(VLOOKUP(H155,Rates!$A$2:$B$3,2,0),1)</f>
        <v>1</v>
      </c>
      <c r="J155" t="str">
        <f t="shared" si="4"/>
        <v/>
      </c>
      <c r="K155" t="str">
        <f>IF(J155&lt;&gt;"",SUM($J$2:J155),"")</f>
        <v/>
      </c>
      <c r="L155">
        <f ca="1" t="shared" si="5"/>
        <v>45942</v>
      </c>
    </row>
    <row r="156" spans="9:12">
      <c r="I156">
        <f>IFERROR(VLOOKUP(H156,Rates!$A$2:$B$3,2,0),1)</f>
        <v>1</v>
      </c>
      <c r="J156" t="str">
        <f t="shared" si="4"/>
        <v/>
      </c>
      <c r="K156" t="str">
        <f>IF(J156&lt;&gt;"",SUM($J$2:J156),"")</f>
        <v/>
      </c>
      <c r="L156">
        <f ca="1" t="shared" si="5"/>
        <v>45942</v>
      </c>
    </row>
    <row r="157" spans="9:12">
      <c r="I157">
        <f>IFERROR(VLOOKUP(H157,Rates!$A$2:$B$3,2,0),1)</f>
        <v>1</v>
      </c>
      <c r="J157" t="str">
        <f t="shared" si="4"/>
        <v/>
      </c>
      <c r="K157" t="str">
        <f>IF(J157&lt;&gt;"",SUM($J$2:J157),"")</f>
        <v/>
      </c>
      <c r="L157">
        <f ca="1" t="shared" si="5"/>
        <v>45942</v>
      </c>
    </row>
    <row r="158" spans="9:12">
      <c r="I158">
        <f>IFERROR(VLOOKUP(H158,Rates!$A$2:$B$3,2,0),1)</f>
        <v>1</v>
      </c>
      <c r="J158" t="str">
        <f t="shared" si="4"/>
        <v/>
      </c>
      <c r="K158" t="str">
        <f>IF(J158&lt;&gt;"",SUM($J$2:J158),"")</f>
        <v/>
      </c>
      <c r="L158">
        <f ca="1" t="shared" si="5"/>
        <v>45942</v>
      </c>
    </row>
    <row r="159" spans="9:12">
      <c r="I159">
        <f>IFERROR(VLOOKUP(H159,Rates!$A$2:$B$3,2,0),1)</f>
        <v>1</v>
      </c>
      <c r="J159" t="str">
        <f t="shared" si="4"/>
        <v/>
      </c>
      <c r="K159" t="str">
        <f>IF(J159&lt;&gt;"",SUM($J$2:J159),"")</f>
        <v/>
      </c>
      <c r="L159">
        <f ca="1" t="shared" si="5"/>
        <v>45942</v>
      </c>
    </row>
    <row r="160" spans="9:12">
      <c r="I160">
        <f>IFERROR(VLOOKUP(H160,Rates!$A$2:$B$3,2,0),1)</f>
        <v>1</v>
      </c>
      <c r="J160" t="str">
        <f t="shared" si="4"/>
        <v/>
      </c>
      <c r="K160" t="str">
        <f>IF(J160&lt;&gt;"",SUM($J$2:J160),"")</f>
        <v/>
      </c>
      <c r="L160">
        <f ca="1" t="shared" si="5"/>
        <v>45942</v>
      </c>
    </row>
    <row r="161" spans="9:12">
      <c r="I161">
        <f>IFERROR(VLOOKUP(H161,Rates!$A$2:$B$3,2,0),1)</f>
        <v>1</v>
      </c>
      <c r="J161" t="str">
        <f t="shared" si="4"/>
        <v/>
      </c>
      <c r="K161" t="str">
        <f>IF(J161&lt;&gt;"",SUM($J$2:J161),"")</f>
        <v/>
      </c>
      <c r="L161">
        <f ca="1" t="shared" si="5"/>
        <v>45942</v>
      </c>
    </row>
    <row r="162" spans="9:12">
      <c r="I162">
        <f>IFERROR(VLOOKUP(H162,Rates!$A$2:$B$3,2,0),1)</f>
        <v>1</v>
      </c>
      <c r="J162" t="str">
        <f t="shared" si="4"/>
        <v/>
      </c>
      <c r="K162" t="str">
        <f>IF(J162&lt;&gt;"",SUM($J$2:J162),"")</f>
        <v/>
      </c>
      <c r="L162">
        <f ca="1" t="shared" si="5"/>
        <v>45942</v>
      </c>
    </row>
    <row r="163" spans="9:12">
      <c r="I163">
        <f>IFERROR(VLOOKUP(H163,Rates!$A$2:$B$3,2,0),1)</f>
        <v>1</v>
      </c>
      <c r="J163" t="str">
        <f t="shared" si="4"/>
        <v/>
      </c>
      <c r="K163" t="str">
        <f>IF(J163&lt;&gt;"",SUM($J$2:J163),"")</f>
        <v/>
      </c>
      <c r="L163">
        <f ca="1" t="shared" si="5"/>
        <v>45942</v>
      </c>
    </row>
    <row r="164" spans="9:12">
      <c r="I164">
        <f>IFERROR(VLOOKUP(H164,Rates!$A$2:$B$3,2,0),1)</f>
        <v>1</v>
      </c>
      <c r="J164" t="str">
        <f t="shared" si="4"/>
        <v/>
      </c>
      <c r="K164" t="str">
        <f>IF(J164&lt;&gt;"",SUM($J$2:J164),"")</f>
        <v/>
      </c>
      <c r="L164">
        <f ca="1" t="shared" si="5"/>
        <v>45942</v>
      </c>
    </row>
    <row r="165" spans="9:12">
      <c r="I165">
        <f>IFERROR(VLOOKUP(H165,Rates!$A$2:$B$3,2,0),1)</f>
        <v>1</v>
      </c>
      <c r="J165" t="str">
        <f t="shared" si="4"/>
        <v/>
      </c>
      <c r="K165" t="str">
        <f>IF(J165&lt;&gt;"",SUM($J$2:J165),"")</f>
        <v/>
      </c>
      <c r="L165">
        <f ca="1" t="shared" si="5"/>
        <v>45942</v>
      </c>
    </row>
    <row r="166" spans="9:12">
      <c r="I166">
        <f>IFERROR(VLOOKUP(H166,Rates!$A$2:$B$3,2,0),1)</f>
        <v>1</v>
      </c>
      <c r="J166" t="str">
        <f t="shared" si="4"/>
        <v/>
      </c>
      <c r="K166" t="str">
        <f>IF(J166&lt;&gt;"",SUM($J$2:J166),"")</f>
        <v/>
      </c>
      <c r="L166">
        <f ca="1" t="shared" si="5"/>
        <v>45942</v>
      </c>
    </row>
    <row r="167" spans="9:12">
      <c r="I167">
        <f>IFERROR(VLOOKUP(H167,Rates!$A$2:$B$3,2,0),1)</f>
        <v>1</v>
      </c>
      <c r="J167" t="str">
        <f t="shared" si="4"/>
        <v/>
      </c>
      <c r="K167" t="str">
        <f>IF(J167&lt;&gt;"",SUM($J$2:J167),"")</f>
        <v/>
      </c>
      <c r="L167">
        <f ca="1" t="shared" si="5"/>
        <v>45942</v>
      </c>
    </row>
    <row r="168" spans="9:12">
      <c r="I168">
        <f>IFERROR(VLOOKUP(H168,Rates!$A$2:$B$3,2,0),1)</f>
        <v>1</v>
      </c>
      <c r="J168" t="str">
        <f t="shared" si="4"/>
        <v/>
      </c>
      <c r="K168" t="str">
        <f>IF(J168&lt;&gt;"",SUM($J$2:J168),"")</f>
        <v/>
      </c>
      <c r="L168">
        <f ca="1" t="shared" si="5"/>
        <v>45942</v>
      </c>
    </row>
    <row r="169" spans="9:12">
      <c r="I169">
        <f>IFERROR(VLOOKUP(H169,Rates!$A$2:$B$3,2,0),1)</f>
        <v>1</v>
      </c>
      <c r="J169" t="str">
        <f t="shared" si="4"/>
        <v/>
      </c>
      <c r="K169" t="str">
        <f>IF(J169&lt;&gt;"",SUM($J$2:J169),"")</f>
        <v/>
      </c>
      <c r="L169">
        <f ca="1" t="shared" si="5"/>
        <v>45942</v>
      </c>
    </row>
    <row r="170" spans="9:12">
      <c r="I170">
        <f>IFERROR(VLOOKUP(H170,Rates!$A$2:$B$3,2,0),1)</f>
        <v>1</v>
      </c>
      <c r="J170" t="str">
        <f t="shared" si="4"/>
        <v/>
      </c>
      <c r="K170" t="str">
        <f>IF(J170&lt;&gt;"",SUM($J$2:J170),"")</f>
        <v/>
      </c>
      <c r="L170">
        <f ca="1" t="shared" si="5"/>
        <v>45942</v>
      </c>
    </row>
    <row r="171" spans="9:12">
      <c r="I171">
        <f>IFERROR(VLOOKUP(H171,Rates!$A$2:$B$3,2,0),1)</f>
        <v>1</v>
      </c>
      <c r="J171" t="str">
        <f t="shared" si="4"/>
        <v/>
      </c>
      <c r="K171" t="str">
        <f>IF(J171&lt;&gt;"",SUM($J$2:J171),"")</f>
        <v/>
      </c>
      <c r="L171">
        <f ca="1" t="shared" si="5"/>
        <v>45942</v>
      </c>
    </row>
    <row r="172" spans="9:12">
      <c r="I172">
        <f>IFERROR(VLOOKUP(H172,Rates!$A$2:$B$3,2,0),1)</f>
        <v>1</v>
      </c>
      <c r="J172" t="str">
        <f t="shared" si="4"/>
        <v/>
      </c>
      <c r="K172" t="str">
        <f>IF(J172&lt;&gt;"",SUM($J$2:J172),"")</f>
        <v/>
      </c>
      <c r="L172">
        <f ca="1" t="shared" si="5"/>
        <v>45942</v>
      </c>
    </row>
    <row r="173" spans="9:12">
      <c r="I173">
        <f>IFERROR(VLOOKUP(H173,Rates!$A$2:$B$3,2,0),1)</f>
        <v>1</v>
      </c>
      <c r="J173" t="str">
        <f t="shared" si="4"/>
        <v/>
      </c>
      <c r="K173" t="str">
        <f>IF(J173&lt;&gt;"",SUM($J$2:J173),"")</f>
        <v/>
      </c>
      <c r="L173">
        <f ca="1" t="shared" si="5"/>
        <v>45942</v>
      </c>
    </row>
    <row r="174" spans="9:12">
      <c r="I174">
        <f>IFERROR(VLOOKUP(H174,Rates!$A$2:$B$3,2,0),1)</f>
        <v>1</v>
      </c>
      <c r="J174" t="str">
        <f t="shared" si="4"/>
        <v/>
      </c>
      <c r="K174" t="str">
        <f>IF(J174&lt;&gt;"",SUM($J$2:J174),"")</f>
        <v/>
      </c>
      <c r="L174">
        <f ca="1" t="shared" si="5"/>
        <v>45942</v>
      </c>
    </row>
    <row r="175" spans="9:12">
      <c r="I175">
        <f>IFERROR(VLOOKUP(H175,Rates!$A$2:$B$3,2,0),1)</f>
        <v>1</v>
      </c>
      <c r="J175" t="str">
        <f t="shared" si="4"/>
        <v/>
      </c>
      <c r="K175" t="str">
        <f>IF(J175&lt;&gt;"",SUM($J$2:J175),"")</f>
        <v/>
      </c>
      <c r="L175">
        <f ca="1" t="shared" si="5"/>
        <v>45942</v>
      </c>
    </row>
    <row r="176" spans="9:12">
      <c r="I176">
        <f>IFERROR(VLOOKUP(H176,Rates!$A$2:$B$3,2,0),1)</f>
        <v>1</v>
      </c>
      <c r="J176" t="str">
        <f t="shared" si="4"/>
        <v/>
      </c>
      <c r="K176" t="str">
        <f>IF(J176&lt;&gt;"",SUM($J$2:J176),"")</f>
        <v/>
      </c>
      <c r="L176">
        <f ca="1" t="shared" si="5"/>
        <v>45942</v>
      </c>
    </row>
    <row r="177" spans="9:12">
      <c r="I177">
        <f>IFERROR(VLOOKUP(H177,Rates!$A$2:$B$3,2,0),1)</f>
        <v>1</v>
      </c>
      <c r="J177" t="str">
        <f t="shared" si="4"/>
        <v/>
      </c>
      <c r="K177" t="str">
        <f>IF(J177&lt;&gt;"",SUM($J$2:J177),"")</f>
        <v/>
      </c>
      <c r="L177">
        <f ca="1" t="shared" si="5"/>
        <v>45942</v>
      </c>
    </row>
    <row r="178" spans="9:12">
      <c r="I178">
        <f>IFERROR(VLOOKUP(H178,Rates!$A$2:$B$3,2,0),1)</f>
        <v>1</v>
      </c>
      <c r="J178" t="str">
        <f t="shared" si="4"/>
        <v/>
      </c>
      <c r="K178" t="str">
        <f>IF(J178&lt;&gt;"",SUM($J$2:J178),"")</f>
        <v/>
      </c>
      <c r="L178">
        <f ca="1" t="shared" si="5"/>
        <v>45942</v>
      </c>
    </row>
    <row r="179" spans="9:12">
      <c r="I179">
        <f>IFERROR(VLOOKUP(H179,Rates!$A$2:$B$3,2,0),1)</f>
        <v>1</v>
      </c>
      <c r="J179" t="str">
        <f t="shared" si="4"/>
        <v/>
      </c>
      <c r="K179" t="str">
        <f>IF(J179&lt;&gt;"",SUM($J$2:J179),"")</f>
        <v/>
      </c>
      <c r="L179">
        <f ca="1" t="shared" si="5"/>
        <v>45942</v>
      </c>
    </row>
    <row r="180" spans="9:12">
      <c r="I180">
        <f>IFERROR(VLOOKUP(H180,Rates!$A$2:$B$3,2,0),1)</f>
        <v>1</v>
      </c>
      <c r="J180" t="str">
        <f t="shared" si="4"/>
        <v/>
      </c>
      <c r="K180" t="str">
        <f>IF(J180&lt;&gt;"",SUM($J$2:J180),"")</f>
        <v/>
      </c>
      <c r="L180">
        <f ca="1" t="shared" si="5"/>
        <v>45942</v>
      </c>
    </row>
    <row r="181" spans="9:12">
      <c r="I181">
        <f>IFERROR(VLOOKUP(H181,Rates!$A$2:$B$3,2,0),1)</f>
        <v>1</v>
      </c>
      <c r="J181" t="str">
        <f t="shared" si="4"/>
        <v/>
      </c>
      <c r="K181" t="str">
        <f>IF(J181&lt;&gt;"",SUM($J$2:J181),"")</f>
        <v/>
      </c>
      <c r="L181">
        <f ca="1" t="shared" si="5"/>
        <v>45942</v>
      </c>
    </row>
    <row r="182" spans="9:12">
      <c r="I182">
        <f>IFERROR(VLOOKUP(H182,Rates!$A$2:$B$3,2,0),1)</f>
        <v>1</v>
      </c>
      <c r="J182" t="str">
        <f t="shared" si="4"/>
        <v/>
      </c>
      <c r="K182" t="str">
        <f>IF(J182&lt;&gt;"",SUM($J$2:J182),"")</f>
        <v/>
      </c>
      <c r="L182">
        <f ca="1" t="shared" si="5"/>
        <v>45942</v>
      </c>
    </row>
    <row r="183" spans="9:12">
      <c r="I183">
        <f>IFERROR(VLOOKUP(H183,Rates!$A$2:$B$3,2,0),1)</f>
        <v>1</v>
      </c>
      <c r="J183" t="str">
        <f t="shared" si="4"/>
        <v/>
      </c>
      <c r="K183" t="str">
        <f>IF(J183&lt;&gt;"",SUM($J$2:J183),"")</f>
        <v/>
      </c>
      <c r="L183">
        <f ca="1" t="shared" si="5"/>
        <v>45942</v>
      </c>
    </row>
    <row r="184" spans="9:12">
      <c r="I184">
        <f>IFERROR(VLOOKUP(H184,Rates!$A$2:$B$3,2,0),1)</f>
        <v>1</v>
      </c>
      <c r="J184" t="str">
        <f t="shared" si="4"/>
        <v/>
      </c>
      <c r="K184" t="str">
        <f>IF(J184&lt;&gt;"",SUM($J$2:J184),"")</f>
        <v/>
      </c>
      <c r="L184">
        <f ca="1" t="shared" si="5"/>
        <v>45942</v>
      </c>
    </row>
    <row r="185" spans="9:12">
      <c r="I185">
        <f>IFERROR(VLOOKUP(H185,Rates!$A$2:$B$3,2,0),1)</f>
        <v>1</v>
      </c>
      <c r="J185" t="str">
        <f t="shared" si="4"/>
        <v/>
      </c>
      <c r="K185" t="str">
        <f>IF(J185&lt;&gt;"",SUM($J$2:J185),"")</f>
        <v/>
      </c>
      <c r="L185">
        <f ca="1" t="shared" si="5"/>
        <v>45942</v>
      </c>
    </row>
    <row r="186" spans="9:12">
      <c r="I186">
        <f>IFERROR(VLOOKUP(H186,Rates!$A$2:$B$3,2,0),1)</f>
        <v>1</v>
      </c>
      <c r="J186" t="str">
        <f t="shared" si="4"/>
        <v/>
      </c>
      <c r="K186" t="str">
        <f>IF(J186&lt;&gt;"",SUM($J$2:J186),"")</f>
        <v/>
      </c>
      <c r="L186">
        <f ca="1" t="shared" si="5"/>
        <v>45942</v>
      </c>
    </row>
    <row r="187" spans="9:12">
      <c r="I187">
        <f>IFERROR(VLOOKUP(H187,Rates!$A$2:$B$3,2,0),1)</f>
        <v>1</v>
      </c>
      <c r="J187" t="str">
        <f t="shared" si="4"/>
        <v/>
      </c>
      <c r="K187" t="str">
        <f>IF(J187&lt;&gt;"",SUM($J$2:J187),"")</f>
        <v/>
      </c>
      <c r="L187">
        <f ca="1" t="shared" si="5"/>
        <v>45942</v>
      </c>
    </row>
    <row r="188" spans="9:12">
      <c r="I188">
        <f>IFERROR(VLOOKUP(H188,Rates!$A$2:$B$3,2,0),1)</f>
        <v>1</v>
      </c>
      <c r="J188" t="str">
        <f t="shared" si="4"/>
        <v/>
      </c>
      <c r="K188" t="str">
        <f>IF(J188&lt;&gt;"",SUM($J$2:J188),"")</f>
        <v/>
      </c>
      <c r="L188">
        <f ca="1" t="shared" si="5"/>
        <v>45942</v>
      </c>
    </row>
    <row r="189" spans="9:12">
      <c r="I189">
        <f>IFERROR(VLOOKUP(H189,Rates!$A$2:$B$3,2,0),1)</f>
        <v>1</v>
      </c>
      <c r="J189" t="str">
        <f t="shared" si="4"/>
        <v/>
      </c>
      <c r="K189" t="str">
        <f>IF(J189&lt;&gt;"",SUM($J$2:J189),"")</f>
        <v/>
      </c>
      <c r="L189">
        <f ca="1" t="shared" si="5"/>
        <v>45942</v>
      </c>
    </row>
    <row r="190" spans="9:12">
      <c r="I190">
        <f>IFERROR(VLOOKUP(H190,Rates!$A$2:$B$3,2,0),1)</f>
        <v>1</v>
      </c>
      <c r="J190" t="str">
        <f t="shared" si="4"/>
        <v/>
      </c>
      <c r="K190" t="str">
        <f>IF(J190&lt;&gt;"",SUM($J$2:J190),"")</f>
        <v/>
      </c>
      <c r="L190">
        <f ca="1" t="shared" si="5"/>
        <v>45942</v>
      </c>
    </row>
    <row r="191" spans="9:12">
      <c r="I191">
        <f>IFERROR(VLOOKUP(H191,Rates!$A$2:$B$3,2,0),1)</f>
        <v>1</v>
      </c>
      <c r="J191" t="str">
        <f t="shared" si="4"/>
        <v/>
      </c>
      <c r="K191" t="str">
        <f>IF(J191&lt;&gt;"",SUM($J$2:J191),"")</f>
        <v/>
      </c>
      <c r="L191">
        <f ca="1" t="shared" si="5"/>
        <v>45942</v>
      </c>
    </row>
    <row r="192" spans="9:12">
      <c r="I192">
        <f>IFERROR(VLOOKUP(H192,Rates!$A$2:$B$3,2,0),1)</f>
        <v>1</v>
      </c>
      <c r="J192" t="str">
        <f t="shared" si="4"/>
        <v/>
      </c>
      <c r="K192" t="str">
        <f>IF(J192&lt;&gt;"",SUM($J$2:J192),"")</f>
        <v/>
      </c>
      <c r="L192">
        <f ca="1" t="shared" si="5"/>
        <v>45942</v>
      </c>
    </row>
    <row r="193" spans="9:12">
      <c r="I193">
        <f>IFERROR(VLOOKUP(H193,Rates!$A$2:$B$3,2,0),1)</f>
        <v>1</v>
      </c>
      <c r="J193" t="str">
        <f t="shared" si="4"/>
        <v/>
      </c>
      <c r="K193" t="str">
        <f>IF(J193&lt;&gt;"",SUM($J$2:J193),"")</f>
        <v/>
      </c>
      <c r="L193">
        <f ca="1" t="shared" si="5"/>
        <v>45942</v>
      </c>
    </row>
    <row r="194" spans="9:12">
      <c r="I194">
        <f>IFERROR(VLOOKUP(H194,Rates!$A$2:$B$3,2,0),1)</f>
        <v>1</v>
      </c>
      <c r="J194" t="str">
        <f t="shared" ref="J194:J257" si="6">IF(G194&lt;&gt;"",G194*I194,"")</f>
        <v/>
      </c>
      <c r="K194" t="str">
        <f>IF(J194&lt;&gt;"",SUM($J$2:J194),"")</f>
        <v/>
      </c>
      <c r="L194">
        <f ca="1" t="shared" ref="L194:L257" si="7">IF(COUNTA(A194:K194)&gt;0,TODAY(),"")</f>
        <v>45942</v>
      </c>
    </row>
    <row r="195" spans="9:12">
      <c r="I195">
        <f>IFERROR(VLOOKUP(H195,Rates!$A$2:$B$3,2,0),1)</f>
        <v>1</v>
      </c>
      <c r="J195" t="str">
        <f t="shared" si="6"/>
        <v/>
      </c>
      <c r="K195" t="str">
        <f>IF(J195&lt;&gt;"",SUM($J$2:J195),"")</f>
        <v/>
      </c>
      <c r="L195">
        <f ca="1" t="shared" si="7"/>
        <v>45942</v>
      </c>
    </row>
    <row r="196" spans="9:12">
      <c r="I196">
        <f>IFERROR(VLOOKUP(H196,Rates!$A$2:$B$3,2,0),1)</f>
        <v>1</v>
      </c>
      <c r="J196" t="str">
        <f t="shared" si="6"/>
        <v/>
      </c>
      <c r="K196" t="str">
        <f>IF(J196&lt;&gt;"",SUM($J$2:J196),"")</f>
        <v/>
      </c>
      <c r="L196">
        <f ca="1" t="shared" si="7"/>
        <v>45942</v>
      </c>
    </row>
    <row r="197" spans="9:12">
      <c r="I197">
        <f>IFERROR(VLOOKUP(H197,Rates!$A$2:$B$3,2,0),1)</f>
        <v>1</v>
      </c>
      <c r="J197" t="str">
        <f t="shared" si="6"/>
        <v/>
      </c>
      <c r="K197" t="str">
        <f>IF(J197&lt;&gt;"",SUM($J$2:J197),"")</f>
        <v/>
      </c>
      <c r="L197">
        <f ca="1" t="shared" si="7"/>
        <v>45942</v>
      </c>
    </row>
    <row r="198" spans="9:12">
      <c r="I198">
        <f>IFERROR(VLOOKUP(H198,Rates!$A$2:$B$3,2,0),1)</f>
        <v>1</v>
      </c>
      <c r="J198" t="str">
        <f t="shared" si="6"/>
        <v/>
      </c>
      <c r="K198" t="str">
        <f>IF(J198&lt;&gt;"",SUM($J$2:J198),"")</f>
        <v/>
      </c>
      <c r="L198">
        <f ca="1" t="shared" si="7"/>
        <v>45942</v>
      </c>
    </row>
    <row r="199" spans="9:12">
      <c r="I199">
        <f>IFERROR(VLOOKUP(H199,Rates!$A$2:$B$3,2,0),1)</f>
        <v>1</v>
      </c>
      <c r="J199" t="str">
        <f t="shared" si="6"/>
        <v/>
      </c>
      <c r="K199" t="str">
        <f>IF(J199&lt;&gt;"",SUM($J$2:J199),"")</f>
        <v/>
      </c>
      <c r="L199">
        <f ca="1" t="shared" si="7"/>
        <v>45942</v>
      </c>
    </row>
    <row r="200" spans="9:12">
      <c r="I200">
        <f>IFERROR(VLOOKUP(H200,Rates!$A$2:$B$3,2,0),1)</f>
        <v>1</v>
      </c>
      <c r="J200" t="str">
        <f t="shared" si="6"/>
        <v/>
      </c>
      <c r="K200" t="str">
        <f>IF(J200&lt;&gt;"",SUM($J$2:J200),"")</f>
        <v/>
      </c>
      <c r="L200">
        <f ca="1" t="shared" si="7"/>
        <v>45942</v>
      </c>
    </row>
    <row r="201" spans="9:12">
      <c r="I201">
        <f>IFERROR(VLOOKUP(H201,Rates!$A$2:$B$3,2,0),1)</f>
        <v>1</v>
      </c>
      <c r="J201" t="str">
        <f t="shared" si="6"/>
        <v/>
      </c>
      <c r="K201" t="str">
        <f>IF(J201&lt;&gt;"",SUM($J$2:J201),"")</f>
        <v/>
      </c>
      <c r="L201">
        <f ca="1" t="shared" si="7"/>
        <v>45942</v>
      </c>
    </row>
    <row r="202" spans="9:12">
      <c r="I202">
        <f>IFERROR(VLOOKUP(H202,Rates!$A$2:$B$3,2,0),1)</f>
        <v>1</v>
      </c>
      <c r="J202" t="str">
        <f t="shared" si="6"/>
        <v/>
      </c>
      <c r="K202" t="str">
        <f>IF(J202&lt;&gt;"",SUM($J$2:J202),"")</f>
        <v/>
      </c>
      <c r="L202">
        <f ca="1" t="shared" si="7"/>
        <v>45942</v>
      </c>
    </row>
    <row r="203" spans="9:12">
      <c r="I203">
        <f>IFERROR(VLOOKUP(H203,Rates!$A$2:$B$3,2,0),1)</f>
        <v>1</v>
      </c>
      <c r="J203" t="str">
        <f t="shared" si="6"/>
        <v/>
      </c>
      <c r="K203" t="str">
        <f>IF(J203&lt;&gt;"",SUM($J$2:J203),"")</f>
        <v/>
      </c>
      <c r="L203">
        <f ca="1" t="shared" si="7"/>
        <v>45942</v>
      </c>
    </row>
    <row r="204" spans="9:12">
      <c r="I204">
        <f>IFERROR(VLOOKUP(H204,Rates!$A$2:$B$3,2,0),1)</f>
        <v>1</v>
      </c>
      <c r="J204" t="str">
        <f t="shared" si="6"/>
        <v/>
      </c>
      <c r="K204" t="str">
        <f>IF(J204&lt;&gt;"",SUM($J$2:J204),"")</f>
        <v/>
      </c>
      <c r="L204">
        <f ca="1" t="shared" si="7"/>
        <v>45942</v>
      </c>
    </row>
    <row r="205" spans="9:12">
      <c r="I205">
        <f>IFERROR(VLOOKUP(H205,Rates!$A$2:$B$3,2,0),1)</f>
        <v>1</v>
      </c>
      <c r="J205" t="str">
        <f t="shared" si="6"/>
        <v/>
      </c>
      <c r="K205" t="str">
        <f>IF(J205&lt;&gt;"",SUM($J$2:J205),"")</f>
        <v/>
      </c>
      <c r="L205">
        <f ca="1" t="shared" si="7"/>
        <v>45942</v>
      </c>
    </row>
    <row r="206" spans="9:12">
      <c r="I206">
        <f>IFERROR(VLOOKUP(H206,Rates!$A$2:$B$3,2,0),1)</f>
        <v>1</v>
      </c>
      <c r="J206" t="str">
        <f t="shared" si="6"/>
        <v/>
      </c>
      <c r="K206" t="str">
        <f>IF(J206&lt;&gt;"",SUM($J$2:J206),"")</f>
        <v/>
      </c>
      <c r="L206">
        <f ca="1" t="shared" si="7"/>
        <v>45942</v>
      </c>
    </row>
    <row r="207" spans="9:12">
      <c r="I207">
        <f>IFERROR(VLOOKUP(H207,Rates!$A$2:$B$3,2,0),1)</f>
        <v>1</v>
      </c>
      <c r="J207" t="str">
        <f t="shared" si="6"/>
        <v/>
      </c>
      <c r="K207" t="str">
        <f>IF(J207&lt;&gt;"",SUM($J$2:J207),"")</f>
        <v/>
      </c>
      <c r="L207">
        <f ca="1" t="shared" si="7"/>
        <v>45942</v>
      </c>
    </row>
    <row r="208" spans="9:12">
      <c r="I208">
        <f>IFERROR(VLOOKUP(H208,Rates!$A$2:$B$3,2,0),1)</f>
        <v>1</v>
      </c>
      <c r="J208" t="str">
        <f t="shared" si="6"/>
        <v/>
      </c>
      <c r="K208" t="str">
        <f>IF(J208&lt;&gt;"",SUM($J$2:J208),"")</f>
        <v/>
      </c>
      <c r="L208">
        <f ca="1" t="shared" si="7"/>
        <v>45942</v>
      </c>
    </row>
    <row r="209" spans="9:12">
      <c r="I209">
        <f>IFERROR(VLOOKUP(H209,Rates!$A$2:$B$3,2,0),1)</f>
        <v>1</v>
      </c>
      <c r="J209" t="str">
        <f t="shared" si="6"/>
        <v/>
      </c>
      <c r="K209" t="str">
        <f>IF(J209&lt;&gt;"",SUM($J$2:J209),"")</f>
        <v/>
      </c>
      <c r="L209">
        <f ca="1" t="shared" si="7"/>
        <v>45942</v>
      </c>
    </row>
    <row r="210" spans="9:12">
      <c r="I210">
        <f>IFERROR(VLOOKUP(H210,Rates!$A$2:$B$3,2,0),1)</f>
        <v>1</v>
      </c>
      <c r="J210" t="str">
        <f t="shared" si="6"/>
        <v/>
      </c>
      <c r="K210" t="str">
        <f>IF(J210&lt;&gt;"",SUM($J$2:J210),"")</f>
        <v/>
      </c>
      <c r="L210">
        <f ca="1" t="shared" si="7"/>
        <v>45942</v>
      </c>
    </row>
    <row r="211" spans="9:12">
      <c r="I211">
        <f>IFERROR(VLOOKUP(H211,Rates!$A$2:$B$3,2,0),1)</f>
        <v>1</v>
      </c>
      <c r="J211" t="str">
        <f t="shared" si="6"/>
        <v/>
      </c>
      <c r="K211" t="str">
        <f>IF(J211&lt;&gt;"",SUM($J$2:J211),"")</f>
        <v/>
      </c>
      <c r="L211">
        <f ca="1" t="shared" si="7"/>
        <v>45942</v>
      </c>
    </row>
    <row r="212" spans="9:12">
      <c r="I212">
        <f>IFERROR(VLOOKUP(H212,Rates!$A$2:$B$3,2,0),1)</f>
        <v>1</v>
      </c>
      <c r="J212" t="str">
        <f t="shared" si="6"/>
        <v/>
      </c>
      <c r="K212" t="str">
        <f>IF(J212&lt;&gt;"",SUM($J$2:J212),"")</f>
        <v/>
      </c>
      <c r="L212">
        <f ca="1" t="shared" si="7"/>
        <v>45942</v>
      </c>
    </row>
    <row r="213" spans="9:12">
      <c r="I213">
        <f>IFERROR(VLOOKUP(H213,Rates!$A$2:$B$3,2,0),1)</f>
        <v>1</v>
      </c>
      <c r="J213" t="str">
        <f t="shared" si="6"/>
        <v/>
      </c>
      <c r="K213" t="str">
        <f>IF(J213&lt;&gt;"",SUM($J$2:J213),"")</f>
        <v/>
      </c>
      <c r="L213">
        <f ca="1" t="shared" si="7"/>
        <v>45942</v>
      </c>
    </row>
    <row r="214" spans="9:12">
      <c r="I214">
        <f>IFERROR(VLOOKUP(H214,Rates!$A$2:$B$3,2,0),1)</f>
        <v>1</v>
      </c>
      <c r="J214" t="str">
        <f t="shared" si="6"/>
        <v/>
      </c>
      <c r="K214" t="str">
        <f>IF(J214&lt;&gt;"",SUM($J$2:J214),"")</f>
        <v/>
      </c>
      <c r="L214">
        <f ca="1" t="shared" si="7"/>
        <v>45942</v>
      </c>
    </row>
    <row r="215" spans="9:12">
      <c r="I215">
        <f>IFERROR(VLOOKUP(H215,Rates!$A$2:$B$3,2,0),1)</f>
        <v>1</v>
      </c>
      <c r="J215" t="str">
        <f t="shared" si="6"/>
        <v/>
      </c>
      <c r="K215" t="str">
        <f>IF(J215&lt;&gt;"",SUM($J$2:J215),"")</f>
        <v/>
      </c>
      <c r="L215">
        <f ca="1" t="shared" si="7"/>
        <v>45942</v>
      </c>
    </row>
    <row r="216" spans="9:12">
      <c r="I216">
        <f>IFERROR(VLOOKUP(H216,Rates!$A$2:$B$3,2,0),1)</f>
        <v>1</v>
      </c>
      <c r="J216" t="str">
        <f t="shared" si="6"/>
        <v/>
      </c>
      <c r="K216" t="str">
        <f>IF(J216&lt;&gt;"",SUM($J$2:J216),"")</f>
        <v/>
      </c>
      <c r="L216">
        <f ca="1" t="shared" si="7"/>
        <v>45942</v>
      </c>
    </row>
    <row r="217" spans="9:12">
      <c r="I217">
        <f>IFERROR(VLOOKUP(H217,Rates!$A$2:$B$3,2,0),1)</f>
        <v>1</v>
      </c>
      <c r="J217" t="str">
        <f t="shared" si="6"/>
        <v/>
      </c>
      <c r="K217" t="str">
        <f>IF(J217&lt;&gt;"",SUM($J$2:J217),"")</f>
        <v/>
      </c>
      <c r="L217">
        <f ca="1" t="shared" si="7"/>
        <v>45942</v>
      </c>
    </row>
    <row r="218" spans="9:12">
      <c r="I218">
        <f>IFERROR(VLOOKUP(H218,Rates!$A$2:$B$3,2,0),1)</f>
        <v>1</v>
      </c>
      <c r="J218" t="str">
        <f t="shared" si="6"/>
        <v/>
      </c>
      <c r="K218" t="str">
        <f>IF(J218&lt;&gt;"",SUM($J$2:J218),"")</f>
        <v/>
      </c>
      <c r="L218">
        <f ca="1" t="shared" si="7"/>
        <v>45942</v>
      </c>
    </row>
    <row r="219" spans="9:12">
      <c r="I219">
        <f>IFERROR(VLOOKUP(H219,Rates!$A$2:$B$3,2,0),1)</f>
        <v>1</v>
      </c>
      <c r="J219" t="str">
        <f t="shared" si="6"/>
        <v/>
      </c>
      <c r="K219" t="str">
        <f>IF(J219&lt;&gt;"",SUM($J$2:J219),"")</f>
        <v/>
      </c>
      <c r="L219">
        <f ca="1" t="shared" si="7"/>
        <v>45942</v>
      </c>
    </row>
    <row r="220" spans="9:12">
      <c r="I220">
        <f>IFERROR(VLOOKUP(H220,Rates!$A$2:$B$3,2,0),1)</f>
        <v>1</v>
      </c>
      <c r="J220" t="str">
        <f t="shared" si="6"/>
        <v/>
      </c>
      <c r="K220" t="str">
        <f>IF(J220&lt;&gt;"",SUM($J$2:J220),"")</f>
        <v/>
      </c>
      <c r="L220">
        <f ca="1" t="shared" si="7"/>
        <v>45942</v>
      </c>
    </row>
    <row r="221" spans="9:12">
      <c r="I221">
        <f>IFERROR(VLOOKUP(H221,Rates!$A$2:$B$3,2,0),1)</f>
        <v>1</v>
      </c>
      <c r="J221" t="str">
        <f t="shared" si="6"/>
        <v/>
      </c>
      <c r="K221" t="str">
        <f>IF(J221&lt;&gt;"",SUM($J$2:J221),"")</f>
        <v/>
      </c>
      <c r="L221">
        <f ca="1" t="shared" si="7"/>
        <v>45942</v>
      </c>
    </row>
    <row r="222" spans="9:12">
      <c r="I222">
        <f>IFERROR(VLOOKUP(H222,Rates!$A$2:$B$3,2,0),1)</f>
        <v>1</v>
      </c>
      <c r="J222" t="str">
        <f t="shared" si="6"/>
        <v/>
      </c>
      <c r="K222" t="str">
        <f>IF(J222&lt;&gt;"",SUM($J$2:J222),"")</f>
        <v/>
      </c>
      <c r="L222">
        <f ca="1" t="shared" si="7"/>
        <v>45942</v>
      </c>
    </row>
    <row r="223" spans="9:12">
      <c r="I223">
        <f>IFERROR(VLOOKUP(H223,Rates!$A$2:$B$3,2,0),1)</f>
        <v>1</v>
      </c>
      <c r="J223" t="str">
        <f t="shared" si="6"/>
        <v/>
      </c>
      <c r="K223" t="str">
        <f>IF(J223&lt;&gt;"",SUM($J$2:J223),"")</f>
        <v/>
      </c>
      <c r="L223">
        <f ca="1" t="shared" si="7"/>
        <v>45942</v>
      </c>
    </row>
    <row r="224" spans="9:12">
      <c r="I224">
        <f>IFERROR(VLOOKUP(H224,Rates!$A$2:$B$3,2,0),1)</f>
        <v>1</v>
      </c>
      <c r="J224" t="str">
        <f t="shared" si="6"/>
        <v/>
      </c>
      <c r="K224" t="str">
        <f>IF(J224&lt;&gt;"",SUM($J$2:J224),"")</f>
        <v/>
      </c>
      <c r="L224">
        <f ca="1" t="shared" si="7"/>
        <v>45942</v>
      </c>
    </row>
    <row r="225" spans="9:12">
      <c r="I225">
        <f>IFERROR(VLOOKUP(H225,Rates!$A$2:$B$3,2,0),1)</f>
        <v>1</v>
      </c>
      <c r="J225" t="str">
        <f t="shared" si="6"/>
        <v/>
      </c>
      <c r="K225" t="str">
        <f>IF(J225&lt;&gt;"",SUM($J$2:J225),"")</f>
        <v/>
      </c>
      <c r="L225">
        <f ca="1" t="shared" si="7"/>
        <v>45942</v>
      </c>
    </row>
    <row r="226" spans="9:12">
      <c r="I226">
        <f>IFERROR(VLOOKUP(H226,Rates!$A$2:$B$3,2,0),1)</f>
        <v>1</v>
      </c>
      <c r="J226" t="str">
        <f t="shared" si="6"/>
        <v/>
      </c>
      <c r="K226" t="str">
        <f>IF(J226&lt;&gt;"",SUM($J$2:J226),"")</f>
        <v/>
      </c>
      <c r="L226">
        <f ca="1" t="shared" si="7"/>
        <v>45942</v>
      </c>
    </row>
    <row r="227" spans="9:12">
      <c r="I227">
        <f>IFERROR(VLOOKUP(H227,Rates!$A$2:$B$3,2,0),1)</f>
        <v>1</v>
      </c>
      <c r="J227" t="str">
        <f t="shared" si="6"/>
        <v/>
      </c>
      <c r="K227" t="str">
        <f>IF(J227&lt;&gt;"",SUM($J$2:J227),"")</f>
        <v/>
      </c>
      <c r="L227">
        <f ca="1" t="shared" si="7"/>
        <v>45942</v>
      </c>
    </row>
    <row r="228" spans="9:12">
      <c r="I228">
        <f>IFERROR(VLOOKUP(H228,Rates!$A$2:$B$3,2,0),1)</f>
        <v>1</v>
      </c>
      <c r="J228" t="str">
        <f t="shared" si="6"/>
        <v/>
      </c>
      <c r="K228" t="str">
        <f>IF(J228&lt;&gt;"",SUM($J$2:J228),"")</f>
        <v/>
      </c>
      <c r="L228">
        <f ca="1" t="shared" si="7"/>
        <v>45942</v>
      </c>
    </row>
    <row r="229" spans="9:12">
      <c r="I229">
        <f>IFERROR(VLOOKUP(H229,Rates!$A$2:$B$3,2,0),1)</f>
        <v>1</v>
      </c>
      <c r="J229" t="str">
        <f t="shared" si="6"/>
        <v/>
      </c>
      <c r="K229" t="str">
        <f>IF(J229&lt;&gt;"",SUM($J$2:J229),"")</f>
        <v/>
      </c>
      <c r="L229">
        <f ca="1" t="shared" si="7"/>
        <v>45942</v>
      </c>
    </row>
    <row r="230" spans="9:12">
      <c r="I230">
        <f>IFERROR(VLOOKUP(H230,Rates!$A$2:$B$3,2,0),1)</f>
        <v>1</v>
      </c>
      <c r="J230" t="str">
        <f t="shared" si="6"/>
        <v/>
      </c>
      <c r="K230" t="str">
        <f>IF(J230&lt;&gt;"",SUM($J$2:J230),"")</f>
        <v/>
      </c>
      <c r="L230">
        <f ca="1" t="shared" si="7"/>
        <v>45942</v>
      </c>
    </row>
    <row r="231" spans="9:12">
      <c r="I231">
        <f>IFERROR(VLOOKUP(H231,Rates!$A$2:$B$3,2,0),1)</f>
        <v>1</v>
      </c>
      <c r="J231" t="str">
        <f t="shared" si="6"/>
        <v/>
      </c>
      <c r="K231" t="str">
        <f>IF(J231&lt;&gt;"",SUM($J$2:J231),"")</f>
        <v/>
      </c>
      <c r="L231">
        <f ca="1" t="shared" si="7"/>
        <v>45942</v>
      </c>
    </row>
    <row r="232" spans="9:12">
      <c r="I232">
        <f>IFERROR(VLOOKUP(H232,Rates!$A$2:$B$3,2,0),1)</f>
        <v>1</v>
      </c>
      <c r="J232" t="str">
        <f t="shared" si="6"/>
        <v/>
      </c>
      <c r="K232" t="str">
        <f>IF(J232&lt;&gt;"",SUM($J$2:J232),"")</f>
        <v/>
      </c>
      <c r="L232">
        <f ca="1" t="shared" si="7"/>
        <v>45942</v>
      </c>
    </row>
    <row r="233" spans="9:12">
      <c r="I233">
        <f>IFERROR(VLOOKUP(H233,Rates!$A$2:$B$3,2,0),1)</f>
        <v>1</v>
      </c>
      <c r="J233" t="str">
        <f t="shared" si="6"/>
        <v/>
      </c>
      <c r="K233" t="str">
        <f>IF(J233&lt;&gt;"",SUM($J$2:J233),"")</f>
        <v/>
      </c>
      <c r="L233">
        <f ca="1" t="shared" si="7"/>
        <v>45942</v>
      </c>
    </row>
    <row r="234" spans="9:12">
      <c r="I234">
        <f>IFERROR(VLOOKUP(H234,Rates!$A$2:$B$3,2,0),1)</f>
        <v>1</v>
      </c>
      <c r="J234" t="str">
        <f t="shared" si="6"/>
        <v/>
      </c>
      <c r="K234" t="str">
        <f>IF(J234&lt;&gt;"",SUM($J$2:J234),"")</f>
        <v/>
      </c>
      <c r="L234">
        <f ca="1" t="shared" si="7"/>
        <v>45942</v>
      </c>
    </row>
    <row r="235" spans="9:12">
      <c r="I235">
        <f>IFERROR(VLOOKUP(H235,Rates!$A$2:$B$3,2,0),1)</f>
        <v>1</v>
      </c>
      <c r="J235" t="str">
        <f t="shared" si="6"/>
        <v/>
      </c>
      <c r="K235" t="str">
        <f>IF(J235&lt;&gt;"",SUM($J$2:J235),"")</f>
        <v/>
      </c>
      <c r="L235">
        <f ca="1" t="shared" si="7"/>
        <v>45942</v>
      </c>
    </row>
    <row r="236" spans="9:12">
      <c r="I236">
        <f>IFERROR(VLOOKUP(H236,Rates!$A$2:$B$3,2,0),1)</f>
        <v>1</v>
      </c>
      <c r="J236" t="str">
        <f t="shared" si="6"/>
        <v/>
      </c>
      <c r="K236" t="str">
        <f>IF(J236&lt;&gt;"",SUM($J$2:J236),"")</f>
        <v/>
      </c>
      <c r="L236">
        <f ca="1" t="shared" si="7"/>
        <v>45942</v>
      </c>
    </row>
    <row r="237" spans="9:12">
      <c r="I237">
        <f>IFERROR(VLOOKUP(H237,Rates!$A$2:$B$3,2,0),1)</f>
        <v>1</v>
      </c>
      <c r="J237" t="str">
        <f t="shared" si="6"/>
        <v/>
      </c>
      <c r="K237" t="str">
        <f>IF(J237&lt;&gt;"",SUM($J$2:J237),"")</f>
        <v/>
      </c>
      <c r="L237">
        <f ca="1" t="shared" si="7"/>
        <v>45942</v>
      </c>
    </row>
    <row r="238" spans="9:12">
      <c r="I238">
        <f>IFERROR(VLOOKUP(H238,Rates!$A$2:$B$3,2,0),1)</f>
        <v>1</v>
      </c>
      <c r="J238" t="str">
        <f t="shared" si="6"/>
        <v/>
      </c>
      <c r="K238" t="str">
        <f>IF(J238&lt;&gt;"",SUM($J$2:J238),"")</f>
        <v/>
      </c>
      <c r="L238">
        <f ca="1" t="shared" si="7"/>
        <v>45942</v>
      </c>
    </row>
    <row r="239" spans="9:12">
      <c r="I239">
        <f>IFERROR(VLOOKUP(H239,Rates!$A$2:$B$3,2,0),1)</f>
        <v>1</v>
      </c>
      <c r="J239" t="str">
        <f t="shared" si="6"/>
        <v/>
      </c>
      <c r="K239" t="str">
        <f>IF(J239&lt;&gt;"",SUM($J$2:J239),"")</f>
        <v/>
      </c>
      <c r="L239">
        <f ca="1" t="shared" si="7"/>
        <v>45942</v>
      </c>
    </row>
    <row r="240" spans="9:12">
      <c r="I240">
        <f>IFERROR(VLOOKUP(H240,Rates!$A$2:$B$3,2,0),1)</f>
        <v>1</v>
      </c>
      <c r="J240" t="str">
        <f t="shared" si="6"/>
        <v/>
      </c>
      <c r="K240" t="str">
        <f>IF(J240&lt;&gt;"",SUM($J$2:J240),"")</f>
        <v/>
      </c>
      <c r="L240">
        <f ca="1" t="shared" si="7"/>
        <v>45942</v>
      </c>
    </row>
    <row r="241" spans="9:12">
      <c r="I241">
        <f>IFERROR(VLOOKUP(H241,Rates!$A$2:$B$3,2,0),1)</f>
        <v>1</v>
      </c>
      <c r="J241" t="str">
        <f t="shared" si="6"/>
        <v/>
      </c>
      <c r="K241" t="str">
        <f>IF(J241&lt;&gt;"",SUM($J$2:J241),"")</f>
        <v/>
      </c>
      <c r="L241">
        <f ca="1" t="shared" si="7"/>
        <v>45942</v>
      </c>
    </row>
    <row r="242" spans="9:12">
      <c r="I242">
        <f>IFERROR(VLOOKUP(H242,Rates!$A$2:$B$3,2,0),1)</f>
        <v>1</v>
      </c>
      <c r="J242" t="str">
        <f t="shared" si="6"/>
        <v/>
      </c>
      <c r="K242" t="str">
        <f>IF(J242&lt;&gt;"",SUM($J$2:J242),"")</f>
        <v/>
      </c>
      <c r="L242">
        <f ca="1" t="shared" si="7"/>
        <v>45942</v>
      </c>
    </row>
    <row r="243" spans="9:12">
      <c r="I243">
        <f>IFERROR(VLOOKUP(H243,Rates!$A$2:$B$3,2,0),1)</f>
        <v>1</v>
      </c>
      <c r="J243" t="str">
        <f t="shared" si="6"/>
        <v/>
      </c>
      <c r="K243" t="str">
        <f>IF(J243&lt;&gt;"",SUM($J$2:J243),"")</f>
        <v/>
      </c>
      <c r="L243">
        <f ca="1" t="shared" si="7"/>
        <v>45942</v>
      </c>
    </row>
    <row r="244" spans="9:12">
      <c r="I244">
        <f>IFERROR(VLOOKUP(H244,Rates!$A$2:$B$3,2,0),1)</f>
        <v>1</v>
      </c>
      <c r="J244" t="str">
        <f t="shared" si="6"/>
        <v/>
      </c>
      <c r="K244" t="str">
        <f>IF(J244&lt;&gt;"",SUM($J$2:J244),"")</f>
        <v/>
      </c>
      <c r="L244">
        <f ca="1" t="shared" si="7"/>
        <v>45942</v>
      </c>
    </row>
    <row r="245" spans="9:12">
      <c r="I245">
        <f>IFERROR(VLOOKUP(H245,Rates!$A$2:$B$3,2,0),1)</f>
        <v>1</v>
      </c>
      <c r="J245" t="str">
        <f t="shared" si="6"/>
        <v/>
      </c>
      <c r="K245" t="str">
        <f>IF(J245&lt;&gt;"",SUM($J$2:J245),"")</f>
        <v/>
      </c>
      <c r="L245">
        <f ca="1" t="shared" si="7"/>
        <v>45942</v>
      </c>
    </row>
    <row r="246" spans="9:12">
      <c r="I246">
        <f>IFERROR(VLOOKUP(H246,Rates!$A$2:$B$3,2,0),1)</f>
        <v>1</v>
      </c>
      <c r="J246" t="str">
        <f t="shared" si="6"/>
        <v/>
      </c>
      <c r="K246" t="str">
        <f>IF(J246&lt;&gt;"",SUM($J$2:J246),"")</f>
        <v/>
      </c>
      <c r="L246">
        <f ca="1" t="shared" si="7"/>
        <v>45942</v>
      </c>
    </row>
    <row r="247" spans="9:12">
      <c r="I247">
        <f>IFERROR(VLOOKUP(H247,Rates!$A$2:$B$3,2,0),1)</f>
        <v>1</v>
      </c>
      <c r="J247" t="str">
        <f t="shared" si="6"/>
        <v/>
      </c>
      <c r="K247" t="str">
        <f>IF(J247&lt;&gt;"",SUM($J$2:J247),"")</f>
        <v/>
      </c>
      <c r="L247">
        <f ca="1" t="shared" si="7"/>
        <v>45942</v>
      </c>
    </row>
    <row r="248" spans="9:12">
      <c r="I248">
        <f>IFERROR(VLOOKUP(H248,Rates!$A$2:$B$3,2,0),1)</f>
        <v>1</v>
      </c>
      <c r="J248" t="str">
        <f t="shared" si="6"/>
        <v/>
      </c>
      <c r="K248" t="str">
        <f>IF(J248&lt;&gt;"",SUM($J$2:J248),"")</f>
        <v/>
      </c>
      <c r="L248">
        <f ca="1" t="shared" si="7"/>
        <v>45942</v>
      </c>
    </row>
    <row r="249" spans="9:12">
      <c r="I249">
        <f>IFERROR(VLOOKUP(H249,Rates!$A$2:$B$3,2,0),1)</f>
        <v>1</v>
      </c>
      <c r="J249" t="str">
        <f t="shared" si="6"/>
        <v/>
      </c>
      <c r="K249" t="str">
        <f>IF(J249&lt;&gt;"",SUM($J$2:J249),"")</f>
        <v/>
      </c>
      <c r="L249">
        <f ca="1" t="shared" si="7"/>
        <v>45942</v>
      </c>
    </row>
    <row r="250" spans="9:12">
      <c r="I250">
        <f>IFERROR(VLOOKUP(H250,Rates!$A$2:$B$3,2,0),1)</f>
        <v>1</v>
      </c>
      <c r="J250" t="str">
        <f t="shared" si="6"/>
        <v/>
      </c>
      <c r="K250" t="str">
        <f>IF(J250&lt;&gt;"",SUM($J$2:J250),"")</f>
        <v/>
      </c>
      <c r="L250">
        <f ca="1" t="shared" si="7"/>
        <v>45942</v>
      </c>
    </row>
    <row r="251" spans="9:12">
      <c r="I251">
        <f>IFERROR(VLOOKUP(H251,Rates!$A$2:$B$3,2,0),1)</f>
        <v>1</v>
      </c>
      <c r="J251" t="str">
        <f t="shared" si="6"/>
        <v/>
      </c>
      <c r="K251" t="str">
        <f>IF(J251&lt;&gt;"",SUM($J$2:J251),"")</f>
        <v/>
      </c>
      <c r="L251">
        <f ca="1" t="shared" si="7"/>
        <v>45942</v>
      </c>
    </row>
    <row r="252" spans="9:12">
      <c r="I252">
        <f>IFERROR(VLOOKUP(H252,Rates!$A$2:$B$3,2,0),1)</f>
        <v>1</v>
      </c>
      <c r="J252" t="str">
        <f t="shared" si="6"/>
        <v/>
      </c>
      <c r="K252" t="str">
        <f>IF(J252&lt;&gt;"",SUM($J$2:J252),"")</f>
        <v/>
      </c>
      <c r="L252">
        <f ca="1" t="shared" si="7"/>
        <v>45942</v>
      </c>
    </row>
    <row r="253" spans="9:12">
      <c r="I253">
        <f>IFERROR(VLOOKUP(H253,Rates!$A$2:$B$3,2,0),1)</f>
        <v>1</v>
      </c>
      <c r="J253" t="str">
        <f t="shared" si="6"/>
        <v/>
      </c>
      <c r="K253" t="str">
        <f>IF(J253&lt;&gt;"",SUM($J$2:J253),"")</f>
        <v/>
      </c>
      <c r="L253">
        <f ca="1" t="shared" si="7"/>
        <v>45942</v>
      </c>
    </row>
    <row r="254" spans="9:12">
      <c r="I254">
        <f>IFERROR(VLOOKUP(H254,Rates!$A$2:$B$3,2,0),1)</f>
        <v>1</v>
      </c>
      <c r="J254" t="str">
        <f t="shared" si="6"/>
        <v/>
      </c>
      <c r="K254" t="str">
        <f>IF(J254&lt;&gt;"",SUM($J$2:J254),"")</f>
        <v/>
      </c>
      <c r="L254">
        <f ca="1" t="shared" si="7"/>
        <v>45942</v>
      </c>
    </row>
    <row r="255" spans="9:12">
      <c r="I255">
        <f>IFERROR(VLOOKUP(H255,Rates!$A$2:$B$3,2,0),1)</f>
        <v>1</v>
      </c>
      <c r="J255" t="str">
        <f t="shared" si="6"/>
        <v/>
      </c>
      <c r="K255" t="str">
        <f>IF(J255&lt;&gt;"",SUM($J$2:J255),"")</f>
        <v/>
      </c>
      <c r="L255">
        <f ca="1" t="shared" si="7"/>
        <v>45942</v>
      </c>
    </row>
    <row r="256" spans="9:12">
      <c r="I256">
        <f>IFERROR(VLOOKUP(H256,Rates!$A$2:$B$3,2,0),1)</f>
        <v>1</v>
      </c>
      <c r="J256" t="str">
        <f t="shared" si="6"/>
        <v/>
      </c>
      <c r="K256" t="str">
        <f>IF(J256&lt;&gt;"",SUM($J$2:J256),"")</f>
        <v/>
      </c>
      <c r="L256">
        <f ca="1" t="shared" si="7"/>
        <v>45942</v>
      </c>
    </row>
    <row r="257" spans="9:12">
      <c r="I257">
        <f>IFERROR(VLOOKUP(H257,Rates!$A$2:$B$3,2,0),1)</f>
        <v>1</v>
      </c>
      <c r="J257" t="str">
        <f t="shared" si="6"/>
        <v/>
      </c>
      <c r="K257" t="str">
        <f>IF(J257&lt;&gt;"",SUM($J$2:J257),"")</f>
        <v/>
      </c>
      <c r="L257">
        <f ca="1" t="shared" si="7"/>
        <v>45942</v>
      </c>
    </row>
    <row r="258" spans="9:12">
      <c r="I258">
        <f>IFERROR(VLOOKUP(H258,Rates!$A$2:$B$3,2,0),1)</f>
        <v>1</v>
      </c>
      <c r="J258" t="str">
        <f t="shared" ref="J258:J301" si="8">IF(G258&lt;&gt;"",G258*I258,"")</f>
        <v/>
      </c>
      <c r="K258" t="str">
        <f>IF(J258&lt;&gt;"",SUM($J$2:J258),"")</f>
        <v/>
      </c>
      <c r="L258">
        <f ca="1" t="shared" ref="L258:L301" si="9">IF(COUNTA(A258:K258)&gt;0,TODAY(),"")</f>
        <v>45942</v>
      </c>
    </row>
    <row r="259" spans="9:12">
      <c r="I259">
        <f>IFERROR(VLOOKUP(H259,Rates!$A$2:$B$3,2,0),1)</f>
        <v>1</v>
      </c>
      <c r="J259" t="str">
        <f t="shared" si="8"/>
        <v/>
      </c>
      <c r="K259" t="str">
        <f>IF(J259&lt;&gt;"",SUM($J$2:J259),"")</f>
        <v/>
      </c>
      <c r="L259">
        <f ca="1" t="shared" si="9"/>
        <v>45942</v>
      </c>
    </row>
    <row r="260" spans="9:12">
      <c r="I260">
        <f>IFERROR(VLOOKUP(H260,Rates!$A$2:$B$3,2,0),1)</f>
        <v>1</v>
      </c>
      <c r="J260" t="str">
        <f t="shared" si="8"/>
        <v/>
      </c>
      <c r="K260" t="str">
        <f>IF(J260&lt;&gt;"",SUM($J$2:J260),"")</f>
        <v/>
      </c>
      <c r="L260">
        <f ca="1" t="shared" si="9"/>
        <v>45942</v>
      </c>
    </row>
    <row r="261" spans="9:12">
      <c r="I261">
        <f>IFERROR(VLOOKUP(H261,Rates!$A$2:$B$3,2,0),1)</f>
        <v>1</v>
      </c>
      <c r="J261" t="str">
        <f t="shared" si="8"/>
        <v/>
      </c>
      <c r="K261" t="str">
        <f>IF(J261&lt;&gt;"",SUM($J$2:J261),"")</f>
        <v/>
      </c>
      <c r="L261">
        <f ca="1" t="shared" si="9"/>
        <v>45942</v>
      </c>
    </row>
    <row r="262" spans="9:12">
      <c r="I262">
        <f>IFERROR(VLOOKUP(H262,Rates!$A$2:$B$3,2,0),1)</f>
        <v>1</v>
      </c>
      <c r="J262" t="str">
        <f t="shared" si="8"/>
        <v/>
      </c>
      <c r="K262" t="str">
        <f>IF(J262&lt;&gt;"",SUM($J$2:J262),"")</f>
        <v/>
      </c>
      <c r="L262">
        <f ca="1" t="shared" si="9"/>
        <v>45942</v>
      </c>
    </row>
    <row r="263" spans="9:12">
      <c r="I263">
        <f>IFERROR(VLOOKUP(H263,Rates!$A$2:$B$3,2,0),1)</f>
        <v>1</v>
      </c>
      <c r="J263" t="str">
        <f t="shared" si="8"/>
        <v/>
      </c>
      <c r="K263" t="str">
        <f>IF(J263&lt;&gt;"",SUM($J$2:J263),"")</f>
        <v/>
      </c>
      <c r="L263">
        <f ca="1" t="shared" si="9"/>
        <v>45942</v>
      </c>
    </row>
    <row r="264" spans="9:12">
      <c r="I264">
        <f>IFERROR(VLOOKUP(H264,Rates!$A$2:$B$3,2,0),1)</f>
        <v>1</v>
      </c>
      <c r="J264" t="str">
        <f t="shared" si="8"/>
        <v/>
      </c>
      <c r="K264" t="str">
        <f>IF(J264&lt;&gt;"",SUM($J$2:J264),"")</f>
        <v/>
      </c>
      <c r="L264">
        <f ca="1" t="shared" si="9"/>
        <v>45942</v>
      </c>
    </row>
    <row r="265" spans="9:12">
      <c r="I265">
        <f>IFERROR(VLOOKUP(H265,Rates!$A$2:$B$3,2,0),1)</f>
        <v>1</v>
      </c>
      <c r="J265" t="str">
        <f t="shared" si="8"/>
        <v/>
      </c>
      <c r="K265" t="str">
        <f>IF(J265&lt;&gt;"",SUM($J$2:J265),"")</f>
        <v/>
      </c>
      <c r="L265">
        <f ca="1" t="shared" si="9"/>
        <v>45942</v>
      </c>
    </row>
    <row r="266" spans="9:12">
      <c r="I266">
        <f>IFERROR(VLOOKUP(H266,Rates!$A$2:$B$3,2,0),1)</f>
        <v>1</v>
      </c>
      <c r="J266" t="str">
        <f t="shared" si="8"/>
        <v/>
      </c>
      <c r="K266" t="str">
        <f>IF(J266&lt;&gt;"",SUM($J$2:J266),"")</f>
        <v/>
      </c>
      <c r="L266">
        <f ca="1" t="shared" si="9"/>
        <v>45942</v>
      </c>
    </row>
    <row r="267" spans="9:12">
      <c r="I267">
        <f>IFERROR(VLOOKUP(H267,Rates!$A$2:$B$3,2,0),1)</f>
        <v>1</v>
      </c>
      <c r="J267" t="str">
        <f t="shared" si="8"/>
        <v/>
      </c>
      <c r="K267" t="str">
        <f>IF(J267&lt;&gt;"",SUM($J$2:J267),"")</f>
        <v/>
      </c>
      <c r="L267">
        <f ca="1" t="shared" si="9"/>
        <v>45942</v>
      </c>
    </row>
    <row r="268" spans="9:12">
      <c r="I268">
        <f>IFERROR(VLOOKUP(H268,Rates!$A$2:$B$3,2,0),1)</f>
        <v>1</v>
      </c>
      <c r="J268" t="str">
        <f t="shared" si="8"/>
        <v/>
      </c>
      <c r="K268" t="str">
        <f>IF(J268&lt;&gt;"",SUM($J$2:J268),"")</f>
        <v/>
      </c>
      <c r="L268">
        <f ca="1" t="shared" si="9"/>
        <v>45942</v>
      </c>
    </row>
    <row r="269" spans="9:12">
      <c r="I269">
        <f>IFERROR(VLOOKUP(H269,Rates!$A$2:$B$3,2,0),1)</f>
        <v>1</v>
      </c>
      <c r="J269" t="str">
        <f t="shared" si="8"/>
        <v/>
      </c>
      <c r="K269" t="str">
        <f>IF(J269&lt;&gt;"",SUM($J$2:J269),"")</f>
        <v/>
      </c>
      <c r="L269">
        <f ca="1" t="shared" si="9"/>
        <v>45942</v>
      </c>
    </row>
    <row r="270" spans="9:12">
      <c r="I270">
        <f>IFERROR(VLOOKUP(H270,Rates!$A$2:$B$3,2,0),1)</f>
        <v>1</v>
      </c>
      <c r="J270" t="str">
        <f t="shared" si="8"/>
        <v/>
      </c>
      <c r="K270" t="str">
        <f>IF(J270&lt;&gt;"",SUM($J$2:J270),"")</f>
        <v/>
      </c>
      <c r="L270">
        <f ca="1" t="shared" si="9"/>
        <v>45942</v>
      </c>
    </row>
    <row r="271" spans="9:12">
      <c r="I271">
        <f>IFERROR(VLOOKUP(H271,Rates!$A$2:$B$3,2,0),1)</f>
        <v>1</v>
      </c>
      <c r="J271" t="str">
        <f t="shared" si="8"/>
        <v/>
      </c>
      <c r="K271" t="str">
        <f>IF(J271&lt;&gt;"",SUM($J$2:J271),"")</f>
        <v/>
      </c>
      <c r="L271">
        <f ca="1" t="shared" si="9"/>
        <v>45942</v>
      </c>
    </row>
    <row r="272" spans="9:12">
      <c r="I272">
        <f>IFERROR(VLOOKUP(H272,Rates!$A$2:$B$3,2,0),1)</f>
        <v>1</v>
      </c>
      <c r="J272" t="str">
        <f t="shared" si="8"/>
        <v/>
      </c>
      <c r="K272" t="str">
        <f>IF(J272&lt;&gt;"",SUM($J$2:J272),"")</f>
        <v/>
      </c>
      <c r="L272">
        <f ca="1" t="shared" si="9"/>
        <v>45942</v>
      </c>
    </row>
    <row r="273" spans="9:12">
      <c r="I273">
        <f>IFERROR(VLOOKUP(H273,Rates!$A$2:$B$3,2,0),1)</f>
        <v>1</v>
      </c>
      <c r="J273" t="str">
        <f t="shared" si="8"/>
        <v/>
      </c>
      <c r="K273" t="str">
        <f>IF(J273&lt;&gt;"",SUM($J$2:J273),"")</f>
        <v/>
      </c>
      <c r="L273">
        <f ca="1" t="shared" si="9"/>
        <v>45942</v>
      </c>
    </row>
    <row r="274" spans="9:12">
      <c r="I274">
        <f>IFERROR(VLOOKUP(H274,Rates!$A$2:$B$3,2,0),1)</f>
        <v>1</v>
      </c>
      <c r="J274" t="str">
        <f t="shared" si="8"/>
        <v/>
      </c>
      <c r="K274" t="str">
        <f>IF(J274&lt;&gt;"",SUM($J$2:J274),"")</f>
        <v/>
      </c>
      <c r="L274">
        <f ca="1" t="shared" si="9"/>
        <v>45942</v>
      </c>
    </row>
    <row r="275" spans="9:12">
      <c r="I275">
        <f>IFERROR(VLOOKUP(H275,Rates!$A$2:$B$3,2,0),1)</f>
        <v>1</v>
      </c>
      <c r="J275" t="str">
        <f t="shared" si="8"/>
        <v/>
      </c>
      <c r="K275" t="str">
        <f>IF(J275&lt;&gt;"",SUM($J$2:J275),"")</f>
        <v/>
      </c>
      <c r="L275">
        <f ca="1" t="shared" si="9"/>
        <v>45942</v>
      </c>
    </row>
    <row r="276" spans="9:12">
      <c r="I276">
        <f>IFERROR(VLOOKUP(H276,Rates!$A$2:$B$3,2,0),1)</f>
        <v>1</v>
      </c>
      <c r="J276" t="str">
        <f t="shared" si="8"/>
        <v/>
      </c>
      <c r="K276" t="str">
        <f>IF(J276&lt;&gt;"",SUM($J$2:J276),"")</f>
        <v/>
      </c>
      <c r="L276">
        <f ca="1" t="shared" si="9"/>
        <v>45942</v>
      </c>
    </row>
    <row r="277" spans="9:12">
      <c r="I277">
        <f>IFERROR(VLOOKUP(H277,Rates!$A$2:$B$3,2,0),1)</f>
        <v>1</v>
      </c>
      <c r="J277" t="str">
        <f t="shared" si="8"/>
        <v/>
      </c>
      <c r="K277" t="str">
        <f>IF(J277&lt;&gt;"",SUM($J$2:J277),"")</f>
        <v/>
      </c>
      <c r="L277">
        <f ca="1" t="shared" si="9"/>
        <v>45942</v>
      </c>
    </row>
    <row r="278" spans="9:12">
      <c r="I278">
        <f>IFERROR(VLOOKUP(H278,Rates!$A$2:$B$3,2,0),1)</f>
        <v>1</v>
      </c>
      <c r="J278" t="str">
        <f t="shared" si="8"/>
        <v/>
      </c>
      <c r="K278" t="str">
        <f>IF(J278&lt;&gt;"",SUM($J$2:J278),"")</f>
        <v/>
      </c>
      <c r="L278">
        <f ca="1" t="shared" si="9"/>
        <v>45942</v>
      </c>
    </row>
    <row r="279" spans="9:12">
      <c r="I279">
        <f>IFERROR(VLOOKUP(H279,Rates!$A$2:$B$3,2,0),1)</f>
        <v>1</v>
      </c>
      <c r="J279" t="str">
        <f t="shared" si="8"/>
        <v/>
      </c>
      <c r="K279" t="str">
        <f>IF(J279&lt;&gt;"",SUM($J$2:J279),"")</f>
        <v/>
      </c>
      <c r="L279">
        <f ca="1" t="shared" si="9"/>
        <v>45942</v>
      </c>
    </row>
    <row r="280" spans="9:12">
      <c r="I280">
        <f>IFERROR(VLOOKUP(H280,Rates!$A$2:$B$3,2,0),1)</f>
        <v>1</v>
      </c>
      <c r="J280" t="str">
        <f t="shared" si="8"/>
        <v/>
      </c>
      <c r="K280" t="str">
        <f>IF(J280&lt;&gt;"",SUM($J$2:J280),"")</f>
        <v/>
      </c>
      <c r="L280">
        <f ca="1" t="shared" si="9"/>
        <v>45942</v>
      </c>
    </row>
    <row r="281" spans="9:12">
      <c r="I281">
        <f>IFERROR(VLOOKUP(H281,Rates!$A$2:$B$3,2,0),1)</f>
        <v>1</v>
      </c>
      <c r="J281" t="str">
        <f t="shared" si="8"/>
        <v/>
      </c>
      <c r="K281" t="str">
        <f>IF(J281&lt;&gt;"",SUM($J$2:J281),"")</f>
        <v/>
      </c>
      <c r="L281">
        <f ca="1" t="shared" si="9"/>
        <v>45942</v>
      </c>
    </row>
    <row r="282" spans="9:12">
      <c r="I282">
        <f>IFERROR(VLOOKUP(H282,Rates!$A$2:$B$3,2,0),1)</f>
        <v>1</v>
      </c>
      <c r="J282" t="str">
        <f t="shared" si="8"/>
        <v/>
      </c>
      <c r="K282" t="str">
        <f>IF(J282&lt;&gt;"",SUM($J$2:J282),"")</f>
        <v/>
      </c>
      <c r="L282">
        <f ca="1" t="shared" si="9"/>
        <v>45942</v>
      </c>
    </row>
    <row r="283" spans="9:12">
      <c r="I283">
        <f>IFERROR(VLOOKUP(H283,Rates!$A$2:$B$3,2,0),1)</f>
        <v>1</v>
      </c>
      <c r="J283" t="str">
        <f t="shared" si="8"/>
        <v/>
      </c>
      <c r="K283" t="str">
        <f>IF(J283&lt;&gt;"",SUM($J$2:J283),"")</f>
        <v/>
      </c>
      <c r="L283">
        <f ca="1" t="shared" si="9"/>
        <v>45942</v>
      </c>
    </row>
    <row r="284" spans="9:12">
      <c r="I284">
        <f>IFERROR(VLOOKUP(H284,Rates!$A$2:$B$3,2,0),1)</f>
        <v>1</v>
      </c>
      <c r="J284" t="str">
        <f t="shared" si="8"/>
        <v/>
      </c>
      <c r="K284" t="str">
        <f>IF(J284&lt;&gt;"",SUM($J$2:J284),"")</f>
        <v/>
      </c>
      <c r="L284">
        <f ca="1" t="shared" si="9"/>
        <v>45942</v>
      </c>
    </row>
    <row r="285" spans="9:12">
      <c r="I285">
        <f>IFERROR(VLOOKUP(H285,Rates!$A$2:$B$3,2,0),1)</f>
        <v>1</v>
      </c>
      <c r="J285" t="str">
        <f t="shared" si="8"/>
        <v/>
      </c>
      <c r="K285" t="str">
        <f>IF(J285&lt;&gt;"",SUM($J$2:J285),"")</f>
        <v/>
      </c>
      <c r="L285">
        <f ca="1" t="shared" si="9"/>
        <v>45942</v>
      </c>
    </row>
    <row r="286" spans="9:12">
      <c r="I286">
        <f>IFERROR(VLOOKUP(H286,Rates!$A$2:$B$3,2,0),1)</f>
        <v>1</v>
      </c>
      <c r="J286" t="str">
        <f t="shared" si="8"/>
        <v/>
      </c>
      <c r="K286" t="str">
        <f>IF(J286&lt;&gt;"",SUM($J$2:J286),"")</f>
        <v/>
      </c>
      <c r="L286">
        <f ca="1" t="shared" si="9"/>
        <v>45942</v>
      </c>
    </row>
    <row r="287" spans="9:12">
      <c r="I287">
        <f>IFERROR(VLOOKUP(H287,Rates!$A$2:$B$3,2,0),1)</f>
        <v>1</v>
      </c>
      <c r="J287" t="str">
        <f t="shared" si="8"/>
        <v/>
      </c>
      <c r="K287" t="str">
        <f>IF(J287&lt;&gt;"",SUM($J$2:J287),"")</f>
        <v/>
      </c>
      <c r="L287">
        <f ca="1" t="shared" si="9"/>
        <v>45942</v>
      </c>
    </row>
    <row r="288" spans="9:12">
      <c r="I288">
        <f>IFERROR(VLOOKUP(H288,Rates!$A$2:$B$3,2,0),1)</f>
        <v>1</v>
      </c>
      <c r="J288" t="str">
        <f t="shared" si="8"/>
        <v/>
      </c>
      <c r="K288" t="str">
        <f>IF(J288&lt;&gt;"",SUM($J$2:J288),"")</f>
        <v/>
      </c>
      <c r="L288">
        <f ca="1" t="shared" si="9"/>
        <v>45942</v>
      </c>
    </row>
    <row r="289" spans="9:12">
      <c r="I289">
        <f>IFERROR(VLOOKUP(H289,Rates!$A$2:$B$3,2,0),1)</f>
        <v>1</v>
      </c>
      <c r="J289" t="str">
        <f t="shared" si="8"/>
        <v/>
      </c>
      <c r="K289" t="str">
        <f>IF(J289&lt;&gt;"",SUM($J$2:J289),"")</f>
        <v/>
      </c>
      <c r="L289">
        <f ca="1" t="shared" si="9"/>
        <v>45942</v>
      </c>
    </row>
    <row r="290" spans="9:12">
      <c r="I290">
        <f>IFERROR(VLOOKUP(H290,Rates!$A$2:$B$3,2,0),1)</f>
        <v>1</v>
      </c>
      <c r="J290" t="str">
        <f t="shared" si="8"/>
        <v/>
      </c>
      <c r="K290" t="str">
        <f>IF(J290&lt;&gt;"",SUM($J$2:J290),"")</f>
        <v/>
      </c>
      <c r="L290">
        <f ca="1" t="shared" si="9"/>
        <v>45942</v>
      </c>
    </row>
    <row r="291" spans="9:12">
      <c r="I291">
        <f>IFERROR(VLOOKUP(H291,Rates!$A$2:$B$3,2,0),1)</f>
        <v>1</v>
      </c>
      <c r="J291" t="str">
        <f t="shared" si="8"/>
        <v/>
      </c>
      <c r="K291" t="str">
        <f>IF(J291&lt;&gt;"",SUM($J$2:J291),"")</f>
        <v/>
      </c>
      <c r="L291">
        <f ca="1" t="shared" si="9"/>
        <v>45942</v>
      </c>
    </row>
    <row r="292" spans="9:12">
      <c r="I292">
        <f>IFERROR(VLOOKUP(H292,Rates!$A$2:$B$3,2,0),1)</f>
        <v>1</v>
      </c>
      <c r="J292" t="str">
        <f t="shared" si="8"/>
        <v/>
      </c>
      <c r="K292" t="str">
        <f>IF(J292&lt;&gt;"",SUM($J$2:J292),"")</f>
        <v/>
      </c>
      <c r="L292">
        <f ca="1" t="shared" si="9"/>
        <v>45942</v>
      </c>
    </row>
    <row r="293" spans="9:12">
      <c r="I293">
        <f>IFERROR(VLOOKUP(H293,Rates!$A$2:$B$3,2,0),1)</f>
        <v>1</v>
      </c>
      <c r="J293" t="str">
        <f t="shared" si="8"/>
        <v/>
      </c>
      <c r="K293" t="str">
        <f>IF(J293&lt;&gt;"",SUM($J$2:J293),"")</f>
        <v/>
      </c>
      <c r="L293">
        <f ca="1" t="shared" si="9"/>
        <v>45942</v>
      </c>
    </row>
    <row r="294" spans="9:12">
      <c r="I294">
        <f>IFERROR(VLOOKUP(H294,Rates!$A$2:$B$3,2,0),1)</f>
        <v>1</v>
      </c>
      <c r="J294" t="str">
        <f t="shared" si="8"/>
        <v/>
      </c>
      <c r="K294" t="str">
        <f>IF(J294&lt;&gt;"",SUM($J$2:J294),"")</f>
        <v/>
      </c>
      <c r="L294">
        <f ca="1" t="shared" si="9"/>
        <v>45942</v>
      </c>
    </row>
    <row r="295" spans="9:12">
      <c r="I295">
        <f>IFERROR(VLOOKUP(H295,Rates!$A$2:$B$3,2,0),1)</f>
        <v>1</v>
      </c>
      <c r="J295" t="str">
        <f t="shared" si="8"/>
        <v/>
      </c>
      <c r="K295" t="str">
        <f>IF(J295&lt;&gt;"",SUM($J$2:J295),"")</f>
        <v/>
      </c>
      <c r="L295">
        <f ca="1" t="shared" si="9"/>
        <v>45942</v>
      </c>
    </row>
    <row r="296" spans="9:12">
      <c r="I296">
        <f>IFERROR(VLOOKUP(H296,Rates!$A$2:$B$3,2,0),1)</f>
        <v>1</v>
      </c>
      <c r="J296" t="str">
        <f t="shared" si="8"/>
        <v/>
      </c>
      <c r="K296" t="str">
        <f>IF(J296&lt;&gt;"",SUM($J$2:J296),"")</f>
        <v/>
      </c>
      <c r="L296">
        <f ca="1" t="shared" si="9"/>
        <v>45942</v>
      </c>
    </row>
    <row r="297" spans="9:12">
      <c r="I297">
        <f>IFERROR(VLOOKUP(H297,Rates!$A$2:$B$3,2,0),1)</f>
        <v>1</v>
      </c>
      <c r="J297" t="str">
        <f t="shared" si="8"/>
        <v/>
      </c>
      <c r="K297" t="str">
        <f>IF(J297&lt;&gt;"",SUM($J$2:J297),"")</f>
        <v/>
      </c>
      <c r="L297">
        <f ca="1" t="shared" si="9"/>
        <v>45942</v>
      </c>
    </row>
    <row r="298" spans="9:12">
      <c r="I298">
        <f>IFERROR(VLOOKUP(H298,Rates!$A$2:$B$3,2,0),1)</f>
        <v>1</v>
      </c>
      <c r="J298" t="str">
        <f t="shared" si="8"/>
        <v/>
      </c>
      <c r="K298" t="str">
        <f>IF(J298&lt;&gt;"",SUM($J$2:J298),"")</f>
        <v/>
      </c>
      <c r="L298">
        <f ca="1" t="shared" si="9"/>
        <v>45942</v>
      </c>
    </row>
    <row r="299" spans="9:12">
      <c r="I299">
        <f>IFERROR(VLOOKUP(H299,Rates!$A$2:$B$3,2,0),1)</f>
        <v>1</v>
      </c>
      <c r="J299" t="str">
        <f t="shared" si="8"/>
        <v/>
      </c>
      <c r="K299" t="str">
        <f>IF(J299&lt;&gt;"",SUM($J$2:J299),"")</f>
        <v/>
      </c>
      <c r="L299">
        <f ca="1" t="shared" si="9"/>
        <v>45942</v>
      </c>
    </row>
    <row r="300" spans="9:12">
      <c r="I300">
        <f>IFERROR(VLOOKUP(H300,Rates!$A$2:$B$3,2,0),1)</f>
        <v>1</v>
      </c>
      <c r="J300" t="str">
        <f t="shared" si="8"/>
        <v/>
      </c>
      <c r="K300" t="str">
        <f>IF(J300&lt;&gt;"",SUM($J$2:J300),"")</f>
        <v/>
      </c>
      <c r="L300">
        <f ca="1" t="shared" si="9"/>
        <v>45942</v>
      </c>
    </row>
    <row r="301" spans="9:12">
      <c r="I301">
        <f>IFERROR(VLOOKUP(H301,Rates!$A$2:$B$3,2,0),1)</f>
        <v>1</v>
      </c>
      <c r="J301" t="str">
        <f t="shared" si="8"/>
        <v/>
      </c>
      <c r="K301" t="str">
        <f>IF(J301&lt;&gt;"",SUM($J$2:J301),"")</f>
        <v/>
      </c>
      <c r="L301">
        <f ca="1" t="shared" si="9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"/>
  <sheetViews>
    <sheetView zoomScale="113" zoomScaleNormal="113" workbookViewId="0">
      <selection activeCell="B29" sqref="B29"/>
    </sheetView>
  </sheetViews>
  <sheetFormatPr defaultColWidth="9" defaultRowHeight="16.8"/>
  <cols>
    <col min="1" max="1" width="16.5625" customWidth="1"/>
  </cols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t="s">
        <v>18</v>
      </c>
    </row>
    <row r="16" spans="1:1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</sheetData>
  <pageMargins left="0.75" right="0.75" top="1" bottom="1" header="0.5" footer="0.5"/>
  <headerFooter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topLeftCell="D1" workbookViewId="0">
      <pane ySplit="1" topLeftCell="A2" activePane="bottomLeft" state="frozen"/>
      <selection/>
      <selection pane="bottomLeft" activeCell="O27" sqref="O1:O27"/>
    </sheetView>
  </sheetViews>
  <sheetFormatPr defaultColWidth="9" defaultRowHeight="16.8"/>
  <cols>
    <col min="1" max="1" width="22" customWidth="1"/>
    <col min="2" max="2" width="12" customWidth="1"/>
    <col min="3" max="4" width="16" customWidth="1"/>
    <col min="5" max="5" width="26" customWidth="1"/>
    <col min="6" max="6" width="36" customWidth="1"/>
    <col min="7" max="7" width="12" customWidth="1"/>
    <col min="8" max="9" width="10" customWidth="1"/>
    <col min="10" max="10" width="14" customWidth="1"/>
    <col min="11" max="11" width="16" customWidth="1"/>
    <col min="12" max="12" width="14" customWidth="1"/>
    <col min="14" max="14" width="2" customWidth="1"/>
    <col min="16" max="16" width="2" customWidth="1"/>
  </cols>
  <sheetData>
    <row r="1" spans="1:12">
      <c r="A1" t="s">
        <v>36</v>
      </c>
      <c r="B1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</row>
    <row r="2" spans="8:12">
      <c r="H2" t="s">
        <v>3</v>
      </c>
      <c r="I2">
        <f>IFERROR(VLOOKUP(H2,Rates!$A$2:$B$3,2,0),1)</f>
        <v>1</v>
      </c>
      <c r="J2" t="str">
        <f t="shared" ref="J2:J65" si="0">IF(G2&lt;&gt;"",G2*I2,"")</f>
        <v/>
      </c>
      <c r="K2" t="str">
        <f>IF(J2&lt;&gt;"",J2,"")</f>
        <v/>
      </c>
      <c r="L2">
        <f ca="1" t="shared" ref="L2:L65" si="1">IF(COUNTA(A2:K2)&gt;0,TODAY(),"")</f>
        <v>45942</v>
      </c>
    </row>
    <row r="3" spans="8:12">
      <c r="H3" t="s">
        <v>3</v>
      </c>
      <c r="I3">
        <f>IFERROR(VLOOKUP(H3,Rates!$A$2:$B$3,2,0),1)</f>
        <v>1</v>
      </c>
      <c r="J3" t="str">
        <f t="shared" si="0"/>
        <v/>
      </c>
      <c r="K3" t="str">
        <f>IF(J3&lt;&gt;"",SUM($J$2:J3),"")</f>
        <v/>
      </c>
      <c r="L3">
        <f ca="1" t="shared" si="1"/>
        <v>45942</v>
      </c>
    </row>
    <row r="4" spans="8:12">
      <c r="H4" t="s">
        <v>3</v>
      </c>
      <c r="I4">
        <f>IFERROR(VLOOKUP(H4,Rates!$A$2:$B$3,2,0),1)</f>
        <v>1</v>
      </c>
      <c r="J4" t="str">
        <f t="shared" si="0"/>
        <v/>
      </c>
      <c r="K4" t="str">
        <f>IF(J4&lt;&gt;"",SUM($J$2:J4),"")</f>
        <v/>
      </c>
      <c r="L4">
        <f ca="1" t="shared" si="1"/>
        <v>45942</v>
      </c>
    </row>
    <row r="5" spans="9:12">
      <c r="I5">
        <f>IFERROR(VLOOKUP(H5,Rates!$A$2:$B$3,2,0),1)</f>
        <v>1</v>
      </c>
      <c r="J5" t="str">
        <f t="shared" si="0"/>
        <v/>
      </c>
      <c r="K5" t="str">
        <f>IF(J5&lt;&gt;"",SUM($J$2:J5),"")</f>
        <v/>
      </c>
      <c r="L5">
        <f ca="1" t="shared" si="1"/>
        <v>45942</v>
      </c>
    </row>
    <row r="6" spans="9:12">
      <c r="I6">
        <f>IFERROR(VLOOKUP(H6,Rates!$A$2:$B$3,2,0),1)</f>
        <v>1</v>
      </c>
      <c r="J6" t="str">
        <f t="shared" si="0"/>
        <v/>
      </c>
      <c r="K6" t="str">
        <f>IF(J6&lt;&gt;"",SUM($J$2:J6),"")</f>
        <v/>
      </c>
      <c r="L6">
        <f ca="1" t="shared" si="1"/>
        <v>45942</v>
      </c>
    </row>
    <row r="7" spans="9:12">
      <c r="I7">
        <f>IFERROR(VLOOKUP(H7,Rates!$A$2:$B$3,2,0),1)</f>
        <v>1</v>
      </c>
      <c r="J7" t="str">
        <f t="shared" si="0"/>
        <v/>
      </c>
      <c r="K7" t="str">
        <f>IF(J7&lt;&gt;"",SUM($J$2:J7),"")</f>
        <v/>
      </c>
      <c r="L7">
        <f ca="1" t="shared" si="1"/>
        <v>45942</v>
      </c>
    </row>
    <row r="8" spans="9:12">
      <c r="I8">
        <f>IFERROR(VLOOKUP(H8,Rates!$A$2:$B$3,2,0),1)</f>
        <v>1</v>
      </c>
      <c r="J8" t="str">
        <f t="shared" si="0"/>
        <v/>
      </c>
      <c r="K8" t="str">
        <f>IF(J8&lt;&gt;"",SUM($J$2:J8),"")</f>
        <v/>
      </c>
      <c r="L8">
        <f ca="1" t="shared" si="1"/>
        <v>45942</v>
      </c>
    </row>
    <row r="9" spans="9:12">
      <c r="I9">
        <f>IFERROR(VLOOKUP(H9,Rates!$A$2:$B$3,2,0),1)</f>
        <v>1</v>
      </c>
      <c r="J9" t="str">
        <f t="shared" si="0"/>
        <v/>
      </c>
      <c r="K9" t="str">
        <f>IF(J9&lt;&gt;"",SUM($J$2:J9),"")</f>
        <v/>
      </c>
      <c r="L9">
        <f ca="1" t="shared" si="1"/>
        <v>45942</v>
      </c>
    </row>
    <row r="10" spans="9:12">
      <c r="I10">
        <f>IFERROR(VLOOKUP(H10,Rates!$A$2:$B$3,2,0),1)</f>
        <v>1</v>
      </c>
      <c r="J10" t="str">
        <f t="shared" si="0"/>
        <v/>
      </c>
      <c r="K10" t="str">
        <f>IF(J10&lt;&gt;"",SUM($J$2:J10),"")</f>
        <v/>
      </c>
      <c r="L10">
        <f ca="1" t="shared" si="1"/>
        <v>45942</v>
      </c>
    </row>
    <row r="11" spans="9:12">
      <c r="I11">
        <f>IFERROR(VLOOKUP(H11,Rates!$A$2:$B$3,2,0),1)</f>
        <v>1</v>
      </c>
      <c r="J11" t="str">
        <f t="shared" si="0"/>
        <v/>
      </c>
      <c r="K11" t="str">
        <f>IF(J11&lt;&gt;"",SUM($J$2:J11),"")</f>
        <v/>
      </c>
      <c r="L11">
        <f ca="1" t="shared" si="1"/>
        <v>45942</v>
      </c>
    </row>
    <row r="12" spans="9:12">
      <c r="I12">
        <f>IFERROR(VLOOKUP(H12,Rates!$A$2:$B$3,2,0),1)</f>
        <v>1</v>
      </c>
      <c r="J12" t="str">
        <f t="shared" si="0"/>
        <v/>
      </c>
      <c r="K12" t="str">
        <f>IF(J12&lt;&gt;"",SUM($J$2:J12),"")</f>
        <v/>
      </c>
      <c r="L12">
        <f ca="1" t="shared" si="1"/>
        <v>45942</v>
      </c>
    </row>
    <row r="13" spans="9:12">
      <c r="I13">
        <f>IFERROR(VLOOKUP(H13,Rates!$A$2:$B$3,2,0),1)</f>
        <v>1</v>
      </c>
      <c r="J13" t="str">
        <f t="shared" si="0"/>
        <v/>
      </c>
      <c r="K13" t="str">
        <f>IF(J13&lt;&gt;"",SUM($J$2:J13),"")</f>
        <v/>
      </c>
      <c r="L13">
        <f ca="1" t="shared" si="1"/>
        <v>45942</v>
      </c>
    </row>
    <row r="14" spans="9:12">
      <c r="I14">
        <f>IFERROR(VLOOKUP(H14,Rates!$A$2:$B$3,2,0),1)</f>
        <v>1</v>
      </c>
      <c r="J14" t="str">
        <f t="shared" si="0"/>
        <v/>
      </c>
      <c r="K14" t="str">
        <f>IF(J14&lt;&gt;"",SUM($J$2:J14),"")</f>
        <v/>
      </c>
      <c r="L14">
        <f ca="1" t="shared" si="1"/>
        <v>45942</v>
      </c>
    </row>
    <row r="15" spans="9:12">
      <c r="I15">
        <f>IFERROR(VLOOKUP(H15,Rates!$A$2:$B$3,2,0),1)</f>
        <v>1</v>
      </c>
      <c r="J15" t="str">
        <f t="shared" si="0"/>
        <v/>
      </c>
      <c r="K15" t="str">
        <f>IF(J15&lt;&gt;"",SUM($J$2:J15),"")</f>
        <v/>
      </c>
      <c r="L15">
        <f ca="1" t="shared" si="1"/>
        <v>45942</v>
      </c>
    </row>
    <row r="16" spans="9:12">
      <c r="I16">
        <f>IFERROR(VLOOKUP(H16,Rates!$A$2:$B$3,2,0),1)</f>
        <v>1</v>
      </c>
      <c r="J16" t="str">
        <f t="shared" si="0"/>
        <v/>
      </c>
      <c r="K16" t="str">
        <f>IF(J16&lt;&gt;"",SUM($J$2:J16),"")</f>
        <v/>
      </c>
      <c r="L16">
        <f ca="1" t="shared" si="1"/>
        <v>45942</v>
      </c>
    </row>
    <row r="17" spans="9:12">
      <c r="I17">
        <f>IFERROR(VLOOKUP(H17,Rates!$A$2:$B$3,2,0),1)</f>
        <v>1</v>
      </c>
      <c r="J17" t="str">
        <f t="shared" si="0"/>
        <v/>
      </c>
      <c r="K17" t="str">
        <f>IF(J17&lt;&gt;"",SUM($J$2:J17),"")</f>
        <v/>
      </c>
      <c r="L17">
        <f ca="1" t="shared" si="1"/>
        <v>45942</v>
      </c>
    </row>
    <row r="18" spans="9:12">
      <c r="I18">
        <f>IFERROR(VLOOKUP(H18,Rates!$A$2:$B$3,2,0),1)</f>
        <v>1</v>
      </c>
      <c r="J18" t="str">
        <f t="shared" si="0"/>
        <v/>
      </c>
      <c r="K18" t="str">
        <f>IF(J18&lt;&gt;"",SUM($J$2:J18),"")</f>
        <v/>
      </c>
      <c r="L18">
        <f ca="1" t="shared" si="1"/>
        <v>45942</v>
      </c>
    </row>
    <row r="19" spans="9:12">
      <c r="I19">
        <f>IFERROR(VLOOKUP(H19,Rates!$A$2:$B$3,2,0),1)</f>
        <v>1</v>
      </c>
      <c r="J19" t="str">
        <f t="shared" si="0"/>
        <v/>
      </c>
      <c r="K19" t="str">
        <f>IF(J19&lt;&gt;"",SUM($J$2:J19),"")</f>
        <v/>
      </c>
      <c r="L19">
        <f ca="1" t="shared" si="1"/>
        <v>45942</v>
      </c>
    </row>
    <row r="20" spans="9:12">
      <c r="I20">
        <f>IFERROR(VLOOKUP(H20,Rates!$A$2:$B$3,2,0),1)</f>
        <v>1</v>
      </c>
      <c r="J20" t="str">
        <f t="shared" si="0"/>
        <v/>
      </c>
      <c r="K20" t="str">
        <f>IF(J20&lt;&gt;"",SUM($J$2:J20),"")</f>
        <v/>
      </c>
      <c r="L20">
        <f ca="1" t="shared" si="1"/>
        <v>45942</v>
      </c>
    </row>
    <row r="21" spans="9:12">
      <c r="I21">
        <f>IFERROR(VLOOKUP(H21,Rates!$A$2:$B$3,2,0),1)</f>
        <v>1</v>
      </c>
      <c r="J21" t="str">
        <f t="shared" si="0"/>
        <v/>
      </c>
      <c r="K21" t="str">
        <f>IF(J21&lt;&gt;"",SUM($J$2:J21),"")</f>
        <v/>
      </c>
      <c r="L21">
        <f ca="1" t="shared" si="1"/>
        <v>45942</v>
      </c>
    </row>
    <row r="22" spans="9:12">
      <c r="I22">
        <f>IFERROR(VLOOKUP(H22,Rates!$A$2:$B$3,2,0),1)</f>
        <v>1</v>
      </c>
      <c r="J22" t="str">
        <f t="shared" si="0"/>
        <v/>
      </c>
      <c r="K22" t="str">
        <f>IF(J22&lt;&gt;"",SUM($J$2:J22),"")</f>
        <v/>
      </c>
      <c r="L22">
        <f ca="1" t="shared" si="1"/>
        <v>45942</v>
      </c>
    </row>
    <row r="23" spans="9:12">
      <c r="I23">
        <f>IFERROR(VLOOKUP(H23,Rates!$A$2:$B$3,2,0),1)</f>
        <v>1</v>
      </c>
      <c r="J23" t="str">
        <f t="shared" si="0"/>
        <v/>
      </c>
      <c r="K23" t="str">
        <f>IF(J23&lt;&gt;"",SUM($J$2:J23),"")</f>
        <v/>
      </c>
      <c r="L23">
        <f ca="1" t="shared" si="1"/>
        <v>45942</v>
      </c>
    </row>
    <row r="24" spans="9:12">
      <c r="I24">
        <f>IFERROR(VLOOKUP(H24,Rates!$A$2:$B$3,2,0),1)</f>
        <v>1</v>
      </c>
      <c r="J24" t="str">
        <f t="shared" si="0"/>
        <v/>
      </c>
      <c r="K24" t="str">
        <f>IF(J24&lt;&gt;"",SUM($J$2:J24),"")</f>
        <v/>
      </c>
      <c r="L24">
        <f ca="1" t="shared" si="1"/>
        <v>45942</v>
      </c>
    </row>
    <row r="25" spans="9:12">
      <c r="I25">
        <f>IFERROR(VLOOKUP(H25,Rates!$A$2:$B$3,2,0),1)</f>
        <v>1</v>
      </c>
      <c r="J25" t="str">
        <f t="shared" si="0"/>
        <v/>
      </c>
      <c r="K25" t="str">
        <f>IF(J25&lt;&gt;"",SUM($J$2:J25),"")</f>
        <v/>
      </c>
      <c r="L25">
        <f ca="1" t="shared" si="1"/>
        <v>45942</v>
      </c>
    </row>
    <row r="26" spans="9:12">
      <c r="I26">
        <f>IFERROR(VLOOKUP(H26,Rates!$A$2:$B$3,2,0),1)</f>
        <v>1</v>
      </c>
      <c r="J26" t="str">
        <f t="shared" si="0"/>
        <v/>
      </c>
      <c r="K26" t="str">
        <f>IF(J26&lt;&gt;"",SUM($J$2:J26),"")</f>
        <v/>
      </c>
      <c r="L26">
        <f ca="1" t="shared" si="1"/>
        <v>45942</v>
      </c>
    </row>
    <row r="27" spans="9:12">
      <c r="I27">
        <f>IFERROR(VLOOKUP(H27,Rates!$A$2:$B$3,2,0),1)</f>
        <v>1</v>
      </c>
      <c r="J27" t="str">
        <f t="shared" si="0"/>
        <v/>
      </c>
      <c r="K27" t="str">
        <f>IF(J27&lt;&gt;"",SUM($J$2:J27),"")</f>
        <v/>
      </c>
      <c r="L27">
        <f ca="1" t="shared" si="1"/>
        <v>45942</v>
      </c>
    </row>
    <row r="28" spans="9:12">
      <c r="I28">
        <f>IFERROR(VLOOKUP(H28,Rates!$A$2:$B$3,2,0),1)</f>
        <v>1</v>
      </c>
      <c r="J28" t="str">
        <f t="shared" si="0"/>
        <v/>
      </c>
      <c r="K28" t="str">
        <f>IF(J28&lt;&gt;"",SUM($J$2:J28),"")</f>
        <v/>
      </c>
      <c r="L28">
        <f ca="1" t="shared" si="1"/>
        <v>45942</v>
      </c>
    </row>
    <row r="29" spans="9:12">
      <c r="I29">
        <f>IFERROR(VLOOKUP(H29,Rates!$A$2:$B$3,2,0),1)</f>
        <v>1</v>
      </c>
      <c r="J29" t="str">
        <f t="shared" si="0"/>
        <v/>
      </c>
      <c r="K29" t="str">
        <f>IF(J29&lt;&gt;"",SUM($J$2:J29),"")</f>
        <v/>
      </c>
      <c r="L29">
        <f ca="1" t="shared" si="1"/>
        <v>45942</v>
      </c>
    </row>
    <row r="30" spans="9:12">
      <c r="I30">
        <f>IFERROR(VLOOKUP(H30,Rates!$A$2:$B$3,2,0),1)</f>
        <v>1</v>
      </c>
      <c r="J30" t="str">
        <f t="shared" si="0"/>
        <v/>
      </c>
      <c r="K30" t="str">
        <f>IF(J30&lt;&gt;"",SUM($J$2:J30),"")</f>
        <v/>
      </c>
      <c r="L30">
        <f ca="1" t="shared" si="1"/>
        <v>45942</v>
      </c>
    </row>
    <row r="31" spans="9:12">
      <c r="I31">
        <f>IFERROR(VLOOKUP(H31,Rates!$A$2:$B$3,2,0),1)</f>
        <v>1</v>
      </c>
      <c r="J31" t="str">
        <f t="shared" si="0"/>
        <v/>
      </c>
      <c r="K31" t="str">
        <f>IF(J31&lt;&gt;"",SUM($J$2:J31),"")</f>
        <v/>
      </c>
      <c r="L31">
        <f ca="1" t="shared" si="1"/>
        <v>45942</v>
      </c>
    </row>
    <row r="32" spans="9:12">
      <c r="I32">
        <f>IFERROR(VLOOKUP(H32,Rates!$A$2:$B$3,2,0),1)</f>
        <v>1</v>
      </c>
      <c r="J32" t="str">
        <f t="shared" si="0"/>
        <v/>
      </c>
      <c r="K32" t="str">
        <f>IF(J32&lt;&gt;"",SUM($J$2:J32),"")</f>
        <v/>
      </c>
      <c r="L32">
        <f ca="1" t="shared" si="1"/>
        <v>45942</v>
      </c>
    </row>
    <row r="33" spans="9:12">
      <c r="I33">
        <f>IFERROR(VLOOKUP(H33,Rates!$A$2:$B$3,2,0),1)</f>
        <v>1</v>
      </c>
      <c r="J33" t="str">
        <f t="shared" si="0"/>
        <v/>
      </c>
      <c r="K33" t="str">
        <f>IF(J33&lt;&gt;"",SUM($J$2:J33),"")</f>
        <v/>
      </c>
      <c r="L33">
        <f ca="1" t="shared" si="1"/>
        <v>45942</v>
      </c>
    </row>
    <row r="34" spans="9:12">
      <c r="I34">
        <f>IFERROR(VLOOKUP(H34,Rates!$A$2:$B$3,2,0),1)</f>
        <v>1</v>
      </c>
      <c r="J34" t="str">
        <f t="shared" si="0"/>
        <v/>
      </c>
      <c r="K34" t="str">
        <f>IF(J34&lt;&gt;"",SUM($J$2:J34),"")</f>
        <v/>
      </c>
      <c r="L34">
        <f ca="1" t="shared" si="1"/>
        <v>45942</v>
      </c>
    </row>
    <row r="35" spans="9:12">
      <c r="I35">
        <f>IFERROR(VLOOKUP(H35,Rates!$A$2:$B$3,2,0),1)</f>
        <v>1</v>
      </c>
      <c r="J35" t="str">
        <f t="shared" si="0"/>
        <v/>
      </c>
      <c r="K35" t="str">
        <f>IF(J35&lt;&gt;"",SUM($J$2:J35),"")</f>
        <v/>
      </c>
      <c r="L35">
        <f ca="1" t="shared" si="1"/>
        <v>45942</v>
      </c>
    </row>
    <row r="36" spans="9:12">
      <c r="I36">
        <f>IFERROR(VLOOKUP(H36,Rates!$A$2:$B$3,2,0),1)</f>
        <v>1</v>
      </c>
      <c r="J36" t="str">
        <f t="shared" si="0"/>
        <v/>
      </c>
      <c r="K36" t="str">
        <f>IF(J36&lt;&gt;"",SUM($J$2:J36),"")</f>
        <v/>
      </c>
      <c r="L36">
        <f ca="1" t="shared" si="1"/>
        <v>45942</v>
      </c>
    </row>
    <row r="37" spans="9:12">
      <c r="I37">
        <f>IFERROR(VLOOKUP(H37,Rates!$A$2:$B$3,2,0),1)</f>
        <v>1</v>
      </c>
      <c r="J37" t="str">
        <f t="shared" si="0"/>
        <v/>
      </c>
      <c r="K37" t="str">
        <f>IF(J37&lt;&gt;"",SUM($J$2:J37),"")</f>
        <v/>
      </c>
      <c r="L37">
        <f ca="1" t="shared" si="1"/>
        <v>45942</v>
      </c>
    </row>
    <row r="38" spans="9:12">
      <c r="I38">
        <f>IFERROR(VLOOKUP(H38,Rates!$A$2:$B$3,2,0),1)</f>
        <v>1</v>
      </c>
      <c r="J38" t="str">
        <f t="shared" si="0"/>
        <v/>
      </c>
      <c r="K38" t="str">
        <f>IF(J38&lt;&gt;"",SUM($J$2:J38),"")</f>
        <v/>
      </c>
      <c r="L38">
        <f ca="1" t="shared" si="1"/>
        <v>45942</v>
      </c>
    </row>
    <row r="39" spans="9:12">
      <c r="I39">
        <f>IFERROR(VLOOKUP(H39,Rates!$A$2:$B$3,2,0),1)</f>
        <v>1</v>
      </c>
      <c r="J39" t="str">
        <f t="shared" si="0"/>
        <v/>
      </c>
      <c r="K39" t="str">
        <f>IF(J39&lt;&gt;"",SUM($J$2:J39),"")</f>
        <v/>
      </c>
      <c r="L39">
        <f ca="1" t="shared" si="1"/>
        <v>45942</v>
      </c>
    </row>
    <row r="40" spans="9:12">
      <c r="I40">
        <f>IFERROR(VLOOKUP(H40,Rates!$A$2:$B$3,2,0),1)</f>
        <v>1</v>
      </c>
      <c r="J40" t="str">
        <f t="shared" si="0"/>
        <v/>
      </c>
      <c r="K40" t="str">
        <f>IF(J40&lt;&gt;"",SUM($J$2:J40),"")</f>
        <v/>
      </c>
      <c r="L40">
        <f ca="1" t="shared" si="1"/>
        <v>45942</v>
      </c>
    </row>
    <row r="41" spans="9:12">
      <c r="I41">
        <f>IFERROR(VLOOKUP(H41,Rates!$A$2:$B$3,2,0),1)</f>
        <v>1</v>
      </c>
      <c r="J41" t="str">
        <f t="shared" si="0"/>
        <v/>
      </c>
      <c r="K41" t="str">
        <f>IF(J41&lt;&gt;"",SUM($J$2:J41),"")</f>
        <v/>
      </c>
      <c r="L41">
        <f ca="1" t="shared" si="1"/>
        <v>45942</v>
      </c>
    </row>
    <row r="42" spans="9:12">
      <c r="I42">
        <f>IFERROR(VLOOKUP(H42,Rates!$A$2:$B$3,2,0),1)</f>
        <v>1</v>
      </c>
      <c r="J42" t="str">
        <f t="shared" si="0"/>
        <v/>
      </c>
      <c r="K42" t="str">
        <f>IF(J42&lt;&gt;"",SUM($J$2:J42),"")</f>
        <v/>
      </c>
      <c r="L42">
        <f ca="1" t="shared" si="1"/>
        <v>45942</v>
      </c>
    </row>
    <row r="43" spans="9:12">
      <c r="I43">
        <f>IFERROR(VLOOKUP(H43,Rates!$A$2:$B$3,2,0),1)</f>
        <v>1</v>
      </c>
      <c r="J43" t="str">
        <f t="shared" si="0"/>
        <v/>
      </c>
      <c r="K43" t="str">
        <f>IF(J43&lt;&gt;"",SUM($J$2:J43),"")</f>
        <v/>
      </c>
      <c r="L43">
        <f ca="1" t="shared" si="1"/>
        <v>45942</v>
      </c>
    </row>
    <row r="44" spans="9:12">
      <c r="I44">
        <f>IFERROR(VLOOKUP(H44,Rates!$A$2:$B$3,2,0),1)</f>
        <v>1</v>
      </c>
      <c r="J44" t="str">
        <f t="shared" si="0"/>
        <v/>
      </c>
      <c r="K44" t="str">
        <f>IF(J44&lt;&gt;"",SUM($J$2:J44),"")</f>
        <v/>
      </c>
      <c r="L44">
        <f ca="1" t="shared" si="1"/>
        <v>45942</v>
      </c>
    </row>
    <row r="45" spans="9:12">
      <c r="I45">
        <f>IFERROR(VLOOKUP(H45,Rates!$A$2:$B$3,2,0),1)</f>
        <v>1</v>
      </c>
      <c r="J45" t="str">
        <f t="shared" si="0"/>
        <v/>
      </c>
      <c r="K45" t="str">
        <f>IF(J45&lt;&gt;"",SUM($J$2:J45),"")</f>
        <v/>
      </c>
      <c r="L45">
        <f ca="1" t="shared" si="1"/>
        <v>45942</v>
      </c>
    </row>
    <row r="46" spans="9:12">
      <c r="I46">
        <f>IFERROR(VLOOKUP(H46,Rates!$A$2:$B$3,2,0),1)</f>
        <v>1</v>
      </c>
      <c r="J46" t="str">
        <f t="shared" si="0"/>
        <v/>
      </c>
      <c r="K46" t="str">
        <f>IF(J46&lt;&gt;"",SUM($J$2:J46),"")</f>
        <v/>
      </c>
      <c r="L46">
        <f ca="1" t="shared" si="1"/>
        <v>45942</v>
      </c>
    </row>
    <row r="47" spans="9:12">
      <c r="I47">
        <f>IFERROR(VLOOKUP(H47,Rates!$A$2:$B$3,2,0),1)</f>
        <v>1</v>
      </c>
      <c r="J47" t="str">
        <f t="shared" si="0"/>
        <v/>
      </c>
      <c r="K47" t="str">
        <f>IF(J47&lt;&gt;"",SUM($J$2:J47),"")</f>
        <v/>
      </c>
      <c r="L47">
        <f ca="1" t="shared" si="1"/>
        <v>45942</v>
      </c>
    </row>
    <row r="48" spans="9:12">
      <c r="I48">
        <f>IFERROR(VLOOKUP(H48,Rates!$A$2:$B$3,2,0),1)</f>
        <v>1</v>
      </c>
      <c r="J48" t="str">
        <f t="shared" si="0"/>
        <v/>
      </c>
      <c r="K48" t="str">
        <f>IF(J48&lt;&gt;"",SUM($J$2:J48),"")</f>
        <v/>
      </c>
      <c r="L48">
        <f ca="1" t="shared" si="1"/>
        <v>45942</v>
      </c>
    </row>
    <row r="49" spans="9:12">
      <c r="I49">
        <f>IFERROR(VLOOKUP(H49,Rates!$A$2:$B$3,2,0),1)</f>
        <v>1</v>
      </c>
      <c r="J49" t="str">
        <f t="shared" si="0"/>
        <v/>
      </c>
      <c r="K49" t="str">
        <f>IF(J49&lt;&gt;"",SUM($J$2:J49),"")</f>
        <v/>
      </c>
      <c r="L49">
        <f ca="1" t="shared" si="1"/>
        <v>45942</v>
      </c>
    </row>
    <row r="50" spans="9:12">
      <c r="I50">
        <f>IFERROR(VLOOKUP(H50,Rates!$A$2:$B$3,2,0),1)</f>
        <v>1</v>
      </c>
      <c r="J50" t="str">
        <f t="shared" si="0"/>
        <v/>
      </c>
      <c r="K50" t="str">
        <f>IF(J50&lt;&gt;"",SUM($J$2:J50),"")</f>
        <v/>
      </c>
      <c r="L50">
        <f ca="1" t="shared" si="1"/>
        <v>45942</v>
      </c>
    </row>
    <row r="51" spans="9:12">
      <c r="I51">
        <f>IFERROR(VLOOKUP(H51,Rates!$A$2:$B$3,2,0),1)</f>
        <v>1</v>
      </c>
      <c r="J51" t="str">
        <f t="shared" si="0"/>
        <v/>
      </c>
      <c r="K51" t="str">
        <f>IF(J51&lt;&gt;"",SUM($J$2:J51),"")</f>
        <v/>
      </c>
      <c r="L51">
        <f ca="1" t="shared" si="1"/>
        <v>45942</v>
      </c>
    </row>
    <row r="52" spans="9:12">
      <c r="I52">
        <f>IFERROR(VLOOKUP(H52,Rates!$A$2:$B$3,2,0),1)</f>
        <v>1</v>
      </c>
      <c r="J52" t="str">
        <f t="shared" si="0"/>
        <v/>
      </c>
      <c r="K52" t="str">
        <f>IF(J52&lt;&gt;"",SUM($J$2:J52),"")</f>
        <v/>
      </c>
      <c r="L52">
        <f ca="1" t="shared" si="1"/>
        <v>45942</v>
      </c>
    </row>
    <row r="53" spans="9:12">
      <c r="I53">
        <f>IFERROR(VLOOKUP(H53,Rates!$A$2:$B$3,2,0),1)</f>
        <v>1</v>
      </c>
      <c r="J53" t="str">
        <f t="shared" si="0"/>
        <v/>
      </c>
      <c r="K53" t="str">
        <f>IF(J53&lt;&gt;"",SUM($J$2:J53),"")</f>
        <v/>
      </c>
      <c r="L53">
        <f ca="1" t="shared" si="1"/>
        <v>45942</v>
      </c>
    </row>
    <row r="54" spans="9:12">
      <c r="I54">
        <f>IFERROR(VLOOKUP(H54,Rates!$A$2:$B$3,2,0),1)</f>
        <v>1</v>
      </c>
      <c r="J54" t="str">
        <f t="shared" si="0"/>
        <v/>
      </c>
      <c r="K54" t="str">
        <f>IF(J54&lt;&gt;"",SUM($J$2:J54),"")</f>
        <v/>
      </c>
      <c r="L54">
        <f ca="1" t="shared" si="1"/>
        <v>45942</v>
      </c>
    </row>
    <row r="55" spans="9:12">
      <c r="I55">
        <f>IFERROR(VLOOKUP(H55,Rates!$A$2:$B$3,2,0),1)</f>
        <v>1</v>
      </c>
      <c r="J55" t="str">
        <f t="shared" si="0"/>
        <v/>
      </c>
      <c r="K55" t="str">
        <f>IF(J55&lt;&gt;"",SUM($J$2:J55),"")</f>
        <v/>
      </c>
      <c r="L55">
        <f ca="1" t="shared" si="1"/>
        <v>45942</v>
      </c>
    </row>
    <row r="56" spans="9:12">
      <c r="I56">
        <f>IFERROR(VLOOKUP(H56,Rates!$A$2:$B$3,2,0),1)</f>
        <v>1</v>
      </c>
      <c r="J56" t="str">
        <f t="shared" si="0"/>
        <v/>
      </c>
      <c r="K56" t="str">
        <f>IF(J56&lt;&gt;"",SUM($J$2:J56),"")</f>
        <v/>
      </c>
      <c r="L56">
        <f ca="1" t="shared" si="1"/>
        <v>45942</v>
      </c>
    </row>
    <row r="57" spans="9:12">
      <c r="I57">
        <f>IFERROR(VLOOKUP(H57,Rates!$A$2:$B$3,2,0),1)</f>
        <v>1</v>
      </c>
      <c r="J57" t="str">
        <f t="shared" si="0"/>
        <v/>
      </c>
      <c r="K57" t="str">
        <f>IF(J57&lt;&gt;"",SUM($J$2:J57),"")</f>
        <v/>
      </c>
      <c r="L57">
        <f ca="1" t="shared" si="1"/>
        <v>45942</v>
      </c>
    </row>
    <row r="58" spans="9:12">
      <c r="I58">
        <f>IFERROR(VLOOKUP(H58,Rates!$A$2:$B$3,2,0),1)</f>
        <v>1</v>
      </c>
      <c r="J58" t="str">
        <f t="shared" si="0"/>
        <v/>
      </c>
      <c r="K58" t="str">
        <f>IF(J58&lt;&gt;"",SUM($J$2:J58),"")</f>
        <v/>
      </c>
      <c r="L58">
        <f ca="1" t="shared" si="1"/>
        <v>45942</v>
      </c>
    </row>
    <row r="59" spans="9:12">
      <c r="I59">
        <f>IFERROR(VLOOKUP(H59,Rates!$A$2:$B$3,2,0),1)</f>
        <v>1</v>
      </c>
      <c r="J59" t="str">
        <f t="shared" si="0"/>
        <v/>
      </c>
      <c r="K59" t="str">
        <f>IF(J59&lt;&gt;"",SUM($J$2:J59),"")</f>
        <v/>
      </c>
      <c r="L59">
        <f ca="1" t="shared" si="1"/>
        <v>45942</v>
      </c>
    </row>
    <row r="60" spans="9:12">
      <c r="I60">
        <f>IFERROR(VLOOKUP(H60,Rates!$A$2:$B$3,2,0),1)</f>
        <v>1</v>
      </c>
      <c r="J60" t="str">
        <f t="shared" si="0"/>
        <v/>
      </c>
      <c r="K60" t="str">
        <f>IF(J60&lt;&gt;"",SUM($J$2:J60),"")</f>
        <v/>
      </c>
      <c r="L60">
        <f ca="1" t="shared" si="1"/>
        <v>45942</v>
      </c>
    </row>
    <row r="61" spans="9:12">
      <c r="I61">
        <f>IFERROR(VLOOKUP(H61,Rates!$A$2:$B$3,2,0),1)</f>
        <v>1</v>
      </c>
      <c r="J61" t="str">
        <f t="shared" si="0"/>
        <v/>
      </c>
      <c r="K61" t="str">
        <f>IF(J61&lt;&gt;"",SUM($J$2:J61),"")</f>
        <v/>
      </c>
      <c r="L61">
        <f ca="1" t="shared" si="1"/>
        <v>45942</v>
      </c>
    </row>
    <row r="62" spans="9:12">
      <c r="I62">
        <f>IFERROR(VLOOKUP(H62,Rates!$A$2:$B$3,2,0),1)</f>
        <v>1</v>
      </c>
      <c r="J62" t="str">
        <f t="shared" si="0"/>
        <v/>
      </c>
      <c r="K62" t="str">
        <f>IF(J62&lt;&gt;"",SUM($J$2:J62),"")</f>
        <v/>
      </c>
      <c r="L62">
        <f ca="1" t="shared" si="1"/>
        <v>45942</v>
      </c>
    </row>
    <row r="63" spans="9:12">
      <c r="I63">
        <f>IFERROR(VLOOKUP(H63,Rates!$A$2:$B$3,2,0),1)</f>
        <v>1</v>
      </c>
      <c r="J63" t="str">
        <f t="shared" si="0"/>
        <v/>
      </c>
      <c r="K63" t="str">
        <f>IF(J63&lt;&gt;"",SUM($J$2:J63),"")</f>
        <v/>
      </c>
      <c r="L63">
        <f ca="1" t="shared" si="1"/>
        <v>45942</v>
      </c>
    </row>
    <row r="64" spans="9:12">
      <c r="I64">
        <f>IFERROR(VLOOKUP(H64,Rates!$A$2:$B$3,2,0),1)</f>
        <v>1</v>
      </c>
      <c r="J64" t="str">
        <f t="shared" si="0"/>
        <v/>
      </c>
      <c r="K64" t="str">
        <f>IF(J64&lt;&gt;"",SUM($J$2:J64),"")</f>
        <v/>
      </c>
      <c r="L64">
        <f ca="1" t="shared" si="1"/>
        <v>45942</v>
      </c>
    </row>
    <row r="65" spans="9:12">
      <c r="I65">
        <f>IFERROR(VLOOKUP(H65,Rates!$A$2:$B$3,2,0),1)</f>
        <v>1</v>
      </c>
      <c r="J65" t="str">
        <f t="shared" si="0"/>
        <v/>
      </c>
      <c r="K65" t="str">
        <f>IF(J65&lt;&gt;"",SUM($J$2:J65),"")</f>
        <v/>
      </c>
      <c r="L65">
        <f ca="1" t="shared" si="1"/>
        <v>45942</v>
      </c>
    </row>
    <row r="66" spans="9:12">
      <c r="I66">
        <f>IFERROR(VLOOKUP(H66,Rates!$A$2:$B$3,2,0),1)</f>
        <v>1</v>
      </c>
      <c r="J66" t="str">
        <f t="shared" ref="J66:J129" si="2">IF(G66&lt;&gt;"",G66*I66,"")</f>
        <v/>
      </c>
      <c r="K66" t="str">
        <f>IF(J66&lt;&gt;"",SUM($J$2:J66),"")</f>
        <v/>
      </c>
      <c r="L66">
        <f ca="1" t="shared" ref="L66:L129" si="3">IF(COUNTA(A66:K66)&gt;0,TODAY(),"")</f>
        <v>45942</v>
      </c>
    </row>
    <row r="67" spans="9:12">
      <c r="I67">
        <f>IFERROR(VLOOKUP(H67,Rates!$A$2:$B$3,2,0),1)</f>
        <v>1</v>
      </c>
      <c r="J67" t="str">
        <f t="shared" si="2"/>
        <v/>
      </c>
      <c r="K67" t="str">
        <f>IF(J67&lt;&gt;"",SUM($J$2:J67),"")</f>
        <v/>
      </c>
      <c r="L67">
        <f ca="1" t="shared" si="3"/>
        <v>45942</v>
      </c>
    </row>
    <row r="68" spans="9:12">
      <c r="I68">
        <f>IFERROR(VLOOKUP(H68,Rates!$A$2:$B$3,2,0),1)</f>
        <v>1</v>
      </c>
      <c r="J68" t="str">
        <f t="shared" si="2"/>
        <v/>
      </c>
      <c r="K68" t="str">
        <f>IF(J68&lt;&gt;"",SUM($J$2:J68),"")</f>
        <v/>
      </c>
      <c r="L68">
        <f ca="1" t="shared" si="3"/>
        <v>45942</v>
      </c>
    </row>
    <row r="69" spans="9:12">
      <c r="I69">
        <f>IFERROR(VLOOKUP(H69,Rates!$A$2:$B$3,2,0),1)</f>
        <v>1</v>
      </c>
      <c r="J69" t="str">
        <f t="shared" si="2"/>
        <v/>
      </c>
      <c r="K69" t="str">
        <f>IF(J69&lt;&gt;"",SUM($J$2:J69),"")</f>
        <v/>
      </c>
      <c r="L69">
        <f ca="1" t="shared" si="3"/>
        <v>45942</v>
      </c>
    </row>
    <row r="70" spans="9:12">
      <c r="I70">
        <f>IFERROR(VLOOKUP(H70,Rates!$A$2:$B$3,2,0),1)</f>
        <v>1</v>
      </c>
      <c r="J70" t="str">
        <f t="shared" si="2"/>
        <v/>
      </c>
      <c r="K70" t="str">
        <f>IF(J70&lt;&gt;"",SUM($J$2:J70),"")</f>
        <v/>
      </c>
      <c r="L70">
        <f ca="1" t="shared" si="3"/>
        <v>45942</v>
      </c>
    </row>
    <row r="71" spans="9:12">
      <c r="I71">
        <f>IFERROR(VLOOKUP(H71,Rates!$A$2:$B$3,2,0),1)</f>
        <v>1</v>
      </c>
      <c r="J71" t="str">
        <f t="shared" si="2"/>
        <v/>
      </c>
      <c r="K71" t="str">
        <f>IF(J71&lt;&gt;"",SUM($J$2:J71),"")</f>
        <v/>
      </c>
      <c r="L71">
        <f ca="1" t="shared" si="3"/>
        <v>45942</v>
      </c>
    </row>
    <row r="72" spans="9:12">
      <c r="I72">
        <f>IFERROR(VLOOKUP(H72,Rates!$A$2:$B$3,2,0),1)</f>
        <v>1</v>
      </c>
      <c r="J72" t="str">
        <f t="shared" si="2"/>
        <v/>
      </c>
      <c r="K72" t="str">
        <f>IF(J72&lt;&gt;"",SUM($J$2:J72),"")</f>
        <v/>
      </c>
      <c r="L72">
        <f ca="1" t="shared" si="3"/>
        <v>45942</v>
      </c>
    </row>
    <row r="73" spans="9:12">
      <c r="I73">
        <f>IFERROR(VLOOKUP(H73,Rates!$A$2:$B$3,2,0),1)</f>
        <v>1</v>
      </c>
      <c r="J73" t="str">
        <f t="shared" si="2"/>
        <v/>
      </c>
      <c r="K73" t="str">
        <f>IF(J73&lt;&gt;"",SUM($J$2:J73),"")</f>
        <v/>
      </c>
      <c r="L73">
        <f ca="1" t="shared" si="3"/>
        <v>45942</v>
      </c>
    </row>
    <row r="74" spans="9:12">
      <c r="I74">
        <f>IFERROR(VLOOKUP(H74,Rates!$A$2:$B$3,2,0),1)</f>
        <v>1</v>
      </c>
      <c r="J74" t="str">
        <f t="shared" si="2"/>
        <v/>
      </c>
      <c r="K74" t="str">
        <f>IF(J74&lt;&gt;"",SUM($J$2:J74),"")</f>
        <v/>
      </c>
      <c r="L74">
        <f ca="1" t="shared" si="3"/>
        <v>45942</v>
      </c>
    </row>
    <row r="75" spans="9:12">
      <c r="I75">
        <f>IFERROR(VLOOKUP(H75,Rates!$A$2:$B$3,2,0),1)</f>
        <v>1</v>
      </c>
      <c r="J75" t="str">
        <f t="shared" si="2"/>
        <v/>
      </c>
      <c r="K75" t="str">
        <f>IF(J75&lt;&gt;"",SUM($J$2:J75),"")</f>
        <v/>
      </c>
      <c r="L75">
        <f ca="1" t="shared" si="3"/>
        <v>45942</v>
      </c>
    </row>
    <row r="76" spans="9:12">
      <c r="I76">
        <f>IFERROR(VLOOKUP(H76,Rates!$A$2:$B$3,2,0),1)</f>
        <v>1</v>
      </c>
      <c r="J76" t="str">
        <f t="shared" si="2"/>
        <v/>
      </c>
      <c r="K76" t="str">
        <f>IF(J76&lt;&gt;"",SUM($J$2:J76),"")</f>
        <v/>
      </c>
      <c r="L76">
        <f ca="1" t="shared" si="3"/>
        <v>45942</v>
      </c>
    </row>
    <row r="77" spans="9:12">
      <c r="I77">
        <f>IFERROR(VLOOKUP(H77,Rates!$A$2:$B$3,2,0),1)</f>
        <v>1</v>
      </c>
      <c r="J77" t="str">
        <f t="shared" si="2"/>
        <v/>
      </c>
      <c r="K77" t="str">
        <f>IF(J77&lt;&gt;"",SUM($J$2:J77),"")</f>
        <v/>
      </c>
      <c r="L77">
        <f ca="1" t="shared" si="3"/>
        <v>45942</v>
      </c>
    </row>
    <row r="78" spans="9:12">
      <c r="I78">
        <f>IFERROR(VLOOKUP(H78,Rates!$A$2:$B$3,2,0),1)</f>
        <v>1</v>
      </c>
      <c r="J78" t="str">
        <f t="shared" si="2"/>
        <v/>
      </c>
      <c r="K78" t="str">
        <f>IF(J78&lt;&gt;"",SUM($J$2:J78),"")</f>
        <v/>
      </c>
      <c r="L78">
        <f ca="1" t="shared" si="3"/>
        <v>45942</v>
      </c>
    </row>
    <row r="79" spans="9:12">
      <c r="I79">
        <f>IFERROR(VLOOKUP(H79,Rates!$A$2:$B$3,2,0),1)</f>
        <v>1</v>
      </c>
      <c r="J79" t="str">
        <f t="shared" si="2"/>
        <v/>
      </c>
      <c r="K79" t="str">
        <f>IF(J79&lt;&gt;"",SUM($J$2:J79),"")</f>
        <v/>
      </c>
      <c r="L79">
        <f ca="1" t="shared" si="3"/>
        <v>45942</v>
      </c>
    </row>
    <row r="80" spans="9:12">
      <c r="I80">
        <f>IFERROR(VLOOKUP(H80,Rates!$A$2:$B$3,2,0),1)</f>
        <v>1</v>
      </c>
      <c r="J80" t="str">
        <f t="shared" si="2"/>
        <v/>
      </c>
      <c r="K80" t="str">
        <f>IF(J80&lt;&gt;"",SUM($J$2:J80),"")</f>
        <v/>
      </c>
      <c r="L80">
        <f ca="1" t="shared" si="3"/>
        <v>45942</v>
      </c>
    </row>
    <row r="81" spans="9:12">
      <c r="I81">
        <f>IFERROR(VLOOKUP(H81,Rates!$A$2:$B$3,2,0),1)</f>
        <v>1</v>
      </c>
      <c r="J81" t="str">
        <f t="shared" si="2"/>
        <v/>
      </c>
      <c r="K81" t="str">
        <f>IF(J81&lt;&gt;"",SUM($J$2:J81),"")</f>
        <v/>
      </c>
      <c r="L81">
        <f ca="1" t="shared" si="3"/>
        <v>45942</v>
      </c>
    </row>
    <row r="82" spans="9:12">
      <c r="I82">
        <f>IFERROR(VLOOKUP(H82,Rates!$A$2:$B$3,2,0),1)</f>
        <v>1</v>
      </c>
      <c r="J82" t="str">
        <f t="shared" si="2"/>
        <v/>
      </c>
      <c r="K82" t="str">
        <f>IF(J82&lt;&gt;"",SUM($J$2:J82),"")</f>
        <v/>
      </c>
      <c r="L82">
        <f ca="1" t="shared" si="3"/>
        <v>45942</v>
      </c>
    </row>
    <row r="83" spans="9:12">
      <c r="I83">
        <f>IFERROR(VLOOKUP(H83,Rates!$A$2:$B$3,2,0),1)</f>
        <v>1</v>
      </c>
      <c r="J83" t="str">
        <f t="shared" si="2"/>
        <v/>
      </c>
      <c r="K83" t="str">
        <f>IF(J83&lt;&gt;"",SUM($J$2:J83),"")</f>
        <v/>
      </c>
      <c r="L83">
        <f ca="1" t="shared" si="3"/>
        <v>45942</v>
      </c>
    </row>
    <row r="84" spans="9:12">
      <c r="I84">
        <f>IFERROR(VLOOKUP(H84,Rates!$A$2:$B$3,2,0),1)</f>
        <v>1</v>
      </c>
      <c r="J84" t="str">
        <f t="shared" si="2"/>
        <v/>
      </c>
      <c r="K84" t="str">
        <f>IF(J84&lt;&gt;"",SUM($J$2:J84),"")</f>
        <v/>
      </c>
      <c r="L84">
        <f ca="1" t="shared" si="3"/>
        <v>45942</v>
      </c>
    </row>
    <row r="85" spans="9:12">
      <c r="I85">
        <f>IFERROR(VLOOKUP(H85,Rates!$A$2:$B$3,2,0),1)</f>
        <v>1</v>
      </c>
      <c r="J85" t="str">
        <f t="shared" si="2"/>
        <v/>
      </c>
      <c r="K85" t="str">
        <f>IF(J85&lt;&gt;"",SUM($J$2:J85),"")</f>
        <v/>
      </c>
      <c r="L85">
        <f ca="1" t="shared" si="3"/>
        <v>45942</v>
      </c>
    </row>
    <row r="86" spans="9:12">
      <c r="I86">
        <f>IFERROR(VLOOKUP(H86,Rates!$A$2:$B$3,2,0),1)</f>
        <v>1</v>
      </c>
      <c r="J86" t="str">
        <f t="shared" si="2"/>
        <v/>
      </c>
      <c r="K86" t="str">
        <f>IF(J86&lt;&gt;"",SUM($J$2:J86),"")</f>
        <v/>
      </c>
      <c r="L86">
        <f ca="1" t="shared" si="3"/>
        <v>45942</v>
      </c>
    </row>
    <row r="87" spans="9:12">
      <c r="I87">
        <f>IFERROR(VLOOKUP(H87,Rates!$A$2:$B$3,2,0),1)</f>
        <v>1</v>
      </c>
      <c r="J87" t="str">
        <f t="shared" si="2"/>
        <v/>
      </c>
      <c r="K87" t="str">
        <f>IF(J87&lt;&gt;"",SUM($J$2:J87),"")</f>
        <v/>
      </c>
      <c r="L87">
        <f ca="1" t="shared" si="3"/>
        <v>45942</v>
      </c>
    </row>
    <row r="88" spans="9:12">
      <c r="I88">
        <f>IFERROR(VLOOKUP(H88,Rates!$A$2:$B$3,2,0),1)</f>
        <v>1</v>
      </c>
      <c r="J88" t="str">
        <f t="shared" si="2"/>
        <v/>
      </c>
      <c r="K88" t="str">
        <f>IF(J88&lt;&gt;"",SUM($J$2:J88),"")</f>
        <v/>
      </c>
      <c r="L88">
        <f ca="1" t="shared" si="3"/>
        <v>45942</v>
      </c>
    </row>
    <row r="89" spans="9:12">
      <c r="I89">
        <f>IFERROR(VLOOKUP(H89,Rates!$A$2:$B$3,2,0),1)</f>
        <v>1</v>
      </c>
      <c r="J89" t="str">
        <f t="shared" si="2"/>
        <v/>
      </c>
      <c r="K89" t="str">
        <f>IF(J89&lt;&gt;"",SUM($J$2:J89),"")</f>
        <v/>
      </c>
      <c r="L89">
        <f ca="1" t="shared" si="3"/>
        <v>45942</v>
      </c>
    </row>
    <row r="90" spans="9:12">
      <c r="I90">
        <f>IFERROR(VLOOKUP(H90,Rates!$A$2:$B$3,2,0),1)</f>
        <v>1</v>
      </c>
      <c r="J90" t="str">
        <f t="shared" si="2"/>
        <v/>
      </c>
      <c r="K90" t="str">
        <f>IF(J90&lt;&gt;"",SUM($J$2:J90),"")</f>
        <v/>
      </c>
      <c r="L90">
        <f ca="1" t="shared" si="3"/>
        <v>45942</v>
      </c>
    </row>
    <row r="91" spans="9:12">
      <c r="I91">
        <f>IFERROR(VLOOKUP(H91,Rates!$A$2:$B$3,2,0),1)</f>
        <v>1</v>
      </c>
      <c r="J91" t="str">
        <f t="shared" si="2"/>
        <v/>
      </c>
      <c r="K91" t="str">
        <f>IF(J91&lt;&gt;"",SUM($J$2:J91),"")</f>
        <v/>
      </c>
      <c r="L91">
        <f ca="1" t="shared" si="3"/>
        <v>45942</v>
      </c>
    </row>
    <row r="92" spans="9:12">
      <c r="I92">
        <f>IFERROR(VLOOKUP(H92,Rates!$A$2:$B$3,2,0),1)</f>
        <v>1</v>
      </c>
      <c r="J92" t="str">
        <f t="shared" si="2"/>
        <v/>
      </c>
      <c r="K92" t="str">
        <f>IF(J92&lt;&gt;"",SUM($J$2:J92),"")</f>
        <v/>
      </c>
      <c r="L92">
        <f ca="1" t="shared" si="3"/>
        <v>45942</v>
      </c>
    </row>
    <row r="93" spans="9:12">
      <c r="I93">
        <f>IFERROR(VLOOKUP(H93,Rates!$A$2:$B$3,2,0),1)</f>
        <v>1</v>
      </c>
      <c r="J93" t="str">
        <f t="shared" si="2"/>
        <v/>
      </c>
      <c r="K93" t="str">
        <f>IF(J93&lt;&gt;"",SUM($J$2:J93),"")</f>
        <v/>
      </c>
      <c r="L93">
        <f ca="1" t="shared" si="3"/>
        <v>45942</v>
      </c>
    </row>
    <row r="94" spans="9:12">
      <c r="I94">
        <f>IFERROR(VLOOKUP(H94,Rates!$A$2:$B$3,2,0),1)</f>
        <v>1</v>
      </c>
      <c r="J94" t="str">
        <f t="shared" si="2"/>
        <v/>
      </c>
      <c r="K94" t="str">
        <f>IF(J94&lt;&gt;"",SUM($J$2:J94),"")</f>
        <v/>
      </c>
      <c r="L94">
        <f ca="1" t="shared" si="3"/>
        <v>45942</v>
      </c>
    </row>
    <row r="95" spans="9:12">
      <c r="I95">
        <f>IFERROR(VLOOKUP(H95,Rates!$A$2:$B$3,2,0),1)</f>
        <v>1</v>
      </c>
      <c r="J95" t="str">
        <f t="shared" si="2"/>
        <v/>
      </c>
      <c r="K95" t="str">
        <f>IF(J95&lt;&gt;"",SUM($J$2:J95),"")</f>
        <v/>
      </c>
      <c r="L95">
        <f ca="1" t="shared" si="3"/>
        <v>45942</v>
      </c>
    </row>
    <row r="96" spans="9:12">
      <c r="I96">
        <f>IFERROR(VLOOKUP(H96,Rates!$A$2:$B$3,2,0),1)</f>
        <v>1</v>
      </c>
      <c r="J96" t="str">
        <f t="shared" si="2"/>
        <v/>
      </c>
      <c r="K96" t="str">
        <f>IF(J96&lt;&gt;"",SUM($J$2:J96),"")</f>
        <v/>
      </c>
      <c r="L96">
        <f ca="1" t="shared" si="3"/>
        <v>45942</v>
      </c>
    </row>
    <row r="97" spans="9:12">
      <c r="I97">
        <f>IFERROR(VLOOKUP(H97,Rates!$A$2:$B$3,2,0),1)</f>
        <v>1</v>
      </c>
      <c r="J97" t="str">
        <f t="shared" si="2"/>
        <v/>
      </c>
      <c r="K97" t="str">
        <f>IF(J97&lt;&gt;"",SUM($J$2:J97),"")</f>
        <v/>
      </c>
      <c r="L97">
        <f ca="1" t="shared" si="3"/>
        <v>45942</v>
      </c>
    </row>
    <row r="98" spans="9:12">
      <c r="I98">
        <f>IFERROR(VLOOKUP(H98,Rates!$A$2:$B$3,2,0),1)</f>
        <v>1</v>
      </c>
      <c r="J98" t="str">
        <f t="shared" si="2"/>
        <v/>
      </c>
      <c r="K98" t="str">
        <f>IF(J98&lt;&gt;"",SUM($J$2:J98),"")</f>
        <v/>
      </c>
      <c r="L98">
        <f ca="1" t="shared" si="3"/>
        <v>45942</v>
      </c>
    </row>
    <row r="99" spans="9:12">
      <c r="I99">
        <f>IFERROR(VLOOKUP(H99,Rates!$A$2:$B$3,2,0),1)</f>
        <v>1</v>
      </c>
      <c r="J99" t="str">
        <f t="shared" si="2"/>
        <v/>
      </c>
      <c r="K99" t="str">
        <f>IF(J99&lt;&gt;"",SUM($J$2:J99),"")</f>
        <v/>
      </c>
      <c r="L99">
        <f ca="1" t="shared" si="3"/>
        <v>45942</v>
      </c>
    </row>
    <row r="100" spans="9:12">
      <c r="I100">
        <f>IFERROR(VLOOKUP(H100,Rates!$A$2:$B$3,2,0),1)</f>
        <v>1</v>
      </c>
      <c r="J100" t="str">
        <f t="shared" si="2"/>
        <v/>
      </c>
      <c r="K100" t="str">
        <f>IF(J100&lt;&gt;"",SUM($J$2:J100),"")</f>
        <v/>
      </c>
      <c r="L100">
        <f ca="1" t="shared" si="3"/>
        <v>45942</v>
      </c>
    </row>
    <row r="101" spans="9:12">
      <c r="I101">
        <f>IFERROR(VLOOKUP(H101,Rates!$A$2:$B$3,2,0),1)</f>
        <v>1</v>
      </c>
      <c r="J101" t="str">
        <f t="shared" si="2"/>
        <v/>
      </c>
      <c r="K101" t="str">
        <f>IF(J101&lt;&gt;"",SUM($J$2:J101),"")</f>
        <v/>
      </c>
      <c r="L101">
        <f ca="1" t="shared" si="3"/>
        <v>45942</v>
      </c>
    </row>
    <row r="102" spans="9:12">
      <c r="I102">
        <f>IFERROR(VLOOKUP(H102,Rates!$A$2:$B$3,2,0),1)</f>
        <v>1</v>
      </c>
      <c r="J102" t="str">
        <f t="shared" si="2"/>
        <v/>
      </c>
      <c r="K102" t="str">
        <f>IF(J102&lt;&gt;"",SUM($J$2:J102),"")</f>
        <v/>
      </c>
      <c r="L102">
        <f ca="1" t="shared" si="3"/>
        <v>45942</v>
      </c>
    </row>
    <row r="103" spans="9:12">
      <c r="I103">
        <f>IFERROR(VLOOKUP(H103,Rates!$A$2:$B$3,2,0),1)</f>
        <v>1</v>
      </c>
      <c r="J103" t="str">
        <f t="shared" si="2"/>
        <v/>
      </c>
      <c r="K103" t="str">
        <f>IF(J103&lt;&gt;"",SUM($J$2:J103),"")</f>
        <v/>
      </c>
      <c r="L103">
        <f ca="1" t="shared" si="3"/>
        <v>45942</v>
      </c>
    </row>
    <row r="104" spans="9:12">
      <c r="I104">
        <f>IFERROR(VLOOKUP(H104,Rates!$A$2:$B$3,2,0),1)</f>
        <v>1</v>
      </c>
      <c r="J104" t="str">
        <f t="shared" si="2"/>
        <v/>
      </c>
      <c r="K104" t="str">
        <f>IF(J104&lt;&gt;"",SUM($J$2:J104),"")</f>
        <v/>
      </c>
      <c r="L104">
        <f ca="1" t="shared" si="3"/>
        <v>45942</v>
      </c>
    </row>
    <row r="105" spans="9:12">
      <c r="I105">
        <f>IFERROR(VLOOKUP(H105,Rates!$A$2:$B$3,2,0),1)</f>
        <v>1</v>
      </c>
      <c r="J105" t="str">
        <f t="shared" si="2"/>
        <v/>
      </c>
      <c r="K105" t="str">
        <f>IF(J105&lt;&gt;"",SUM($J$2:J105),"")</f>
        <v/>
      </c>
      <c r="L105">
        <f ca="1" t="shared" si="3"/>
        <v>45942</v>
      </c>
    </row>
    <row r="106" spans="9:12">
      <c r="I106">
        <f>IFERROR(VLOOKUP(H106,Rates!$A$2:$B$3,2,0),1)</f>
        <v>1</v>
      </c>
      <c r="J106" t="str">
        <f t="shared" si="2"/>
        <v/>
      </c>
      <c r="K106" t="str">
        <f>IF(J106&lt;&gt;"",SUM($J$2:J106),"")</f>
        <v/>
      </c>
      <c r="L106">
        <f ca="1" t="shared" si="3"/>
        <v>45942</v>
      </c>
    </row>
    <row r="107" spans="9:12">
      <c r="I107">
        <f>IFERROR(VLOOKUP(H107,Rates!$A$2:$B$3,2,0),1)</f>
        <v>1</v>
      </c>
      <c r="J107" t="str">
        <f t="shared" si="2"/>
        <v/>
      </c>
      <c r="K107" t="str">
        <f>IF(J107&lt;&gt;"",SUM($J$2:J107),"")</f>
        <v/>
      </c>
      <c r="L107">
        <f ca="1" t="shared" si="3"/>
        <v>45942</v>
      </c>
    </row>
    <row r="108" spans="9:12">
      <c r="I108">
        <f>IFERROR(VLOOKUP(H108,Rates!$A$2:$B$3,2,0),1)</f>
        <v>1</v>
      </c>
      <c r="J108" t="str">
        <f t="shared" si="2"/>
        <v/>
      </c>
      <c r="K108" t="str">
        <f>IF(J108&lt;&gt;"",SUM($J$2:J108),"")</f>
        <v/>
      </c>
      <c r="L108">
        <f ca="1" t="shared" si="3"/>
        <v>45942</v>
      </c>
    </row>
    <row r="109" spans="9:12">
      <c r="I109">
        <f>IFERROR(VLOOKUP(H109,Rates!$A$2:$B$3,2,0),1)</f>
        <v>1</v>
      </c>
      <c r="J109" t="str">
        <f t="shared" si="2"/>
        <v/>
      </c>
      <c r="K109" t="str">
        <f>IF(J109&lt;&gt;"",SUM($J$2:J109),"")</f>
        <v/>
      </c>
      <c r="L109">
        <f ca="1" t="shared" si="3"/>
        <v>45942</v>
      </c>
    </row>
    <row r="110" spans="9:12">
      <c r="I110">
        <f>IFERROR(VLOOKUP(H110,Rates!$A$2:$B$3,2,0),1)</f>
        <v>1</v>
      </c>
      <c r="J110" t="str">
        <f t="shared" si="2"/>
        <v/>
      </c>
      <c r="K110" t="str">
        <f>IF(J110&lt;&gt;"",SUM($J$2:J110),"")</f>
        <v/>
      </c>
      <c r="L110">
        <f ca="1" t="shared" si="3"/>
        <v>45942</v>
      </c>
    </row>
    <row r="111" spans="9:12">
      <c r="I111">
        <f>IFERROR(VLOOKUP(H111,Rates!$A$2:$B$3,2,0),1)</f>
        <v>1</v>
      </c>
      <c r="J111" t="str">
        <f t="shared" si="2"/>
        <v/>
      </c>
      <c r="K111" t="str">
        <f>IF(J111&lt;&gt;"",SUM($J$2:J111),"")</f>
        <v/>
      </c>
      <c r="L111">
        <f ca="1" t="shared" si="3"/>
        <v>45942</v>
      </c>
    </row>
    <row r="112" spans="9:12">
      <c r="I112">
        <f>IFERROR(VLOOKUP(H112,Rates!$A$2:$B$3,2,0),1)</f>
        <v>1</v>
      </c>
      <c r="J112" t="str">
        <f t="shared" si="2"/>
        <v/>
      </c>
      <c r="K112" t="str">
        <f>IF(J112&lt;&gt;"",SUM($J$2:J112),"")</f>
        <v/>
      </c>
      <c r="L112">
        <f ca="1" t="shared" si="3"/>
        <v>45942</v>
      </c>
    </row>
    <row r="113" spans="9:12">
      <c r="I113">
        <f>IFERROR(VLOOKUP(H113,Rates!$A$2:$B$3,2,0),1)</f>
        <v>1</v>
      </c>
      <c r="J113" t="str">
        <f t="shared" si="2"/>
        <v/>
      </c>
      <c r="K113" t="str">
        <f>IF(J113&lt;&gt;"",SUM($J$2:J113),"")</f>
        <v/>
      </c>
      <c r="L113">
        <f ca="1" t="shared" si="3"/>
        <v>45942</v>
      </c>
    </row>
    <row r="114" spans="9:12">
      <c r="I114">
        <f>IFERROR(VLOOKUP(H114,Rates!$A$2:$B$3,2,0),1)</f>
        <v>1</v>
      </c>
      <c r="J114" t="str">
        <f t="shared" si="2"/>
        <v/>
      </c>
      <c r="K114" t="str">
        <f>IF(J114&lt;&gt;"",SUM($J$2:J114),"")</f>
        <v/>
      </c>
      <c r="L114">
        <f ca="1" t="shared" si="3"/>
        <v>45942</v>
      </c>
    </row>
    <row r="115" spans="9:12">
      <c r="I115">
        <f>IFERROR(VLOOKUP(H115,Rates!$A$2:$B$3,2,0),1)</f>
        <v>1</v>
      </c>
      <c r="J115" t="str">
        <f t="shared" si="2"/>
        <v/>
      </c>
      <c r="K115" t="str">
        <f>IF(J115&lt;&gt;"",SUM($J$2:J115),"")</f>
        <v/>
      </c>
      <c r="L115">
        <f ca="1" t="shared" si="3"/>
        <v>45942</v>
      </c>
    </row>
    <row r="116" spans="9:12">
      <c r="I116">
        <f>IFERROR(VLOOKUP(H116,Rates!$A$2:$B$3,2,0),1)</f>
        <v>1</v>
      </c>
      <c r="J116" t="str">
        <f t="shared" si="2"/>
        <v/>
      </c>
      <c r="K116" t="str">
        <f>IF(J116&lt;&gt;"",SUM($J$2:J116),"")</f>
        <v/>
      </c>
      <c r="L116">
        <f ca="1" t="shared" si="3"/>
        <v>45942</v>
      </c>
    </row>
    <row r="117" spans="9:12">
      <c r="I117">
        <f>IFERROR(VLOOKUP(H117,Rates!$A$2:$B$3,2,0),1)</f>
        <v>1</v>
      </c>
      <c r="J117" t="str">
        <f t="shared" si="2"/>
        <v/>
      </c>
      <c r="K117" t="str">
        <f>IF(J117&lt;&gt;"",SUM($J$2:J117),"")</f>
        <v/>
      </c>
      <c r="L117">
        <f ca="1" t="shared" si="3"/>
        <v>45942</v>
      </c>
    </row>
    <row r="118" spans="9:12">
      <c r="I118">
        <f>IFERROR(VLOOKUP(H118,Rates!$A$2:$B$3,2,0),1)</f>
        <v>1</v>
      </c>
      <c r="J118" t="str">
        <f t="shared" si="2"/>
        <v/>
      </c>
      <c r="K118" t="str">
        <f>IF(J118&lt;&gt;"",SUM($J$2:J118),"")</f>
        <v/>
      </c>
      <c r="L118">
        <f ca="1" t="shared" si="3"/>
        <v>45942</v>
      </c>
    </row>
    <row r="119" spans="9:12">
      <c r="I119">
        <f>IFERROR(VLOOKUP(H119,Rates!$A$2:$B$3,2,0),1)</f>
        <v>1</v>
      </c>
      <c r="J119" t="str">
        <f t="shared" si="2"/>
        <v/>
      </c>
      <c r="K119" t="str">
        <f>IF(J119&lt;&gt;"",SUM($J$2:J119),"")</f>
        <v/>
      </c>
      <c r="L119">
        <f ca="1" t="shared" si="3"/>
        <v>45942</v>
      </c>
    </row>
    <row r="120" spans="9:12">
      <c r="I120">
        <f>IFERROR(VLOOKUP(H120,Rates!$A$2:$B$3,2,0),1)</f>
        <v>1</v>
      </c>
      <c r="J120" t="str">
        <f t="shared" si="2"/>
        <v/>
      </c>
      <c r="K120" t="str">
        <f>IF(J120&lt;&gt;"",SUM($J$2:J120),"")</f>
        <v/>
      </c>
      <c r="L120">
        <f ca="1" t="shared" si="3"/>
        <v>45942</v>
      </c>
    </row>
    <row r="121" spans="9:12">
      <c r="I121">
        <f>IFERROR(VLOOKUP(H121,Rates!$A$2:$B$3,2,0),1)</f>
        <v>1</v>
      </c>
      <c r="J121" t="str">
        <f t="shared" si="2"/>
        <v/>
      </c>
      <c r="K121" t="str">
        <f>IF(J121&lt;&gt;"",SUM($J$2:J121),"")</f>
        <v/>
      </c>
      <c r="L121">
        <f ca="1" t="shared" si="3"/>
        <v>45942</v>
      </c>
    </row>
    <row r="122" spans="9:12">
      <c r="I122">
        <f>IFERROR(VLOOKUP(H122,Rates!$A$2:$B$3,2,0),1)</f>
        <v>1</v>
      </c>
      <c r="J122" t="str">
        <f t="shared" si="2"/>
        <v/>
      </c>
      <c r="K122" t="str">
        <f>IF(J122&lt;&gt;"",SUM($J$2:J122),"")</f>
        <v/>
      </c>
      <c r="L122">
        <f ca="1" t="shared" si="3"/>
        <v>45942</v>
      </c>
    </row>
    <row r="123" spans="9:12">
      <c r="I123">
        <f>IFERROR(VLOOKUP(H123,Rates!$A$2:$B$3,2,0),1)</f>
        <v>1</v>
      </c>
      <c r="J123" t="str">
        <f t="shared" si="2"/>
        <v/>
      </c>
      <c r="K123" t="str">
        <f>IF(J123&lt;&gt;"",SUM($J$2:J123),"")</f>
        <v/>
      </c>
      <c r="L123">
        <f ca="1" t="shared" si="3"/>
        <v>45942</v>
      </c>
    </row>
    <row r="124" spans="9:12">
      <c r="I124">
        <f>IFERROR(VLOOKUP(H124,Rates!$A$2:$B$3,2,0),1)</f>
        <v>1</v>
      </c>
      <c r="J124" t="str">
        <f t="shared" si="2"/>
        <v/>
      </c>
      <c r="K124" t="str">
        <f>IF(J124&lt;&gt;"",SUM($J$2:J124),"")</f>
        <v/>
      </c>
      <c r="L124">
        <f ca="1" t="shared" si="3"/>
        <v>45942</v>
      </c>
    </row>
    <row r="125" spans="9:12">
      <c r="I125">
        <f>IFERROR(VLOOKUP(H125,Rates!$A$2:$B$3,2,0),1)</f>
        <v>1</v>
      </c>
      <c r="J125" t="str">
        <f t="shared" si="2"/>
        <v/>
      </c>
      <c r="K125" t="str">
        <f>IF(J125&lt;&gt;"",SUM($J$2:J125),"")</f>
        <v/>
      </c>
      <c r="L125">
        <f ca="1" t="shared" si="3"/>
        <v>45942</v>
      </c>
    </row>
    <row r="126" spans="9:12">
      <c r="I126">
        <f>IFERROR(VLOOKUP(H126,Rates!$A$2:$B$3,2,0),1)</f>
        <v>1</v>
      </c>
      <c r="J126" t="str">
        <f t="shared" si="2"/>
        <v/>
      </c>
      <c r="K126" t="str">
        <f>IF(J126&lt;&gt;"",SUM($J$2:J126),"")</f>
        <v/>
      </c>
      <c r="L126">
        <f ca="1" t="shared" si="3"/>
        <v>45942</v>
      </c>
    </row>
    <row r="127" spans="9:12">
      <c r="I127">
        <f>IFERROR(VLOOKUP(H127,Rates!$A$2:$B$3,2,0),1)</f>
        <v>1</v>
      </c>
      <c r="J127" t="str">
        <f t="shared" si="2"/>
        <v/>
      </c>
      <c r="K127" t="str">
        <f>IF(J127&lt;&gt;"",SUM($J$2:J127),"")</f>
        <v/>
      </c>
      <c r="L127">
        <f ca="1" t="shared" si="3"/>
        <v>45942</v>
      </c>
    </row>
    <row r="128" spans="9:12">
      <c r="I128">
        <f>IFERROR(VLOOKUP(H128,Rates!$A$2:$B$3,2,0),1)</f>
        <v>1</v>
      </c>
      <c r="J128" t="str">
        <f t="shared" si="2"/>
        <v/>
      </c>
      <c r="K128" t="str">
        <f>IF(J128&lt;&gt;"",SUM($J$2:J128),"")</f>
        <v/>
      </c>
      <c r="L128">
        <f ca="1" t="shared" si="3"/>
        <v>45942</v>
      </c>
    </row>
    <row r="129" spans="9:12">
      <c r="I129">
        <f>IFERROR(VLOOKUP(H129,Rates!$A$2:$B$3,2,0),1)</f>
        <v>1</v>
      </c>
      <c r="J129" t="str">
        <f t="shared" si="2"/>
        <v/>
      </c>
      <c r="K129" t="str">
        <f>IF(J129&lt;&gt;"",SUM($J$2:J129),"")</f>
        <v/>
      </c>
      <c r="L129">
        <f ca="1" t="shared" si="3"/>
        <v>45942</v>
      </c>
    </row>
    <row r="130" spans="9:12">
      <c r="I130">
        <f>IFERROR(VLOOKUP(H130,Rates!$A$2:$B$3,2,0),1)</f>
        <v>1</v>
      </c>
      <c r="J130" t="str">
        <f t="shared" ref="J130:J193" si="4">IF(G130&lt;&gt;"",G130*I130,"")</f>
        <v/>
      </c>
      <c r="K130" t="str">
        <f>IF(J130&lt;&gt;"",SUM($J$2:J130),"")</f>
        <v/>
      </c>
      <c r="L130">
        <f ca="1" t="shared" ref="L130:L193" si="5">IF(COUNTA(A130:K130)&gt;0,TODAY(),"")</f>
        <v>45942</v>
      </c>
    </row>
    <row r="131" spans="9:12">
      <c r="I131">
        <f>IFERROR(VLOOKUP(H131,Rates!$A$2:$B$3,2,0),1)</f>
        <v>1</v>
      </c>
      <c r="J131" t="str">
        <f t="shared" si="4"/>
        <v/>
      </c>
      <c r="K131" t="str">
        <f>IF(J131&lt;&gt;"",SUM($J$2:J131),"")</f>
        <v/>
      </c>
      <c r="L131">
        <f ca="1" t="shared" si="5"/>
        <v>45942</v>
      </c>
    </row>
    <row r="132" spans="9:12">
      <c r="I132">
        <f>IFERROR(VLOOKUP(H132,Rates!$A$2:$B$3,2,0),1)</f>
        <v>1</v>
      </c>
      <c r="J132" t="str">
        <f t="shared" si="4"/>
        <v/>
      </c>
      <c r="K132" t="str">
        <f>IF(J132&lt;&gt;"",SUM($J$2:J132),"")</f>
        <v/>
      </c>
      <c r="L132">
        <f ca="1" t="shared" si="5"/>
        <v>45942</v>
      </c>
    </row>
    <row r="133" spans="9:12">
      <c r="I133">
        <f>IFERROR(VLOOKUP(H133,Rates!$A$2:$B$3,2,0),1)</f>
        <v>1</v>
      </c>
      <c r="J133" t="str">
        <f t="shared" si="4"/>
        <v/>
      </c>
      <c r="K133" t="str">
        <f>IF(J133&lt;&gt;"",SUM($J$2:J133),"")</f>
        <v/>
      </c>
      <c r="L133">
        <f ca="1" t="shared" si="5"/>
        <v>45942</v>
      </c>
    </row>
    <row r="134" spans="9:12">
      <c r="I134">
        <f>IFERROR(VLOOKUP(H134,Rates!$A$2:$B$3,2,0),1)</f>
        <v>1</v>
      </c>
      <c r="J134" t="str">
        <f t="shared" si="4"/>
        <v/>
      </c>
      <c r="K134" t="str">
        <f>IF(J134&lt;&gt;"",SUM($J$2:J134),"")</f>
        <v/>
      </c>
      <c r="L134">
        <f ca="1" t="shared" si="5"/>
        <v>45942</v>
      </c>
    </row>
    <row r="135" spans="9:12">
      <c r="I135">
        <f>IFERROR(VLOOKUP(H135,Rates!$A$2:$B$3,2,0),1)</f>
        <v>1</v>
      </c>
      <c r="J135" t="str">
        <f t="shared" si="4"/>
        <v/>
      </c>
      <c r="K135" t="str">
        <f>IF(J135&lt;&gt;"",SUM($J$2:J135),"")</f>
        <v/>
      </c>
      <c r="L135">
        <f ca="1" t="shared" si="5"/>
        <v>45942</v>
      </c>
    </row>
    <row r="136" spans="9:12">
      <c r="I136">
        <f>IFERROR(VLOOKUP(H136,Rates!$A$2:$B$3,2,0),1)</f>
        <v>1</v>
      </c>
      <c r="J136" t="str">
        <f t="shared" si="4"/>
        <v/>
      </c>
      <c r="K136" t="str">
        <f>IF(J136&lt;&gt;"",SUM($J$2:J136),"")</f>
        <v/>
      </c>
      <c r="L136">
        <f ca="1" t="shared" si="5"/>
        <v>45942</v>
      </c>
    </row>
    <row r="137" spans="9:12">
      <c r="I137">
        <f>IFERROR(VLOOKUP(H137,Rates!$A$2:$B$3,2,0),1)</f>
        <v>1</v>
      </c>
      <c r="J137" t="str">
        <f t="shared" si="4"/>
        <v/>
      </c>
      <c r="K137" t="str">
        <f>IF(J137&lt;&gt;"",SUM($J$2:J137),"")</f>
        <v/>
      </c>
      <c r="L137">
        <f ca="1" t="shared" si="5"/>
        <v>45942</v>
      </c>
    </row>
    <row r="138" spans="9:12">
      <c r="I138">
        <f>IFERROR(VLOOKUP(H138,Rates!$A$2:$B$3,2,0),1)</f>
        <v>1</v>
      </c>
      <c r="J138" t="str">
        <f t="shared" si="4"/>
        <v/>
      </c>
      <c r="K138" t="str">
        <f>IF(J138&lt;&gt;"",SUM($J$2:J138),"")</f>
        <v/>
      </c>
      <c r="L138">
        <f ca="1" t="shared" si="5"/>
        <v>45942</v>
      </c>
    </row>
    <row r="139" spans="9:12">
      <c r="I139">
        <f>IFERROR(VLOOKUP(H139,Rates!$A$2:$B$3,2,0),1)</f>
        <v>1</v>
      </c>
      <c r="J139" t="str">
        <f t="shared" si="4"/>
        <v/>
      </c>
      <c r="K139" t="str">
        <f>IF(J139&lt;&gt;"",SUM($J$2:J139),"")</f>
        <v/>
      </c>
      <c r="L139">
        <f ca="1" t="shared" si="5"/>
        <v>45942</v>
      </c>
    </row>
    <row r="140" spans="9:12">
      <c r="I140">
        <f>IFERROR(VLOOKUP(H140,Rates!$A$2:$B$3,2,0),1)</f>
        <v>1</v>
      </c>
      <c r="J140" t="str">
        <f t="shared" si="4"/>
        <v/>
      </c>
      <c r="K140" t="str">
        <f>IF(J140&lt;&gt;"",SUM($J$2:J140),"")</f>
        <v/>
      </c>
      <c r="L140">
        <f ca="1" t="shared" si="5"/>
        <v>45942</v>
      </c>
    </row>
    <row r="141" spans="9:12">
      <c r="I141">
        <f>IFERROR(VLOOKUP(H141,Rates!$A$2:$B$3,2,0),1)</f>
        <v>1</v>
      </c>
      <c r="J141" t="str">
        <f t="shared" si="4"/>
        <v/>
      </c>
      <c r="K141" t="str">
        <f>IF(J141&lt;&gt;"",SUM($J$2:J141),"")</f>
        <v/>
      </c>
      <c r="L141">
        <f ca="1" t="shared" si="5"/>
        <v>45942</v>
      </c>
    </row>
    <row r="142" spans="9:12">
      <c r="I142">
        <f>IFERROR(VLOOKUP(H142,Rates!$A$2:$B$3,2,0),1)</f>
        <v>1</v>
      </c>
      <c r="J142" t="str">
        <f t="shared" si="4"/>
        <v/>
      </c>
      <c r="K142" t="str">
        <f>IF(J142&lt;&gt;"",SUM($J$2:J142),"")</f>
        <v/>
      </c>
      <c r="L142">
        <f ca="1" t="shared" si="5"/>
        <v>45942</v>
      </c>
    </row>
    <row r="143" spans="9:12">
      <c r="I143">
        <f>IFERROR(VLOOKUP(H143,Rates!$A$2:$B$3,2,0),1)</f>
        <v>1</v>
      </c>
      <c r="J143" t="str">
        <f t="shared" si="4"/>
        <v/>
      </c>
      <c r="K143" t="str">
        <f>IF(J143&lt;&gt;"",SUM($J$2:J143),"")</f>
        <v/>
      </c>
      <c r="L143">
        <f ca="1" t="shared" si="5"/>
        <v>45942</v>
      </c>
    </row>
    <row r="144" spans="9:12">
      <c r="I144">
        <f>IFERROR(VLOOKUP(H144,Rates!$A$2:$B$3,2,0),1)</f>
        <v>1</v>
      </c>
      <c r="J144" t="str">
        <f t="shared" si="4"/>
        <v/>
      </c>
      <c r="K144" t="str">
        <f>IF(J144&lt;&gt;"",SUM($J$2:J144),"")</f>
        <v/>
      </c>
      <c r="L144">
        <f ca="1" t="shared" si="5"/>
        <v>45942</v>
      </c>
    </row>
    <row r="145" spans="9:12">
      <c r="I145">
        <f>IFERROR(VLOOKUP(H145,Rates!$A$2:$B$3,2,0),1)</f>
        <v>1</v>
      </c>
      <c r="J145" t="str">
        <f t="shared" si="4"/>
        <v/>
      </c>
      <c r="K145" t="str">
        <f>IF(J145&lt;&gt;"",SUM($J$2:J145),"")</f>
        <v/>
      </c>
      <c r="L145">
        <f ca="1" t="shared" si="5"/>
        <v>45942</v>
      </c>
    </row>
    <row r="146" spans="9:12">
      <c r="I146">
        <f>IFERROR(VLOOKUP(H146,Rates!$A$2:$B$3,2,0),1)</f>
        <v>1</v>
      </c>
      <c r="J146" t="str">
        <f t="shared" si="4"/>
        <v/>
      </c>
      <c r="K146" t="str">
        <f>IF(J146&lt;&gt;"",SUM($J$2:J146),"")</f>
        <v/>
      </c>
      <c r="L146">
        <f ca="1" t="shared" si="5"/>
        <v>45942</v>
      </c>
    </row>
    <row r="147" spans="9:12">
      <c r="I147">
        <f>IFERROR(VLOOKUP(H147,Rates!$A$2:$B$3,2,0),1)</f>
        <v>1</v>
      </c>
      <c r="J147" t="str">
        <f t="shared" si="4"/>
        <v/>
      </c>
      <c r="K147" t="str">
        <f>IF(J147&lt;&gt;"",SUM($J$2:J147),"")</f>
        <v/>
      </c>
      <c r="L147">
        <f ca="1" t="shared" si="5"/>
        <v>45942</v>
      </c>
    </row>
    <row r="148" spans="9:12">
      <c r="I148">
        <f>IFERROR(VLOOKUP(H148,Rates!$A$2:$B$3,2,0),1)</f>
        <v>1</v>
      </c>
      <c r="J148" t="str">
        <f t="shared" si="4"/>
        <v/>
      </c>
      <c r="K148" t="str">
        <f>IF(J148&lt;&gt;"",SUM($J$2:J148),"")</f>
        <v/>
      </c>
      <c r="L148">
        <f ca="1" t="shared" si="5"/>
        <v>45942</v>
      </c>
    </row>
    <row r="149" spans="9:12">
      <c r="I149">
        <f>IFERROR(VLOOKUP(H149,Rates!$A$2:$B$3,2,0),1)</f>
        <v>1</v>
      </c>
      <c r="J149" t="str">
        <f t="shared" si="4"/>
        <v/>
      </c>
      <c r="K149" t="str">
        <f>IF(J149&lt;&gt;"",SUM($J$2:J149),"")</f>
        <v/>
      </c>
      <c r="L149">
        <f ca="1" t="shared" si="5"/>
        <v>45942</v>
      </c>
    </row>
    <row r="150" spans="9:12">
      <c r="I150">
        <f>IFERROR(VLOOKUP(H150,Rates!$A$2:$B$3,2,0),1)</f>
        <v>1</v>
      </c>
      <c r="J150" t="str">
        <f t="shared" si="4"/>
        <v/>
      </c>
      <c r="K150" t="str">
        <f>IF(J150&lt;&gt;"",SUM($J$2:J150),"")</f>
        <v/>
      </c>
      <c r="L150">
        <f ca="1" t="shared" si="5"/>
        <v>45942</v>
      </c>
    </row>
    <row r="151" spans="9:12">
      <c r="I151">
        <f>IFERROR(VLOOKUP(H151,Rates!$A$2:$B$3,2,0),1)</f>
        <v>1</v>
      </c>
      <c r="J151" t="str">
        <f t="shared" si="4"/>
        <v/>
      </c>
      <c r="K151" t="str">
        <f>IF(J151&lt;&gt;"",SUM($J$2:J151),"")</f>
        <v/>
      </c>
      <c r="L151">
        <f ca="1" t="shared" si="5"/>
        <v>45942</v>
      </c>
    </row>
    <row r="152" spans="9:12">
      <c r="I152">
        <f>IFERROR(VLOOKUP(H152,Rates!$A$2:$B$3,2,0),1)</f>
        <v>1</v>
      </c>
      <c r="J152" t="str">
        <f t="shared" si="4"/>
        <v/>
      </c>
      <c r="K152" t="str">
        <f>IF(J152&lt;&gt;"",SUM($J$2:J152),"")</f>
        <v/>
      </c>
      <c r="L152">
        <f ca="1" t="shared" si="5"/>
        <v>45942</v>
      </c>
    </row>
    <row r="153" spans="9:12">
      <c r="I153">
        <f>IFERROR(VLOOKUP(H153,Rates!$A$2:$B$3,2,0),1)</f>
        <v>1</v>
      </c>
      <c r="J153" t="str">
        <f t="shared" si="4"/>
        <v/>
      </c>
      <c r="K153" t="str">
        <f>IF(J153&lt;&gt;"",SUM($J$2:J153),"")</f>
        <v/>
      </c>
      <c r="L153">
        <f ca="1" t="shared" si="5"/>
        <v>45942</v>
      </c>
    </row>
    <row r="154" spans="9:12">
      <c r="I154">
        <f>IFERROR(VLOOKUP(H154,Rates!$A$2:$B$3,2,0),1)</f>
        <v>1</v>
      </c>
      <c r="J154" t="str">
        <f t="shared" si="4"/>
        <v/>
      </c>
      <c r="K154" t="str">
        <f>IF(J154&lt;&gt;"",SUM($J$2:J154),"")</f>
        <v/>
      </c>
      <c r="L154">
        <f ca="1" t="shared" si="5"/>
        <v>45942</v>
      </c>
    </row>
    <row r="155" spans="9:12">
      <c r="I155">
        <f>IFERROR(VLOOKUP(H155,Rates!$A$2:$B$3,2,0),1)</f>
        <v>1</v>
      </c>
      <c r="J155" t="str">
        <f t="shared" si="4"/>
        <v/>
      </c>
      <c r="K155" t="str">
        <f>IF(J155&lt;&gt;"",SUM($J$2:J155),"")</f>
        <v/>
      </c>
      <c r="L155">
        <f ca="1" t="shared" si="5"/>
        <v>45942</v>
      </c>
    </row>
    <row r="156" spans="9:12">
      <c r="I156">
        <f>IFERROR(VLOOKUP(H156,Rates!$A$2:$B$3,2,0),1)</f>
        <v>1</v>
      </c>
      <c r="J156" t="str">
        <f t="shared" si="4"/>
        <v/>
      </c>
      <c r="K156" t="str">
        <f>IF(J156&lt;&gt;"",SUM($J$2:J156),"")</f>
        <v/>
      </c>
      <c r="L156">
        <f ca="1" t="shared" si="5"/>
        <v>45942</v>
      </c>
    </row>
    <row r="157" spans="9:12">
      <c r="I157">
        <f>IFERROR(VLOOKUP(H157,Rates!$A$2:$B$3,2,0),1)</f>
        <v>1</v>
      </c>
      <c r="J157" t="str">
        <f t="shared" si="4"/>
        <v/>
      </c>
      <c r="K157" t="str">
        <f>IF(J157&lt;&gt;"",SUM($J$2:J157),"")</f>
        <v/>
      </c>
      <c r="L157">
        <f ca="1" t="shared" si="5"/>
        <v>45942</v>
      </c>
    </row>
    <row r="158" spans="9:12">
      <c r="I158">
        <f>IFERROR(VLOOKUP(H158,Rates!$A$2:$B$3,2,0),1)</f>
        <v>1</v>
      </c>
      <c r="J158" t="str">
        <f t="shared" si="4"/>
        <v/>
      </c>
      <c r="K158" t="str">
        <f>IF(J158&lt;&gt;"",SUM($J$2:J158),"")</f>
        <v/>
      </c>
      <c r="L158">
        <f ca="1" t="shared" si="5"/>
        <v>45942</v>
      </c>
    </row>
    <row r="159" spans="9:12">
      <c r="I159">
        <f>IFERROR(VLOOKUP(H159,Rates!$A$2:$B$3,2,0),1)</f>
        <v>1</v>
      </c>
      <c r="J159" t="str">
        <f t="shared" si="4"/>
        <v/>
      </c>
      <c r="K159" t="str">
        <f>IF(J159&lt;&gt;"",SUM($J$2:J159),"")</f>
        <v/>
      </c>
      <c r="L159">
        <f ca="1" t="shared" si="5"/>
        <v>45942</v>
      </c>
    </row>
    <row r="160" spans="9:12">
      <c r="I160">
        <f>IFERROR(VLOOKUP(H160,Rates!$A$2:$B$3,2,0),1)</f>
        <v>1</v>
      </c>
      <c r="J160" t="str">
        <f t="shared" si="4"/>
        <v/>
      </c>
      <c r="K160" t="str">
        <f>IF(J160&lt;&gt;"",SUM($J$2:J160),"")</f>
        <v/>
      </c>
      <c r="L160">
        <f ca="1" t="shared" si="5"/>
        <v>45942</v>
      </c>
    </row>
    <row r="161" spans="9:12">
      <c r="I161">
        <f>IFERROR(VLOOKUP(H161,Rates!$A$2:$B$3,2,0),1)</f>
        <v>1</v>
      </c>
      <c r="J161" t="str">
        <f t="shared" si="4"/>
        <v/>
      </c>
      <c r="K161" t="str">
        <f>IF(J161&lt;&gt;"",SUM($J$2:J161),"")</f>
        <v/>
      </c>
      <c r="L161">
        <f ca="1" t="shared" si="5"/>
        <v>45942</v>
      </c>
    </row>
    <row r="162" spans="9:12">
      <c r="I162">
        <f>IFERROR(VLOOKUP(H162,Rates!$A$2:$B$3,2,0),1)</f>
        <v>1</v>
      </c>
      <c r="J162" t="str">
        <f t="shared" si="4"/>
        <v/>
      </c>
      <c r="K162" t="str">
        <f>IF(J162&lt;&gt;"",SUM($J$2:J162),"")</f>
        <v/>
      </c>
      <c r="L162">
        <f ca="1" t="shared" si="5"/>
        <v>45942</v>
      </c>
    </row>
    <row r="163" spans="9:12">
      <c r="I163">
        <f>IFERROR(VLOOKUP(H163,Rates!$A$2:$B$3,2,0),1)</f>
        <v>1</v>
      </c>
      <c r="J163" t="str">
        <f t="shared" si="4"/>
        <v/>
      </c>
      <c r="K163" t="str">
        <f>IF(J163&lt;&gt;"",SUM($J$2:J163),"")</f>
        <v/>
      </c>
      <c r="L163">
        <f ca="1" t="shared" si="5"/>
        <v>45942</v>
      </c>
    </row>
    <row r="164" spans="9:12">
      <c r="I164">
        <f>IFERROR(VLOOKUP(H164,Rates!$A$2:$B$3,2,0),1)</f>
        <v>1</v>
      </c>
      <c r="J164" t="str">
        <f t="shared" si="4"/>
        <v/>
      </c>
      <c r="K164" t="str">
        <f>IF(J164&lt;&gt;"",SUM($J$2:J164),"")</f>
        <v/>
      </c>
      <c r="L164">
        <f ca="1" t="shared" si="5"/>
        <v>45942</v>
      </c>
    </row>
    <row r="165" spans="9:12">
      <c r="I165">
        <f>IFERROR(VLOOKUP(H165,Rates!$A$2:$B$3,2,0),1)</f>
        <v>1</v>
      </c>
      <c r="J165" t="str">
        <f t="shared" si="4"/>
        <v/>
      </c>
      <c r="K165" t="str">
        <f>IF(J165&lt;&gt;"",SUM($J$2:J165),"")</f>
        <v/>
      </c>
      <c r="L165">
        <f ca="1" t="shared" si="5"/>
        <v>45942</v>
      </c>
    </row>
    <row r="166" spans="9:12">
      <c r="I166">
        <f>IFERROR(VLOOKUP(H166,Rates!$A$2:$B$3,2,0),1)</f>
        <v>1</v>
      </c>
      <c r="J166" t="str">
        <f t="shared" si="4"/>
        <v/>
      </c>
      <c r="K166" t="str">
        <f>IF(J166&lt;&gt;"",SUM($J$2:J166),"")</f>
        <v/>
      </c>
      <c r="L166">
        <f ca="1" t="shared" si="5"/>
        <v>45942</v>
      </c>
    </row>
    <row r="167" spans="9:12">
      <c r="I167">
        <f>IFERROR(VLOOKUP(H167,Rates!$A$2:$B$3,2,0),1)</f>
        <v>1</v>
      </c>
      <c r="J167" t="str">
        <f t="shared" si="4"/>
        <v/>
      </c>
      <c r="K167" t="str">
        <f>IF(J167&lt;&gt;"",SUM($J$2:J167),"")</f>
        <v/>
      </c>
      <c r="L167">
        <f ca="1" t="shared" si="5"/>
        <v>45942</v>
      </c>
    </row>
    <row r="168" spans="9:12">
      <c r="I168">
        <f>IFERROR(VLOOKUP(H168,Rates!$A$2:$B$3,2,0),1)</f>
        <v>1</v>
      </c>
      <c r="J168" t="str">
        <f t="shared" si="4"/>
        <v/>
      </c>
      <c r="K168" t="str">
        <f>IF(J168&lt;&gt;"",SUM($J$2:J168),"")</f>
        <v/>
      </c>
      <c r="L168">
        <f ca="1" t="shared" si="5"/>
        <v>45942</v>
      </c>
    </row>
    <row r="169" spans="9:12">
      <c r="I169">
        <f>IFERROR(VLOOKUP(H169,Rates!$A$2:$B$3,2,0),1)</f>
        <v>1</v>
      </c>
      <c r="J169" t="str">
        <f t="shared" si="4"/>
        <v/>
      </c>
      <c r="K169" t="str">
        <f>IF(J169&lt;&gt;"",SUM($J$2:J169),"")</f>
        <v/>
      </c>
      <c r="L169">
        <f ca="1" t="shared" si="5"/>
        <v>45942</v>
      </c>
    </row>
    <row r="170" spans="9:12">
      <c r="I170">
        <f>IFERROR(VLOOKUP(H170,Rates!$A$2:$B$3,2,0),1)</f>
        <v>1</v>
      </c>
      <c r="J170" t="str">
        <f t="shared" si="4"/>
        <v/>
      </c>
      <c r="K170" t="str">
        <f>IF(J170&lt;&gt;"",SUM($J$2:J170),"")</f>
        <v/>
      </c>
      <c r="L170">
        <f ca="1" t="shared" si="5"/>
        <v>45942</v>
      </c>
    </row>
    <row r="171" spans="9:12">
      <c r="I171">
        <f>IFERROR(VLOOKUP(H171,Rates!$A$2:$B$3,2,0),1)</f>
        <v>1</v>
      </c>
      <c r="J171" t="str">
        <f t="shared" si="4"/>
        <v/>
      </c>
      <c r="K171" t="str">
        <f>IF(J171&lt;&gt;"",SUM($J$2:J171),"")</f>
        <v/>
      </c>
      <c r="L171">
        <f ca="1" t="shared" si="5"/>
        <v>45942</v>
      </c>
    </row>
    <row r="172" spans="9:12">
      <c r="I172">
        <f>IFERROR(VLOOKUP(H172,Rates!$A$2:$B$3,2,0),1)</f>
        <v>1</v>
      </c>
      <c r="J172" t="str">
        <f t="shared" si="4"/>
        <v/>
      </c>
      <c r="K172" t="str">
        <f>IF(J172&lt;&gt;"",SUM($J$2:J172),"")</f>
        <v/>
      </c>
      <c r="L172">
        <f ca="1" t="shared" si="5"/>
        <v>45942</v>
      </c>
    </row>
    <row r="173" spans="9:12">
      <c r="I173">
        <f>IFERROR(VLOOKUP(H173,Rates!$A$2:$B$3,2,0),1)</f>
        <v>1</v>
      </c>
      <c r="J173" t="str">
        <f t="shared" si="4"/>
        <v/>
      </c>
      <c r="K173" t="str">
        <f>IF(J173&lt;&gt;"",SUM($J$2:J173),"")</f>
        <v/>
      </c>
      <c r="L173">
        <f ca="1" t="shared" si="5"/>
        <v>45942</v>
      </c>
    </row>
    <row r="174" spans="9:12">
      <c r="I174">
        <f>IFERROR(VLOOKUP(H174,Rates!$A$2:$B$3,2,0),1)</f>
        <v>1</v>
      </c>
      <c r="J174" t="str">
        <f t="shared" si="4"/>
        <v/>
      </c>
      <c r="K174" t="str">
        <f>IF(J174&lt;&gt;"",SUM($J$2:J174),"")</f>
        <v/>
      </c>
      <c r="L174">
        <f ca="1" t="shared" si="5"/>
        <v>45942</v>
      </c>
    </row>
    <row r="175" spans="9:12">
      <c r="I175">
        <f>IFERROR(VLOOKUP(H175,Rates!$A$2:$B$3,2,0),1)</f>
        <v>1</v>
      </c>
      <c r="J175" t="str">
        <f t="shared" si="4"/>
        <v/>
      </c>
      <c r="K175" t="str">
        <f>IF(J175&lt;&gt;"",SUM($J$2:J175),"")</f>
        <v/>
      </c>
      <c r="L175">
        <f ca="1" t="shared" si="5"/>
        <v>45942</v>
      </c>
    </row>
    <row r="176" spans="9:12">
      <c r="I176">
        <f>IFERROR(VLOOKUP(H176,Rates!$A$2:$B$3,2,0),1)</f>
        <v>1</v>
      </c>
      <c r="J176" t="str">
        <f t="shared" si="4"/>
        <v/>
      </c>
      <c r="K176" t="str">
        <f>IF(J176&lt;&gt;"",SUM($J$2:J176),"")</f>
        <v/>
      </c>
      <c r="L176">
        <f ca="1" t="shared" si="5"/>
        <v>45942</v>
      </c>
    </row>
    <row r="177" spans="9:12">
      <c r="I177">
        <f>IFERROR(VLOOKUP(H177,Rates!$A$2:$B$3,2,0),1)</f>
        <v>1</v>
      </c>
      <c r="J177" t="str">
        <f t="shared" si="4"/>
        <v/>
      </c>
      <c r="K177" t="str">
        <f>IF(J177&lt;&gt;"",SUM($J$2:J177),"")</f>
        <v/>
      </c>
      <c r="L177">
        <f ca="1" t="shared" si="5"/>
        <v>45942</v>
      </c>
    </row>
    <row r="178" spans="9:12">
      <c r="I178">
        <f>IFERROR(VLOOKUP(H178,Rates!$A$2:$B$3,2,0),1)</f>
        <v>1</v>
      </c>
      <c r="J178" t="str">
        <f t="shared" si="4"/>
        <v/>
      </c>
      <c r="K178" t="str">
        <f>IF(J178&lt;&gt;"",SUM($J$2:J178),"")</f>
        <v/>
      </c>
      <c r="L178">
        <f ca="1" t="shared" si="5"/>
        <v>45942</v>
      </c>
    </row>
    <row r="179" spans="9:12">
      <c r="I179">
        <f>IFERROR(VLOOKUP(H179,Rates!$A$2:$B$3,2,0),1)</f>
        <v>1</v>
      </c>
      <c r="J179" t="str">
        <f t="shared" si="4"/>
        <v/>
      </c>
      <c r="K179" t="str">
        <f>IF(J179&lt;&gt;"",SUM($J$2:J179),"")</f>
        <v/>
      </c>
      <c r="L179">
        <f ca="1" t="shared" si="5"/>
        <v>45942</v>
      </c>
    </row>
    <row r="180" spans="9:12">
      <c r="I180">
        <f>IFERROR(VLOOKUP(H180,Rates!$A$2:$B$3,2,0),1)</f>
        <v>1</v>
      </c>
      <c r="J180" t="str">
        <f t="shared" si="4"/>
        <v/>
      </c>
      <c r="K180" t="str">
        <f>IF(J180&lt;&gt;"",SUM($J$2:J180),"")</f>
        <v/>
      </c>
      <c r="L180">
        <f ca="1" t="shared" si="5"/>
        <v>45942</v>
      </c>
    </row>
    <row r="181" spans="9:12">
      <c r="I181">
        <f>IFERROR(VLOOKUP(H181,Rates!$A$2:$B$3,2,0),1)</f>
        <v>1</v>
      </c>
      <c r="J181" t="str">
        <f t="shared" si="4"/>
        <v/>
      </c>
      <c r="K181" t="str">
        <f>IF(J181&lt;&gt;"",SUM($J$2:J181),"")</f>
        <v/>
      </c>
      <c r="L181">
        <f ca="1" t="shared" si="5"/>
        <v>45942</v>
      </c>
    </row>
    <row r="182" spans="9:12">
      <c r="I182">
        <f>IFERROR(VLOOKUP(H182,Rates!$A$2:$B$3,2,0),1)</f>
        <v>1</v>
      </c>
      <c r="J182" t="str">
        <f t="shared" si="4"/>
        <v/>
      </c>
      <c r="K182" t="str">
        <f>IF(J182&lt;&gt;"",SUM($J$2:J182),"")</f>
        <v/>
      </c>
      <c r="L182">
        <f ca="1" t="shared" si="5"/>
        <v>45942</v>
      </c>
    </row>
    <row r="183" spans="9:12">
      <c r="I183">
        <f>IFERROR(VLOOKUP(H183,Rates!$A$2:$B$3,2,0),1)</f>
        <v>1</v>
      </c>
      <c r="J183" t="str">
        <f t="shared" si="4"/>
        <v/>
      </c>
      <c r="K183" t="str">
        <f>IF(J183&lt;&gt;"",SUM($J$2:J183),"")</f>
        <v/>
      </c>
      <c r="L183">
        <f ca="1" t="shared" si="5"/>
        <v>45942</v>
      </c>
    </row>
    <row r="184" spans="9:12">
      <c r="I184">
        <f>IFERROR(VLOOKUP(H184,Rates!$A$2:$B$3,2,0),1)</f>
        <v>1</v>
      </c>
      <c r="J184" t="str">
        <f t="shared" si="4"/>
        <v/>
      </c>
      <c r="K184" t="str">
        <f>IF(J184&lt;&gt;"",SUM($J$2:J184),"")</f>
        <v/>
      </c>
      <c r="L184">
        <f ca="1" t="shared" si="5"/>
        <v>45942</v>
      </c>
    </row>
    <row r="185" spans="9:12">
      <c r="I185">
        <f>IFERROR(VLOOKUP(H185,Rates!$A$2:$B$3,2,0),1)</f>
        <v>1</v>
      </c>
      <c r="J185" t="str">
        <f t="shared" si="4"/>
        <v/>
      </c>
      <c r="K185" t="str">
        <f>IF(J185&lt;&gt;"",SUM($J$2:J185),"")</f>
        <v/>
      </c>
      <c r="L185">
        <f ca="1" t="shared" si="5"/>
        <v>45942</v>
      </c>
    </row>
    <row r="186" spans="9:12">
      <c r="I186">
        <f>IFERROR(VLOOKUP(H186,Rates!$A$2:$B$3,2,0),1)</f>
        <v>1</v>
      </c>
      <c r="J186" t="str">
        <f t="shared" si="4"/>
        <v/>
      </c>
      <c r="K186" t="str">
        <f>IF(J186&lt;&gt;"",SUM($J$2:J186),"")</f>
        <v/>
      </c>
      <c r="L186">
        <f ca="1" t="shared" si="5"/>
        <v>45942</v>
      </c>
    </row>
    <row r="187" spans="9:12">
      <c r="I187">
        <f>IFERROR(VLOOKUP(H187,Rates!$A$2:$B$3,2,0),1)</f>
        <v>1</v>
      </c>
      <c r="J187" t="str">
        <f t="shared" si="4"/>
        <v/>
      </c>
      <c r="K187" t="str">
        <f>IF(J187&lt;&gt;"",SUM($J$2:J187),"")</f>
        <v/>
      </c>
      <c r="L187">
        <f ca="1" t="shared" si="5"/>
        <v>45942</v>
      </c>
    </row>
    <row r="188" spans="9:12">
      <c r="I188">
        <f>IFERROR(VLOOKUP(H188,Rates!$A$2:$B$3,2,0),1)</f>
        <v>1</v>
      </c>
      <c r="J188" t="str">
        <f t="shared" si="4"/>
        <v/>
      </c>
      <c r="K188" t="str">
        <f>IF(J188&lt;&gt;"",SUM($J$2:J188),"")</f>
        <v/>
      </c>
      <c r="L188">
        <f ca="1" t="shared" si="5"/>
        <v>45942</v>
      </c>
    </row>
    <row r="189" spans="9:12">
      <c r="I189">
        <f>IFERROR(VLOOKUP(H189,Rates!$A$2:$B$3,2,0),1)</f>
        <v>1</v>
      </c>
      <c r="J189" t="str">
        <f t="shared" si="4"/>
        <v/>
      </c>
      <c r="K189" t="str">
        <f>IF(J189&lt;&gt;"",SUM($J$2:J189),"")</f>
        <v/>
      </c>
      <c r="L189">
        <f ca="1" t="shared" si="5"/>
        <v>45942</v>
      </c>
    </row>
    <row r="190" spans="9:12">
      <c r="I190">
        <f>IFERROR(VLOOKUP(H190,Rates!$A$2:$B$3,2,0),1)</f>
        <v>1</v>
      </c>
      <c r="J190" t="str">
        <f t="shared" si="4"/>
        <v/>
      </c>
      <c r="K190" t="str">
        <f>IF(J190&lt;&gt;"",SUM($J$2:J190),"")</f>
        <v/>
      </c>
      <c r="L190">
        <f ca="1" t="shared" si="5"/>
        <v>45942</v>
      </c>
    </row>
    <row r="191" spans="9:12">
      <c r="I191">
        <f>IFERROR(VLOOKUP(H191,Rates!$A$2:$B$3,2,0),1)</f>
        <v>1</v>
      </c>
      <c r="J191" t="str">
        <f t="shared" si="4"/>
        <v/>
      </c>
      <c r="K191" t="str">
        <f>IF(J191&lt;&gt;"",SUM($J$2:J191),"")</f>
        <v/>
      </c>
      <c r="L191">
        <f ca="1" t="shared" si="5"/>
        <v>45942</v>
      </c>
    </row>
    <row r="192" spans="9:12">
      <c r="I192">
        <f>IFERROR(VLOOKUP(H192,Rates!$A$2:$B$3,2,0),1)</f>
        <v>1</v>
      </c>
      <c r="J192" t="str">
        <f t="shared" si="4"/>
        <v/>
      </c>
      <c r="K192" t="str">
        <f>IF(J192&lt;&gt;"",SUM($J$2:J192),"")</f>
        <v/>
      </c>
      <c r="L192">
        <f ca="1" t="shared" si="5"/>
        <v>45942</v>
      </c>
    </row>
    <row r="193" spans="9:12">
      <c r="I193">
        <f>IFERROR(VLOOKUP(H193,Rates!$A$2:$B$3,2,0),1)</f>
        <v>1</v>
      </c>
      <c r="J193" t="str">
        <f t="shared" si="4"/>
        <v/>
      </c>
      <c r="K193" t="str">
        <f>IF(J193&lt;&gt;"",SUM($J$2:J193),"")</f>
        <v/>
      </c>
      <c r="L193">
        <f ca="1" t="shared" si="5"/>
        <v>45942</v>
      </c>
    </row>
    <row r="194" spans="9:12">
      <c r="I194">
        <f>IFERROR(VLOOKUP(H194,Rates!$A$2:$B$3,2,0),1)</f>
        <v>1</v>
      </c>
      <c r="J194" t="str">
        <f t="shared" ref="J194:J257" si="6">IF(G194&lt;&gt;"",G194*I194,"")</f>
        <v/>
      </c>
      <c r="K194" t="str">
        <f>IF(J194&lt;&gt;"",SUM($J$2:J194),"")</f>
        <v/>
      </c>
      <c r="L194">
        <f ca="1" t="shared" ref="L194:L257" si="7">IF(COUNTA(A194:K194)&gt;0,TODAY(),"")</f>
        <v>45942</v>
      </c>
    </row>
    <row r="195" spans="9:12">
      <c r="I195">
        <f>IFERROR(VLOOKUP(H195,Rates!$A$2:$B$3,2,0),1)</f>
        <v>1</v>
      </c>
      <c r="J195" t="str">
        <f t="shared" si="6"/>
        <v/>
      </c>
      <c r="K195" t="str">
        <f>IF(J195&lt;&gt;"",SUM($J$2:J195),"")</f>
        <v/>
      </c>
      <c r="L195">
        <f ca="1" t="shared" si="7"/>
        <v>45942</v>
      </c>
    </row>
    <row r="196" spans="9:12">
      <c r="I196">
        <f>IFERROR(VLOOKUP(H196,Rates!$A$2:$B$3,2,0),1)</f>
        <v>1</v>
      </c>
      <c r="J196" t="str">
        <f t="shared" si="6"/>
        <v/>
      </c>
      <c r="K196" t="str">
        <f>IF(J196&lt;&gt;"",SUM($J$2:J196),"")</f>
        <v/>
      </c>
      <c r="L196">
        <f ca="1" t="shared" si="7"/>
        <v>45942</v>
      </c>
    </row>
    <row r="197" spans="9:12">
      <c r="I197">
        <f>IFERROR(VLOOKUP(H197,Rates!$A$2:$B$3,2,0),1)</f>
        <v>1</v>
      </c>
      <c r="J197" t="str">
        <f t="shared" si="6"/>
        <v/>
      </c>
      <c r="K197" t="str">
        <f>IF(J197&lt;&gt;"",SUM($J$2:J197),"")</f>
        <v/>
      </c>
      <c r="L197">
        <f ca="1" t="shared" si="7"/>
        <v>45942</v>
      </c>
    </row>
    <row r="198" spans="9:12">
      <c r="I198">
        <f>IFERROR(VLOOKUP(H198,Rates!$A$2:$B$3,2,0),1)</f>
        <v>1</v>
      </c>
      <c r="J198" t="str">
        <f t="shared" si="6"/>
        <v/>
      </c>
      <c r="K198" t="str">
        <f>IF(J198&lt;&gt;"",SUM($J$2:J198),"")</f>
        <v/>
      </c>
      <c r="L198">
        <f ca="1" t="shared" si="7"/>
        <v>45942</v>
      </c>
    </row>
    <row r="199" spans="9:12">
      <c r="I199">
        <f>IFERROR(VLOOKUP(H199,Rates!$A$2:$B$3,2,0),1)</f>
        <v>1</v>
      </c>
      <c r="J199" t="str">
        <f t="shared" si="6"/>
        <v/>
      </c>
      <c r="K199" t="str">
        <f>IF(J199&lt;&gt;"",SUM($J$2:J199),"")</f>
        <v/>
      </c>
      <c r="L199">
        <f ca="1" t="shared" si="7"/>
        <v>45942</v>
      </c>
    </row>
    <row r="200" spans="9:12">
      <c r="I200">
        <f>IFERROR(VLOOKUP(H200,Rates!$A$2:$B$3,2,0),1)</f>
        <v>1</v>
      </c>
      <c r="J200" t="str">
        <f t="shared" si="6"/>
        <v/>
      </c>
      <c r="K200" t="str">
        <f>IF(J200&lt;&gt;"",SUM($J$2:J200),"")</f>
        <v/>
      </c>
      <c r="L200">
        <f ca="1" t="shared" si="7"/>
        <v>45942</v>
      </c>
    </row>
    <row r="201" spans="9:12">
      <c r="I201">
        <f>IFERROR(VLOOKUP(H201,Rates!$A$2:$B$3,2,0),1)</f>
        <v>1</v>
      </c>
      <c r="J201" t="str">
        <f t="shared" si="6"/>
        <v/>
      </c>
      <c r="K201" t="str">
        <f>IF(J201&lt;&gt;"",SUM($J$2:J201),"")</f>
        <v/>
      </c>
      <c r="L201">
        <f ca="1" t="shared" si="7"/>
        <v>45942</v>
      </c>
    </row>
    <row r="202" spans="9:12">
      <c r="I202">
        <f>IFERROR(VLOOKUP(H202,Rates!$A$2:$B$3,2,0),1)</f>
        <v>1</v>
      </c>
      <c r="J202" t="str">
        <f t="shared" si="6"/>
        <v/>
      </c>
      <c r="K202" t="str">
        <f>IF(J202&lt;&gt;"",SUM($J$2:J202),"")</f>
        <v/>
      </c>
      <c r="L202">
        <f ca="1" t="shared" si="7"/>
        <v>45942</v>
      </c>
    </row>
    <row r="203" spans="9:12">
      <c r="I203">
        <f>IFERROR(VLOOKUP(H203,Rates!$A$2:$B$3,2,0),1)</f>
        <v>1</v>
      </c>
      <c r="J203" t="str">
        <f t="shared" si="6"/>
        <v/>
      </c>
      <c r="K203" t="str">
        <f>IF(J203&lt;&gt;"",SUM($J$2:J203),"")</f>
        <v/>
      </c>
      <c r="L203">
        <f ca="1" t="shared" si="7"/>
        <v>45942</v>
      </c>
    </row>
    <row r="204" spans="9:12">
      <c r="I204">
        <f>IFERROR(VLOOKUP(H204,Rates!$A$2:$B$3,2,0),1)</f>
        <v>1</v>
      </c>
      <c r="J204" t="str">
        <f t="shared" si="6"/>
        <v/>
      </c>
      <c r="K204" t="str">
        <f>IF(J204&lt;&gt;"",SUM($J$2:J204),"")</f>
        <v/>
      </c>
      <c r="L204">
        <f ca="1" t="shared" si="7"/>
        <v>45942</v>
      </c>
    </row>
    <row r="205" spans="9:12">
      <c r="I205">
        <f>IFERROR(VLOOKUP(H205,Rates!$A$2:$B$3,2,0),1)</f>
        <v>1</v>
      </c>
      <c r="J205" t="str">
        <f t="shared" si="6"/>
        <v/>
      </c>
      <c r="K205" t="str">
        <f>IF(J205&lt;&gt;"",SUM($J$2:J205),"")</f>
        <v/>
      </c>
      <c r="L205">
        <f ca="1" t="shared" si="7"/>
        <v>45942</v>
      </c>
    </row>
    <row r="206" spans="9:12">
      <c r="I206">
        <f>IFERROR(VLOOKUP(H206,Rates!$A$2:$B$3,2,0),1)</f>
        <v>1</v>
      </c>
      <c r="J206" t="str">
        <f t="shared" si="6"/>
        <v/>
      </c>
      <c r="K206" t="str">
        <f>IF(J206&lt;&gt;"",SUM($J$2:J206),"")</f>
        <v/>
      </c>
      <c r="L206">
        <f ca="1" t="shared" si="7"/>
        <v>45942</v>
      </c>
    </row>
    <row r="207" spans="9:12">
      <c r="I207">
        <f>IFERROR(VLOOKUP(H207,Rates!$A$2:$B$3,2,0),1)</f>
        <v>1</v>
      </c>
      <c r="J207" t="str">
        <f t="shared" si="6"/>
        <v/>
      </c>
      <c r="K207" t="str">
        <f>IF(J207&lt;&gt;"",SUM($J$2:J207),"")</f>
        <v/>
      </c>
      <c r="L207">
        <f ca="1" t="shared" si="7"/>
        <v>45942</v>
      </c>
    </row>
    <row r="208" spans="9:12">
      <c r="I208">
        <f>IFERROR(VLOOKUP(H208,Rates!$A$2:$B$3,2,0),1)</f>
        <v>1</v>
      </c>
      <c r="J208" t="str">
        <f t="shared" si="6"/>
        <v/>
      </c>
      <c r="K208" t="str">
        <f>IF(J208&lt;&gt;"",SUM($J$2:J208),"")</f>
        <v/>
      </c>
      <c r="L208">
        <f ca="1" t="shared" si="7"/>
        <v>45942</v>
      </c>
    </row>
    <row r="209" spans="9:12">
      <c r="I209">
        <f>IFERROR(VLOOKUP(H209,Rates!$A$2:$B$3,2,0),1)</f>
        <v>1</v>
      </c>
      <c r="J209" t="str">
        <f t="shared" si="6"/>
        <v/>
      </c>
      <c r="K209" t="str">
        <f>IF(J209&lt;&gt;"",SUM($J$2:J209),"")</f>
        <v/>
      </c>
      <c r="L209">
        <f ca="1" t="shared" si="7"/>
        <v>45942</v>
      </c>
    </row>
    <row r="210" spans="9:12">
      <c r="I210">
        <f>IFERROR(VLOOKUP(H210,Rates!$A$2:$B$3,2,0),1)</f>
        <v>1</v>
      </c>
      <c r="J210" t="str">
        <f t="shared" si="6"/>
        <v/>
      </c>
      <c r="K210" t="str">
        <f>IF(J210&lt;&gt;"",SUM($J$2:J210),"")</f>
        <v/>
      </c>
      <c r="L210">
        <f ca="1" t="shared" si="7"/>
        <v>45942</v>
      </c>
    </row>
    <row r="211" spans="9:12">
      <c r="I211">
        <f>IFERROR(VLOOKUP(H211,Rates!$A$2:$B$3,2,0),1)</f>
        <v>1</v>
      </c>
      <c r="J211" t="str">
        <f t="shared" si="6"/>
        <v/>
      </c>
      <c r="K211" t="str">
        <f>IF(J211&lt;&gt;"",SUM($J$2:J211),"")</f>
        <v/>
      </c>
      <c r="L211">
        <f ca="1" t="shared" si="7"/>
        <v>45942</v>
      </c>
    </row>
    <row r="212" spans="9:12">
      <c r="I212">
        <f>IFERROR(VLOOKUP(H212,Rates!$A$2:$B$3,2,0),1)</f>
        <v>1</v>
      </c>
      <c r="J212" t="str">
        <f t="shared" si="6"/>
        <v/>
      </c>
      <c r="K212" t="str">
        <f>IF(J212&lt;&gt;"",SUM($J$2:J212),"")</f>
        <v/>
      </c>
      <c r="L212">
        <f ca="1" t="shared" si="7"/>
        <v>45942</v>
      </c>
    </row>
    <row r="213" spans="9:12">
      <c r="I213">
        <f>IFERROR(VLOOKUP(H213,Rates!$A$2:$B$3,2,0),1)</f>
        <v>1</v>
      </c>
      <c r="J213" t="str">
        <f t="shared" si="6"/>
        <v/>
      </c>
      <c r="K213" t="str">
        <f>IF(J213&lt;&gt;"",SUM($J$2:J213),"")</f>
        <v/>
      </c>
      <c r="L213">
        <f ca="1" t="shared" si="7"/>
        <v>45942</v>
      </c>
    </row>
    <row r="214" spans="9:12">
      <c r="I214">
        <f>IFERROR(VLOOKUP(H214,Rates!$A$2:$B$3,2,0),1)</f>
        <v>1</v>
      </c>
      <c r="J214" t="str">
        <f t="shared" si="6"/>
        <v/>
      </c>
      <c r="K214" t="str">
        <f>IF(J214&lt;&gt;"",SUM($J$2:J214),"")</f>
        <v/>
      </c>
      <c r="L214">
        <f ca="1" t="shared" si="7"/>
        <v>45942</v>
      </c>
    </row>
    <row r="215" spans="9:12">
      <c r="I215">
        <f>IFERROR(VLOOKUP(H215,Rates!$A$2:$B$3,2,0),1)</f>
        <v>1</v>
      </c>
      <c r="J215" t="str">
        <f t="shared" si="6"/>
        <v/>
      </c>
      <c r="K215" t="str">
        <f>IF(J215&lt;&gt;"",SUM($J$2:J215),"")</f>
        <v/>
      </c>
      <c r="L215">
        <f ca="1" t="shared" si="7"/>
        <v>45942</v>
      </c>
    </row>
    <row r="216" spans="9:12">
      <c r="I216">
        <f>IFERROR(VLOOKUP(H216,Rates!$A$2:$B$3,2,0),1)</f>
        <v>1</v>
      </c>
      <c r="J216" t="str">
        <f t="shared" si="6"/>
        <v/>
      </c>
      <c r="K216" t="str">
        <f>IF(J216&lt;&gt;"",SUM($J$2:J216),"")</f>
        <v/>
      </c>
      <c r="L216">
        <f ca="1" t="shared" si="7"/>
        <v>45942</v>
      </c>
    </row>
    <row r="217" spans="9:12">
      <c r="I217">
        <f>IFERROR(VLOOKUP(H217,Rates!$A$2:$B$3,2,0),1)</f>
        <v>1</v>
      </c>
      <c r="J217" t="str">
        <f t="shared" si="6"/>
        <v/>
      </c>
      <c r="K217" t="str">
        <f>IF(J217&lt;&gt;"",SUM($J$2:J217),"")</f>
        <v/>
      </c>
      <c r="L217">
        <f ca="1" t="shared" si="7"/>
        <v>45942</v>
      </c>
    </row>
    <row r="218" spans="9:12">
      <c r="I218">
        <f>IFERROR(VLOOKUP(H218,Rates!$A$2:$B$3,2,0),1)</f>
        <v>1</v>
      </c>
      <c r="J218" t="str">
        <f t="shared" si="6"/>
        <v/>
      </c>
      <c r="K218" t="str">
        <f>IF(J218&lt;&gt;"",SUM($J$2:J218),"")</f>
        <v/>
      </c>
      <c r="L218">
        <f ca="1" t="shared" si="7"/>
        <v>45942</v>
      </c>
    </row>
    <row r="219" spans="9:12">
      <c r="I219">
        <f>IFERROR(VLOOKUP(H219,Rates!$A$2:$B$3,2,0),1)</f>
        <v>1</v>
      </c>
      <c r="J219" t="str">
        <f t="shared" si="6"/>
        <v/>
      </c>
      <c r="K219" t="str">
        <f>IF(J219&lt;&gt;"",SUM($J$2:J219),"")</f>
        <v/>
      </c>
      <c r="L219">
        <f ca="1" t="shared" si="7"/>
        <v>45942</v>
      </c>
    </row>
    <row r="220" spans="9:12">
      <c r="I220">
        <f>IFERROR(VLOOKUP(H220,Rates!$A$2:$B$3,2,0),1)</f>
        <v>1</v>
      </c>
      <c r="J220" t="str">
        <f t="shared" si="6"/>
        <v/>
      </c>
      <c r="K220" t="str">
        <f>IF(J220&lt;&gt;"",SUM($J$2:J220),"")</f>
        <v/>
      </c>
      <c r="L220">
        <f ca="1" t="shared" si="7"/>
        <v>45942</v>
      </c>
    </row>
    <row r="221" spans="9:12">
      <c r="I221">
        <f>IFERROR(VLOOKUP(H221,Rates!$A$2:$B$3,2,0),1)</f>
        <v>1</v>
      </c>
      <c r="J221" t="str">
        <f t="shared" si="6"/>
        <v/>
      </c>
      <c r="K221" t="str">
        <f>IF(J221&lt;&gt;"",SUM($J$2:J221),"")</f>
        <v/>
      </c>
      <c r="L221">
        <f ca="1" t="shared" si="7"/>
        <v>45942</v>
      </c>
    </row>
    <row r="222" spans="9:12">
      <c r="I222">
        <f>IFERROR(VLOOKUP(H222,Rates!$A$2:$B$3,2,0),1)</f>
        <v>1</v>
      </c>
      <c r="J222" t="str">
        <f t="shared" si="6"/>
        <v/>
      </c>
      <c r="K222" t="str">
        <f>IF(J222&lt;&gt;"",SUM($J$2:J222),"")</f>
        <v/>
      </c>
      <c r="L222">
        <f ca="1" t="shared" si="7"/>
        <v>45942</v>
      </c>
    </row>
    <row r="223" spans="9:12">
      <c r="I223">
        <f>IFERROR(VLOOKUP(H223,Rates!$A$2:$B$3,2,0),1)</f>
        <v>1</v>
      </c>
      <c r="J223" t="str">
        <f t="shared" si="6"/>
        <v/>
      </c>
      <c r="K223" t="str">
        <f>IF(J223&lt;&gt;"",SUM($J$2:J223),"")</f>
        <v/>
      </c>
      <c r="L223">
        <f ca="1" t="shared" si="7"/>
        <v>45942</v>
      </c>
    </row>
    <row r="224" spans="9:12">
      <c r="I224">
        <f>IFERROR(VLOOKUP(H224,Rates!$A$2:$B$3,2,0),1)</f>
        <v>1</v>
      </c>
      <c r="J224" t="str">
        <f t="shared" si="6"/>
        <v/>
      </c>
      <c r="K224" t="str">
        <f>IF(J224&lt;&gt;"",SUM($J$2:J224),"")</f>
        <v/>
      </c>
      <c r="L224">
        <f ca="1" t="shared" si="7"/>
        <v>45942</v>
      </c>
    </row>
    <row r="225" spans="9:12">
      <c r="I225">
        <f>IFERROR(VLOOKUP(H225,Rates!$A$2:$B$3,2,0),1)</f>
        <v>1</v>
      </c>
      <c r="J225" t="str">
        <f t="shared" si="6"/>
        <v/>
      </c>
      <c r="K225" t="str">
        <f>IF(J225&lt;&gt;"",SUM($J$2:J225),"")</f>
        <v/>
      </c>
      <c r="L225">
        <f ca="1" t="shared" si="7"/>
        <v>45942</v>
      </c>
    </row>
    <row r="226" spans="9:12">
      <c r="I226">
        <f>IFERROR(VLOOKUP(H226,Rates!$A$2:$B$3,2,0),1)</f>
        <v>1</v>
      </c>
      <c r="J226" t="str">
        <f t="shared" si="6"/>
        <v/>
      </c>
      <c r="K226" t="str">
        <f>IF(J226&lt;&gt;"",SUM($J$2:J226),"")</f>
        <v/>
      </c>
      <c r="L226">
        <f ca="1" t="shared" si="7"/>
        <v>45942</v>
      </c>
    </row>
    <row r="227" spans="9:12">
      <c r="I227">
        <f>IFERROR(VLOOKUP(H227,Rates!$A$2:$B$3,2,0),1)</f>
        <v>1</v>
      </c>
      <c r="J227" t="str">
        <f t="shared" si="6"/>
        <v/>
      </c>
      <c r="K227" t="str">
        <f>IF(J227&lt;&gt;"",SUM($J$2:J227),"")</f>
        <v/>
      </c>
      <c r="L227">
        <f ca="1" t="shared" si="7"/>
        <v>45942</v>
      </c>
    </row>
    <row r="228" spans="9:12">
      <c r="I228">
        <f>IFERROR(VLOOKUP(H228,Rates!$A$2:$B$3,2,0),1)</f>
        <v>1</v>
      </c>
      <c r="J228" t="str">
        <f t="shared" si="6"/>
        <v/>
      </c>
      <c r="K228" t="str">
        <f>IF(J228&lt;&gt;"",SUM($J$2:J228),"")</f>
        <v/>
      </c>
      <c r="L228">
        <f ca="1" t="shared" si="7"/>
        <v>45942</v>
      </c>
    </row>
    <row r="229" spans="9:12">
      <c r="I229">
        <f>IFERROR(VLOOKUP(H229,Rates!$A$2:$B$3,2,0),1)</f>
        <v>1</v>
      </c>
      <c r="J229" t="str">
        <f t="shared" si="6"/>
        <v/>
      </c>
      <c r="K229" t="str">
        <f>IF(J229&lt;&gt;"",SUM($J$2:J229),"")</f>
        <v/>
      </c>
      <c r="L229">
        <f ca="1" t="shared" si="7"/>
        <v>45942</v>
      </c>
    </row>
    <row r="230" spans="9:12">
      <c r="I230">
        <f>IFERROR(VLOOKUP(H230,Rates!$A$2:$B$3,2,0),1)</f>
        <v>1</v>
      </c>
      <c r="J230" t="str">
        <f t="shared" si="6"/>
        <v/>
      </c>
      <c r="K230" t="str">
        <f>IF(J230&lt;&gt;"",SUM($J$2:J230),"")</f>
        <v/>
      </c>
      <c r="L230">
        <f ca="1" t="shared" si="7"/>
        <v>45942</v>
      </c>
    </row>
    <row r="231" spans="9:12">
      <c r="I231">
        <f>IFERROR(VLOOKUP(H231,Rates!$A$2:$B$3,2,0),1)</f>
        <v>1</v>
      </c>
      <c r="J231" t="str">
        <f t="shared" si="6"/>
        <v/>
      </c>
      <c r="K231" t="str">
        <f>IF(J231&lt;&gt;"",SUM($J$2:J231),"")</f>
        <v/>
      </c>
      <c r="L231">
        <f ca="1" t="shared" si="7"/>
        <v>45942</v>
      </c>
    </row>
    <row r="232" spans="9:12">
      <c r="I232">
        <f>IFERROR(VLOOKUP(H232,Rates!$A$2:$B$3,2,0),1)</f>
        <v>1</v>
      </c>
      <c r="J232" t="str">
        <f t="shared" si="6"/>
        <v/>
      </c>
      <c r="K232" t="str">
        <f>IF(J232&lt;&gt;"",SUM($J$2:J232),"")</f>
        <v/>
      </c>
      <c r="L232">
        <f ca="1" t="shared" si="7"/>
        <v>45942</v>
      </c>
    </row>
    <row r="233" spans="9:12">
      <c r="I233">
        <f>IFERROR(VLOOKUP(H233,Rates!$A$2:$B$3,2,0),1)</f>
        <v>1</v>
      </c>
      <c r="J233" t="str">
        <f t="shared" si="6"/>
        <v/>
      </c>
      <c r="K233" t="str">
        <f>IF(J233&lt;&gt;"",SUM($J$2:J233),"")</f>
        <v/>
      </c>
      <c r="L233">
        <f ca="1" t="shared" si="7"/>
        <v>45942</v>
      </c>
    </row>
    <row r="234" spans="9:12">
      <c r="I234">
        <f>IFERROR(VLOOKUP(H234,Rates!$A$2:$B$3,2,0),1)</f>
        <v>1</v>
      </c>
      <c r="J234" t="str">
        <f t="shared" si="6"/>
        <v/>
      </c>
      <c r="K234" t="str">
        <f>IF(J234&lt;&gt;"",SUM($J$2:J234),"")</f>
        <v/>
      </c>
      <c r="L234">
        <f ca="1" t="shared" si="7"/>
        <v>45942</v>
      </c>
    </row>
    <row r="235" spans="9:12">
      <c r="I235">
        <f>IFERROR(VLOOKUP(H235,Rates!$A$2:$B$3,2,0),1)</f>
        <v>1</v>
      </c>
      <c r="J235" t="str">
        <f t="shared" si="6"/>
        <v/>
      </c>
      <c r="K235" t="str">
        <f>IF(J235&lt;&gt;"",SUM($J$2:J235),"")</f>
        <v/>
      </c>
      <c r="L235">
        <f ca="1" t="shared" si="7"/>
        <v>45942</v>
      </c>
    </row>
    <row r="236" spans="9:12">
      <c r="I236">
        <f>IFERROR(VLOOKUP(H236,Rates!$A$2:$B$3,2,0),1)</f>
        <v>1</v>
      </c>
      <c r="J236" t="str">
        <f t="shared" si="6"/>
        <v/>
      </c>
      <c r="K236" t="str">
        <f>IF(J236&lt;&gt;"",SUM($J$2:J236),"")</f>
        <v/>
      </c>
      <c r="L236">
        <f ca="1" t="shared" si="7"/>
        <v>45942</v>
      </c>
    </row>
    <row r="237" spans="9:12">
      <c r="I237">
        <f>IFERROR(VLOOKUP(H237,Rates!$A$2:$B$3,2,0),1)</f>
        <v>1</v>
      </c>
      <c r="J237" t="str">
        <f t="shared" si="6"/>
        <v/>
      </c>
      <c r="K237" t="str">
        <f>IF(J237&lt;&gt;"",SUM($J$2:J237),"")</f>
        <v/>
      </c>
      <c r="L237">
        <f ca="1" t="shared" si="7"/>
        <v>45942</v>
      </c>
    </row>
    <row r="238" spans="9:12">
      <c r="I238">
        <f>IFERROR(VLOOKUP(H238,Rates!$A$2:$B$3,2,0),1)</f>
        <v>1</v>
      </c>
      <c r="J238" t="str">
        <f t="shared" si="6"/>
        <v/>
      </c>
      <c r="K238" t="str">
        <f>IF(J238&lt;&gt;"",SUM($J$2:J238),"")</f>
        <v/>
      </c>
      <c r="L238">
        <f ca="1" t="shared" si="7"/>
        <v>45942</v>
      </c>
    </row>
    <row r="239" spans="9:12">
      <c r="I239">
        <f>IFERROR(VLOOKUP(H239,Rates!$A$2:$B$3,2,0),1)</f>
        <v>1</v>
      </c>
      <c r="J239" t="str">
        <f t="shared" si="6"/>
        <v/>
      </c>
      <c r="K239" t="str">
        <f>IF(J239&lt;&gt;"",SUM($J$2:J239),"")</f>
        <v/>
      </c>
      <c r="L239">
        <f ca="1" t="shared" si="7"/>
        <v>45942</v>
      </c>
    </row>
    <row r="240" spans="9:12">
      <c r="I240">
        <f>IFERROR(VLOOKUP(H240,Rates!$A$2:$B$3,2,0),1)</f>
        <v>1</v>
      </c>
      <c r="J240" t="str">
        <f t="shared" si="6"/>
        <v/>
      </c>
      <c r="K240" t="str">
        <f>IF(J240&lt;&gt;"",SUM($J$2:J240),"")</f>
        <v/>
      </c>
      <c r="L240">
        <f ca="1" t="shared" si="7"/>
        <v>45942</v>
      </c>
    </row>
    <row r="241" spans="9:12">
      <c r="I241">
        <f>IFERROR(VLOOKUP(H241,Rates!$A$2:$B$3,2,0),1)</f>
        <v>1</v>
      </c>
      <c r="J241" t="str">
        <f t="shared" si="6"/>
        <v/>
      </c>
      <c r="K241" t="str">
        <f>IF(J241&lt;&gt;"",SUM($J$2:J241),"")</f>
        <v/>
      </c>
      <c r="L241">
        <f ca="1" t="shared" si="7"/>
        <v>45942</v>
      </c>
    </row>
    <row r="242" spans="9:12">
      <c r="I242">
        <f>IFERROR(VLOOKUP(H242,Rates!$A$2:$B$3,2,0),1)</f>
        <v>1</v>
      </c>
      <c r="J242" t="str">
        <f t="shared" si="6"/>
        <v/>
      </c>
      <c r="K242" t="str">
        <f>IF(J242&lt;&gt;"",SUM($J$2:J242),"")</f>
        <v/>
      </c>
      <c r="L242">
        <f ca="1" t="shared" si="7"/>
        <v>45942</v>
      </c>
    </row>
    <row r="243" spans="9:12">
      <c r="I243">
        <f>IFERROR(VLOOKUP(H243,Rates!$A$2:$B$3,2,0),1)</f>
        <v>1</v>
      </c>
      <c r="J243" t="str">
        <f t="shared" si="6"/>
        <v/>
      </c>
      <c r="K243" t="str">
        <f>IF(J243&lt;&gt;"",SUM($J$2:J243),"")</f>
        <v/>
      </c>
      <c r="L243">
        <f ca="1" t="shared" si="7"/>
        <v>45942</v>
      </c>
    </row>
    <row r="244" spans="9:12">
      <c r="I244">
        <f>IFERROR(VLOOKUP(H244,Rates!$A$2:$B$3,2,0),1)</f>
        <v>1</v>
      </c>
      <c r="J244" t="str">
        <f t="shared" si="6"/>
        <v/>
      </c>
      <c r="K244" t="str">
        <f>IF(J244&lt;&gt;"",SUM($J$2:J244),"")</f>
        <v/>
      </c>
      <c r="L244">
        <f ca="1" t="shared" si="7"/>
        <v>45942</v>
      </c>
    </row>
    <row r="245" spans="9:12">
      <c r="I245">
        <f>IFERROR(VLOOKUP(H245,Rates!$A$2:$B$3,2,0),1)</f>
        <v>1</v>
      </c>
      <c r="J245" t="str">
        <f t="shared" si="6"/>
        <v/>
      </c>
      <c r="K245" t="str">
        <f>IF(J245&lt;&gt;"",SUM($J$2:J245),"")</f>
        <v/>
      </c>
      <c r="L245">
        <f ca="1" t="shared" si="7"/>
        <v>45942</v>
      </c>
    </row>
    <row r="246" spans="9:12">
      <c r="I246">
        <f>IFERROR(VLOOKUP(H246,Rates!$A$2:$B$3,2,0),1)</f>
        <v>1</v>
      </c>
      <c r="J246" t="str">
        <f t="shared" si="6"/>
        <v/>
      </c>
      <c r="K246" t="str">
        <f>IF(J246&lt;&gt;"",SUM($J$2:J246),"")</f>
        <v/>
      </c>
      <c r="L246">
        <f ca="1" t="shared" si="7"/>
        <v>45942</v>
      </c>
    </row>
    <row r="247" spans="9:12">
      <c r="I247">
        <f>IFERROR(VLOOKUP(H247,Rates!$A$2:$B$3,2,0),1)</f>
        <v>1</v>
      </c>
      <c r="J247" t="str">
        <f t="shared" si="6"/>
        <v/>
      </c>
      <c r="K247" t="str">
        <f>IF(J247&lt;&gt;"",SUM($J$2:J247),"")</f>
        <v/>
      </c>
      <c r="L247">
        <f ca="1" t="shared" si="7"/>
        <v>45942</v>
      </c>
    </row>
    <row r="248" spans="9:12">
      <c r="I248">
        <f>IFERROR(VLOOKUP(H248,Rates!$A$2:$B$3,2,0),1)</f>
        <v>1</v>
      </c>
      <c r="J248" t="str">
        <f t="shared" si="6"/>
        <v/>
      </c>
      <c r="K248" t="str">
        <f>IF(J248&lt;&gt;"",SUM($J$2:J248),"")</f>
        <v/>
      </c>
      <c r="L248">
        <f ca="1" t="shared" si="7"/>
        <v>45942</v>
      </c>
    </row>
    <row r="249" spans="9:12">
      <c r="I249">
        <f>IFERROR(VLOOKUP(H249,Rates!$A$2:$B$3,2,0),1)</f>
        <v>1</v>
      </c>
      <c r="J249" t="str">
        <f t="shared" si="6"/>
        <v/>
      </c>
      <c r="K249" t="str">
        <f>IF(J249&lt;&gt;"",SUM($J$2:J249),"")</f>
        <v/>
      </c>
      <c r="L249">
        <f ca="1" t="shared" si="7"/>
        <v>45942</v>
      </c>
    </row>
    <row r="250" spans="9:12">
      <c r="I250">
        <f>IFERROR(VLOOKUP(H250,Rates!$A$2:$B$3,2,0),1)</f>
        <v>1</v>
      </c>
      <c r="J250" t="str">
        <f t="shared" si="6"/>
        <v/>
      </c>
      <c r="K250" t="str">
        <f>IF(J250&lt;&gt;"",SUM($J$2:J250),"")</f>
        <v/>
      </c>
      <c r="L250">
        <f ca="1" t="shared" si="7"/>
        <v>45942</v>
      </c>
    </row>
    <row r="251" spans="9:12">
      <c r="I251">
        <f>IFERROR(VLOOKUP(H251,Rates!$A$2:$B$3,2,0),1)</f>
        <v>1</v>
      </c>
      <c r="J251" t="str">
        <f t="shared" si="6"/>
        <v/>
      </c>
      <c r="K251" t="str">
        <f>IF(J251&lt;&gt;"",SUM($J$2:J251),"")</f>
        <v/>
      </c>
      <c r="L251">
        <f ca="1" t="shared" si="7"/>
        <v>45942</v>
      </c>
    </row>
    <row r="252" spans="9:12">
      <c r="I252">
        <f>IFERROR(VLOOKUP(H252,Rates!$A$2:$B$3,2,0),1)</f>
        <v>1</v>
      </c>
      <c r="J252" t="str">
        <f t="shared" si="6"/>
        <v/>
      </c>
      <c r="K252" t="str">
        <f>IF(J252&lt;&gt;"",SUM($J$2:J252),"")</f>
        <v/>
      </c>
      <c r="L252">
        <f ca="1" t="shared" si="7"/>
        <v>45942</v>
      </c>
    </row>
    <row r="253" spans="9:12">
      <c r="I253">
        <f>IFERROR(VLOOKUP(H253,Rates!$A$2:$B$3,2,0),1)</f>
        <v>1</v>
      </c>
      <c r="J253" t="str">
        <f t="shared" si="6"/>
        <v/>
      </c>
      <c r="K253" t="str">
        <f>IF(J253&lt;&gt;"",SUM($J$2:J253),"")</f>
        <v/>
      </c>
      <c r="L253">
        <f ca="1" t="shared" si="7"/>
        <v>45942</v>
      </c>
    </row>
    <row r="254" spans="9:12">
      <c r="I254">
        <f>IFERROR(VLOOKUP(H254,Rates!$A$2:$B$3,2,0),1)</f>
        <v>1</v>
      </c>
      <c r="J254" t="str">
        <f t="shared" si="6"/>
        <v/>
      </c>
      <c r="K254" t="str">
        <f>IF(J254&lt;&gt;"",SUM($J$2:J254),"")</f>
        <v/>
      </c>
      <c r="L254">
        <f ca="1" t="shared" si="7"/>
        <v>45942</v>
      </c>
    </row>
    <row r="255" spans="9:12">
      <c r="I255">
        <f>IFERROR(VLOOKUP(H255,Rates!$A$2:$B$3,2,0),1)</f>
        <v>1</v>
      </c>
      <c r="J255" t="str">
        <f t="shared" si="6"/>
        <v/>
      </c>
      <c r="K255" t="str">
        <f>IF(J255&lt;&gt;"",SUM($J$2:J255),"")</f>
        <v/>
      </c>
      <c r="L255">
        <f ca="1" t="shared" si="7"/>
        <v>45942</v>
      </c>
    </row>
    <row r="256" spans="9:12">
      <c r="I256">
        <f>IFERROR(VLOOKUP(H256,Rates!$A$2:$B$3,2,0),1)</f>
        <v>1</v>
      </c>
      <c r="J256" t="str">
        <f t="shared" si="6"/>
        <v/>
      </c>
      <c r="K256" t="str">
        <f>IF(J256&lt;&gt;"",SUM($J$2:J256),"")</f>
        <v/>
      </c>
      <c r="L256">
        <f ca="1" t="shared" si="7"/>
        <v>45942</v>
      </c>
    </row>
    <row r="257" spans="9:12">
      <c r="I257">
        <f>IFERROR(VLOOKUP(H257,Rates!$A$2:$B$3,2,0),1)</f>
        <v>1</v>
      </c>
      <c r="J257" t="str">
        <f t="shared" si="6"/>
        <v/>
      </c>
      <c r="K257" t="str">
        <f>IF(J257&lt;&gt;"",SUM($J$2:J257),"")</f>
        <v/>
      </c>
      <c r="L257">
        <f ca="1" t="shared" si="7"/>
        <v>45942</v>
      </c>
    </row>
    <row r="258" spans="9:12">
      <c r="I258">
        <f>IFERROR(VLOOKUP(H258,Rates!$A$2:$B$3,2,0),1)</f>
        <v>1</v>
      </c>
      <c r="J258" t="str">
        <f t="shared" ref="J258:J301" si="8">IF(G258&lt;&gt;"",G258*I258,"")</f>
        <v/>
      </c>
      <c r="K258" t="str">
        <f>IF(J258&lt;&gt;"",SUM($J$2:J258),"")</f>
        <v/>
      </c>
      <c r="L258">
        <f ca="1" t="shared" ref="L258:L301" si="9">IF(COUNTA(A258:K258)&gt;0,TODAY(),"")</f>
        <v>45942</v>
      </c>
    </row>
    <row r="259" spans="9:12">
      <c r="I259">
        <f>IFERROR(VLOOKUP(H259,Rates!$A$2:$B$3,2,0),1)</f>
        <v>1</v>
      </c>
      <c r="J259" t="str">
        <f t="shared" si="8"/>
        <v/>
      </c>
      <c r="K259" t="str">
        <f>IF(J259&lt;&gt;"",SUM($J$2:J259),"")</f>
        <v/>
      </c>
      <c r="L259">
        <f ca="1" t="shared" si="9"/>
        <v>45942</v>
      </c>
    </row>
    <row r="260" spans="9:12">
      <c r="I260">
        <f>IFERROR(VLOOKUP(H260,Rates!$A$2:$B$3,2,0),1)</f>
        <v>1</v>
      </c>
      <c r="J260" t="str">
        <f t="shared" si="8"/>
        <v/>
      </c>
      <c r="K260" t="str">
        <f>IF(J260&lt;&gt;"",SUM($J$2:J260),"")</f>
        <v/>
      </c>
      <c r="L260">
        <f ca="1" t="shared" si="9"/>
        <v>45942</v>
      </c>
    </row>
    <row r="261" spans="9:12">
      <c r="I261">
        <f>IFERROR(VLOOKUP(H261,Rates!$A$2:$B$3,2,0),1)</f>
        <v>1</v>
      </c>
      <c r="J261" t="str">
        <f t="shared" si="8"/>
        <v/>
      </c>
      <c r="K261" t="str">
        <f>IF(J261&lt;&gt;"",SUM($J$2:J261),"")</f>
        <v/>
      </c>
      <c r="L261">
        <f ca="1" t="shared" si="9"/>
        <v>45942</v>
      </c>
    </row>
    <row r="262" spans="9:12">
      <c r="I262">
        <f>IFERROR(VLOOKUP(H262,Rates!$A$2:$B$3,2,0),1)</f>
        <v>1</v>
      </c>
      <c r="J262" t="str">
        <f t="shared" si="8"/>
        <v/>
      </c>
      <c r="K262" t="str">
        <f>IF(J262&lt;&gt;"",SUM($J$2:J262),"")</f>
        <v/>
      </c>
      <c r="L262">
        <f ca="1" t="shared" si="9"/>
        <v>45942</v>
      </c>
    </row>
    <row r="263" spans="9:12">
      <c r="I263">
        <f>IFERROR(VLOOKUP(H263,Rates!$A$2:$B$3,2,0),1)</f>
        <v>1</v>
      </c>
      <c r="J263" t="str">
        <f t="shared" si="8"/>
        <v/>
      </c>
      <c r="K263" t="str">
        <f>IF(J263&lt;&gt;"",SUM($J$2:J263),"")</f>
        <v/>
      </c>
      <c r="L263">
        <f ca="1" t="shared" si="9"/>
        <v>45942</v>
      </c>
    </row>
    <row r="264" spans="9:12">
      <c r="I264">
        <f>IFERROR(VLOOKUP(H264,Rates!$A$2:$B$3,2,0),1)</f>
        <v>1</v>
      </c>
      <c r="J264" t="str">
        <f t="shared" si="8"/>
        <v/>
      </c>
      <c r="K264" t="str">
        <f>IF(J264&lt;&gt;"",SUM($J$2:J264),"")</f>
        <v/>
      </c>
      <c r="L264">
        <f ca="1" t="shared" si="9"/>
        <v>45942</v>
      </c>
    </row>
    <row r="265" spans="9:12">
      <c r="I265">
        <f>IFERROR(VLOOKUP(H265,Rates!$A$2:$B$3,2,0),1)</f>
        <v>1</v>
      </c>
      <c r="J265" t="str">
        <f t="shared" si="8"/>
        <v/>
      </c>
      <c r="K265" t="str">
        <f>IF(J265&lt;&gt;"",SUM($J$2:J265),"")</f>
        <v/>
      </c>
      <c r="L265">
        <f ca="1" t="shared" si="9"/>
        <v>45942</v>
      </c>
    </row>
    <row r="266" spans="9:12">
      <c r="I266">
        <f>IFERROR(VLOOKUP(H266,Rates!$A$2:$B$3,2,0),1)</f>
        <v>1</v>
      </c>
      <c r="J266" t="str">
        <f t="shared" si="8"/>
        <v/>
      </c>
      <c r="K266" t="str">
        <f>IF(J266&lt;&gt;"",SUM($J$2:J266),"")</f>
        <v/>
      </c>
      <c r="L266">
        <f ca="1" t="shared" si="9"/>
        <v>45942</v>
      </c>
    </row>
    <row r="267" spans="9:12">
      <c r="I267">
        <f>IFERROR(VLOOKUP(H267,Rates!$A$2:$B$3,2,0),1)</f>
        <v>1</v>
      </c>
      <c r="J267" t="str">
        <f t="shared" si="8"/>
        <v/>
      </c>
      <c r="K267" t="str">
        <f>IF(J267&lt;&gt;"",SUM($J$2:J267),"")</f>
        <v/>
      </c>
      <c r="L267">
        <f ca="1" t="shared" si="9"/>
        <v>45942</v>
      </c>
    </row>
    <row r="268" spans="9:12">
      <c r="I268">
        <f>IFERROR(VLOOKUP(H268,Rates!$A$2:$B$3,2,0),1)</f>
        <v>1</v>
      </c>
      <c r="J268" t="str">
        <f t="shared" si="8"/>
        <v/>
      </c>
      <c r="K268" t="str">
        <f>IF(J268&lt;&gt;"",SUM($J$2:J268),"")</f>
        <v/>
      </c>
      <c r="L268">
        <f ca="1" t="shared" si="9"/>
        <v>45942</v>
      </c>
    </row>
    <row r="269" spans="9:12">
      <c r="I269">
        <f>IFERROR(VLOOKUP(H269,Rates!$A$2:$B$3,2,0),1)</f>
        <v>1</v>
      </c>
      <c r="J269" t="str">
        <f t="shared" si="8"/>
        <v/>
      </c>
      <c r="K269" t="str">
        <f>IF(J269&lt;&gt;"",SUM($J$2:J269),"")</f>
        <v/>
      </c>
      <c r="L269">
        <f ca="1" t="shared" si="9"/>
        <v>45942</v>
      </c>
    </row>
    <row r="270" spans="9:12">
      <c r="I270">
        <f>IFERROR(VLOOKUP(H270,Rates!$A$2:$B$3,2,0),1)</f>
        <v>1</v>
      </c>
      <c r="J270" t="str">
        <f t="shared" si="8"/>
        <v/>
      </c>
      <c r="K270" t="str">
        <f>IF(J270&lt;&gt;"",SUM($J$2:J270),"")</f>
        <v/>
      </c>
      <c r="L270">
        <f ca="1" t="shared" si="9"/>
        <v>45942</v>
      </c>
    </row>
    <row r="271" spans="9:12">
      <c r="I271">
        <f>IFERROR(VLOOKUP(H271,Rates!$A$2:$B$3,2,0),1)</f>
        <v>1</v>
      </c>
      <c r="J271" t="str">
        <f t="shared" si="8"/>
        <v/>
      </c>
      <c r="K271" t="str">
        <f>IF(J271&lt;&gt;"",SUM($J$2:J271),"")</f>
        <v/>
      </c>
      <c r="L271">
        <f ca="1" t="shared" si="9"/>
        <v>45942</v>
      </c>
    </row>
    <row r="272" spans="9:12">
      <c r="I272">
        <f>IFERROR(VLOOKUP(H272,Rates!$A$2:$B$3,2,0),1)</f>
        <v>1</v>
      </c>
      <c r="J272" t="str">
        <f t="shared" si="8"/>
        <v/>
      </c>
      <c r="K272" t="str">
        <f>IF(J272&lt;&gt;"",SUM($J$2:J272),"")</f>
        <v/>
      </c>
      <c r="L272">
        <f ca="1" t="shared" si="9"/>
        <v>45942</v>
      </c>
    </row>
    <row r="273" spans="9:12">
      <c r="I273">
        <f>IFERROR(VLOOKUP(H273,Rates!$A$2:$B$3,2,0),1)</f>
        <v>1</v>
      </c>
      <c r="J273" t="str">
        <f t="shared" si="8"/>
        <v/>
      </c>
      <c r="K273" t="str">
        <f>IF(J273&lt;&gt;"",SUM($J$2:J273),"")</f>
        <v/>
      </c>
      <c r="L273">
        <f ca="1" t="shared" si="9"/>
        <v>45942</v>
      </c>
    </row>
    <row r="274" spans="9:12">
      <c r="I274">
        <f>IFERROR(VLOOKUP(H274,Rates!$A$2:$B$3,2,0),1)</f>
        <v>1</v>
      </c>
      <c r="J274" t="str">
        <f t="shared" si="8"/>
        <v/>
      </c>
      <c r="K274" t="str">
        <f>IF(J274&lt;&gt;"",SUM($J$2:J274),"")</f>
        <v/>
      </c>
      <c r="L274">
        <f ca="1" t="shared" si="9"/>
        <v>45942</v>
      </c>
    </row>
    <row r="275" spans="9:12">
      <c r="I275">
        <f>IFERROR(VLOOKUP(H275,Rates!$A$2:$B$3,2,0),1)</f>
        <v>1</v>
      </c>
      <c r="J275" t="str">
        <f t="shared" si="8"/>
        <v/>
      </c>
      <c r="K275" t="str">
        <f>IF(J275&lt;&gt;"",SUM($J$2:J275),"")</f>
        <v/>
      </c>
      <c r="L275">
        <f ca="1" t="shared" si="9"/>
        <v>45942</v>
      </c>
    </row>
    <row r="276" spans="9:12">
      <c r="I276">
        <f>IFERROR(VLOOKUP(H276,Rates!$A$2:$B$3,2,0),1)</f>
        <v>1</v>
      </c>
      <c r="J276" t="str">
        <f t="shared" si="8"/>
        <v/>
      </c>
      <c r="K276" t="str">
        <f>IF(J276&lt;&gt;"",SUM($J$2:J276),"")</f>
        <v/>
      </c>
      <c r="L276">
        <f ca="1" t="shared" si="9"/>
        <v>45942</v>
      </c>
    </row>
    <row r="277" spans="9:12">
      <c r="I277">
        <f>IFERROR(VLOOKUP(H277,Rates!$A$2:$B$3,2,0),1)</f>
        <v>1</v>
      </c>
      <c r="J277" t="str">
        <f t="shared" si="8"/>
        <v/>
      </c>
      <c r="K277" t="str">
        <f>IF(J277&lt;&gt;"",SUM($J$2:J277),"")</f>
        <v/>
      </c>
      <c r="L277">
        <f ca="1" t="shared" si="9"/>
        <v>45942</v>
      </c>
    </row>
    <row r="278" spans="9:12">
      <c r="I278">
        <f>IFERROR(VLOOKUP(H278,Rates!$A$2:$B$3,2,0),1)</f>
        <v>1</v>
      </c>
      <c r="J278" t="str">
        <f t="shared" si="8"/>
        <v/>
      </c>
      <c r="K278" t="str">
        <f>IF(J278&lt;&gt;"",SUM($J$2:J278),"")</f>
        <v/>
      </c>
      <c r="L278">
        <f ca="1" t="shared" si="9"/>
        <v>45942</v>
      </c>
    </row>
    <row r="279" spans="9:12">
      <c r="I279">
        <f>IFERROR(VLOOKUP(H279,Rates!$A$2:$B$3,2,0),1)</f>
        <v>1</v>
      </c>
      <c r="J279" t="str">
        <f t="shared" si="8"/>
        <v/>
      </c>
      <c r="K279" t="str">
        <f>IF(J279&lt;&gt;"",SUM($J$2:J279),"")</f>
        <v/>
      </c>
      <c r="L279">
        <f ca="1" t="shared" si="9"/>
        <v>45942</v>
      </c>
    </row>
    <row r="280" spans="9:12">
      <c r="I280">
        <f>IFERROR(VLOOKUP(H280,Rates!$A$2:$B$3,2,0),1)</f>
        <v>1</v>
      </c>
      <c r="J280" t="str">
        <f t="shared" si="8"/>
        <v/>
      </c>
      <c r="K280" t="str">
        <f>IF(J280&lt;&gt;"",SUM($J$2:J280),"")</f>
        <v/>
      </c>
      <c r="L280">
        <f ca="1" t="shared" si="9"/>
        <v>45942</v>
      </c>
    </row>
    <row r="281" spans="9:12">
      <c r="I281">
        <f>IFERROR(VLOOKUP(H281,Rates!$A$2:$B$3,2,0),1)</f>
        <v>1</v>
      </c>
      <c r="J281" t="str">
        <f t="shared" si="8"/>
        <v/>
      </c>
      <c r="K281" t="str">
        <f>IF(J281&lt;&gt;"",SUM($J$2:J281),"")</f>
        <v/>
      </c>
      <c r="L281">
        <f ca="1" t="shared" si="9"/>
        <v>45942</v>
      </c>
    </row>
    <row r="282" spans="9:12">
      <c r="I282">
        <f>IFERROR(VLOOKUP(H282,Rates!$A$2:$B$3,2,0),1)</f>
        <v>1</v>
      </c>
      <c r="J282" t="str">
        <f t="shared" si="8"/>
        <v/>
      </c>
      <c r="K282" t="str">
        <f>IF(J282&lt;&gt;"",SUM($J$2:J282),"")</f>
        <v/>
      </c>
      <c r="L282">
        <f ca="1" t="shared" si="9"/>
        <v>45942</v>
      </c>
    </row>
    <row r="283" spans="9:12">
      <c r="I283">
        <f>IFERROR(VLOOKUP(H283,Rates!$A$2:$B$3,2,0),1)</f>
        <v>1</v>
      </c>
      <c r="J283" t="str">
        <f t="shared" si="8"/>
        <v/>
      </c>
      <c r="K283" t="str">
        <f>IF(J283&lt;&gt;"",SUM($J$2:J283),"")</f>
        <v/>
      </c>
      <c r="L283">
        <f ca="1" t="shared" si="9"/>
        <v>45942</v>
      </c>
    </row>
    <row r="284" spans="9:12">
      <c r="I284">
        <f>IFERROR(VLOOKUP(H284,Rates!$A$2:$B$3,2,0),1)</f>
        <v>1</v>
      </c>
      <c r="J284" t="str">
        <f t="shared" si="8"/>
        <v/>
      </c>
      <c r="K284" t="str">
        <f>IF(J284&lt;&gt;"",SUM($J$2:J284),"")</f>
        <v/>
      </c>
      <c r="L284">
        <f ca="1" t="shared" si="9"/>
        <v>45942</v>
      </c>
    </row>
    <row r="285" spans="9:12">
      <c r="I285">
        <f>IFERROR(VLOOKUP(H285,Rates!$A$2:$B$3,2,0),1)</f>
        <v>1</v>
      </c>
      <c r="J285" t="str">
        <f t="shared" si="8"/>
        <v/>
      </c>
      <c r="K285" t="str">
        <f>IF(J285&lt;&gt;"",SUM($J$2:J285),"")</f>
        <v/>
      </c>
      <c r="L285">
        <f ca="1" t="shared" si="9"/>
        <v>45942</v>
      </c>
    </row>
    <row r="286" spans="9:12">
      <c r="I286">
        <f>IFERROR(VLOOKUP(H286,Rates!$A$2:$B$3,2,0),1)</f>
        <v>1</v>
      </c>
      <c r="J286" t="str">
        <f t="shared" si="8"/>
        <v/>
      </c>
      <c r="K286" t="str">
        <f>IF(J286&lt;&gt;"",SUM($J$2:J286),"")</f>
        <v/>
      </c>
      <c r="L286">
        <f ca="1" t="shared" si="9"/>
        <v>45942</v>
      </c>
    </row>
    <row r="287" spans="9:12">
      <c r="I287">
        <f>IFERROR(VLOOKUP(H287,Rates!$A$2:$B$3,2,0),1)</f>
        <v>1</v>
      </c>
      <c r="J287" t="str">
        <f t="shared" si="8"/>
        <v/>
      </c>
      <c r="K287" t="str">
        <f>IF(J287&lt;&gt;"",SUM($J$2:J287),"")</f>
        <v/>
      </c>
      <c r="L287">
        <f ca="1" t="shared" si="9"/>
        <v>45942</v>
      </c>
    </row>
    <row r="288" spans="9:12">
      <c r="I288">
        <f>IFERROR(VLOOKUP(H288,Rates!$A$2:$B$3,2,0),1)</f>
        <v>1</v>
      </c>
      <c r="J288" t="str">
        <f t="shared" si="8"/>
        <v/>
      </c>
      <c r="K288" t="str">
        <f>IF(J288&lt;&gt;"",SUM($J$2:J288),"")</f>
        <v/>
      </c>
      <c r="L288">
        <f ca="1" t="shared" si="9"/>
        <v>45942</v>
      </c>
    </row>
    <row r="289" spans="9:12">
      <c r="I289">
        <f>IFERROR(VLOOKUP(H289,Rates!$A$2:$B$3,2,0),1)</f>
        <v>1</v>
      </c>
      <c r="J289" t="str">
        <f t="shared" si="8"/>
        <v/>
      </c>
      <c r="K289" t="str">
        <f>IF(J289&lt;&gt;"",SUM($J$2:J289),"")</f>
        <v/>
      </c>
      <c r="L289">
        <f ca="1" t="shared" si="9"/>
        <v>45942</v>
      </c>
    </row>
    <row r="290" spans="9:12">
      <c r="I290">
        <f>IFERROR(VLOOKUP(H290,Rates!$A$2:$B$3,2,0),1)</f>
        <v>1</v>
      </c>
      <c r="J290" t="str">
        <f t="shared" si="8"/>
        <v/>
      </c>
      <c r="K290" t="str">
        <f>IF(J290&lt;&gt;"",SUM($J$2:J290),"")</f>
        <v/>
      </c>
      <c r="L290">
        <f ca="1" t="shared" si="9"/>
        <v>45942</v>
      </c>
    </row>
    <row r="291" spans="9:12">
      <c r="I291">
        <f>IFERROR(VLOOKUP(H291,Rates!$A$2:$B$3,2,0),1)</f>
        <v>1</v>
      </c>
      <c r="J291" t="str">
        <f t="shared" si="8"/>
        <v/>
      </c>
      <c r="K291" t="str">
        <f>IF(J291&lt;&gt;"",SUM($J$2:J291),"")</f>
        <v/>
      </c>
      <c r="L291">
        <f ca="1" t="shared" si="9"/>
        <v>45942</v>
      </c>
    </row>
    <row r="292" spans="9:12">
      <c r="I292">
        <f>IFERROR(VLOOKUP(H292,Rates!$A$2:$B$3,2,0),1)</f>
        <v>1</v>
      </c>
      <c r="J292" t="str">
        <f t="shared" si="8"/>
        <v/>
      </c>
      <c r="K292" t="str">
        <f>IF(J292&lt;&gt;"",SUM($J$2:J292),"")</f>
        <v/>
      </c>
      <c r="L292">
        <f ca="1" t="shared" si="9"/>
        <v>45942</v>
      </c>
    </row>
    <row r="293" spans="9:12">
      <c r="I293">
        <f>IFERROR(VLOOKUP(H293,Rates!$A$2:$B$3,2,0),1)</f>
        <v>1</v>
      </c>
      <c r="J293" t="str">
        <f t="shared" si="8"/>
        <v/>
      </c>
      <c r="K293" t="str">
        <f>IF(J293&lt;&gt;"",SUM($J$2:J293),"")</f>
        <v/>
      </c>
      <c r="L293">
        <f ca="1" t="shared" si="9"/>
        <v>45942</v>
      </c>
    </row>
    <row r="294" spans="9:12">
      <c r="I294">
        <f>IFERROR(VLOOKUP(H294,Rates!$A$2:$B$3,2,0),1)</f>
        <v>1</v>
      </c>
      <c r="J294" t="str">
        <f t="shared" si="8"/>
        <v/>
      </c>
      <c r="K294" t="str">
        <f>IF(J294&lt;&gt;"",SUM($J$2:J294),"")</f>
        <v/>
      </c>
      <c r="L294">
        <f ca="1" t="shared" si="9"/>
        <v>45942</v>
      </c>
    </row>
    <row r="295" spans="9:12">
      <c r="I295">
        <f>IFERROR(VLOOKUP(H295,Rates!$A$2:$B$3,2,0),1)</f>
        <v>1</v>
      </c>
      <c r="J295" t="str">
        <f t="shared" si="8"/>
        <v/>
      </c>
      <c r="K295" t="str">
        <f>IF(J295&lt;&gt;"",SUM($J$2:J295),"")</f>
        <v/>
      </c>
      <c r="L295">
        <f ca="1" t="shared" si="9"/>
        <v>45942</v>
      </c>
    </row>
    <row r="296" spans="9:12">
      <c r="I296">
        <f>IFERROR(VLOOKUP(H296,Rates!$A$2:$B$3,2,0),1)</f>
        <v>1</v>
      </c>
      <c r="J296" t="str">
        <f t="shared" si="8"/>
        <v/>
      </c>
      <c r="K296" t="str">
        <f>IF(J296&lt;&gt;"",SUM($J$2:J296),"")</f>
        <v/>
      </c>
      <c r="L296">
        <f ca="1" t="shared" si="9"/>
        <v>45942</v>
      </c>
    </row>
    <row r="297" spans="9:12">
      <c r="I297">
        <f>IFERROR(VLOOKUP(H297,Rates!$A$2:$B$3,2,0),1)</f>
        <v>1</v>
      </c>
      <c r="J297" t="str">
        <f t="shared" si="8"/>
        <v/>
      </c>
      <c r="K297" t="str">
        <f>IF(J297&lt;&gt;"",SUM($J$2:J297),"")</f>
        <v/>
      </c>
      <c r="L297">
        <f ca="1" t="shared" si="9"/>
        <v>45942</v>
      </c>
    </row>
    <row r="298" spans="9:12">
      <c r="I298">
        <f>IFERROR(VLOOKUP(H298,Rates!$A$2:$B$3,2,0),1)</f>
        <v>1</v>
      </c>
      <c r="J298" t="str">
        <f t="shared" si="8"/>
        <v/>
      </c>
      <c r="K298" t="str">
        <f>IF(J298&lt;&gt;"",SUM($J$2:J298),"")</f>
        <v/>
      </c>
      <c r="L298">
        <f ca="1" t="shared" si="9"/>
        <v>45942</v>
      </c>
    </row>
    <row r="299" spans="9:12">
      <c r="I299">
        <f>IFERROR(VLOOKUP(H299,Rates!$A$2:$B$3,2,0),1)</f>
        <v>1</v>
      </c>
      <c r="J299" t="str">
        <f t="shared" si="8"/>
        <v/>
      </c>
      <c r="K299" t="str">
        <f>IF(J299&lt;&gt;"",SUM($J$2:J299),"")</f>
        <v/>
      </c>
      <c r="L299">
        <f ca="1" t="shared" si="9"/>
        <v>45942</v>
      </c>
    </row>
    <row r="300" spans="9:12">
      <c r="I300">
        <f>IFERROR(VLOOKUP(H300,Rates!$A$2:$B$3,2,0),1)</f>
        <v>1</v>
      </c>
      <c r="J300" t="str">
        <f t="shared" si="8"/>
        <v/>
      </c>
      <c r="K300" t="str">
        <f>IF(J300&lt;&gt;"",SUM($J$2:J300),"")</f>
        <v/>
      </c>
      <c r="L300">
        <f ca="1" t="shared" si="9"/>
        <v>45942</v>
      </c>
    </row>
    <row r="301" spans="9:12">
      <c r="I301">
        <f>IFERROR(VLOOKUP(H301,Rates!$A$2:$B$3,2,0),1)</f>
        <v>1</v>
      </c>
      <c r="J301" t="str">
        <f t="shared" si="8"/>
        <v/>
      </c>
      <c r="K301" t="str">
        <f>IF(J301&lt;&gt;"",SUM($J$2:J301),"")</f>
        <v/>
      </c>
      <c r="L301">
        <f ca="1" t="shared" si="9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topLeftCell="C1" workbookViewId="0">
      <pane ySplit="1" topLeftCell="A3" activePane="bottomLeft" state="frozen"/>
      <selection/>
      <selection pane="bottomLeft" activeCell="A11" sqref="A11:L34"/>
    </sheetView>
  </sheetViews>
  <sheetFormatPr defaultColWidth="9" defaultRowHeight="16.8"/>
  <cols>
    <col min="1" max="1" width="16.40625" customWidth="1"/>
    <col min="2" max="2" width="14.1953125" customWidth="1"/>
    <col min="3" max="3" width="14.0625" customWidth="1"/>
    <col min="5" max="5" width="22.78125" customWidth="1"/>
    <col min="6" max="6" width="55.3125" customWidth="1"/>
    <col min="7" max="7" width="12.3671875" customWidth="1"/>
    <col min="8" max="8" width="16.140625" customWidth="1"/>
    <col min="9" max="9" width="14.0625" customWidth="1"/>
    <col min="10" max="10" width="19.0078125" customWidth="1"/>
    <col min="11" max="11" width="17.828125" customWidth="1"/>
    <col min="12" max="12" width="13.5390625" customWidth="1"/>
    <col min="14" max="14" width="2" customWidth="1"/>
    <col min="16" max="16" width="2" customWidth="1"/>
  </cols>
  <sheetData>
    <row r="1" spans="1:12">
      <c r="A1" t="s">
        <v>36</v>
      </c>
      <c r="B1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</row>
    <row r="2" spans="1:12">
      <c r="A2" t="s">
        <v>54</v>
      </c>
      <c r="B2" s="2">
        <v>45839</v>
      </c>
      <c r="C2" t="s">
        <v>12</v>
      </c>
      <c r="D2" t="s">
        <v>29</v>
      </c>
      <c r="F2" s="3" t="s">
        <v>145</v>
      </c>
      <c r="G2" s="3">
        <v>-2391.32</v>
      </c>
      <c r="H2" s="3" t="s">
        <v>2</v>
      </c>
      <c r="I2">
        <v>288</v>
      </c>
      <c r="J2">
        <f t="shared" ref="J2:J65" si="0">IF(G2&lt;&gt;"",G2*I2,"")</f>
        <v>-688700.16</v>
      </c>
      <c r="K2">
        <f>IF(J2&lt;&gt;"",SUM($J$2:J2),"")</f>
        <v>-688700.16</v>
      </c>
      <c r="L2">
        <f ca="1" t="shared" ref="L2:L65" si="1">IF(COUNTA(A2:K2)&gt;0,TODAY(),"")</f>
        <v>45942</v>
      </c>
    </row>
    <row r="3" spans="1:12">
      <c r="A3" t="s">
        <v>54</v>
      </c>
      <c r="B3" s="2">
        <v>45839</v>
      </c>
      <c r="C3" t="s">
        <v>12</v>
      </c>
      <c r="D3" t="s">
        <v>29</v>
      </c>
      <c r="F3" s="3" t="s">
        <v>146</v>
      </c>
      <c r="G3" s="3">
        <v>-19.68</v>
      </c>
      <c r="H3" s="3" t="s">
        <v>2</v>
      </c>
      <c r="I3">
        <v>288</v>
      </c>
      <c r="J3">
        <f t="shared" si="0"/>
        <v>-5667.84</v>
      </c>
      <c r="K3">
        <f>IF(J3&lt;&gt;"",SUM($J$2:J3),"")</f>
        <v>-694368</v>
      </c>
      <c r="L3">
        <f ca="1" t="shared" si="1"/>
        <v>45942</v>
      </c>
    </row>
    <row r="4" spans="1:12">
      <c r="A4" t="s">
        <v>54</v>
      </c>
      <c r="B4" s="2">
        <v>45839</v>
      </c>
      <c r="C4" t="s">
        <v>17</v>
      </c>
      <c r="E4" t="s">
        <v>44</v>
      </c>
      <c r="F4" s="3" t="s">
        <v>147</v>
      </c>
      <c r="G4" s="3">
        <v>2415</v>
      </c>
      <c r="H4" s="3" t="s">
        <v>2</v>
      </c>
      <c r="I4">
        <v>288</v>
      </c>
      <c r="J4">
        <f t="shared" si="0"/>
        <v>695520</v>
      </c>
      <c r="K4">
        <f>IF(J4&lt;&gt;"",SUM($J$2:J4),"")</f>
        <v>1152</v>
      </c>
      <c r="L4">
        <f ca="1" t="shared" si="1"/>
        <v>45942</v>
      </c>
    </row>
    <row r="5" spans="1:12">
      <c r="A5" t="s">
        <v>54</v>
      </c>
      <c r="B5" s="2">
        <v>45842</v>
      </c>
      <c r="C5" t="s">
        <v>12</v>
      </c>
      <c r="D5" t="s">
        <v>29</v>
      </c>
      <c r="F5" s="3" t="s">
        <v>145</v>
      </c>
      <c r="G5" s="3">
        <v>-2434.32</v>
      </c>
      <c r="H5" s="3" t="s">
        <v>2</v>
      </c>
      <c r="I5">
        <v>288</v>
      </c>
      <c r="J5">
        <f t="shared" si="0"/>
        <v>-701084.16</v>
      </c>
      <c r="K5">
        <f>IF(J5&lt;&gt;"",SUM($J$2:J5),"")</f>
        <v>-699932.16</v>
      </c>
      <c r="L5">
        <f ca="1" t="shared" si="1"/>
        <v>45942</v>
      </c>
    </row>
    <row r="6" spans="1:12">
      <c r="A6" t="s">
        <v>54</v>
      </c>
      <c r="B6" s="2">
        <v>45842</v>
      </c>
      <c r="C6" t="s">
        <v>12</v>
      </c>
      <c r="D6" t="s">
        <v>29</v>
      </c>
      <c r="F6" s="3" t="s">
        <v>148</v>
      </c>
      <c r="G6" s="3">
        <v>-19.68</v>
      </c>
      <c r="H6" s="3" t="s">
        <v>2</v>
      </c>
      <c r="I6">
        <v>288</v>
      </c>
      <c r="J6">
        <f t="shared" si="0"/>
        <v>-5667.84</v>
      </c>
      <c r="K6">
        <f>IF(J6&lt;&gt;"",SUM($J$2:J6),"")</f>
        <v>-705600</v>
      </c>
      <c r="L6">
        <f ca="1" t="shared" si="1"/>
        <v>45942</v>
      </c>
    </row>
    <row r="7" spans="1:12">
      <c r="A7" t="s">
        <v>54</v>
      </c>
      <c r="B7" s="2">
        <v>45842</v>
      </c>
      <c r="C7" t="s">
        <v>17</v>
      </c>
      <c r="E7" t="s">
        <v>44</v>
      </c>
      <c r="F7" s="3" t="s">
        <v>149</v>
      </c>
      <c r="G7" s="3">
        <v>2450</v>
      </c>
      <c r="H7" s="3" t="s">
        <v>2</v>
      </c>
      <c r="I7">
        <v>288</v>
      </c>
      <c r="J7">
        <f t="shared" si="0"/>
        <v>705600</v>
      </c>
      <c r="K7">
        <f>IF(J7&lt;&gt;"",SUM($J$2:J7),"")</f>
        <v>0</v>
      </c>
      <c r="L7">
        <f ca="1" t="shared" si="1"/>
        <v>45942</v>
      </c>
    </row>
    <row r="8" spans="1:12">
      <c r="A8" t="s">
        <v>54</v>
      </c>
      <c r="B8" s="2">
        <v>45846</v>
      </c>
      <c r="C8" t="s">
        <v>17</v>
      </c>
      <c r="E8" t="s">
        <v>44</v>
      </c>
      <c r="F8" s="3" t="s">
        <v>150</v>
      </c>
      <c r="G8" s="3">
        <v>600</v>
      </c>
      <c r="H8" s="3" t="s">
        <v>2</v>
      </c>
      <c r="I8">
        <v>288</v>
      </c>
      <c r="J8">
        <f t="shared" si="0"/>
        <v>172800</v>
      </c>
      <c r="K8">
        <f>IF(J8&lt;&gt;"",SUM($J$2:J8),"")</f>
        <v>172800</v>
      </c>
      <c r="L8">
        <f ca="1" t="shared" si="1"/>
        <v>45942</v>
      </c>
    </row>
    <row r="9" spans="1:12">
      <c r="A9" t="s">
        <v>54</v>
      </c>
      <c r="B9" s="2">
        <v>45848</v>
      </c>
      <c r="C9" t="s">
        <v>17</v>
      </c>
      <c r="E9" t="s">
        <v>44</v>
      </c>
      <c r="F9" s="3" t="s">
        <v>150</v>
      </c>
      <c r="G9" s="3">
        <v>650</v>
      </c>
      <c r="H9" s="3" t="s">
        <v>2</v>
      </c>
      <c r="I9">
        <v>288</v>
      </c>
      <c r="J9">
        <f t="shared" si="0"/>
        <v>187200</v>
      </c>
      <c r="K9">
        <f>IF(J9&lt;&gt;"",SUM($J$2:J9),"")</f>
        <v>360000</v>
      </c>
      <c r="L9">
        <f ca="1" t="shared" si="1"/>
        <v>45942</v>
      </c>
    </row>
    <row r="10" spans="1:12">
      <c r="A10" t="s">
        <v>54</v>
      </c>
      <c r="B10" s="2">
        <v>45848</v>
      </c>
      <c r="C10" t="s">
        <v>12</v>
      </c>
      <c r="D10" t="s">
        <v>29</v>
      </c>
      <c r="F10" s="3" t="s">
        <v>151</v>
      </c>
      <c r="G10" s="3">
        <v>-850</v>
      </c>
      <c r="H10" s="3" t="s">
        <v>2</v>
      </c>
      <c r="I10">
        <v>288</v>
      </c>
      <c r="J10">
        <f t="shared" si="0"/>
        <v>-244800</v>
      </c>
      <c r="K10">
        <f>IF(J10&lt;&gt;"",SUM($J$2:J10),"")</f>
        <v>115200</v>
      </c>
      <c r="L10">
        <f ca="1" t="shared" si="1"/>
        <v>45942</v>
      </c>
    </row>
    <row r="11" spans="2:8">
      <c r="B11" s="2"/>
      <c r="C11"/>
      <c r="F11" s="3"/>
      <c r="G11" s="3"/>
      <c r="H11" s="3"/>
    </row>
    <row r="12" spans="2:8">
      <c r="B12" s="2"/>
      <c r="C12"/>
      <c r="D12"/>
      <c r="F12" s="3"/>
      <c r="G12" s="3"/>
      <c r="H12" s="3"/>
    </row>
    <row r="13" spans="2:8">
      <c r="B13" s="2"/>
      <c r="C13"/>
      <c r="D13"/>
      <c r="F13" s="3"/>
      <c r="G13" s="3"/>
      <c r="H13" s="3"/>
    </row>
    <row r="14" spans="2:8">
      <c r="B14" s="2"/>
      <c r="C14"/>
      <c r="F14" s="3"/>
      <c r="G14" s="3"/>
      <c r="H14" s="3"/>
    </row>
    <row r="15" spans="2:8">
      <c r="B15" s="2"/>
      <c r="C15"/>
      <c r="D15"/>
      <c r="F15" s="3"/>
      <c r="G15" s="3"/>
      <c r="H15" s="3"/>
    </row>
    <row r="16" spans="2:8">
      <c r="B16" s="2"/>
      <c r="C16"/>
      <c r="D16"/>
      <c r="F16" s="3"/>
      <c r="G16" s="3"/>
      <c r="H16" s="3"/>
    </row>
    <row r="17" spans="2:8">
      <c r="B17" s="2"/>
      <c r="C17"/>
      <c r="F17" s="3"/>
      <c r="G17" s="3"/>
      <c r="H17" s="3"/>
    </row>
    <row r="18" spans="2:8">
      <c r="B18" s="2"/>
      <c r="C18"/>
      <c r="D18"/>
      <c r="F18" s="3"/>
      <c r="G18" s="3"/>
      <c r="H18" s="3"/>
    </row>
    <row r="19" spans="2:8">
      <c r="B19" s="2"/>
      <c r="C19"/>
      <c r="D19"/>
      <c r="F19" s="3"/>
      <c r="G19" s="3"/>
      <c r="H19" s="3"/>
    </row>
    <row r="20" spans="2:8">
      <c r="B20" s="2"/>
      <c r="C20"/>
      <c r="F20" s="3"/>
      <c r="G20" s="3"/>
      <c r="H20" s="3"/>
    </row>
    <row r="21" spans="2:8">
      <c r="B21" s="2"/>
      <c r="C21"/>
      <c r="D21"/>
      <c r="F21" s="3"/>
      <c r="G21" s="3"/>
      <c r="H21" s="3"/>
    </row>
    <row r="22" spans="2:8">
      <c r="B22" s="2"/>
      <c r="C22"/>
      <c r="D22"/>
      <c r="F22" s="3"/>
      <c r="G22" s="3"/>
      <c r="H22" s="3"/>
    </row>
    <row r="23" spans="2:8">
      <c r="B23" s="2"/>
      <c r="C23"/>
      <c r="F23" s="3"/>
      <c r="G23" s="3"/>
      <c r="H23" s="3"/>
    </row>
    <row r="24" spans="2:8">
      <c r="B24" s="2"/>
      <c r="C24"/>
      <c r="D24"/>
      <c r="F24" s="3"/>
      <c r="G24" s="3"/>
      <c r="H24" s="3"/>
    </row>
    <row r="25" spans="2:8">
      <c r="B25" s="2"/>
      <c r="C25"/>
      <c r="D25"/>
      <c r="F25" s="3"/>
      <c r="G25" s="3"/>
      <c r="H25" s="3"/>
    </row>
    <row r="26" spans="2:8">
      <c r="B26" s="2"/>
      <c r="C26"/>
      <c r="D26"/>
      <c r="F26" s="3"/>
      <c r="G26" s="3"/>
      <c r="H26" s="3"/>
    </row>
    <row r="27" spans="2:8">
      <c r="B27" s="2"/>
      <c r="C27"/>
      <c r="D27"/>
      <c r="F27" s="3"/>
      <c r="G27" s="3"/>
      <c r="H27" s="3"/>
    </row>
    <row r="28" spans="2:8">
      <c r="B28" s="2"/>
      <c r="C28"/>
      <c r="F28" s="3"/>
      <c r="G28" s="3"/>
      <c r="H28" s="3"/>
    </row>
    <row r="29" spans="2:8">
      <c r="B29" s="2"/>
      <c r="C29"/>
      <c r="D29"/>
      <c r="F29" s="3"/>
      <c r="G29" s="3"/>
      <c r="H29" s="3"/>
    </row>
    <row r="30" spans="2:8">
      <c r="B30" s="2"/>
      <c r="C30"/>
      <c r="D30"/>
      <c r="F30" s="3"/>
      <c r="G30" s="3"/>
      <c r="H30" s="3"/>
    </row>
    <row r="31" spans="2:8">
      <c r="B31" s="2"/>
      <c r="C31"/>
      <c r="F31" s="3"/>
      <c r="G31" s="3"/>
      <c r="H31" s="3"/>
    </row>
    <row r="32" spans="2:8">
      <c r="B32" s="2"/>
      <c r="C32"/>
      <c r="D32"/>
      <c r="F32" s="3"/>
      <c r="G32" s="3"/>
      <c r="H32" s="3"/>
    </row>
    <row r="33" spans="2:8">
      <c r="B33" s="2"/>
      <c r="C33"/>
      <c r="D33"/>
      <c r="F33" s="3"/>
      <c r="G33" s="3"/>
      <c r="H33" s="3"/>
    </row>
    <row r="34" spans="2:8">
      <c r="B34" s="2"/>
      <c r="C34"/>
      <c r="F34" s="3"/>
      <c r="G34" s="3"/>
      <c r="H34" s="3"/>
    </row>
    <row r="35" spans="9:12">
      <c r="I35">
        <f>IFERROR(VLOOKUP(H35,Rates!$A$2:$B$3,2,0),1)</f>
        <v>1</v>
      </c>
      <c r="J35" t="str">
        <f t="shared" si="0"/>
        <v/>
      </c>
      <c r="K35" t="str">
        <f>IF(J35&lt;&gt;"",SUM($J$2:J35),"")</f>
        <v/>
      </c>
      <c r="L35">
        <f ca="1" t="shared" si="1"/>
        <v>45942</v>
      </c>
    </row>
    <row r="36" spans="9:12">
      <c r="I36">
        <f>IFERROR(VLOOKUP(H36,Rates!$A$2:$B$3,2,0),1)</f>
        <v>1</v>
      </c>
      <c r="J36" t="str">
        <f t="shared" si="0"/>
        <v/>
      </c>
      <c r="K36" t="str">
        <f>IF(J36&lt;&gt;"",SUM($J$2:J36),"")</f>
        <v/>
      </c>
      <c r="L36">
        <f ca="1" t="shared" si="1"/>
        <v>45942</v>
      </c>
    </row>
    <row r="37" spans="9:12">
      <c r="I37">
        <f>IFERROR(VLOOKUP(H37,Rates!$A$2:$B$3,2,0),1)</f>
        <v>1</v>
      </c>
      <c r="J37" t="str">
        <f t="shared" si="0"/>
        <v/>
      </c>
      <c r="K37" t="str">
        <f>IF(J37&lt;&gt;"",SUM($J$2:J37),"")</f>
        <v/>
      </c>
      <c r="L37">
        <f ca="1" t="shared" si="1"/>
        <v>45942</v>
      </c>
    </row>
    <row r="38" spans="9:12">
      <c r="I38">
        <f>IFERROR(VLOOKUP(H38,Rates!$A$2:$B$3,2,0),1)</f>
        <v>1</v>
      </c>
      <c r="J38" t="str">
        <f t="shared" si="0"/>
        <v/>
      </c>
      <c r="K38" t="str">
        <f>IF(J38&lt;&gt;"",SUM($J$2:J38),"")</f>
        <v/>
      </c>
      <c r="L38">
        <f ca="1" t="shared" si="1"/>
        <v>45942</v>
      </c>
    </row>
    <row r="39" spans="9:12">
      <c r="I39">
        <f>IFERROR(VLOOKUP(H39,Rates!$A$2:$B$3,2,0),1)</f>
        <v>1</v>
      </c>
      <c r="J39" t="str">
        <f t="shared" si="0"/>
        <v/>
      </c>
      <c r="K39" t="str">
        <f>IF(J39&lt;&gt;"",SUM($J$2:J39),"")</f>
        <v/>
      </c>
      <c r="L39">
        <f ca="1" t="shared" si="1"/>
        <v>45942</v>
      </c>
    </row>
    <row r="40" spans="9:12">
      <c r="I40">
        <f>IFERROR(VLOOKUP(H40,Rates!$A$2:$B$3,2,0),1)</f>
        <v>1</v>
      </c>
      <c r="J40" t="str">
        <f t="shared" si="0"/>
        <v/>
      </c>
      <c r="K40" t="str">
        <f>IF(J40&lt;&gt;"",SUM($J$2:J40),"")</f>
        <v/>
      </c>
      <c r="L40">
        <f ca="1" t="shared" si="1"/>
        <v>45942</v>
      </c>
    </row>
    <row r="41" spans="9:12">
      <c r="I41">
        <f>IFERROR(VLOOKUP(H41,Rates!$A$2:$B$3,2,0),1)</f>
        <v>1</v>
      </c>
      <c r="J41" t="str">
        <f t="shared" si="0"/>
        <v/>
      </c>
      <c r="K41" t="str">
        <f>IF(J41&lt;&gt;"",SUM($J$2:J41),"")</f>
        <v/>
      </c>
      <c r="L41">
        <f ca="1" t="shared" si="1"/>
        <v>45942</v>
      </c>
    </row>
    <row r="42" spans="9:12">
      <c r="I42">
        <f>IFERROR(VLOOKUP(H42,Rates!$A$2:$B$3,2,0),1)</f>
        <v>1</v>
      </c>
      <c r="J42" t="str">
        <f t="shared" si="0"/>
        <v/>
      </c>
      <c r="K42" t="str">
        <f>IF(J42&lt;&gt;"",SUM($J$2:J42),"")</f>
        <v/>
      </c>
      <c r="L42">
        <f ca="1" t="shared" si="1"/>
        <v>45942</v>
      </c>
    </row>
    <row r="43" spans="9:12">
      <c r="I43">
        <f>IFERROR(VLOOKUP(H43,Rates!$A$2:$B$3,2,0),1)</f>
        <v>1</v>
      </c>
      <c r="J43" t="str">
        <f t="shared" si="0"/>
        <v/>
      </c>
      <c r="K43" t="str">
        <f>IF(J43&lt;&gt;"",SUM($J$2:J43),"")</f>
        <v/>
      </c>
      <c r="L43">
        <f ca="1" t="shared" si="1"/>
        <v>45942</v>
      </c>
    </row>
    <row r="44" spans="9:12">
      <c r="I44">
        <f>IFERROR(VLOOKUP(H44,Rates!$A$2:$B$3,2,0),1)</f>
        <v>1</v>
      </c>
      <c r="J44" t="str">
        <f t="shared" si="0"/>
        <v/>
      </c>
      <c r="K44" t="str">
        <f>IF(J44&lt;&gt;"",SUM($J$2:J44),"")</f>
        <v/>
      </c>
      <c r="L44">
        <f ca="1" t="shared" si="1"/>
        <v>45942</v>
      </c>
    </row>
    <row r="45" spans="9:12">
      <c r="I45">
        <f>IFERROR(VLOOKUP(H45,Rates!$A$2:$B$3,2,0),1)</f>
        <v>1</v>
      </c>
      <c r="J45" t="str">
        <f t="shared" si="0"/>
        <v/>
      </c>
      <c r="K45" t="str">
        <f>IF(J45&lt;&gt;"",SUM($J$2:J45),"")</f>
        <v/>
      </c>
      <c r="L45">
        <f ca="1" t="shared" si="1"/>
        <v>45942</v>
      </c>
    </row>
    <row r="46" spans="9:12">
      <c r="I46">
        <f>IFERROR(VLOOKUP(H46,Rates!$A$2:$B$3,2,0),1)</f>
        <v>1</v>
      </c>
      <c r="J46" t="str">
        <f t="shared" si="0"/>
        <v/>
      </c>
      <c r="K46" t="str">
        <f>IF(J46&lt;&gt;"",SUM($J$2:J46),"")</f>
        <v/>
      </c>
      <c r="L46">
        <f ca="1" t="shared" si="1"/>
        <v>45942</v>
      </c>
    </row>
    <row r="47" spans="9:12">
      <c r="I47">
        <f>IFERROR(VLOOKUP(H47,Rates!$A$2:$B$3,2,0),1)</f>
        <v>1</v>
      </c>
      <c r="J47" t="str">
        <f t="shared" si="0"/>
        <v/>
      </c>
      <c r="K47" t="str">
        <f>IF(J47&lt;&gt;"",SUM($J$2:J47),"")</f>
        <v/>
      </c>
      <c r="L47">
        <f ca="1" t="shared" si="1"/>
        <v>45942</v>
      </c>
    </row>
    <row r="48" spans="9:12">
      <c r="I48">
        <f>IFERROR(VLOOKUP(H48,Rates!$A$2:$B$3,2,0),1)</f>
        <v>1</v>
      </c>
      <c r="J48" t="str">
        <f t="shared" si="0"/>
        <v/>
      </c>
      <c r="K48" t="str">
        <f>IF(J48&lt;&gt;"",SUM($J$2:J48),"")</f>
        <v/>
      </c>
      <c r="L48">
        <f ca="1" t="shared" si="1"/>
        <v>45942</v>
      </c>
    </row>
    <row r="49" spans="9:12">
      <c r="I49">
        <f>IFERROR(VLOOKUP(H49,Rates!$A$2:$B$3,2,0),1)</f>
        <v>1</v>
      </c>
      <c r="J49" t="str">
        <f t="shared" si="0"/>
        <v/>
      </c>
      <c r="K49" t="str">
        <f>IF(J49&lt;&gt;"",SUM($J$2:J49),"")</f>
        <v/>
      </c>
      <c r="L49">
        <f ca="1" t="shared" si="1"/>
        <v>45942</v>
      </c>
    </row>
    <row r="50" spans="9:12">
      <c r="I50">
        <f>IFERROR(VLOOKUP(H50,Rates!$A$2:$B$3,2,0),1)</f>
        <v>1</v>
      </c>
      <c r="J50" t="str">
        <f t="shared" si="0"/>
        <v/>
      </c>
      <c r="K50" t="str">
        <f>IF(J50&lt;&gt;"",SUM($J$2:J50),"")</f>
        <v/>
      </c>
      <c r="L50">
        <f ca="1" t="shared" si="1"/>
        <v>45942</v>
      </c>
    </row>
    <row r="51" spans="9:12">
      <c r="I51">
        <f>IFERROR(VLOOKUP(H51,Rates!$A$2:$B$3,2,0),1)</f>
        <v>1</v>
      </c>
      <c r="J51" t="str">
        <f t="shared" si="0"/>
        <v/>
      </c>
      <c r="K51" t="str">
        <f>IF(J51&lt;&gt;"",SUM($J$2:J51),"")</f>
        <v/>
      </c>
      <c r="L51">
        <f ca="1" t="shared" si="1"/>
        <v>45942</v>
      </c>
    </row>
    <row r="52" spans="9:12">
      <c r="I52">
        <f>IFERROR(VLOOKUP(H52,Rates!$A$2:$B$3,2,0),1)</f>
        <v>1</v>
      </c>
      <c r="J52" t="str">
        <f t="shared" si="0"/>
        <v/>
      </c>
      <c r="K52" t="str">
        <f>IF(J52&lt;&gt;"",SUM($J$2:J52),"")</f>
        <v/>
      </c>
      <c r="L52">
        <f ca="1" t="shared" si="1"/>
        <v>45942</v>
      </c>
    </row>
    <row r="53" spans="9:12">
      <c r="I53">
        <f>IFERROR(VLOOKUP(H53,Rates!$A$2:$B$3,2,0),1)</f>
        <v>1</v>
      </c>
      <c r="J53" t="str">
        <f t="shared" si="0"/>
        <v/>
      </c>
      <c r="K53" t="str">
        <f>IF(J53&lt;&gt;"",SUM($J$2:J53),"")</f>
        <v/>
      </c>
      <c r="L53">
        <f ca="1" t="shared" si="1"/>
        <v>45942</v>
      </c>
    </row>
    <row r="54" spans="9:12">
      <c r="I54">
        <f>IFERROR(VLOOKUP(H54,Rates!$A$2:$B$3,2,0),1)</f>
        <v>1</v>
      </c>
      <c r="J54" t="str">
        <f t="shared" si="0"/>
        <v/>
      </c>
      <c r="K54" t="str">
        <f>IF(J54&lt;&gt;"",SUM($J$2:J54),"")</f>
        <v/>
      </c>
      <c r="L54">
        <f ca="1" t="shared" si="1"/>
        <v>45942</v>
      </c>
    </row>
    <row r="55" spans="9:12">
      <c r="I55">
        <f>IFERROR(VLOOKUP(H55,Rates!$A$2:$B$3,2,0),1)</f>
        <v>1</v>
      </c>
      <c r="J55" t="str">
        <f t="shared" si="0"/>
        <v/>
      </c>
      <c r="K55" t="str">
        <f>IF(J55&lt;&gt;"",SUM($J$2:J55),"")</f>
        <v/>
      </c>
      <c r="L55">
        <f ca="1" t="shared" si="1"/>
        <v>45942</v>
      </c>
    </row>
    <row r="56" spans="9:12">
      <c r="I56">
        <f>IFERROR(VLOOKUP(H56,Rates!$A$2:$B$3,2,0),1)</f>
        <v>1</v>
      </c>
      <c r="J56" t="str">
        <f t="shared" si="0"/>
        <v/>
      </c>
      <c r="K56" t="str">
        <f>IF(J56&lt;&gt;"",SUM($J$2:J56),"")</f>
        <v/>
      </c>
      <c r="L56">
        <f ca="1" t="shared" si="1"/>
        <v>45942</v>
      </c>
    </row>
    <row r="57" spans="9:12">
      <c r="I57">
        <f>IFERROR(VLOOKUP(H57,Rates!$A$2:$B$3,2,0),1)</f>
        <v>1</v>
      </c>
      <c r="J57" t="str">
        <f t="shared" si="0"/>
        <v/>
      </c>
      <c r="K57" t="str">
        <f>IF(J57&lt;&gt;"",SUM($J$2:J57),"")</f>
        <v/>
      </c>
      <c r="L57">
        <f ca="1" t="shared" si="1"/>
        <v>45942</v>
      </c>
    </row>
    <row r="58" spans="9:12">
      <c r="I58">
        <f>IFERROR(VLOOKUP(H58,Rates!$A$2:$B$3,2,0),1)</f>
        <v>1</v>
      </c>
      <c r="J58" t="str">
        <f t="shared" si="0"/>
        <v/>
      </c>
      <c r="K58" t="str">
        <f>IF(J58&lt;&gt;"",SUM($J$2:J58),"")</f>
        <v/>
      </c>
      <c r="L58">
        <f ca="1" t="shared" si="1"/>
        <v>45942</v>
      </c>
    </row>
    <row r="59" spans="9:12">
      <c r="I59">
        <f>IFERROR(VLOOKUP(H59,Rates!$A$2:$B$3,2,0),1)</f>
        <v>1</v>
      </c>
      <c r="J59" t="str">
        <f t="shared" si="0"/>
        <v/>
      </c>
      <c r="K59" t="str">
        <f>IF(J59&lt;&gt;"",SUM($J$2:J59),"")</f>
        <v/>
      </c>
      <c r="L59">
        <f ca="1" t="shared" si="1"/>
        <v>45942</v>
      </c>
    </row>
    <row r="60" spans="9:12">
      <c r="I60">
        <f>IFERROR(VLOOKUP(H60,Rates!$A$2:$B$3,2,0),1)</f>
        <v>1</v>
      </c>
      <c r="J60" t="str">
        <f t="shared" si="0"/>
        <v/>
      </c>
      <c r="K60" t="str">
        <f>IF(J60&lt;&gt;"",SUM($J$2:J60),"")</f>
        <v/>
      </c>
      <c r="L60">
        <f ca="1" t="shared" si="1"/>
        <v>45942</v>
      </c>
    </row>
    <row r="61" spans="9:12">
      <c r="I61">
        <f>IFERROR(VLOOKUP(H61,Rates!$A$2:$B$3,2,0),1)</f>
        <v>1</v>
      </c>
      <c r="J61" t="str">
        <f t="shared" si="0"/>
        <v/>
      </c>
      <c r="K61" t="str">
        <f>IF(J61&lt;&gt;"",SUM($J$2:J61),"")</f>
        <v/>
      </c>
      <c r="L61">
        <f ca="1" t="shared" si="1"/>
        <v>45942</v>
      </c>
    </row>
    <row r="62" spans="9:12">
      <c r="I62">
        <f>IFERROR(VLOOKUP(H62,Rates!$A$2:$B$3,2,0),1)</f>
        <v>1</v>
      </c>
      <c r="J62" t="str">
        <f t="shared" si="0"/>
        <v/>
      </c>
      <c r="K62" t="str">
        <f>IF(J62&lt;&gt;"",SUM($J$2:J62),"")</f>
        <v/>
      </c>
      <c r="L62">
        <f ca="1" t="shared" si="1"/>
        <v>45942</v>
      </c>
    </row>
    <row r="63" spans="9:12">
      <c r="I63">
        <f>IFERROR(VLOOKUP(H63,Rates!$A$2:$B$3,2,0),1)</f>
        <v>1</v>
      </c>
      <c r="J63" t="str">
        <f t="shared" si="0"/>
        <v/>
      </c>
      <c r="K63" t="str">
        <f>IF(J63&lt;&gt;"",SUM($J$2:J63),"")</f>
        <v/>
      </c>
      <c r="L63">
        <f ca="1" t="shared" si="1"/>
        <v>45942</v>
      </c>
    </row>
    <row r="64" spans="9:12">
      <c r="I64">
        <f>IFERROR(VLOOKUP(H64,Rates!$A$2:$B$3,2,0),1)</f>
        <v>1</v>
      </c>
      <c r="J64" t="str">
        <f t="shared" si="0"/>
        <v/>
      </c>
      <c r="K64" t="str">
        <f>IF(J64&lt;&gt;"",SUM($J$2:J64),"")</f>
        <v/>
      </c>
      <c r="L64">
        <f ca="1" t="shared" si="1"/>
        <v>45942</v>
      </c>
    </row>
    <row r="65" spans="9:12">
      <c r="I65">
        <f>IFERROR(VLOOKUP(H65,Rates!$A$2:$B$3,2,0),1)</f>
        <v>1</v>
      </c>
      <c r="J65" t="str">
        <f t="shared" si="0"/>
        <v/>
      </c>
      <c r="K65" t="str">
        <f>IF(J65&lt;&gt;"",SUM($J$2:J65),"")</f>
        <v/>
      </c>
      <c r="L65">
        <f ca="1" t="shared" si="1"/>
        <v>45942</v>
      </c>
    </row>
    <row r="66" spans="9:12">
      <c r="I66">
        <f>IFERROR(VLOOKUP(H66,Rates!$A$2:$B$3,2,0),1)</f>
        <v>1</v>
      </c>
      <c r="J66" t="str">
        <f t="shared" ref="J66:J129" si="2">IF(G66&lt;&gt;"",G66*I66,"")</f>
        <v/>
      </c>
      <c r="K66" t="str">
        <f>IF(J66&lt;&gt;"",SUM($J$2:J66),"")</f>
        <v/>
      </c>
      <c r="L66">
        <f ca="1" t="shared" ref="L66:L129" si="3">IF(COUNTA(A66:K66)&gt;0,TODAY(),"")</f>
        <v>45942</v>
      </c>
    </row>
    <row r="67" spans="9:12">
      <c r="I67">
        <f>IFERROR(VLOOKUP(H67,Rates!$A$2:$B$3,2,0),1)</f>
        <v>1</v>
      </c>
      <c r="J67" t="str">
        <f t="shared" si="2"/>
        <v/>
      </c>
      <c r="K67" t="str">
        <f>IF(J67&lt;&gt;"",SUM($J$2:J67),"")</f>
        <v/>
      </c>
      <c r="L67">
        <f ca="1" t="shared" si="3"/>
        <v>45942</v>
      </c>
    </row>
    <row r="68" spans="9:12">
      <c r="I68">
        <f>IFERROR(VLOOKUP(H68,Rates!$A$2:$B$3,2,0),1)</f>
        <v>1</v>
      </c>
      <c r="J68" t="str">
        <f t="shared" si="2"/>
        <v/>
      </c>
      <c r="K68" t="str">
        <f>IF(J68&lt;&gt;"",SUM($J$2:J68),"")</f>
        <v/>
      </c>
      <c r="L68">
        <f ca="1" t="shared" si="3"/>
        <v>45942</v>
      </c>
    </row>
    <row r="69" spans="9:12">
      <c r="I69">
        <f>IFERROR(VLOOKUP(H69,Rates!$A$2:$B$3,2,0),1)</f>
        <v>1</v>
      </c>
      <c r="J69" t="str">
        <f t="shared" si="2"/>
        <v/>
      </c>
      <c r="K69" t="str">
        <f>IF(J69&lt;&gt;"",SUM($J$2:J69),"")</f>
        <v/>
      </c>
      <c r="L69">
        <f ca="1" t="shared" si="3"/>
        <v>45942</v>
      </c>
    </row>
    <row r="70" spans="9:12">
      <c r="I70">
        <f>IFERROR(VLOOKUP(H70,Rates!$A$2:$B$3,2,0),1)</f>
        <v>1</v>
      </c>
      <c r="J70" t="str">
        <f t="shared" si="2"/>
        <v/>
      </c>
      <c r="K70" t="str">
        <f>IF(J70&lt;&gt;"",SUM($J$2:J70),"")</f>
        <v/>
      </c>
      <c r="L70">
        <f ca="1" t="shared" si="3"/>
        <v>45942</v>
      </c>
    </row>
    <row r="71" spans="9:12">
      <c r="I71">
        <f>IFERROR(VLOOKUP(H71,Rates!$A$2:$B$3,2,0),1)</f>
        <v>1</v>
      </c>
      <c r="J71" t="str">
        <f t="shared" si="2"/>
        <v/>
      </c>
      <c r="K71" t="str">
        <f>IF(J71&lt;&gt;"",SUM($J$2:J71),"")</f>
        <v/>
      </c>
      <c r="L71">
        <f ca="1" t="shared" si="3"/>
        <v>45942</v>
      </c>
    </row>
    <row r="72" spans="9:12">
      <c r="I72">
        <f>IFERROR(VLOOKUP(H72,Rates!$A$2:$B$3,2,0),1)</f>
        <v>1</v>
      </c>
      <c r="J72" t="str">
        <f t="shared" si="2"/>
        <v/>
      </c>
      <c r="K72" t="str">
        <f>IF(J72&lt;&gt;"",SUM($J$2:J72),"")</f>
        <v/>
      </c>
      <c r="L72">
        <f ca="1" t="shared" si="3"/>
        <v>45942</v>
      </c>
    </row>
    <row r="73" spans="9:12">
      <c r="I73">
        <f>IFERROR(VLOOKUP(H73,Rates!$A$2:$B$3,2,0),1)</f>
        <v>1</v>
      </c>
      <c r="J73" t="str">
        <f t="shared" si="2"/>
        <v/>
      </c>
      <c r="K73" t="str">
        <f>IF(J73&lt;&gt;"",SUM($J$2:J73),"")</f>
        <v/>
      </c>
      <c r="L73">
        <f ca="1" t="shared" si="3"/>
        <v>45942</v>
      </c>
    </row>
    <row r="74" spans="9:12">
      <c r="I74">
        <f>IFERROR(VLOOKUP(H74,Rates!$A$2:$B$3,2,0),1)</f>
        <v>1</v>
      </c>
      <c r="J74" t="str">
        <f t="shared" si="2"/>
        <v/>
      </c>
      <c r="K74" t="str">
        <f>IF(J74&lt;&gt;"",SUM($J$2:J74),"")</f>
        <v/>
      </c>
      <c r="L74">
        <f ca="1" t="shared" si="3"/>
        <v>45942</v>
      </c>
    </row>
    <row r="75" spans="9:12">
      <c r="I75">
        <f>IFERROR(VLOOKUP(H75,Rates!$A$2:$B$3,2,0),1)</f>
        <v>1</v>
      </c>
      <c r="J75" t="str">
        <f t="shared" si="2"/>
        <v/>
      </c>
      <c r="K75" t="str">
        <f>IF(J75&lt;&gt;"",SUM($J$2:J75),"")</f>
        <v/>
      </c>
      <c r="L75">
        <f ca="1" t="shared" si="3"/>
        <v>45942</v>
      </c>
    </row>
    <row r="76" spans="9:12">
      <c r="I76">
        <f>IFERROR(VLOOKUP(H76,Rates!$A$2:$B$3,2,0),1)</f>
        <v>1</v>
      </c>
      <c r="J76" t="str">
        <f t="shared" si="2"/>
        <v/>
      </c>
      <c r="K76" t="str">
        <f>IF(J76&lt;&gt;"",SUM($J$2:J76),"")</f>
        <v/>
      </c>
      <c r="L76">
        <f ca="1" t="shared" si="3"/>
        <v>45942</v>
      </c>
    </row>
    <row r="77" spans="9:12">
      <c r="I77">
        <f>IFERROR(VLOOKUP(H77,Rates!$A$2:$B$3,2,0),1)</f>
        <v>1</v>
      </c>
      <c r="J77" t="str">
        <f t="shared" si="2"/>
        <v/>
      </c>
      <c r="K77" t="str">
        <f>IF(J77&lt;&gt;"",SUM($J$2:J77),"")</f>
        <v/>
      </c>
      <c r="L77">
        <f ca="1" t="shared" si="3"/>
        <v>45942</v>
      </c>
    </row>
    <row r="78" spans="9:12">
      <c r="I78">
        <f>IFERROR(VLOOKUP(H78,Rates!$A$2:$B$3,2,0),1)</f>
        <v>1</v>
      </c>
      <c r="J78" t="str">
        <f t="shared" si="2"/>
        <v/>
      </c>
      <c r="K78" t="str">
        <f>IF(J78&lt;&gt;"",SUM($J$2:J78),"")</f>
        <v/>
      </c>
      <c r="L78">
        <f ca="1" t="shared" si="3"/>
        <v>45942</v>
      </c>
    </row>
    <row r="79" spans="9:12">
      <c r="I79">
        <f>IFERROR(VLOOKUP(H79,Rates!$A$2:$B$3,2,0),1)</f>
        <v>1</v>
      </c>
      <c r="J79" t="str">
        <f t="shared" si="2"/>
        <v/>
      </c>
      <c r="K79" t="str">
        <f>IF(J79&lt;&gt;"",SUM($J$2:J79),"")</f>
        <v/>
      </c>
      <c r="L79">
        <f ca="1" t="shared" si="3"/>
        <v>45942</v>
      </c>
    </row>
    <row r="80" spans="9:12">
      <c r="I80">
        <f>IFERROR(VLOOKUP(H80,Rates!$A$2:$B$3,2,0),1)</f>
        <v>1</v>
      </c>
      <c r="J80" t="str">
        <f t="shared" si="2"/>
        <v/>
      </c>
      <c r="K80" t="str">
        <f>IF(J80&lt;&gt;"",SUM($J$2:J80),"")</f>
        <v/>
      </c>
      <c r="L80">
        <f ca="1" t="shared" si="3"/>
        <v>45942</v>
      </c>
    </row>
    <row r="81" spans="9:12">
      <c r="I81">
        <f>IFERROR(VLOOKUP(H81,Rates!$A$2:$B$3,2,0),1)</f>
        <v>1</v>
      </c>
      <c r="J81" t="str">
        <f t="shared" si="2"/>
        <v/>
      </c>
      <c r="K81" t="str">
        <f>IF(J81&lt;&gt;"",SUM($J$2:J81),"")</f>
        <v/>
      </c>
      <c r="L81">
        <f ca="1" t="shared" si="3"/>
        <v>45942</v>
      </c>
    </row>
    <row r="82" spans="9:12">
      <c r="I82">
        <f>IFERROR(VLOOKUP(H82,Rates!$A$2:$B$3,2,0),1)</f>
        <v>1</v>
      </c>
      <c r="J82" t="str">
        <f t="shared" si="2"/>
        <v/>
      </c>
      <c r="K82" t="str">
        <f>IF(J82&lt;&gt;"",SUM($J$2:J82),"")</f>
        <v/>
      </c>
      <c r="L82">
        <f ca="1" t="shared" si="3"/>
        <v>45942</v>
      </c>
    </row>
    <row r="83" spans="9:12">
      <c r="I83">
        <f>IFERROR(VLOOKUP(H83,Rates!$A$2:$B$3,2,0),1)</f>
        <v>1</v>
      </c>
      <c r="J83" t="str">
        <f t="shared" si="2"/>
        <v/>
      </c>
      <c r="K83" t="str">
        <f>IF(J83&lt;&gt;"",SUM($J$2:J83),"")</f>
        <v/>
      </c>
      <c r="L83">
        <f ca="1" t="shared" si="3"/>
        <v>45942</v>
      </c>
    </row>
    <row r="84" spans="9:12">
      <c r="I84">
        <f>IFERROR(VLOOKUP(H84,Rates!$A$2:$B$3,2,0),1)</f>
        <v>1</v>
      </c>
      <c r="J84" t="str">
        <f t="shared" si="2"/>
        <v/>
      </c>
      <c r="K84" t="str">
        <f>IF(J84&lt;&gt;"",SUM($J$2:J84),"")</f>
        <v/>
      </c>
      <c r="L84">
        <f ca="1" t="shared" si="3"/>
        <v>45942</v>
      </c>
    </row>
    <row r="85" spans="9:12">
      <c r="I85">
        <f>IFERROR(VLOOKUP(H85,Rates!$A$2:$B$3,2,0),1)</f>
        <v>1</v>
      </c>
      <c r="J85" t="str">
        <f t="shared" si="2"/>
        <v/>
      </c>
      <c r="K85" t="str">
        <f>IF(J85&lt;&gt;"",SUM($J$2:J85),"")</f>
        <v/>
      </c>
      <c r="L85">
        <f ca="1" t="shared" si="3"/>
        <v>45942</v>
      </c>
    </row>
    <row r="86" spans="9:12">
      <c r="I86">
        <f>IFERROR(VLOOKUP(H86,Rates!$A$2:$B$3,2,0),1)</f>
        <v>1</v>
      </c>
      <c r="J86" t="str">
        <f t="shared" si="2"/>
        <v/>
      </c>
      <c r="K86" t="str">
        <f>IF(J86&lt;&gt;"",SUM($J$2:J86),"")</f>
        <v/>
      </c>
      <c r="L86">
        <f ca="1" t="shared" si="3"/>
        <v>45942</v>
      </c>
    </row>
    <row r="87" spans="9:12">
      <c r="I87">
        <f>IFERROR(VLOOKUP(H87,Rates!$A$2:$B$3,2,0),1)</f>
        <v>1</v>
      </c>
      <c r="J87" t="str">
        <f t="shared" si="2"/>
        <v/>
      </c>
      <c r="K87" t="str">
        <f>IF(J87&lt;&gt;"",SUM($J$2:J87),"")</f>
        <v/>
      </c>
      <c r="L87">
        <f ca="1" t="shared" si="3"/>
        <v>45942</v>
      </c>
    </row>
    <row r="88" spans="9:12">
      <c r="I88">
        <f>IFERROR(VLOOKUP(H88,Rates!$A$2:$B$3,2,0),1)</f>
        <v>1</v>
      </c>
      <c r="J88" t="str">
        <f t="shared" si="2"/>
        <v/>
      </c>
      <c r="K88" t="str">
        <f>IF(J88&lt;&gt;"",SUM($J$2:J88),"")</f>
        <v/>
      </c>
      <c r="L88">
        <f ca="1" t="shared" si="3"/>
        <v>45942</v>
      </c>
    </row>
    <row r="89" spans="9:12">
      <c r="I89">
        <f>IFERROR(VLOOKUP(H89,Rates!$A$2:$B$3,2,0),1)</f>
        <v>1</v>
      </c>
      <c r="J89" t="str">
        <f t="shared" si="2"/>
        <v/>
      </c>
      <c r="K89" t="str">
        <f>IF(J89&lt;&gt;"",SUM($J$2:J89),"")</f>
        <v/>
      </c>
      <c r="L89">
        <f ca="1" t="shared" si="3"/>
        <v>45942</v>
      </c>
    </row>
    <row r="90" spans="9:12">
      <c r="I90">
        <f>IFERROR(VLOOKUP(H90,Rates!$A$2:$B$3,2,0),1)</f>
        <v>1</v>
      </c>
      <c r="J90" t="str">
        <f t="shared" si="2"/>
        <v/>
      </c>
      <c r="K90" t="str">
        <f>IF(J90&lt;&gt;"",SUM($J$2:J90),"")</f>
        <v/>
      </c>
      <c r="L90">
        <f ca="1" t="shared" si="3"/>
        <v>45942</v>
      </c>
    </row>
    <row r="91" spans="9:12">
      <c r="I91">
        <f>IFERROR(VLOOKUP(H91,Rates!$A$2:$B$3,2,0),1)</f>
        <v>1</v>
      </c>
      <c r="J91" t="str">
        <f t="shared" si="2"/>
        <v/>
      </c>
      <c r="K91" t="str">
        <f>IF(J91&lt;&gt;"",SUM($J$2:J91),"")</f>
        <v/>
      </c>
      <c r="L91">
        <f ca="1" t="shared" si="3"/>
        <v>45942</v>
      </c>
    </row>
    <row r="92" spans="9:12">
      <c r="I92">
        <f>IFERROR(VLOOKUP(H92,Rates!$A$2:$B$3,2,0),1)</f>
        <v>1</v>
      </c>
      <c r="J92" t="str">
        <f t="shared" si="2"/>
        <v/>
      </c>
      <c r="K92" t="str">
        <f>IF(J92&lt;&gt;"",SUM($J$2:J92),"")</f>
        <v/>
      </c>
      <c r="L92">
        <f ca="1" t="shared" si="3"/>
        <v>45942</v>
      </c>
    </row>
    <row r="93" spans="9:12">
      <c r="I93">
        <f>IFERROR(VLOOKUP(H93,Rates!$A$2:$B$3,2,0),1)</f>
        <v>1</v>
      </c>
      <c r="J93" t="str">
        <f t="shared" si="2"/>
        <v/>
      </c>
      <c r="K93" t="str">
        <f>IF(J93&lt;&gt;"",SUM($J$2:J93),"")</f>
        <v/>
      </c>
      <c r="L93">
        <f ca="1" t="shared" si="3"/>
        <v>45942</v>
      </c>
    </row>
    <row r="94" spans="9:12">
      <c r="I94">
        <f>IFERROR(VLOOKUP(H94,Rates!$A$2:$B$3,2,0),1)</f>
        <v>1</v>
      </c>
      <c r="J94" t="str">
        <f t="shared" si="2"/>
        <v/>
      </c>
      <c r="K94" t="str">
        <f>IF(J94&lt;&gt;"",SUM($J$2:J94),"")</f>
        <v/>
      </c>
      <c r="L94">
        <f ca="1" t="shared" si="3"/>
        <v>45942</v>
      </c>
    </row>
    <row r="95" spans="9:12">
      <c r="I95">
        <f>IFERROR(VLOOKUP(H95,Rates!$A$2:$B$3,2,0),1)</f>
        <v>1</v>
      </c>
      <c r="J95" t="str">
        <f t="shared" si="2"/>
        <v/>
      </c>
      <c r="K95" t="str">
        <f>IF(J95&lt;&gt;"",SUM($J$2:J95),"")</f>
        <v/>
      </c>
      <c r="L95">
        <f ca="1" t="shared" si="3"/>
        <v>45942</v>
      </c>
    </row>
    <row r="96" spans="9:12">
      <c r="I96">
        <f>IFERROR(VLOOKUP(H96,Rates!$A$2:$B$3,2,0),1)</f>
        <v>1</v>
      </c>
      <c r="J96" t="str">
        <f t="shared" si="2"/>
        <v/>
      </c>
      <c r="K96" t="str">
        <f>IF(J96&lt;&gt;"",SUM($J$2:J96),"")</f>
        <v/>
      </c>
      <c r="L96">
        <f ca="1" t="shared" si="3"/>
        <v>45942</v>
      </c>
    </row>
    <row r="97" spans="9:12">
      <c r="I97">
        <f>IFERROR(VLOOKUP(H97,Rates!$A$2:$B$3,2,0),1)</f>
        <v>1</v>
      </c>
      <c r="J97" t="str">
        <f t="shared" si="2"/>
        <v/>
      </c>
      <c r="K97" t="str">
        <f>IF(J97&lt;&gt;"",SUM($J$2:J97),"")</f>
        <v/>
      </c>
      <c r="L97">
        <f ca="1" t="shared" si="3"/>
        <v>45942</v>
      </c>
    </row>
    <row r="98" spans="9:12">
      <c r="I98">
        <f>IFERROR(VLOOKUP(H98,Rates!$A$2:$B$3,2,0),1)</f>
        <v>1</v>
      </c>
      <c r="J98" t="str">
        <f t="shared" si="2"/>
        <v/>
      </c>
      <c r="K98" t="str">
        <f>IF(J98&lt;&gt;"",SUM($J$2:J98),"")</f>
        <v/>
      </c>
      <c r="L98">
        <f ca="1" t="shared" si="3"/>
        <v>45942</v>
      </c>
    </row>
    <row r="99" spans="9:12">
      <c r="I99">
        <f>IFERROR(VLOOKUP(H99,Rates!$A$2:$B$3,2,0),1)</f>
        <v>1</v>
      </c>
      <c r="J99" t="str">
        <f t="shared" si="2"/>
        <v/>
      </c>
      <c r="K99" t="str">
        <f>IF(J99&lt;&gt;"",SUM($J$2:J99),"")</f>
        <v/>
      </c>
      <c r="L99">
        <f ca="1" t="shared" si="3"/>
        <v>45942</v>
      </c>
    </row>
    <row r="100" spans="9:12">
      <c r="I100">
        <f>IFERROR(VLOOKUP(H100,Rates!$A$2:$B$3,2,0),1)</f>
        <v>1</v>
      </c>
      <c r="J100" t="str">
        <f t="shared" si="2"/>
        <v/>
      </c>
      <c r="K100" t="str">
        <f>IF(J100&lt;&gt;"",SUM($J$2:J100),"")</f>
        <v/>
      </c>
      <c r="L100">
        <f ca="1" t="shared" si="3"/>
        <v>45942</v>
      </c>
    </row>
    <row r="101" spans="9:12">
      <c r="I101">
        <f>IFERROR(VLOOKUP(H101,Rates!$A$2:$B$3,2,0),1)</f>
        <v>1</v>
      </c>
      <c r="J101" t="str">
        <f t="shared" si="2"/>
        <v/>
      </c>
      <c r="K101" t="str">
        <f>IF(J101&lt;&gt;"",SUM($J$2:J101),"")</f>
        <v/>
      </c>
      <c r="L101">
        <f ca="1" t="shared" si="3"/>
        <v>45942</v>
      </c>
    </row>
    <row r="102" spans="9:12">
      <c r="I102">
        <f>IFERROR(VLOOKUP(H102,Rates!$A$2:$B$3,2,0),1)</f>
        <v>1</v>
      </c>
      <c r="J102" t="str">
        <f t="shared" si="2"/>
        <v/>
      </c>
      <c r="K102" t="str">
        <f>IF(J102&lt;&gt;"",SUM($J$2:J102),"")</f>
        <v/>
      </c>
      <c r="L102">
        <f ca="1" t="shared" si="3"/>
        <v>45942</v>
      </c>
    </row>
    <row r="103" spans="9:12">
      <c r="I103">
        <f>IFERROR(VLOOKUP(H103,Rates!$A$2:$B$3,2,0),1)</f>
        <v>1</v>
      </c>
      <c r="J103" t="str">
        <f t="shared" si="2"/>
        <v/>
      </c>
      <c r="K103" t="str">
        <f>IF(J103&lt;&gt;"",SUM($J$2:J103),"")</f>
        <v/>
      </c>
      <c r="L103">
        <f ca="1" t="shared" si="3"/>
        <v>45942</v>
      </c>
    </row>
    <row r="104" spans="9:12">
      <c r="I104">
        <f>IFERROR(VLOOKUP(H104,Rates!$A$2:$B$3,2,0),1)</f>
        <v>1</v>
      </c>
      <c r="J104" t="str">
        <f t="shared" si="2"/>
        <v/>
      </c>
      <c r="K104" t="str">
        <f>IF(J104&lt;&gt;"",SUM($J$2:J104),"")</f>
        <v/>
      </c>
      <c r="L104">
        <f ca="1" t="shared" si="3"/>
        <v>45942</v>
      </c>
    </row>
    <row r="105" spans="9:12">
      <c r="I105">
        <f>IFERROR(VLOOKUP(H105,Rates!$A$2:$B$3,2,0),1)</f>
        <v>1</v>
      </c>
      <c r="J105" t="str">
        <f t="shared" si="2"/>
        <v/>
      </c>
      <c r="K105" t="str">
        <f>IF(J105&lt;&gt;"",SUM($J$2:J105),"")</f>
        <v/>
      </c>
      <c r="L105">
        <f ca="1" t="shared" si="3"/>
        <v>45942</v>
      </c>
    </row>
    <row r="106" spans="9:12">
      <c r="I106">
        <f>IFERROR(VLOOKUP(H106,Rates!$A$2:$B$3,2,0),1)</f>
        <v>1</v>
      </c>
      <c r="J106" t="str">
        <f t="shared" si="2"/>
        <v/>
      </c>
      <c r="K106" t="str">
        <f>IF(J106&lt;&gt;"",SUM($J$2:J106),"")</f>
        <v/>
      </c>
      <c r="L106">
        <f ca="1" t="shared" si="3"/>
        <v>45942</v>
      </c>
    </row>
    <row r="107" spans="9:12">
      <c r="I107">
        <f>IFERROR(VLOOKUP(H107,Rates!$A$2:$B$3,2,0),1)</f>
        <v>1</v>
      </c>
      <c r="J107" t="str">
        <f t="shared" si="2"/>
        <v/>
      </c>
      <c r="K107" t="str">
        <f>IF(J107&lt;&gt;"",SUM($J$2:J107),"")</f>
        <v/>
      </c>
      <c r="L107">
        <f ca="1" t="shared" si="3"/>
        <v>45942</v>
      </c>
    </row>
    <row r="108" spans="9:12">
      <c r="I108">
        <f>IFERROR(VLOOKUP(H108,Rates!$A$2:$B$3,2,0),1)</f>
        <v>1</v>
      </c>
      <c r="J108" t="str">
        <f t="shared" si="2"/>
        <v/>
      </c>
      <c r="K108" t="str">
        <f>IF(J108&lt;&gt;"",SUM($J$2:J108),"")</f>
        <v/>
      </c>
      <c r="L108">
        <f ca="1" t="shared" si="3"/>
        <v>45942</v>
      </c>
    </row>
    <row r="109" spans="9:12">
      <c r="I109">
        <f>IFERROR(VLOOKUP(H109,Rates!$A$2:$B$3,2,0),1)</f>
        <v>1</v>
      </c>
      <c r="J109" t="str">
        <f t="shared" si="2"/>
        <v/>
      </c>
      <c r="K109" t="str">
        <f>IF(J109&lt;&gt;"",SUM($J$2:J109),"")</f>
        <v/>
      </c>
      <c r="L109">
        <f ca="1" t="shared" si="3"/>
        <v>45942</v>
      </c>
    </row>
    <row r="110" spans="9:12">
      <c r="I110">
        <f>IFERROR(VLOOKUP(H110,Rates!$A$2:$B$3,2,0),1)</f>
        <v>1</v>
      </c>
      <c r="J110" t="str">
        <f t="shared" si="2"/>
        <v/>
      </c>
      <c r="K110" t="str">
        <f>IF(J110&lt;&gt;"",SUM($J$2:J110),"")</f>
        <v/>
      </c>
      <c r="L110">
        <f ca="1" t="shared" si="3"/>
        <v>45942</v>
      </c>
    </row>
    <row r="111" spans="9:12">
      <c r="I111">
        <f>IFERROR(VLOOKUP(H111,Rates!$A$2:$B$3,2,0),1)</f>
        <v>1</v>
      </c>
      <c r="J111" t="str">
        <f t="shared" si="2"/>
        <v/>
      </c>
      <c r="K111" t="str">
        <f>IF(J111&lt;&gt;"",SUM($J$2:J111),"")</f>
        <v/>
      </c>
      <c r="L111">
        <f ca="1" t="shared" si="3"/>
        <v>45942</v>
      </c>
    </row>
    <row r="112" spans="9:12">
      <c r="I112">
        <f>IFERROR(VLOOKUP(H112,Rates!$A$2:$B$3,2,0),1)</f>
        <v>1</v>
      </c>
      <c r="J112" t="str">
        <f t="shared" si="2"/>
        <v/>
      </c>
      <c r="K112" t="str">
        <f>IF(J112&lt;&gt;"",SUM($J$2:J112),"")</f>
        <v/>
      </c>
      <c r="L112">
        <f ca="1" t="shared" si="3"/>
        <v>45942</v>
      </c>
    </row>
    <row r="113" spans="9:12">
      <c r="I113">
        <f>IFERROR(VLOOKUP(H113,Rates!$A$2:$B$3,2,0),1)</f>
        <v>1</v>
      </c>
      <c r="J113" t="str">
        <f t="shared" si="2"/>
        <v/>
      </c>
      <c r="K113" t="str">
        <f>IF(J113&lt;&gt;"",SUM($J$2:J113),"")</f>
        <v/>
      </c>
      <c r="L113">
        <f ca="1" t="shared" si="3"/>
        <v>45942</v>
      </c>
    </row>
    <row r="114" spans="9:12">
      <c r="I114">
        <f>IFERROR(VLOOKUP(H114,Rates!$A$2:$B$3,2,0),1)</f>
        <v>1</v>
      </c>
      <c r="J114" t="str">
        <f t="shared" si="2"/>
        <v/>
      </c>
      <c r="K114" t="str">
        <f>IF(J114&lt;&gt;"",SUM($J$2:J114),"")</f>
        <v/>
      </c>
      <c r="L114">
        <f ca="1" t="shared" si="3"/>
        <v>45942</v>
      </c>
    </row>
    <row r="115" spans="9:12">
      <c r="I115">
        <f>IFERROR(VLOOKUP(H115,Rates!$A$2:$B$3,2,0),1)</f>
        <v>1</v>
      </c>
      <c r="J115" t="str">
        <f t="shared" si="2"/>
        <v/>
      </c>
      <c r="K115" t="str">
        <f>IF(J115&lt;&gt;"",SUM($J$2:J115),"")</f>
        <v/>
      </c>
      <c r="L115">
        <f ca="1" t="shared" si="3"/>
        <v>45942</v>
      </c>
    </row>
    <row r="116" spans="9:12">
      <c r="I116">
        <f>IFERROR(VLOOKUP(H116,Rates!$A$2:$B$3,2,0),1)</f>
        <v>1</v>
      </c>
      <c r="J116" t="str">
        <f t="shared" si="2"/>
        <v/>
      </c>
      <c r="K116" t="str">
        <f>IF(J116&lt;&gt;"",SUM($J$2:J116),"")</f>
        <v/>
      </c>
      <c r="L116">
        <f ca="1" t="shared" si="3"/>
        <v>45942</v>
      </c>
    </row>
    <row r="117" spans="9:12">
      <c r="I117">
        <f>IFERROR(VLOOKUP(H117,Rates!$A$2:$B$3,2,0),1)</f>
        <v>1</v>
      </c>
      <c r="J117" t="str">
        <f t="shared" si="2"/>
        <v/>
      </c>
      <c r="K117" t="str">
        <f>IF(J117&lt;&gt;"",SUM($J$2:J117),"")</f>
        <v/>
      </c>
      <c r="L117">
        <f ca="1" t="shared" si="3"/>
        <v>45942</v>
      </c>
    </row>
    <row r="118" spans="9:12">
      <c r="I118">
        <f>IFERROR(VLOOKUP(H118,Rates!$A$2:$B$3,2,0),1)</f>
        <v>1</v>
      </c>
      <c r="J118" t="str">
        <f t="shared" si="2"/>
        <v/>
      </c>
      <c r="K118" t="str">
        <f>IF(J118&lt;&gt;"",SUM($J$2:J118),"")</f>
        <v/>
      </c>
      <c r="L118">
        <f ca="1" t="shared" si="3"/>
        <v>45942</v>
      </c>
    </row>
    <row r="119" spans="9:12">
      <c r="I119">
        <f>IFERROR(VLOOKUP(H119,Rates!$A$2:$B$3,2,0),1)</f>
        <v>1</v>
      </c>
      <c r="J119" t="str">
        <f t="shared" si="2"/>
        <v/>
      </c>
      <c r="K119" t="str">
        <f>IF(J119&lt;&gt;"",SUM($J$2:J119),"")</f>
        <v/>
      </c>
      <c r="L119">
        <f ca="1" t="shared" si="3"/>
        <v>45942</v>
      </c>
    </row>
    <row r="120" spans="9:12">
      <c r="I120">
        <f>IFERROR(VLOOKUP(H120,Rates!$A$2:$B$3,2,0),1)</f>
        <v>1</v>
      </c>
      <c r="J120" t="str">
        <f t="shared" si="2"/>
        <v/>
      </c>
      <c r="K120" t="str">
        <f>IF(J120&lt;&gt;"",SUM($J$2:J120),"")</f>
        <v/>
      </c>
      <c r="L120">
        <f ca="1" t="shared" si="3"/>
        <v>45942</v>
      </c>
    </row>
    <row r="121" spans="9:12">
      <c r="I121">
        <f>IFERROR(VLOOKUP(H121,Rates!$A$2:$B$3,2,0),1)</f>
        <v>1</v>
      </c>
      <c r="J121" t="str">
        <f t="shared" si="2"/>
        <v/>
      </c>
      <c r="K121" t="str">
        <f>IF(J121&lt;&gt;"",SUM($J$2:J121),"")</f>
        <v/>
      </c>
      <c r="L121">
        <f ca="1" t="shared" si="3"/>
        <v>45942</v>
      </c>
    </row>
    <row r="122" spans="9:12">
      <c r="I122">
        <f>IFERROR(VLOOKUP(H122,Rates!$A$2:$B$3,2,0),1)</f>
        <v>1</v>
      </c>
      <c r="J122" t="str">
        <f t="shared" si="2"/>
        <v/>
      </c>
      <c r="K122" t="str">
        <f>IF(J122&lt;&gt;"",SUM($J$2:J122),"")</f>
        <v/>
      </c>
      <c r="L122">
        <f ca="1" t="shared" si="3"/>
        <v>45942</v>
      </c>
    </row>
    <row r="123" spans="9:12">
      <c r="I123">
        <f>IFERROR(VLOOKUP(H123,Rates!$A$2:$B$3,2,0),1)</f>
        <v>1</v>
      </c>
      <c r="J123" t="str">
        <f t="shared" si="2"/>
        <v/>
      </c>
      <c r="K123" t="str">
        <f>IF(J123&lt;&gt;"",SUM($J$2:J123),"")</f>
        <v/>
      </c>
      <c r="L123">
        <f ca="1" t="shared" si="3"/>
        <v>45942</v>
      </c>
    </row>
    <row r="124" spans="9:12">
      <c r="I124">
        <f>IFERROR(VLOOKUP(H124,Rates!$A$2:$B$3,2,0),1)</f>
        <v>1</v>
      </c>
      <c r="J124" t="str">
        <f t="shared" si="2"/>
        <v/>
      </c>
      <c r="K124" t="str">
        <f>IF(J124&lt;&gt;"",SUM($J$2:J124),"")</f>
        <v/>
      </c>
      <c r="L124">
        <f ca="1" t="shared" si="3"/>
        <v>45942</v>
      </c>
    </row>
    <row r="125" spans="9:12">
      <c r="I125">
        <f>IFERROR(VLOOKUP(H125,Rates!$A$2:$B$3,2,0),1)</f>
        <v>1</v>
      </c>
      <c r="J125" t="str">
        <f t="shared" si="2"/>
        <v/>
      </c>
      <c r="K125" t="str">
        <f>IF(J125&lt;&gt;"",SUM($J$2:J125),"")</f>
        <v/>
      </c>
      <c r="L125">
        <f ca="1" t="shared" si="3"/>
        <v>45942</v>
      </c>
    </row>
    <row r="126" spans="9:12">
      <c r="I126">
        <f>IFERROR(VLOOKUP(H126,Rates!$A$2:$B$3,2,0),1)</f>
        <v>1</v>
      </c>
      <c r="J126" t="str">
        <f t="shared" si="2"/>
        <v/>
      </c>
      <c r="K126" t="str">
        <f>IF(J126&lt;&gt;"",SUM($J$2:J126),"")</f>
        <v/>
      </c>
      <c r="L126">
        <f ca="1" t="shared" si="3"/>
        <v>45942</v>
      </c>
    </row>
    <row r="127" spans="9:12">
      <c r="I127">
        <f>IFERROR(VLOOKUP(H127,Rates!$A$2:$B$3,2,0),1)</f>
        <v>1</v>
      </c>
      <c r="J127" t="str">
        <f t="shared" si="2"/>
        <v/>
      </c>
      <c r="K127" t="str">
        <f>IF(J127&lt;&gt;"",SUM($J$2:J127),"")</f>
        <v/>
      </c>
      <c r="L127">
        <f ca="1" t="shared" si="3"/>
        <v>45942</v>
      </c>
    </row>
    <row r="128" spans="9:12">
      <c r="I128">
        <f>IFERROR(VLOOKUP(H128,Rates!$A$2:$B$3,2,0),1)</f>
        <v>1</v>
      </c>
      <c r="J128" t="str">
        <f t="shared" si="2"/>
        <v/>
      </c>
      <c r="K128" t="str">
        <f>IF(J128&lt;&gt;"",SUM($J$2:J128),"")</f>
        <v/>
      </c>
      <c r="L128">
        <f ca="1" t="shared" si="3"/>
        <v>45942</v>
      </c>
    </row>
    <row r="129" spans="9:12">
      <c r="I129">
        <f>IFERROR(VLOOKUP(H129,Rates!$A$2:$B$3,2,0),1)</f>
        <v>1</v>
      </c>
      <c r="J129" t="str">
        <f t="shared" si="2"/>
        <v/>
      </c>
      <c r="K129" t="str">
        <f>IF(J129&lt;&gt;"",SUM($J$2:J129),"")</f>
        <v/>
      </c>
      <c r="L129">
        <f ca="1" t="shared" si="3"/>
        <v>45942</v>
      </c>
    </row>
    <row r="130" spans="9:12">
      <c r="I130">
        <f>IFERROR(VLOOKUP(H130,Rates!$A$2:$B$3,2,0),1)</f>
        <v>1</v>
      </c>
      <c r="J130" t="str">
        <f t="shared" ref="J130:J193" si="4">IF(G130&lt;&gt;"",G130*I130,"")</f>
        <v/>
      </c>
      <c r="K130" t="str">
        <f>IF(J130&lt;&gt;"",SUM($J$2:J130),"")</f>
        <v/>
      </c>
      <c r="L130">
        <f ca="1" t="shared" ref="L130:L193" si="5">IF(COUNTA(A130:K130)&gt;0,TODAY(),"")</f>
        <v>45942</v>
      </c>
    </row>
    <row r="131" spans="9:12">
      <c r="I131">
        <f>IFERROR(VLOOKUP(H131,Rates!$A$2:$B$3,2,0),1)</f>
        <v>1</v>
      </c>
      <c r="J131" t="str">
        <f t="shared" si="4"/>
        <v/>
      </c>
      <c r="K131" t="str">
        <f>IF(J131&lt;&gt;"",SUM($J$2:J131),"")</f>
        <v/>
      </c>
      <c r="L131">
        <f ca="1" t="shared" si="5"/>
        <v>45942</v>
      </c>
    </row>
    <row r="132" spans="9:12">
      <c r="I132">
        <f>IFERROR(VLOOKUP(H132,Rates!$A$2:$B$3,2,0),1)</f>
        <v>1</v>
      </c>
      <c r="J132" t="str">
        <f t="shared" si="4"/>
        <v/>
      </c>
      <c r="K132" t="str">
        <f>IF(J132&lt;&gt;"",SUM($J$2:J132),"")</f>
        <v/>
      </c>
      <c r="L132">
        <f ca="1" t="shared" si="5"/>
        <v>45942</v>
      </c>
    </row>
    <row r="133" spans="9:12">
      <c r="I133">
        <f>IFERROR(VLOOKUP(H133,Rates!$A$2:$B$3,2,0),1)</f>
        <v>1</v>
      </c>
      <c r="J133" t="str">
        <f t="shared" si="4"/>
        <v/>
      </c>
      <c r="K133" t="str">
        <f>IF(J133&lt;&gt;"",SUM($J$2:J133),"")</f>
        <v/>
      </c>
      <c r="L133">
        <f ca="1" t="shared" si="5"/>
        <v>45942</v>
      </c>
    </row>
    <row r="134" spans="9:12">
      <c r="I134">
        <f>IFERROR(VLOOKUP(H134,Rates!$A$2:$B$3,2,0),1)</f>
        <v>1</v>
      </c>
      <c r="J134" t="str">
        <f t="shared" si="4"/>
        <v/>
      </c>
      <c r="K134" t="str">
        <f>IF(J134&lt;&gt;"",SUM($J$2:J134),"")</f>
        <v/>
      </c>
      <c r="L134">
        <f ca="1" t="shared" si="5"/>
        <v>45942</v>
      </c>
    </row>
    <row r="135" spans="9:12">
      <c r="I135">
        <f>IFERROR(VLOOKUP(H135,Rates!$A$2:$B$3,2,0),1)</f>
        <v>1</v>
      </c>
      <c r="J135" t="str">
        <f t="shared" si="4"/>
        <v/>
      </c>
      <c r="K135" t="str">
        <f>IF(J135&lt;&gt;"",SUM($J$2:J135),"")</f>
        <v/>
      </c>
      <c r="L135">
        <f ca="1" t="shared" si="5"/>
        <v>45942</v>
      </c>
    </row>
    <row r="136" spans="9:12">
      <c r="I136">
        <f>IFERROR(VLOOKUP(H136,Rates!$A$2:$B$3,2,0),1)</f>
        <v>1</v>
      </c>
      <c r="J136" t="str">
        <f t="shared" si="4"/>
        <v/>
      </c>
      <c r="K136" t="str">
        <f>IF(J136&lt;&gt;"",SUM($J$2:J136),"")</f>
        <v/>
      </c>
      <c r="L136">
        <f ca="1" t="shared" si="5"/>
        <v>45942</v>
      </c>
    </row>
    <row r="137" spans="9:12">
      <c r="I137">
        <f>IFERROR(VLOOKUP(H137,Rates!$A$2:$B$3,2,0),1)</f>
        <v>1</v>
      </c>
      <c r="J137" t="str">
        <f t="shared" si="4"/>
        <v/>
      </c>
      <c r="K137" t="str">
        <f>IF(J137&lt;&gt;"",SUM($J$2:J137),"")</f>
        <v/>
      </c>
      <c r="L137">
        <f ca="1" t="shared" si="5"/>
        <v>45942</v>
      </c>
    </row>
    <row r="138" spans="9:12">
      <c r="I138">
        <f>IFERROR(VLOOKUP(H138,Rates!$A$2:$B$3,2,0),1)</f>
        <v>1</v>
      </c>
      <c r="J138" t="str">
        <f t="shared" si="4"/>
        <v/>
      </c>
      <c r="K138" t="str">
        <f>IF(J138&lt;&gt;"",SUM($J$2:J138),"")</f>
        <v/>
      </c>
      <c r="L138">
        <f ca="1" t="shared" si="5"/>
        <v>45942</v>
      </c>
    </row>
    <row r="139" spans="9:12">
      <c r="I139">
        <f>IFERROR(VLOOKUP(H139,Rates!$A$2:$B$3,2,0),1)</f>
        <v>1</v>
      </c>
      <c r="J139" t="str">
        <f t="shared" si="4"/>
        <v/>
      </c>
      <c r="K139" t="str">
        <f>IF(J139&lt;&gt;"",SUM($J$2:J139),"")</f>
        <v/>
      </c>
      <c r="L139">
        <f ca="1" t="shared" si="5"/>
        <v>45942</v>
      </c>
    </row>
    <row r="140" spans="9:12">
      <c r="I140">
        <f>IFERROR(VLOOKUP(H140,Rates!$A$2:$B$3,2,0),1)</f>
        <v>1</v>
      </c>
      <c r="J140" t="str">
        <f t="shared" si="4"/>
        <v/>
      </c>
      <c r="K140" t="str">
        <f>IF(J140&lt;&gt;"",SUM($J$2:J140),"")</f>
        <v/>
      </c>
      <c r="L140">
        <f ca="1" t="shared" si="5"/>
        <v>45942</v>
      </c>
    </row>
    <row r="141" spans="9:12">
      <c r="I141">
        <f>IFERROR(VLOOKUP(H141,Rates!$A$2:$B$3,2,0),1)</f>
        <v>1</v>
      </c>
      <c r="J141" t="str">
        <f t="shared" si="4"/>
        <v/>
      </c>
      <c r="K141" t="str">
        <f>IF(J141&lt;&gt;"",SUM($J$2:J141),"")</f>
        <v/>
      </c>
      <c r="L141">
        <f ca="1" t="shared" si="5"/>
        <v>45942</v>
      </c>
    </row>
    <row r="142" spans="9:12">
      <c r="I142">
        <f>IFERROR(VLOOKUP(H142,Rates!$A$2:$B$3,2,0),1)</f>
        <v>1</v>
      </c>
      <c r="J142" t="str">
        <f t="shared" si="4"/>
        <v/>
      </c>
      <c r="K142" t="str">
        <f>IF(J142&lt;&gt;"",SUM($J$2:J142),"")</f>
        <v/>
      </c>
      <c r="L142">
        <f ca="1" t="shared" si="5"/>
        <v>45942</v>
      </c>
    </row>
    <row r="143" spans="9:12">
      <c r="I143">
        <f>IFERROR(VLOOKUP(H143,Rates!$A$2:$B$3,2,0),1)</f>
        <v>1</v>
      </c>
      <c r="J143" t="str">
        <f t="shared" si="4"/>
        <v/>
      </c>
      <c r="K143" t="str">
        <f>IF(J143&lt;&gt;"",SUM($J$2:J143),"")</f>
        <v/>
      </c>
      <c r="L143">
        <f ca="1" t="shared" si="5"/>
        <v>45942</v>
      </c>
    </row>
    <row r="144" spans="9:12">
      <c r="I144">
        <f>IFERROR(VLOOKUP(H144,Rates!$A$2:$B$3,2,0),1)</f>
        <v>1</v>
      </c>
      <c r="J144" t="str">
        <f t="shared" si="4"/>
        <v/>
      </c>
      <c r="K144" t="str">
        <f>IF(J144&lt;&gt;"",SUM($J$2:J144),"")</f>
        <v/>
      </c>
      <c r="L144">
        <f ca="1" t="shared" si="5"/>
        <v>45942</v>
      </c>
    </row>
    <row r="145" spans="9:12">
      <c r="I145">
        <f>IFERROR(VLOOKUP(H145,Rates!$A$2:$B$3,2,0),1)</f>
        <v>1</v>
      </c>
      <c r="J145" t="str">
        <f t="shared" si="4"/>
        <v/>
      </c>
      <c r="K145" t="str">
        <f>IF(J145&lt;&gt;"",SUM($J$2:J145),"")</f>
        <v/>
      </c>
      <c r="L145">
        <f ca="1" t="shared" si="5"/>
        <v>45942</v>
      </c>
    </row>
    <row r="146" spans="9:12">
      <c r="I146">
        <f>IFERROR(VLOOKUP(H146,Rates!$A$2:$B$3,2,0),1)</f>
        <v>1</v>
      </c>
      <c r="J146" t="str">
        <f t="shared" si="4"/>
        <v/>
      </c>
      <c r="K146" t="str">
        <f>IF(J146&lt;&gt;"",SUM($J$2:J146),"")</f>
        <v/>
      </c>
      <c r="L146">
        <f ca="1" t="shared" si="5"/>
        <v>45942</v>
      </c>
    </row>
    <row r="147" spans="9:12">
      <c r="I147">
        <f>IFERROR(VLOOKUP(H147,Rates!$A$2:$B$3,2,0),1)</f>
        <v>1</v>
      </c>
      <c r="J147" t="str">
        <f t="shared" si="4"/>
        <v/>
      </c>
      <c r="K147" t="str">
        <f>IF(J147&lt;&gt;"",SUM($J$2:J147),"")</f>
        <v/>
      </c>
      <c r="L147">
        <f ca="1" t="shared" si="5"/>
        <v>45942</v>
      </c>
    </row>
    <row r="148" spans="9:12">
      <c r="I148">
        <f>IFERROR(VLOOKUP(H148,Rates!$A$2:$B$3,2,0),1)</f>
        <v>1</v>
      </c>
      <c r="J148" t="str">
        <f t="shared" si="4"/>
        <v/>
      </c>
      <c r="K148" t="str">
        <f>IF(J148&lt;&gt;"",SUM($J$2:J148),"")</f>
        <v/>
      </c>
      <c r="L148">
        <f ca="1" t="shared" si="5"/>
        <v>45942</v>
      </c>
    </row>
    <row r="149" spans="9:12">
      <c r="I149">
        <f>IFERROR(VLOOKUP(H149,Rates!$A$2:$B$3,2,0),1)</f>
        <v>1</v>
      </c>
      <c r="J149" t="str">
        <f t="shared" si="4"/>
        <v/>
      </c>
      <c r="K149" t="str">
        <f>IF(J149&lt;&gt;"",SUM($J$2:J149),"")</f>
        <v/>
      </c>
      <c r="L149">
        <f ca="1" t="shared" si="5"/>
        <v>45942</v>
      </c>
    </row>
    <row r="150" spans="9:12">
      <c r="I150">
        <f>IFERROR(VLOOKUP(H150,Rates!$A$2:$B$3,2,0),1)</f>
        <v>1</v>
      </c>
      <c r="J150" t="str">
        <f t="shared" si="4"/>
        <v/>
      </c>
      <c r="K150" t="str">
        <f>IF(J150&lt;&gt;"",SUM($J$2:J150),"")</f>
        <v/>
      </c>
      <c r="L150">
        <f ca="1" t="shared" si="5"/>
        <v>45942</v>
      </c>
    </row>
    <row r="151" spans="9:12">
      <c r="I151">
        <f>IFERROR(VLOOKUP(H151,Rates!$A$2:$B$3,2,0),1)</f>
        <v>1</v>
      </c>
      <c r="J151" t="str">
        <f t="shared" si="4"/>
        <v/>
      </c>
      <c r="K151" t="str">
        <f>IF(J151&lt;&gt;"",SUM($J$2:J151),"")</f>
        <v/>
      </c>
      <c r="L151">
        <f ca="1" t="shared" si="5"/>
        <v>45942</v>
      </c>
    </row>
    <row r="152" spans="9:12">
      <c r="I152">
        <f>IFERROR(VLOOKUP(H152,Rates!$A$2:$B$3,2,0),1)</f>
        <v>1</v>
      </c>
      <c r="J152" t="str">
        <f t="shared" si="4"/>
        <v/>
      </c>
      <c r="K152" t="str">
        <f>IF(J152&lt;&gt;"",SUM($J$2:J152),"")</f>
        <v/>
      </c>
      <c r="L152">
        <f ca="1" t="shared" si="5"/>
        <v>45942</v>
      </c>
    </row>
    <row r="153" spans="9:12">
      <c r="I153">
        <f>IFERROR(VLOOKUP(H153,Rates!$A$2:$B$3,2,0),1)</f>
        <v>1</v>
      </c>
      <c r="J153" t="str">
        <f t="shared" si="4"/>
        <v/>
      </c>
      <c r="K153" t="str">
        <f>IF(J153&lt;&gt;"",SUM($J$2:J153),"")</f>
        <v/>
      </c>
      <c r="L153">
        <f ca="1" t="shared" si="5"/>
        <v>45942</v>
      </c>
    </row>
    <row r="154" spans="9:12">
      <c r="I154">
        <f>IFERROR(VLOOKUP(H154,Rates!$A$2:$B$3,2,0),1)</f>
        <v>1</v>
      </c>
      <c r="J154" t="str">
        <f t="shared" si="4"/>
        <v/>
      </c>
      <c r="K154" t="str">
        <f>IF(J154&lt;&gt;"",SUM($J$2:J154),"")</f>
        <v/>
      </c>
      <c r="L154">
        <f ca="1" t="shared" si="5"/>
        <v>45942</v>
      </c>
    </row>
    <row r="155" spans="9:12">
      <c r="I155">
        <f>IFERROR(VLOOKUP(H155,Rates!$A$2:$B$3,2,0),1)</f>
        <v>1</v>
      </c>
      <c r="J155" t="str">
        <f t="shared" si="4"/>
        <v/>
      </c>
      <c r="K155" t="str">
        <f>IF(J155&lt;&gt;"",SUM($J$2:J155),"")</f>
        <v/>
      </c>
      <c r="L155">
        <f ca="1" t="shared" si="5"/>
        <v>45942</v>
      </c>
    </row>
    <row r="156" spans="9:12">
      <c r="I156">
        <f>IFERROR(VLOOKUP(H156,Rates!$A$2:$B$3,2,0),1)</f>
        <v>1</v>
      </c>
      <c r="J156" t="str">
        <f t="shared" si="4"/>
        <v/>
      </c>
      <c r="K156" t="str">
        <f>IF(J156&lt;&gt;"",SUM($J$2:J156),"")</f>
        <v/>
      </c>
      <c r="L156">
        <f ca="1" t="shared" si="5"/>
        <v>45942</v>
      </c>
    </row>
    <row r="157" spans="9:12">
      <c r="I157">
        <f>IFERROR(VLOOKUP(H157,Rates!$A$2:$B$3,2,0),1)</f>
        <v>1</v>
      </c>
      <c r="J157" t="str">
        <f t="shared" si="4"/>
        <v/>
      </c>
      <c r="K157" t="str">
        <f>IF(J157&lt;&gt;"",SUM($J$2:J157),"")</f>
        <v/>
      </c>
      <c r="L157">
        <f ca="1" t="shared" si="5"/>
        <v>45942</v>
      </c>
    </row>
    <row r="158" spans="9:12">
      <c r="I158">
        <f>IFERROR(VLOOKUP(H158,Rates!$A$2:$B$3,2,0),1)</f>
        <v>1</v>
      </c>
      <c r="J158" t="str">
        <f t="shared" si="4"/>
        <v/>
      </c>
      <c r="K158" t="str">
        <f>IF(J158&lt;&gt;"",SUM($J$2:J158),"")</f>
        <v/>
      </c>
      <c r="L158">
        <f ca="1" t="shared" si="5"/>
        <v>45942</v>
      </c>
    </row>
    <row r="159" spans="9:12">
      <c r="I159">
        <f>IFERROR(VLOOKUP(H159,Rates!$A$2:$B$3,2,0),1)</f>
        <v>1</v>
      </c>
      <c r="J159" t="str">
        <f t="shared" si="4"/>
        <v/>
      </c>
      <c r="K159" t="str">
        <f>IF(J159&lt;&gt;"",SUM($J$2:J159),"")</f>
        <v/>
      </c>
      <c r="L159">
        <f ca="1" t="shared" si="5"/>
        <v>45942</v>
      </c>
    </row>
    <row r="160" spans="9:12">
      <c r="I160">
        <f>IFERROR(VLOOKUP(H160,Rates!$A$2:$B$3,2,0),1)</f>
        <v>1</v>
      </c>
      <c r="J160" t="str">
        <f t="shared" si="4"/>
        <v/>
      </c>
      <c r="K160" t="str">
        <f>IF(J160&lt;&gt;"",SUM($J$2:J160),"")</f>
        <v/>
      </c>
      <c r="L160">
        <f ca="1" t="shared" si="5"/>
        <v>45942</v>
      </c>
    </row>
    <row r="161" spans="9:12">
      <c r="I161">
        <f>IFERROR(VLOOKUP(H161,Rates!$A$2:$B$3,2,0),1)</f>
        <v>1</v>
      </c>
      <c r="J161" t="str">
        <f t="shared" si="4"/>
        <v/>
      </c>
      <c r="K161" t="str">
        <f>IF(J161&lt;&gt;"",SUM($J$2:J161),"")</f>
        <v/>
      </c>
      <c r="L161">
        <f ca="1" t="shared" si="5"/>
        <v>45942</v>
      </c>
    </row>
    <row r="162" spans="9:12">
      <c r="I162">
        <f>IFERROR(VLOOKUP(H162,Rates!$A$2:$B$3,2,0),1)</f>
        <v>1</v>
      </c>
      <c r="J162" t="str">
        <f t="shared" si="4"/>
        <v/>
      </c>
      <c r="K162" t="str">
        <f>IF(J162&lt;&gt;"",SUM($J$2:J162),"")</f>
        <v/>
      </c>
      <c r="L162">
        <f ca="1" t="shared" si="5"/>
        <v>45942</v>
      </c>
    </row>
    <row r="163" spans="9:12">
      <c r="I163">
        <f>IFERROR(VLOOKUP(H163,Rates!$A$2:$B$3,2,0),1)</f>
        <v>1</v>
      </c>
      <c r="J163" t="str">
        <f t="shared" si="4"/>
        <v/>
      </c>
      <c r="K163" t="str">
        <f>IF(J163&lt;&gt;"",SUM($J$2:J163),"")</f>
        <v/>
      </c>
      <c r="L163">
        <f ca="1" t="shared" si="5"/>
        <v>45942</v>
      </c>
    </row>
    <row r="164" spans="9:12">
      <c r="I164">
        <f>IFERROR(VLOOKUP(H164,Rates!$A$2:$B$3,2,0),1)</f>
        <v>1</v>
      </c>
      <c r="J164" t="str">
        <f t="shared" si="4"/>
        <v/>
      </c>
      <c r="K164" t="str">
        <f>IF(J164&lt;&gt;"",SUM($J$2:J164),"")</f>
        <v/>
      </c>
      <c r="L164">
        <f ca="1" t="shared" si="5"/>
        <v>45942</v>
      </c>
    </row>
    <row r="165" spans="9:12">
      <c r="I165">
        <f>IFERROR(VLOOKUP(H165,Rates!$A$2:$B$3,2,0),1)</f>
        <v>1</v>
      </c>
      <c r="J165" t="str">
        <f t="shared" si="4"/>
        <v/>
      </c>
      <c r="K165" t="str">
        <f>IF(J165&lt;&gt;"",SUM($J$2:J165),"")</f>
        <v/>
      </c>
      <c r="L165">
        <f ca="1" t="shared" si="5"/>
        <v>45942</v>
      </c>
    </row>
    <row r="166" spans="9:12">
      <c r="I166">
        <f>IFERROR(VLOOKUP(H166,Rates!$A$2:$B$3,2,0),1)</f>
        <v>1</v>
      </c>
      <c r="J166" t="str">
        <f t="shared" si="4"/>
        <v/>
      </c>
      <c r="K166" t="str">
        <f>IF(J166&lt;&gt;"",SUM($J$2:J166),"")</f>
        <v/>
      </c>
      <c r="L166">
        <f ca="1" t="shared" si="5"/>
        <v>45942</v>
      </c>
    </row>
    <row r="167" spans="9:12">
      <c r="I167">
        <f>IFERROR(VLOOKUP(H167,Rates!$A$2:$B$3,2,0),1)</f>
        <v>1</v>
      </c>
      <c r="J167" t="str">
        <f t="shared" si="4"/>
        <v/>
      </c>
      <c r="K167" t="str">
        <f>IF(J167&lt;&gt;"",SUM($J$2:J167),"")</f>
        <v/>
      </c>
      <c r="L167">
        <f ca="1" t="shared" si="5"/>
        <v>45942</v>
      </c>
    </row>
    <row r="168" spans="9:12">
      <c r="I168">
        <f>IFERROR(VLOOKUP(H168,Rates!$A$2:$B$3,2,0),1)</f>
        <v>1</v>
      </c>
      <c r="J168" t="str">
        <f t="shared" si="4"/>
        <v/>
      </c>
      <c r="K168" t="str">
        <f>IF(J168&lt;&gt;"",SUM($J$2:J168),"")</f>
        <v/>
      </c>
      <c r="L168">
        <f ca="1" t="shared" si="5"/>
        <v>45942</v>
      </c>
    </row>
    <row r="169" spans="9:12">
      <c r="I169">
        <f>IFERROR(VLOOKUP(H169,Rates!$A$2:$B$3,2,0),1)</f>
        <v>1</v>
      </c>
      <c r="J169" t="str">
        <f t="shared" si="4"/>
        <v/>
      </c>
      <c r="K169" t="str">
        <f>IF(J169&lt;&gt;"",SUM($J$2:J169),"")</f>
        <v/>
      </c>
      <c r="L169">
        <f ca="1" t="shared" si="5"/>
        <v>45942</v>
      </c>
    </row>
    <row r="170" spans="9:12">
      <c r="I170">
        <f>IFERROR(VLOOKUP(H170,Rates!$A$2:$B$3,2,0),1)</f>
        <v>1</v>
      </c>
      <c r="J170" t="str">
        <f t="shared" si="4"/>
        <v/>
      </c>
      <c r="K170" t="str">
        <f>IF(J170&lt;&gt;"",SUM($J$2:J170),"")</f>
        <v/>
      </c>
      <c r="L170">
        <f ca="1" t="shared" si="5"/>
        <v>45942</v>
      </c>
    </row>
    <row r="171" spans="9:12">
      <c r="I171">
        <f>IFERROR(VLOOKUP(H171,Rates!$A$2:$B$3,2,0),1)</f>
        <v>1</v>
      </c>
      <c r="J171" t="str">
        <f t="shared" si="4"/>
        <v/>
      </c>
      <c r="K171" t="str">
        <f>IF(J171&lt;&gt;"",SUM($J$2:J171),"")</f>
        <v/>
      </c>
      <c r="L171">
        <f ca="1" t="shared" si="5"/>
        <v>45942</v>
      </c>
    </row>
    <row r="172" spans="9:12">
      <c r="I172">
        <f>IFERROR(VLOOKUP(H172,Rates!$A$2:$B$3,2,0),1)</f>
        <v>1</v>
      </c>
      <c r="J172" t="str">
        <f t="shared" si="4"/>
        <v/>
      </c>
      <c r="K172" t="str">
        <f>IF(J172&lt;&gt;"",SUM($J$2:J172),"")</f>
        <v/>
      </c>
      <c r="L172">
        <f ca="1" t="shared" si="5"/>
        <v>45942</v>
      </c>
    </row>
    <row r="173" spans="9:12">
      <c r="I173">
        <f>IFERROR(VLOOKUP(H173,Rates!$A$2:$B$3,2,0),1)</f>
        <v>1</v>
      </c>
      <c r="J173" t="str">
        <f t="shared" si="4"/>
        <v/>
      </c>
      <c r="K173" t="str">
        <f>IF(J173&lt;&gt;"",SUM($J$2:J173),"")</f>
        <v/>
      </c>
      <c r="L173">
        <f ca="1" t="shared" si="5"/>
        <v>45942</v>
      </c>
    </row>
    <row r="174" spans="9:12">
      <c r="I174">
        <f>IFERROR(VLOOKUP(H174,Rates!$A$2:$B$3,2,0),1)</f>
        <v>1</v>
      </c>
      <c r="J174" t="str">
        <f t="shared" si="4"/>
        <v/>
      </c>
      <c r="K174" t="str">
        <f>IF(J174&lt;&gt;"",SUM($J$2:J174),"")</f>
        <v/>
      </c>
      <c r="L174">
        <f ca="1" t="shared" si="5"/>
        <v>45942</v>
      </c>
    </row>
    <row r="175" spans="9:12">
      <c r="I175">
        <f>IFERROR(VLOOKUP(H175,Rates!$A$2:$B$3,2,0),1)</f>
        <v>1</v>
      </c>
      <c r="J175" t="str">
        <f t="shared" si="4"/>
        <v/>
      </c>
      <c r="K175" t="str">
        <f>IF(J175&lt;&gt;"",SUM($J$2:J175),"")</f>
        <v/>
      </c>
      <c r="L175">
        <f ca="1" t="shared" si="5"/>
        <v>45942</v>
      </c>
    </row>
    <row r="176" spans="9:12">
      <c r="I176">
        <f>IFERROR(VLOOKUP(H176,Rates!$A$2:$B$3,2,0),1)</f>
        <v>1</v>
      </c>
      <c r="J176" t="str">
        <f t="shared" si="4"/>
        <v/>
      </c>
      <c r="K176" t="str">
        <f>IF(J176&lt;&gt;"",SUM($J$2:J176),"")</f>
        <v/>
      </c>
      <c r="L176">
        <f ca="1" t="shared" si="5"/>
        <v>45942</v>
      </c>
    </row>
    <row r="177" spans="9:12">
      <c r="I177">
        <f>IFERROR(VLOOKUP(H177,Rates!$A$2:$B$3,2,0),1)</f>
        <v>1</v>
      </c>
      <c r="J177" t="str">
        <f t="shared" si="4"/>
        <v/>
      </c>
      <c r="K177" t="str">
        <f>IF(J177&lt;&gt;"",SUM($J$2:J177),"")</f>
        <v/>
      </c>
      <c r="L177">
        <f ca="1" t="shared" si="5"/>
        <v>45942</v>
      </c>
    </row>
    <row r="178" spans="9:12">
      <c r="I178">
        <f>IFERROR(VLOOKUP(H178,Rates!$A$2:$B$3,2,0),1)</f>
        <v>1</v>
      </c>
      <c r="J178" t="str">
        <f t="shared" si="4"/>
        <v/>
      </c>
      <c r="K178" t="str">
        <f>IF(J178&lt;&gt;"",SUM($J$2:J178),"")</f>
        <v/>
      </c>
      <c r="L178">
        <f ca="1" t="shared" si="5"/>
        <v>45942</v>
      </c>
    </row>
    <row r="179" spans="9:12">
      <c r="I179">
        <f>IFERROR(VLOOKUP(H179,Rates!$A$2:$B$3,2,0),1)</f>
        <v>1</v>
      </c>
      <c r="J179" t="str">
        <f t="shared" si="4"/>
        <v/>
      </c>
      <c r="K179" t="str">
        <f>IF(J179&lt;&gt;"",SUM($J$2:J179),"")</f>
        <v/>
      </c>
      <c r="L179">
        <f ca="1" t="shared" si="5"/>
        <v>45942</v>
      </c>
    </row>
    <row r="180" spans="9:12">
      <c r="I180">
        <f>IFERROR(VLOOKUP(H180,Rates!$A$2:$B$3,2,0),1)</f>
        <v>1</v>
      </c>
      <c r="J180" t="str">
        <f t="shared" si="4"/>
        <v/>
      </c>
      <c r="K180" t="str">
        <f>IF(J180&lt;&gt;"",SUM($J$2:J180),"")</f>
        <v/>
      </c>
      <c r="L180">
        <f ca="1" t="shared" si="5"/>
        <v>45942</v>
      </c>
    </row>
    <row r="181" spans="9:12">
      <c r="I181">
        <f>IFERROR(VLOOKUP(H181,Rates!$A$2:$B$3,2,0),1)</f>
        <v>1</v>
      </c>
      <c r="J181" t="str">
        <f t="shared" si="4"/>
        <v/>
      </c>
      <c r="K181" t="str">
        <f>IF(J181&lt;&gt;"",SUM($J$2:J181),"")</f>
        <v/>
      </c>
      <c r="L181">
        <f ca="1" t="shared" si="5"/>
        <v>45942</v>
      </c>
    </row>
    <row r="182" spans="9:12">
      <c r="I182">
        <f>IFERROR(VLOOKUP(H182,Rates!$A$2:$B$3,2,0),1)</f>
        <v>1</v>
      </c>
      <c r="J182" t="str">
        <f t="shared" si="4"/>
        <v/>
      </c>
      <c r="K182" t="str">
        <f>IF(J182&lt;&gt;"",SUM($J$2:J182),"")</f>
        <v/>
      </c>
      <c r="L182">
        <f ca="1" t="shared" si="5"/>
        <v>45942</v>
      </c>
    </row>
    <row r="183" spans="9:12">
      <c r="I183">
        <f>IFERROR(VLOOKUP(H183,Rates!$A$2:$B$3,2,0),1)</f>
        <v>1</v>
      </c>
      <c r="J183" t="str">
        <f t="shared" si="4"/>
        <v/>
      </c>
      <c r="K183" t="str">
        <f>IF(J183&lt;&gt;"",SUM($J$2:J183),"")</f>
        <v/>
      </c>
      <c r="L183">
        <f ca="1" t="shared" si="5"/>
        <v>45942</v>
      </c>
    </row>
    <row r="184" spans="9:12">
      <c r="I184">
        <f>IFERROR(VLOOKUP(H184,Rates!$A$2:$B$3,2,0),1)</f>
        <v>1</v>
      </c>
      <c r="J184" t="str">
        <f t="shared" si="4"/>
        <v/>
      </c>
      <c r="K184" t="str">
        <f>IF(J184&lt;&gt;"",SUM($J$2:J184),"")</f>
        <v/>
      </c>
      <c r="L184">
        <f ca="1" t="shared" si="5"/>
        <v>45942</v>
      </c>
    </row>
    <row r="185" spans="9:12">
      <c r="I185">
        <f>IFERROR(VLOOKUP(H185,Rates!$A$2:$B$3,2,0),1)</f>
        <v>1</v>
      </c>
      <c r="J185" t="str">
        <f t="shared" si="4"/>
        <v/>
      </c>
      <c r="K185" t="str">
        <f>IF(J185&lt;&gt;"",SUM($J$2:J185),"")</f>
        <v/>
      </c>
      <c r="L185">
        <f ca="1" t="shared" si="5"/>
        <v>45942</v>
      </c>
    </row>
    <row r="186" spans="9:12">
      <c r="I186">
        <f>IFERROR(VLOOKUP(H186,Rates!$A$2:$B$3,2,0),1)</f>
        <v>1</v>
      </c>
      <c r="J186" t="str">
        <f t="shared" si="4"/>
        <v/>
      </c>
      <c r="K186" t="str">
        <f>IF(J186&lt;&gt;"",SUM($J$2:J186),"")</f>
        <v/>
      </c>
      <c r="L186">
        <f ca="1" t="shared" si="5"/>
        <v>45942</v>
      </c>
    </row>
    <row r="187" spans="9:12">
      <c r="I187">
        <f>IFERROR(VLOOKUP(H187,Rates!$A$2:$B$3,2,0),1)</f>
        <v>1</v>
      </c>
      <c r="J187" t="str">
        <f t="shared" si="4"/>
        <v/>
      </c>
      <c r="K187" t="str">
        <f>IF(J187&lt;&gt;"",SUM($J$2:J187),"")</f>
        <v/>
      </c>
      <c r="L187">
        <f ca="1" t="shared" si="5"/>
        <v>45942</v>
      </c>
    </row>
    <row r="188" spans="9:12">
      <c r="I188">
        <f>IFERROR(VLOOKUP(H188,Rates!$A$2:$B$3,2,0),1)</f>
        <v>1</v>
      </c>
      <c r="J188" t="str">
        <f t="shared" si="4"/>
        <v/>
      </c>
      <c r="K188" t="str">
        <f>IF(J188&lt;&gt;"",SUM($J$2:J188),"")</f>
        <v/>
      </c>
      <c r="L188">
        <f ca="1" t="shared" si="5"/>
        <v>45942</v>
      </c>
    </row>
    <row r="189" spans="9:12">
      <c r="I189">
        <f>IFERROR(VLOOKUP(H189,Rates!$A$2:$B$3,2,0),1)</f>
        <v>1</v>
      </c>
      <c r="J189" t="str">
        <f t="shared" si="4"/>
        <v/>
      </c>
      <c r="K189" t="str">
        <f>IF(J189&lt;&gt;"",SUM($J$2:J189),"")</f>
        <v/>
      </c>
      <c r="L189">
        <f ca="1" t="shared" si="5"/>
        <v>45942</v>
      </c>
    </row>
    <row r="190" spans="9:12">
      <c r="I190">
        <f>IFERROR(VLOOKUP(H190,Rates!$A$2:$B$3,2,0),1)</f>
        <v>1</v>
      </c>
      <c r="J190" t="str">
        <f t="shared" si="4"/>
        <v/>
      </c>
      <c r="K190" t="str">
        <f>IF(J190&lt;&gt;"",SUM($J$2:J190),"")</f>
        <v/>
      </c>
      <c r="L190">
        <f ca="1" t="shared" si="5"/>
        <v>45942</v>
      </c>
    </row>
    <row r="191" spans="9:12">
      <c r="I191">
        <f>IFERROR(VLOOKUP(H191,Rates!$A$2:$B$3,2,0),1)</f>
        <v>1</v>
      </c>
      <c r="J191" t="str">
        <f t="shared" si="4"/>
        <v/>
      </c>
      <c r="K191" t="str">
        <f>IF(J191&lt;&gt;"",SUM($J$2:J191),"")</f>
        <v/>
      </c>
      <c r="L191">
        <f ca="1" t="shared" si="5"/>
        <v>45942</v>
      </c>
    </row>
    <row r="192" spans="9:12">
      <c r="I192">
        <f>IFERROR(VLOOKUP(H192,Rates!$A$2:$B$3,2,0),1)</f>
        <v>1</v>
      </c>
      <c r="J192" t="str">
        <f t="shared" si="4"/>
        <v/>
      </c>
      <c r="K192" t="str">
        <f>IF(J192&lt;&gt;"",SUM($J$2:J192),"")</f>
        <v/>
      </c>
      <c r="L192">
        <f ca="1" t="shared" si="5"/>
        <v>45942</v>
      </c>
    </row>
    <row r="193" spans="9:12">
      <c r="I193">
        <f>IFERROR(VLOOKUP(H193,Rates!$A$2:$B$3,2,0),1)</f>
        <v>1</v>
      </c>
      <c r="J193" t="str">
        <f t="shared" si="4"/>
        <v/>
      </c>
      <c r="K193" t="str">
        <f>IF(J193&lt;&gt;"",SUM($J$2:J193),"")</f>
        <v/>
      </c>
      <c r="L193">
        <f ca="1" t="shared" si="5"/>
        <v>45942</v>
      </c>
    </row>
    <row r="194" spans="9:12">
      <c r="I194">
        <f>IFERROR(VLOOKUP(H194,Rates!$A$2:$B$3,2,0),1)</f>
        <v>1</v>
      </c>
      <c r="J194" t="str">
        <f t="shared" ref="J194:J257" si="6">IF(G194&lt;&gt;"",G194*I194,"")</f>
        <v/>
      </c>
      <c r="K194" t="str">
        <f>IF(J194&lt;&gt;"",SUM($J$2:J194),"")</f>
        <v/>
      </c>
      <c r="L194">
        <f ca="1" t="shared" ref="L194:L257" si="7">IF(COUNTA(A194:K194)&gt;0,TODAY(),"")</f>
        <v>45942</v>
      </c>
    </row>
    <row r="195" spans="9:12">
      <c r="I195">
        <f>IFERROR(VLOOKUP(H195,Rates!$A$2:$B$3,2,0),1)</f>
        <v>1</v>
      </c>
      <c r="J195" t="str">
        <f t="shared" si="6"/>
        <v/>
      </c>
      <c r="K195" t="str">
        <f>IF(J195&lt;&gt;"",SUM($J$2:J195),"")</f>
        <v/>
      </c>
      <c r="L195">
        <f ca="1" t="shared" si="7"/>
        <v>45942</v>
      </c>
    </row>
    <row r="196" spans="9:12">
      <c r="I196">
        <f>IFERROR(VLOOKUP(H196,Rates!$A$2:$B$3,2,0),1)</f>
        <v>1</v>
      </c>
      <c r="J196" t="str">
        <f t="shared" si="6"/>
        <v/>
      </c>
      <c r="K196" t="str">
        <f>IF(J196&lt;&gt;"",SUM($J$2:J196),"")</f>
        <v/>
      </c>
      <c r="L196">
        <f ca="1" t="shared" si="7"/>
        <v>45942</v>
      </c>
    </row>
    <row r="197" spans="9:12">
      <c r="I197">
        <f>IFERROR(VLOOKUP(H197,Rates!$A$2:$B$3,2,0),1)</f>
        <v>1</v>
      </c>
      <c r="J197" t="str">
        <f t="shared" si="6"/>
        <v/>
      </c>
      <c r="K197" t="str">
        <f>IF(J197&lt;&gt;"",SUM($J$2:J197),"")</f>
        <v/>
      </c>
      <c r="L197">
        <f ca="1" t="shared" si="7"/>
        <v>45942</v>
      </c>
    </row>
    <row r="198" spans="9:12">
      <c r="I198">
        <f>IFERROR(VLOOKUP(H198,Rates!$A$2:$B$3,2,0),1)</f>
        <v>1</v>
      </c>
      <c r="J198" t="str">
        <f t="shared" si="6"/>
        <v/>
      </c>
      <c r="K198" t="str">
        <f>IF(J198&lt;&gt;"",SUM($J$2:J198),"")</f>
        <v/>
      </c>
      <c r="L198">
        <f ca="1" t="shared" si="7"/>
        <v>45942</v>
      </c>
    </row>
    <row r="199" spans="9:12">
      <c r="I199">
        <f>IFERROR(VLOOKUP(H199,Rates!$A$2:$B$3,2,0),1)</f>
        <v>1</v>
      </c>
      <c r="J199" t="str">
        <f t="shared" si="6"/>
        <v/>
      </c>
      <c r="K199" t="str">
        <f>IF(J199&lt;&gt;"",SUM($J$2:J199),"")</f>
        <v/>
      </c>
      <c r="L199">
        <f ca="1" t="shared" si="7"/>
        <v>45942</v>
      </c>
    </row>
    <row r="200" spans="9:12">
      <c r="I200">
        <f>IFERROR(VLOOKUP(H200,Rates!$A$2:$B$3,2,0),1)</f>
        <v>1</v>
      </c>
      <c r="J200" t="str">
        <f t="shared" si="6"/>
        <v/>
      </c>
      <c r="K200" t="str">
        <f>IF(J200&lt;&gt;"",SUM($J$2:J200),"")</f>
        <v/>
      </c>
      <c r="L200">
        <f ca="1" t="shared" si="7"/>
        <v>45942</v>
      </c>
    </row>
    <row r="201" spans="9:12">
      <c r="I201">
        <f>IFERROR(VLOOKUP(H201,Rates!$A$2:$B$3,2,0),1)</f>
        <v>1</v>
      </c>
      <c r="J201" t="str">
        <f t="shared" si="6"/>
        <v/>
      </c>
      <c r="K201" t="str">
        <f>IF(J201&lt;&gt;"",SUM($J$2:J201),"")</f>
        <v/>
      </c>
      <c r="L201">
        <f ca="1" t="shared" si="7"/>
        <v>45942</v>
      </c>
    </row>
    <row r="202" spans="9:12">
      <c r="I202">
        <f>IFERROR(VLOOKUP(H202,Rates!$A$2:$B$3,2,0),1)</f>
        <v>1</v>
      </c>
      <c r="J202" t="str">
        <f t="shared" si="6"/>
        <v/>
      </c>
      <c r="K202" t="str">
        <f>IF(J202&lt;&gt;"",SUM($J$2:J202),"")</f>
        <v/>
      </c>
      <c r="L202">
        <f ca="1" t="shared" si="7"/>
        <v>45942</v>
      </c>
    </row>
    <row r="203" spans="9:12">
      <c r="I203">
        <f>IFERROR(VLOOKUP(H203,Rates!$A$2:$B$3,2,0),1)</f>
        <v>1</v>
      </c>
      <c r="J203" t="str">
        <f t="shared" si="6"/>
        <v/>
      </c>
      <c r="K203" t="str">
        <f>IF(J203&lt;&gt;"",SUM($J$2:J203),"")</f>
        <v/>
      </c>
      <c r="L203">
        <f ca="1" t="shared" si="7"/>
        <v>45942</v>
      </c>
    </row>
    <row r="204" spans="9:12">
      <c r="I204">
        <f>IFERROR(VLOOKUP(H204,Rates!$A$2:$B$3,2,0),1)</f>
        <v>1</v>
      </c>
      <c r="J204" t="str">
        <f t="shared" si="6"/>
        <v/>
      </c>
      <c r="K204" t="str">
        <f>IF(J204&lt;&gt;"",SUM($J$2:J204),"")</f>
        <v/>
      </c>
      <c r="L204">
        <f ca="1" t="shared" si="7"/>
        <v>45942</v>
      </c>
    </row>
    <row r="205" spans="9:12">
      <c r="I205">
        <f>IFERROR(VLOOKUP(H205,Rates!$A$2:$B$3,2,0),1)</f>
        <v>1</v>
      </c>
      <c r="J205" t="str">
        <f t="shared" si="6"/>
        <v/>
      </c>
      <c r="K205" t="str">
        <f>IF(J205&lt;&gt;"",SUM($J$2:J205),"")</f>
        <v/>
      </c>
      <c r="L205">
        <f ca="1" t="shared" si="7"/>
        <v>45942</v>
      </c>
    </row>
    <row r="206" spans="9:12">
      <c r="I206">
        <f>IFERROR(VLOOKUP(H206,Rates!$A$2:$B$3,2,0),1)</f>
        <v>1</v>
      </c>
      <c r="J206" t="str">
        <f t="shared" si="6"/>
        <v/>
      </c>
      <c r="K206" t="str">
        <f>IF(J206&lt;&gt;"",SUM($J$2:J206),"")</f>
        <v/>
      </c>
      <c r="L206">
        <f ca="1" t="shared" si="7"/>
        <v>45942</v>
      </c>
    </row>
    <row r="207" spans="9:12">
      <c r="I207">
        <f>IFERROR(VLOOKUP(H207,Rates!$A$2:$B$3,2,0),1)</f>
        <v>1</v>
      </c>
      <c r="J207" t="str">
        <f t="shared" si="6"/>
        <v/>
      </c>
      <c r="K207" t="str">
        <f>IF(J207&lt;&gt;"",SUM($J$2:J207),"")</f>
        <v/>
      </c>
      <c r="L207">
        <f ca="1" t="shared" si="7"/>
        <v>45942</v>
      </c>
    </row>
    <row r="208" spans="9:12">
      <c r="I208">
        <f>IFERROR(VLOOKUP(H208,Rates!$A$2:$B$3,2,0),1)</f>
        <v>1</v>
      </c>
      <c r="J208" t="str">
        <f t="shared" si="6"/>
        <v/>
      </c>
      <c r="K208" t="str">
        <f>IF(J208&lt;&gt;"",SUM($J$2:J208),"")</f>
        <v/>
      </c>
      <c r="L208">
        <f ca="1" t="shared" si="7"/>
        <v>45942</v>
      </c>
    </row>
    <row r="209" spans="9:12">
      <c r="I209">
        <f>IFERROR(VLOOKUP(H209,Rates!$A$2:$B$3,2,0),1)</f>
        <v>1</v>
      </c>
      <c r="J209" t="str">
        <f t="shared" si="6"/>
        <v/>
      </c>
      <c r="K209" t="str">
        <f>IF(J209&lt;&gt;"",SUM($J$2:J209),"")</f>
        <v/>
      </c>
      <c r="L209">
        <f ca="1" t="shared" si="7"/>
        <v>45942</v>
      </c>
    </row>
    <row r="210" spans="9:12">
      <c r="I210">
        <f>IFERROR(VLOOKUP(H210,Rates!$A$2:$B$3,2,0),1)</f>
        <v>1</v>
      </c>
      <c r="J210" t="str">
        <f t="shared" si="6"/>
        <v/>
      </c>
      <c r="K210" t="str">
        <f>IF(J210&lt;&gt;"",SUM($J$2:J210),"")</f>
        <v/>
      </c>
      <c r="L210">
        <f ca="1" t="shared" si="7"/>
        <v>45942</v>
      </c>
    </row>
    <row r="211" spans="9:12">
      <c r="I211">
        <f>IFERROR(VLOOKUP(H211,Rates!$A$2:$B$3,2,0),1)</f>
        <v>1</v>
      </c>
      <c r="J211" t="str">
        <f t="shared" si="6"/>
        <v/>
      </c>
      <c r="K211" t="str">
        <f>IF(J211&lt;&gt;"",SUM($J$2:J211),"")</f>
        <v/>
      </c>
      <c r="L211">
        <f ca="1" t="shared" si="7"/>
        <v>45942</v>
      </c>
    </row>
    <row r="212" spans="9:12">
      <c r="I212">
        <f>IFERROR(VLOOKUP(H212,Rates!$A$2:$B$3,2,0),1)</f>
        <v>1</v>
      </c>
      <c r="J212" t="str">
        <f t="shared" si="6"/>
        <v/>
      </c>
      <c r="K212" t="str">
        <f>IF(J212&lt;&gt;"",SUM($J$2:J212),"")</f>
        <v/>
      </c>
      <c r="L212">
        <f ca="1" t="shared" si="7"/>
        <v>45942</v>
      </c>
    </row>
    <row r="213" spans="9:12">
      <c r="I213">
        <f>IFERROR(VLOOKUP(H213,Rates!$A$2:$B$3,2,0),1)</f>
        <v>1</v>
      </c>
      <c r="J213" t="str">
        <f t="shared" si="6"/>
        <v/>
      </c>
      <c r="K213" t="str">
        <f>IF(J213&lt;&gt;"",SUM($J$2:J213),"")</f>
        <v/>
      </c>
      <c r="L213">
        <f ca="1" t="shared" si="7"/>
        <v>45942</v>
      </c>
    </row>
    <row r="214" spans="9:12">
      <c r="I214">
        <f>IFERROR(VLOOKUP(H214,Rates!$A$2:$B$3,2,0),1)</f>
        <v>1</v>
      </c>
      <c r="J214" t="str">
        <f t="shared" si="6"/>
        <v/>
      </c>
      <c r="K214" t="str">
        <f>IF(J214&lt;&gt;"",SUM($J$2:J214),"")</f>
        <v/>
      </c>
      <c r="L214">
        <f ca="1" t="shared" si="7"/>
        <v>45942</v>
      </c>
    </row>
    <row r="215" spans="9:12">
      <c r="I215">
        <f>IFERROR(VLOOKUP(H215,Rates!$A$2:$B$3,2,0),1)</f>
        <v>1</v>
      </c>
      <c r="J215" t="str">
        <f t="shared" si="6"/>
        <v/>
      </c>
      <c r="K215" t="str">
        <f>IF(J215&lt;&gt;"",SUM($J$2:J215),"")</f>
        <v/>
      </c>
      <c r="L215">
        <f ca="1" t="shared" si="7"/>
        <v>45942</v>
      </c>
    </row>
    <row r="216" spans="9:12">
      <c r="I216">
        <f>IFERROR(VLOOKUP(H216,Rates!$A$2:$B$3,2,0),1)</f>
        <v>1</v>
      </c>
      <c r="J216" t="str">
        <f t="shared" si="6"/>
        <v/>
      </c>
      <c r="K216" t="str">
        <f>IF(J216&lt;&gt;"",SUM($J$2:J216),"")</f>
        <v/>
      </c>
      <c r="L216">
        <f ca="1" t="shared" si="7"/>
        <v>45942</v>
      </c>
    </row>
    <row r="217" spans="9:12">
      <c r="I217">
        <f>IFERROR(VLOOKUP(H217,Rates!$A$2:$B$3,2,0),1)</f>
        <v>1</v>
      </c>
      <c r="J217" t="str">
        <f t="shared" si="6"/>
        <v/>
      </c>
      <c r="K217" t="str">
        <f>IF(J217&lt;&gt;"",SUM($J$2:J217),"")</f>
        <v/>
      </c>
      <c r="L217">
        <f ca="1" t="shared" si="7"/>
        <v>45942</v>
      </c>
    </row>
    <row r="218" spans="9:12">
      <c r="I218">
        <f>IFERROR(VLOOKUP(H218,Rates!$A$2:$B$3,2,0),1)</f>
        <v>1</v>
      </c>
      <c r="J218" t="str">
        <f t="shared" si="6"/>
        <v/>
      </c>
      <c r="K218" t="str">
        <f>IF(J218&lt;&gt;"",SUM($J$2:J218),"")</f>
        <v/>
      </c>
      <c r="L218">
        <f ca="1" t="shared" si="7"/>
        <v>45942</v>
      </c>
    </row>
    <row r="219" spans="9:12">
      <c r="I219">
        <f>IFERROR(VLOOKUP(H219,Rates!$A$2:$B$3,2,0),1)</f>
        <v>1</v>
      </c>
      <c r="J219" t="str">
        <f t="shared" si="6"/>
        <v/>
      </c>
      <c r="K219" t="str">
        <f>IF(J219&lt;&gt;"",SUM($J$2:J219),"")</f>
        <v/>
      </c>
      <c r="L219">
        <f ca="1" t="shared" si="7"/>
        <v>45942</v>
      </c>
    </row>
    <row r="220" spans="9:12">
      <c r="I220">
        <f>IFERROR(VLOOKUP(H220,Rates!$A$2:$B$3,2,0),1)</f>
        <v>1</v>
      </c>
      <c r="J220" t="str">
        <f t="shared" si="6"/>
        <v/>
      </c>
      <c r="K220" t="str">
        <f>IF(J220&lt;&gt;"",SUM($J$2:J220),"")</f>
        <v/>
      </c>
      <c r="L220">
        <f ca="1" t="shared" si="7"/>
        <v>45942</v>
      </c>
    </row>
    <row r="221" spans="9:12">
      <c r="I221">
        <f>IFERROR(VLOOKUP(H221,Rates!$A$2:$B$3,2,0),1)</f>
        <v>1</v>
      </c>
      <c r="J221" t="str">
        <f t="shared" si="6"/>
        <v/>
      </c>
      <c r="K221" t="str">
        <f>IF(J221&lt;&gt;"",SUM($J$2:J221),"")</f>
        <v/>
      </c>
      <c r="L221">
        <f ca="1" t="shared" si="7"/>
        <v>45942</v>
      </c>
    </row>
    <row r="222" spans="9:12">
      <c r="I222">
        <f>IFERROR(VLOOKUP(H222,Rates!$A$2:$B$3,2,0),1)</f>
        <v>1</v>
      </c>
      <c r="J222" t="str">
        <f t="shared" si="6"/>
        <v/>
      </c>
      <c r="K222" t="str">
        <f>IF(J222&lt;&gt;"",SUM($J$2:J222),"")</f>
        <v/>
      </c>
      <c r="L222">
        <f ca="1" t="shared" si="7"/>
        <v>45942</v>
      </c>
    </row>
    <row r="223" spans="9:12">
      <c r="I223">
        <f>IFERROR(VLOOKUP(H223,Rates!$A$2:$B$3,2,0),1)</f>
        <v>1</v>
      </c>
      <c r="J223" t="str">
        <f t="shared" si="6"/>
        <v/>
      </c>
      <c r="K223" t="str">
        <f>IF(J223&lt;&gt;"",SUM($J$2:J223),"")</f>
        <v/>
      </c>
      <c r="L223">
        <f ca="1" t="shared" si="7"/>
        <v>45942</v>
      </c>
    </row>
    <row r="224" spans="9:12">
      <c r="I224">
        <f>IFERROR(VLOOKUP(H224,Rates!$A$2:$B$3,2,0),1)</f>
        <v>1</v>
      </c>
      <c r="J224" t="str">
        <f t="shared" si="6"/>
        <v/>
      </c>
      <c r="K224" t="str">
        <f>IF(J224&lt;&gt;"",SUM($J$2:J224),"")</f>
        <v/>
      </c>
      <c r="L224">
        <f ca="1" t="shared" si="7"/>
        <v>45942</v>
      </c>
    </row>
    <row r="225" spans="9:12">
      <c r="I225">
        <f>IFERROR(VLOOKUP(H225,Rates!$A$2:$B$3,2,0),1)</f>
        <v>1</v>
      </c>
      <c r="J225" t="str">
        <f t="shared" si="6"/>
        <v/>
      </c>
      <c r="K225" t="str">
        <f>IF(J225&lt;&gt;"",SUM($J$2:J225),"")</f>
        <v/>
      </c>
      <c r="L225">
        <f ca="1" t="shared" si="7"/>
        <v>45942</v>
      </c>
    </row>
    <row r="226" spans="9:12">
      <c r="I226">
        <f>IFERROR(VLOOKUP(H226,Rates!$A$2:$B$3,2,0),1)</f>
        <v>1</v>
      </c>
      <c r="J226" t="str">
        <f t="shared" si="6"/>
        <v/>
      </c>
      <c r="K226" t="str">
        <f>IF(J226&lt;&gt;"",SUM($J$2:J226),"")</f>
        <v/>
      </c>
      <c r="L226">
        <f ca="1" t="shared" si="7"/>
        <v>45942</v>
      </c>
    </row>
    <row r="227" spans="9:12">
      <c r="I227">
        <f>IFERROR(VLOOKUP(H227,Rates!$A$2:$B$3,2,0),1)</f>
        <v>1</v>
      </c>
      <c r="J227" t="str">
        <f t="shared" si="6"/>
        <v/>
      </c>
      <c r="K227" t="str">
        <f>IF(J227&lt;&gt;"",SUM($J$2:J227),"")</f>
        <v/>
      </c>
      <c r="L227">
        <f ca="1" t="shared" si="7"/>
        <v>45942</v>
      </c>
    </row>
    <row r="228" spans="9:12">
      <c r="I228">
        <f>IFERROR(VLOOKUP(H228,Rates!$A$2:$B$3,2,0),1)</f>
        <v>1</v>
      </c>
      <c r="J228" t="str">
        <f t="shared" si="6"/>
        <v/>
      </c>
      <c r="K228" t="str">
        <f>IF(J228&lt;&gt;"",SUM($J$2:J228),"")</f>
        <v/>
      </c>
      <c r="L228">
        <f ca="1" t="shared" si="7"/>
        <v>45942</v>
      </c>
    </row>
    <row r="229" spans="9:12">
      <c r="I229">
        <f>IFERROR(VLOOKUP(H229,Rates!$A$2:$B$3,2,0),1)</f>
        <v>1</v>
      </c>
      <c r="J229" t="str">
        <f t="shared" si="6"/>
        <v/>
      </c>
      <c r="K229" t="str">
        <f>IF(J229&lt;&gt;"",SUM($J$2:J229),"")</f>
        <v/>
      </c>
      <c r="L229">
        <f ca="1" t="shared" si="7"/>
        <v>45942</v>
      </c>
    </row>
    <row r="230" spans="9:12">
      <c r="I230">
        <f>IFERROR(VLOOKUP(H230,Rates!$A$2:$B$3,2,0),1)</f>
        <v>1</v>
      </c>
      <c r="J230" t="str">
        <f t="shared" si="6"/>
        <v/>
      </c>
      <c r="K230" t="str">
        <f>IF(J230&lt;&gt;"",SUM($J$2:J230),"")</f>
        <v/>
      </c>
      <c r="L230">
        <f ca="1" t="shared" si="7"/>
        <v>45942</v>
      </c>
    </row>
    <row r="231" spans="9:12">
      <c r="I231">
        <f>IFERROR(VLOOKUP(H231,Rates!$A$2:$B$3,2,0),1)</f>
        <v>1</v>
      </c>
      <c r="J231" t="str">
        <f t="shared" si="6"/>
        <v/>
      </c>
      <c r="K231" t="str">
        <f>IF(J231&lt;&gt;"",SUM($J$2:J231),"")</f>
        <v/>
      </c>
      <c r="L231">
        <f ca="1" t="shared" si="7"/>
        <v>45942</v>
      </c>
    </row>
    <row r="232" spans="9:12">
      <c r="I232">
        <f>IFERROR(VLOOKUP(H232,Rates!$A$2:$B$3,2,0),1)</f>
        <v>1</v>
      </c>
      <c r="J232" t="str">
        <f t="shared" si="6"/>
        <v/>
      </c>
      <c r="K232" t="str">
        <f>IF(J232&lt;&gt;"",SUM($J$2:J232),"")</f>
        <v/>
      </c>
      <c r="L232">
        <f ca="1" t="shared" si="7"/>
        <v>45942</v>
      </c>
    </row>
    <row r="233" spans="9:12">
      <c r="I233">
        <f>IFERROR(VLOOKUP(H233,Rates!$A$2:$B$3,2,0),1)</f>
        <v>1</v>
      </c>
      <c r="J233" t="str">
        <f t="shared" si="6"/>
        <v/>
      </c>
      <c r="K233" t="str">
        <f>IF(J233&lt;&gt;"",SUM($J$2:J233),"")</f>
        <v/>
      </c>
      <c r="L233">
        <f ca="1" t="shared" si="7"/>
        <v>45942</v>
      </c>
    </row>
    <row r="234" spans="9:12">
      <c r="I234">
        <f>IFERROR(VLOOKUP(H234,Rates!$A$2:$B$3,2,0),1)</f>
        <v>1</v>
      </c>
      <c r="J234" t="str">
        <f t="shared" si="6"/>
        <v/>
      </c>
      <c r="K234" t="str">
        <f>IF(J234&lt;&gt;"",SUM($J$2:J234),"")</f>
        <v/>
      </c>
      <c r="L234">
        <f ca="1" t="shared" si="7"/>
        <v>45942</v>
      </c>
    </row>
    <row r="235" spans="9:12">
      <c r="I235">
        <f>IFERROR(VLOOKUP(H235,Rates!$A$2:$B$3,2,0),1)</f>
        <v>1</v>
      </c>
      <c r="J235" t="str">
        <f t="shared" si="6"/>
        <v/>
      </c>
      <c r="K235" t="str">
        <f>IF(J235&lt;&gt;"",SUM($J$2:J235),"")</f>
        <v/>
      </c>
      <c r="L235">
        <f ca="1" t="shared" si="7"/>
        <v>45942</v>
      </c>
    </row>
    <row r="236" spans="9:12">
      <c r="I236">
        <f>IFERROR(VLOOKUP(H236,Rates!$A$2:$B$3,2,0),1)</f>
        <v>1</v>
      </c>
      <c r="J236" t="str">
        <f t="shared" si="6"/>
        <v/>
      </c>
      <c r="K236" t="str">
        <f>IF(J236&lt;&gt;"",SUM($J$2:J236),"")</f>
        <v/>
      </c>
      <c r="L236">
        <f ca="1" t="shared" si="7"/>
        <v>45942</v>
      </c>
    </row>
    <row r="237" spans="9:12">
      <c r="I237">
        <f>IFERROR(VLOOKUP(H237,Rates!$A$2:$B$3,2,0),1)</f>
        <v>1</v>
      </c>
      <c r="J237" t="str">
        <f t="shared" si="6"/>
        <v/>
      </c>
      <c r="K237" t="str">
        <f>IF(J237&lt;&gt;"",SUM($J$2:J237),"")</f>
        <v/>
      </c>
      <c r="L237">
        <f ca="1" t="shared" si="7"/>
        <v>45942</v>
      </c>
    </row>
    <row r="238" spans="9:12">
      <c r="I238">
        <f>IFERROR(VLOOKUP(H238,Rates!$A$2:$B$3,2,0),1)</f>
        <v>1</v>
      </c>
      <c r="J238" t="str">
        <f t="shared" si="6"/>
        <v/>
      </c>
      <c r="K238" t="str">
        <f>IF(J238&lt;&gt;"",SUM($J$2:J238),"")</f>
        <v/>
      </c>
      <c r="L238">
        <f ca="1" t="shared" si="7"/>
        <v>45942</v>
      </c>
    </row>
    <row r="239" spans="9:12">
      <c r="I239">
        <f>IFERROR(VLOOKUP(H239,Rates!$A$2:$B$3,2,0),1)</f>
        <v>1</v>
      </c>
      <c r="J239" t="str">
        <f t="shared" si="6"/>
        <v/>
      </c>
      <c r="K239" t="str">
        <f>IF(J239&lt;&gt;"",SUM($J$2:J239),"")</f>
        <v/>
      </c>
      <c r="L239">
        <f ca="1" t="shared" si="7"/>
        <v>45942</v>
      </c>
    </row>
    <row r="240" spans="9:12">
      <c r="I240">
        <f>IFERROR(VLOOKUP(H240,Rates!$A$2:$B$3,2,0),1)</f>
        <v>1</v>
      </c>
      <c r="J240" t="str">
        <f t="shared" si="6"/>
        <v/>
      </c>
      <c r="K240" t="str">
        <f>IF(J240&lt;&gt;"",SUM($J$2:J240),"")</f>
        <v/>
      </c>
      <c r="L240">
        <f ca="1" t="shared" si="7"/>
        <v>45942</v>
      </c>
    </row>
    <row r="241" spans="9:12">
      <c r="I241">
        <f>IFERROR(VLOOKUP(H241,Rates!$A$2:$B$3,2,0),1)</f>
        <v>1</v>
      </c>
      <c r="J241" t="str">
        <f t="shared" si="6"/>
        <v/>
      </c>
      <c r="K241" t="str">
        <f>IF(J241&lt;&gt;"",SUM($J$2:J241),"")</f>
        <v/>
      </c>
      <c r="L241">
        <f ca="1" t="shared" si="7"/>
        <v>45942</v>
      </c>
    </row>
    <row r="242" spans="9:12">
      <c r="I242">
        <f>IFERROR(VLOOKUP(H242,Rates!$A$2:$B$3,2,0),1)</f>
        <v>1</v>
      </c>
      <c r="J242" t="str">
        <f t="shared" si="6"/>
        <v/>
      </c>
      <c r="K242" t="str">
        <f>IF(J242&lt;&gt;"",SUM($J$2:J242),"")</f>
        <v/>
      </c>
      <c r="L242">
        <f ca="1" t="shared" si="7"/>
        <v>45942</v>
      </c>
    </row>
    <row r="243" spans="9:12">
      <c r="I243">
        <f>IFERROR(VLOOKUP(H243,Rates!$A$2:$B$3,2,0),1)</f>
        <v>1</v>
      </c>
      <c r="J243" t="str">
        <f t="shared" si="6"/>
        <v/>
      </c>
      <c r="K243" t="str">
        <f>IF(J243&lt;&gt;"",SUM($J$2:J243),"")</f>
        <v/>
      </c>
      <c r="L243">
        <f ca="1" t="shared" si="7"/>
        <v>45942</v>
      </c>
    </row>
    <row r="244" spans="9:12">
      <c r="I244">
        <f>IFERROR(VLOOKUP(H244,Rates!$A$2:$B$3,2,0),1)</f>
        <v>1</v>
      </c>
      <c r="J244" t="str">
        <f t="shared" si="6"/>
        <v/>
      </c>
      <c r="K244" t="str">
        <f>IF(J244&lt;&gt;"",SUM($J$2:J244),"")</f>
        <v/>
      </c>
      <c r="L244">
        <f ca="1" t="shared" si="7"/>
        <v>45942</v>
      </c>
    </row>
    <row r="245" spans="9:12">
      <c r="I245">
        <f>IFERROR(VLOOKUP(H245,Rates!$A$2:$B$3,2,0),1)</f>
        <v>1</v>
      </c>
      <c r="J245" t="str">
        <f t="shared" si="6"/>
        <v/>
      </c>
      <c r="K245" t="str">
        <f>IF(J245&lt;&gt;"",SUM($J$2:J245),"")</f>
        <v/>
      </c>
      <c r="L245">
        <f ca="1" t="shared" si="7"/>
        <v>45942</v>
      </c>
    </row>
    <row r="246" spans="9:12">
      <c r="I246">
        <f>IFERROR(VLOOKUP(H246,Rates!$A$2:$B$3,2,0),1)</f>
        <v>1</v>
      </c>
      <c r="J246" t="str">
        <f t="shared" si="6"/>
        <v/>
      </c>
      <c r="K246" t="str">
        <f>IF(J246&lt;&gt;"",SUM($J$2:J246),"")</f>
        <v/>
      </c>
      <c r="L246">
        <f ca="1" t="shared" si="7"/>
        <v>45942</v>
      </c>
    </row>
    <row r="247" spans="9:12">
      <c r="I247">
        <f>IFERROR(VLOOKUP(H247,Rates!$A$2:$B$3,2,0),1)</f>
        <v>1</v>
      </c>
      <c r="J247" t="str">
        <f t="shared" si="6"/>
        <v/>
      </c>
      <c r="K247" t="str">
        <f>IF(J247&lt;&gt;"",SUM($J$2:J247),"")</f>
        <v/>
      </c>
      <c r="L247">
        <f ca="1" t="shared" si="7"/>
        <v>45942</v>
      </c>
    </row>
    <row r="248" spans="9:12">
      <c r="I248">
        <f>IFERROR(VLOOKUP(H248,Rates!$A$2:$B$3,2,0),1)</f>
        <v>1</v>
      </c>
      <c r="J248" t="str">
        <f t="shared" si="6"/>
        <v/>
      </c>
      <c r="K248" t="str">
        <f>IF(J248&lt;&gt;"",SUM($J$2:J248),"")</f>
        <v/>
      </c>
      <c r="L248">
        <f ca="1" t="shared" si="7"/>
        <v>45942</v>
      </c>
    </row>
    <row r="249" spans="9:12">
      <c r="I249">
        <f>IFERROR(VLOOKUP(H249,Rates!$A$2:$B$3,2,0),1)</f>
        <v>1</v>
      </c>
      <c r="J249" t="str">
        <f t="shared" si="6"/>
        <v/>
      </c>
      <c r="K249" t="str">
        <f>IF(J249&lt;&gt;"",SUM($J$2:J249),"")</f>
        <v/>
      </c>
      <c r="L249">
        <f ca="1" t="shared" si="7"/>
        <v>45942</v>
      </c>
    </row>
    <row r="250" spans="9:12">
      <c r="I250">
        <f>IFERROR(VLOOKUP(H250,Rates!$A$2:$B$3,2,0),1)</f>
        <v>1</v>
      </c>
      <c r="J250" t="str">
        <f t="shared" si="6"/>
        <v/>
      </c>
      <c r="K250" t="str">
        <f>IF(J250&lt;&gt;"",SUM($J$2:J250),"")</f>
        <v/>
      </c>
      <c r="L250">
        <f ca="1" t="shared" si="7"/>
        <v>45942</v>
      </c>
    </row>
    <row r="251" spans="9:12">
      <c r="I251">
        <f>IFERROR(VLOOKUP(H251,Rates!$A$2:$B$3,2,0),1)</f>
        <v>1</v>
      </c>
      <c r="J251" t="str">
        <f t="shared" si="6"/>
        <v/>
      </c>
      <c r="K251" t="str">
        <f>IF(J251&lt;&gt;"",SUM($J$2:J251),"")</f>
        <v/>
      </c>
      <c r="L251">
        <f ca="1" t="shared" si="7"/>
        <v>45942</v>
      </c>
    </row>
    <row r="252" spans="9:12">
      <c r="I252">
        <f>IFERROR(VLOOKUP(H252,Rates!$A$2:$B$3,2,0),1)</f>
        <v>1</v>
      </c>
      <c r="J252" t="str">
        <f t="shared" si="6"/>
        <v/>
      </c>
      <c r="K252" t="str">
        <f>IF(J252&lt;&gt;"",SUM($J$2:J252),"")</f>
        <v/>
      </c>
      <c r="L252">
        <f ca="1" t="shared" si="7"/>
        <v>45942</v>
      </c>
    </row>
    <row r="253" spans="9:12">
      <c r="I253">
        <f>IFERROR(VLOOKUP(H253,Rates!$A$2:$B$3,2,0),1)</f>
        <v>1</v>
      </c>
      <c r="J253" t="str">
        <f t="shared" si="6"/>
        <v/>
      </c>
      <c r="K253" t="str">
        <f>IF(J253&lt;&gt;"",SUM($J$2:J253),"")</f>
        <v/>
      </c>
      <c r="L253">
        <f ca="1" t="shared" si="7"/>
        <v>45942</v>
      </c>
    </row>
    <row r="254" spans="9:12">
      <c r="I254">
        <f>IFERROR(VLOOKUP(H254,Rates!$A$2:$B$3,2,0),1)</f>
        <v>1</v>
      </c>
      <c r="J254" t="str">
        <f t="shared" si="6"/>
        <v/>
      </c>
      <c r="K254" t="str">
        <f>IF(J254&lt;&gt;"",SUM($J$2:J254),"")</f>
        <v/>
      </c>
      <c r="L254">
        <f ca="1" t="shared" si="7"/>
        <v>45942</v>
      </c>
    </row>
    <row r="255" spans="9:12">
      <c r="I255">
        <f>IFERROR(VLOOKUP(H255,Rates!$A$2:$B$3,2,0),1)</f>
        <v>1</v>
      </c>
      <c r="J255" t="str">
        <f t="shared" si="6"/>
        <v/>
      </c>
      <c r="K255" t="str">
        <f>IF(J255&lt;&gt;"",SUM($J$2:J255),"")</f>
        <v/>
      </c>
      <c r="L255">
        <f ca="1" t="shared" si="7"/>
        <v>45942</v>
      </c>
    </row>
    <row r="256" spans="9:12">
      <c r="I256">
        <f>IFERROR(VLOOKUP(H256,Rates!$A$2:$B$3,2,0),1)</f>
        <v>1</v>
      </c>
      <c r="J256" t="str">
        <f t="shared" si="6"/>
        <v/>
      </c>
      <c r="K256" t="str">
        <f>IF(J256&lt;&gt;"",SUM($J$2:J256),"")</f>
        <v/>
      </c>
      <c r="L256">
        <f ca="1" t="shared" si="7"/>
        <v>45942</v>
      </c>
    </row>
    <row r="257" spans="9:12">
      <c r="I257">
        <f>IFERROR(VLOOKUP(H257,Rates!$A$2:$B$3,2,0),1)</f>
        <v>1</v>
      </c>
      <c r="J257" t="str">
        <f t="shared" si="6"/>
        <v/>
      </c>
      <c r="K257" t="str">
        <f>IF(J257&lt;&gt;"",SUM($J$2:J257),"")</f>
        <v/>
      </c>
      <c r="L257">
        <f ca="1" t="shared" si="7"/>
        <v>45942</v>
      </c>
    </row>
    <row r="258" spans="9:12">
      <c r="I258">
        <f>IFERROR(VLOOKUP(H258,Rates!$A$2:$B$3,2,0),1)</f>
        <v>1</v>
      </c>
      <c r="J258" t="str">
        <f t="shared" ref="J258:J301" si="8">IF(G258&lt;&gt;"",G258*I258,"")</f>
        <v/>
      </c>
      <c r="K258" t="str">
        <f>IF(J258&lt;&gt;"",SUM($J$2:J258),"")</f>
        <v/>
      </c>
      <c r="L258">
        <f ca="1" t="shared" ref="L258:L301" si="9">IF(COUNTA(A258:K258)&gt;0,TODAY(),"")</f>
        <v>45942</v>
      </c>
    </row>
    <row r="259" spans="9:12">
      <c r="I259">
        <f>IFERROR(VLOOKUP(H259,Rates!$A$2:$B$3,2,0),1)</f>
        <v>1</v>
      </c>
      <c r="J259" t="str">
        <f t="shared" si="8"/>
        <v/>
      </c>
      <c r="K259" t="str">
        <f>IF(J259&lt;&gt;"",SUM($J$2:J259),"")</f>
        <v/>
      </c>
      <c r="L259">
        <f ca="1" t="shared" si="9"/>
        <v>45942</v>
      </c>
    </row>
    <row r="260" spans="9:12">
      <c r="I260">
        <f>IFERROR(VLOOKUP(H260,Rates!$A$2:$B$3,2,0),1)</f>
        <v>1</v>
      </c>
      <c r="J260" t="str">
        <f t="shared" si="8"/>
        <v/>
      </c>
      <c r="K260" t="str">
        <f>IF(J260&lt;&gt;"",SUM($J$2:J260),"")</f>
        <v/>
      </c>
      <c r="L260">
        <f ca="1" t="shared" si="9"/>
        <v>45942</v>
      </c>
    </row>
    <row r="261" spans="9:12">
      <c r="I261">
        <f>IFERROR(VLOOKUP(H261,Rates!$A$2:$B$3,2,0),1)</f>
        <v>1</v>
      </c>
      <c r="J261" t="str">
        <f t="shared" si="8"/>
        <v/>
      </c>
      <c r="K261" t="str">
        <f>IF(J261&lt;&gt;"",SUM($J$2:J261),"")</f>
        <v/>
      </c>
      <c r="L261">
        <f ca="1" t="shared" si="9"/>
        <v>45942</v>
      </c>
    </row>
    <row r="262" spans="9:12">
      <c r="I262">
        <f>IFERROR(VLOOKUP(H262,Rates!$A$2:$B$3,2,0),1)</f>
        <v>1</v>
      </c>
      <c r="J262" t="str">
        <f t="shared" si="8"/>
        <v/>
      </c>
      <c r="K262" t="str">
        <f>IF(J262&lt;&gt;"",SUM($J$2:J262),"")</f>
        <v/>
      </c>
      <c r="L262">
        <f ca="1" t="shared" si="9"/>
        <v>45942</v>
      </c>
    </row>
    <row r="263" spans="9:12">
      <c r="I263">
        <f>IFERROR(VLOOKUP(H263,Rates!$A$2:$B$3,2,0),1)</f>
        <v>1</v>
      </c>
      <c r="J263" t="str">
        <f t="shared" si="8"/>
        <v/>
      </c>
      <c r="K263" t="str">
        <f>IF(J263&lt;&gt;"",SUM($J$2:J263),"")</f>
        <v/>
      </c>
      <c r="L263">
        <f ca="1" t="shared" si="9"/>
        <v>45942</v>
      </c>
    </row>
    <row r="264" spans="9:12">
      <c r="I264">
        <f>IFERROR(VLOOKUP(H264,Rates!$A$2:$B$3,2,0),1)</f>
        <v>1</v>
      </c>
      <c r="J264" t="str">
        <f t="shared" si="8"/>
        <v/>
      </c>
      <c r="K264" t="str">
        <f>IF(J264&lt;&gt;"",SUM($J$2:J264),"")</f>
        <v/>
      </c>
      <c r="L264">
        <f ca="1" t="shared" si="9"/>
        <v>45942</v>
      </c>
    </row>
    <row r="265" spans="9:12">
      <c r="I265">
        <f>IFERROR(VLOOKUP(H265,Rates!$A$2:$B$3,2,0),1)</f>
        <v>1</v>
      </c>
      <c r="J265" t="str">
        <f t="shared" si="8"/>
        <v/>
      </c>
      <c r="K265" t="str">
        <f>IF(J265&lt;&gt;"",SUM($J$2:J265),"")</f>
        <v/>
      </c>
      <c r="L265">
        <f ca="1" t="shared" si="9"/>
        <v>45942</v>
      </c>
    </row>
    <row r="266" spans="9:12">
      <c r="I266">
        <f>IFERROR(VLOOKUP(H266,Rates!$A$2:$B$3,2,0),1)</f>
        <v>1</v>
      </c>
      <c r="J266" t="str">
        <f t="shared" si="8"/>
        <v/>
      </c>
      <c r="K266" t="str">
        <f>IF(J266&lt;&gt;"",SUM($J$2:J266),"")</f>
        <v/>
      </c>
      <c r="L266">
        <f ca="1" t="shared" si="9"/>
        <v>45942</v>
      </c>
    </row>
    <row r="267" spans="9:12">
      <c r="I267">
        <f>IFERROR(VLOOKUP(H267,Rates!$A$2:$B$3,2,0),1)</f>
        <v>1</v>
      </c>
      <c r="J267" t="str">
        <f t="shared" si="8"/>
        <v/>
      </c>
      <c r="K267" t="str">
        <f>IF(J267&lt;&gt;"",SUM($J$2:J267),"")</f>
        <v/>
      </c>
      <c r="L267">
        <f ca="1" t="shared" si="9"/>
        <v>45942</v>
      </c>
    </row>
    <row r="268" spans="9:12">
      <c r="I268">
        <f>IFERROR(VLOOKUP(H268,Rates!$A$2:$B$3,2,0),1)</f>
        <v>1</v>
      </c>
      <c r="J268" t="str">
        <f t="shared" si="8"/>
        <v/>
      </c>
      <c r="K268" t="str">
        <f>IF(J268&lt;&gt;"",SUM($J$2:J268),"")</f>
        <v/>
      </c>
      <c r="L268">
        <f ca="1" t="shared" si="9"/>
        <v>45942</v>
      </c>
    </row>
    <row r="269" spans="9:12">
      <c r="I269">
        <f>IFERROR(VLOOKUP(H269,Rates!$A$2:$B$3,2,0),1)</f>
        <v>1</v>
      </c>
      <c r="J269" t="str">
        <f t="shared" si="8"/>
        <v/>
      </c>
      <c r="K269" t="str">
        <f>IF(J269&lt;&gt;"",SUM($J$2:J269),"")</f>
        <v/>
      </c>
      <c r="L269">
        <f ca="1" t="shared" si="9"/>
        <v>45942</v>
      </c>
    </row>
    <row r="270" spans="9:12">
      <c r="I270">
        <f>IFERROR(VLOOKUP(H270,Rates!$A$2:$B$3,2,0),1)</f>
        <v>1</v>
      </c>
      <c r="J270" t="str">
        <f t="shared" si="8"/>
        <v/>
      </c>
      <c r="K270" t="str">
        <f>IF(J270&lt;&gt;"",SUM($J$2:J270),"")</f>
        <v/>
      </c>
      <c r="L270">
        <f ca="1" t="shared" si="9"/>
        <v>45942</v>
      </c>
    </row>
    <row r="271" spans="9:12">
      <c r="I271">
        <f>IFERROR(VLOOKUP(H271,Rates!$A$2:$B$3,2,0),1)</f>
        <v>1</v>
      </c>
      <c r="J271" t="str">
        <f t="shared" si="8"/>
        <v/>
      </c>
      <c r="K271" t="str">
        <f>IF(J271&lt;&gt;"",SUM($J$2:J271),"")</f>
        <v/>
      </c>
      <c r="L271">
        <f ca="1" t="shared" si="9"/>
        <v>45942</v>
      </c>
    </row>
    <row r="272" spans="9:12">
      <c r="I272">
        <f>IFERROR(VLOOKUP(H272,Rates!$A$2:$B$3,2,0),1)</f>
        <v>1</v>
      </c>
      <c r="J272" t="str">
        <f t="shared" si="8"/>
        <v/>
      </c>
      <c r="K272" t="str">
        <f>IF(J272&lt;&gt;"",SUM($J$2:J272),"")</f>
        <v/>
      </c>
      <c r="L272">
        <f ca="1" t="shared" si="9"/>
        <v>45942</v>
      </c>
    </row>
    <row r="273" spans="9:12">
      <c r="I273">
        <f>IFERROR(VLOOKUP(H273,Rates!$A$2:$B$3,2,0),1)</f>
        <v>1</v>
      </c>
      <c r="J273" t="str">
        <f t="shared" si="8"/>
        <v/>
      </c>
      <c r="K273" t="str">
        <f>IF(J273&lt;&gt;"",SUM($J$2:J273),"")</f>
        <v/>
      </c>
      <c r="L273">
        <f ca="1" t="shared" si="9"/>
        <v>45942</v>
      </c>
    </row>
    <row r="274" spans="9:12">
      <c r="I274">
        <f>IFERROR(VLOOKUP(H274,Rates!$A$2:$B$3,2,0),1)</f>
        <v>1</v>
      </c>
      <c r="J274" t="str">
        <f t="shared" si="8"/>
        <v/>
      </c>
      <c r="K274" t="str">
        <f>IF(J274&lt;&gt;"",SUM($J$2:J274),"")</f>
        <v/>
      </c>
      <c r="L274">
        <f ca="1" t="shared" si="9"/>
        <v>45942</v>
      </c>
    </row>
    <row r="275" spans="9:12">
      <c r="I275">
        <f>IFERROR(VLOOKUP(H275,Rates!$A$2:$B$3,2,0),1)</f>
        <v>1</v>
      </c>
      <c r="J275" t="str">
        <f t="shared" si="8"/>
        <v/>
      </c>
      <c r="K275" t="str">
        <f>IF(J275&lt;&gt;"",SUM($J$2:J275),"")</f>
        <v/>
      </c>
      <c r="L275">
        <f ca="1" t="shared" si="9"/>
        <v>45942</v>
      </c>
    </row>
    <row r="276" spans="9:12">
      <c r="I276">
        <f>IFERROR(VLOOKUP(H276,Rates!$A$2:$B$3,2,0),1)</f>
        <v>1</v>
      </c>
      <c r="J276" t="str">
        <f t="shared" si="8"/>
        <v/>
      </c>
      <c r="K276" t="str">
        <f>IF(J276&lt;&gt;"",SUM($J$2:J276),"")</f>
        <v/>
      </c>
      <c r="L276">
        <f ca="1" t="shared" si="9"/>
        <v>45942</v>
      </c>
    </row>
    <row r="277" spans="9:12">
      <c r="I277">
        <f>IFERROR(VLOOKUP(H277,Rates!$A$2:$B$3,2,0),1)</f>
        <v>1</v>
      </c>
      <c r="J277" t="str">
        <f t="shared" si="8"/>
        <v/>
      </c>
      <c r="K277" t="str">
        <f>IF(J277&lt;&gt;"",SUM($J$2:J277),"")</f>
        <v/>
      </c>
      <c r="L277">
        <f ca="1" t="shared" si="9"/>
        <v>45942</v>
      </c>
    </row>
    <row r="278" spans="9:12">
      <c r="I278">
        <f>IFERROR(VLOOKUP(H278,Rates!$A$2:$B$3,2,0),1)</f>
        <v>1</v>
      </c>
      <c r="J278" t="str">
        <f t="shared" si="8"/>
        <v/>
      </c>
      <c r="K278" t="str">
        <f>IF(J278&lt;&gt;"",SUM($J$2:J278),"")</f>
        <v/>
      </c>
      <c r="L278">
        <f ca="1" t="shared" si="9"/>
        <v>45942</v>
      </c>
    </row>
    <row r="279" spans="9:12">
      <c r="I279">
        <f>IFERROR(VLOOKUP(H279,Rates!$A$2:$B$3,2,0),1)</f>
        <v>1</v>
      </c>
      <c r="J279" t="str">
        <f t="shared" si="8"/>
        <v/>
      </c>
      <c r="K279" t="str">
        <f>IF(J279&lt;&gt;"",SUM($J$2:J279),"")</f>
        <v/>
      </c>
      <c r="L279">
        <f ca="1" t="shared" si="9"/>
        <v>45942</v>
      </c>
    </row>
    <row r="280" spans="9:12">
      <c r="I280">
        <f>IFERROR(VLOOKUP(H280,Rates!$A$2:$B$3,2,0),1)</f>
        <v>1</v>
      </c>
      <c r="J280" t="str">
        <f t="shared" si="8"/>
        <v/>
      </c>
      <c r="K280" t="str">
        <f>IF(J280&lt;&gt;"",SUM($J$2:J280),"")</f>
        <v/>
      </c>
      <c r="L280">
        <f ca="1" t="shared" si="9"/>
        <v>45942</v>
      </c>
    </row>
    <row r="281" spans="9:12">
      <c r="I281">
        <f>IFERROR(VLOOKUP(H281,Rates!$A$2:$B$3,2,0),1)</f>
        <v>1</v>
      </c>
      <c r="J281" t="str">
        <f t="shared" si="8"/>
        <v/>
      </c>
      <c r="K281" t="str">
        <f>IF(J281&lt;&gt;"",SUM($J$2:J281),"")</f>
        <v/>
      </c>
      <c r="L281">
        <f ca="1" t="shared" si="9"/>
        <v>45942</v>
      </c>
    </row>
    <row r="282" spans="9:12">
      <c r="I282">
        <f>IFERROR(VLOOKUP(H282,Rates!$A$2:$B$3,2,0),1)</f>
        <v>1</v>
      </c>
      <c r="J282" t="str">
        <f t="shared" si="8"/>
        <v/>
      </c>
      <c r="K282" t="str">
        <f>IF(J282&lt;&gt;"",SUM($J$2:J282),"")</f>
        <v/>
      </c>
      <c r="L282">
        <f ca="1" t="shared" si="9"/>
        <v>45942</v>
      </c>
    </row>
    <row r="283" spans="9:12">
      <c r="I283">
        <f>IFERROR(VLOOKUP(H283,Rates!$A$2:$B$3,2,0),1)</f>
        <v>1</v>
      </c>
      <c r="J283" t="str">
        <f t="shared" si="8"/>
        <v/>
      </c>
      <c r="K283" t="str">
        <f>IF(J283&lt;&gt;"",SUM($J$2:J283),"")</f>
        <v/>
      </c>
      <c r="L283">
        <f ca="1" t="shared" si="9"/>
        <v>45942</v>
      </c>
    </row>
    <row r="284" spans="9:12">
      <c r="I284">
        <f>IFERROR(VLOOKUP(H284,Rates!$A$2:$B$3,2,0),1)</f>
        <v>1</v>
      </c>
      <c r="J284" t="str">
        <f t="shared" si="8"/>
        <v/>
      </c>
      <c r="K284" t="str">
        <f>IF(J284&lt;&gt;"",SUM($J$2:J284),"")</f>
        <v/>
      </c>
      <c r="L284">
        <f ca="1" t="shared" si="9"/>
        <v>45942</v>
      </c>
    </row>
    <row r="285" spans="9:12">
      <c r="I285">
        <f>IFERROR(VLOOKUP(H285,Rates!$A$2:$B$3,2,0),1)</f>
        <v>1</v>
      </c>
      <c r="J285" t="str">
        <f t="shared" si="8"/>
        <v/>
      </c>
      <c r="K285" t="str">
        <f>IF(J285&lt;&gt;"",SUM($J$2:J285),"")</f>
        <v/>
      </c>
      <c r="L285">
        <f ca="1" t="shared" si="9"/>
        <v>45942</v>
      </c>
    </row>
    <row r="286" spans="9:12">
      <c r="I286">
        <f>IFERROR(VLOOKUP(H286,Rates!$A$2:$B$3,2,0),1)</f>
        <v>1</v>
      </c>
      <c r="J286" t="str">
        <f t="shared" si="8"/>
        <v/>
      </c>
      <c r="K286" t="str">
        <f>IF(J286&lt;&gt;"",SUM($J$2:J286),"")</f>
        <v/>
      </c>
      <c r="L286">
        <f ca="1" t="shared" si="9"/>
        <v>45942</v>
      </c>
    </row>
    <row r="287" spans="9:12">
      <c r="I287">
        <f>IFERROR(VLOOKUP(H287,Rates!$A$2:$B$3,2,0),1)</f>
        <v>1</v>
      </c>
      <c r="J287" t="str">
        <f t="shared" si="8"/>
        <v/>
      </c>
      <c r="K287" t="str">
        <f>IF(J287&lt;&gt;"",SUM($J$2:J287),"")</f>
        <v/>
      </c>
      <c r="L287">
        <f ca="1" t="shared" si="9"/>
        <v>45942</v>
      </c>
    </row>
    <row r="288" spans="9:12">
      <c r="I288">
        <f>IFERROR(VLOOKUP(H288,Rates!$A$2:$B$3,2,0),1)</f>
        <v>1</v>
      </c>
      <c r="J288" t="str">
        <f t="shared" si="8"/>
        <v/>
      </c>
      <c r="K288" t="str">
        <f>IF(J288&lt;&gt;"",SUM($J$2:J288),"")</f>
        <v/>
      </c>
      <c r="L288">
        <f ca="1" t="shared" si="9"/>
        <v>45942</v>
      </c>
    </row>
    <row r="289" spans="9:12">
      <c r="I289">
        <f>IFERROR(VLOOKUP(H289,Rates!$A$2:$B$3,2,0),1)</f>
        <v>1</v>
      </c>
      <c r="J289" t="str">
        <f t="shared" si="8"/>
        <v/>
      </c>
      <c r="K289" t="str">
        <f>IF(J289&lt;&gt;"",SUM($J$2:J289),"")</f>
        <v/>
      </c>
      <c r="L289">
        <f ca="1" t="shared" si="9"/>
        <v>45942</v>
      </c>
    </row>
    <row r="290" spans="9:12">
      <c r="I290">
        <f>IFERROR(VLOOKUP(H290,Rates!$A$2:$B$3,2,0),1)</f>
        <v>1</v>
      </c>
      <c r="J290" t="str">
        <f t="shared" si="8"/>
        <v/>
      </c>
      <c r="K290" t="str">
        <f>IF(J290&lt;&gt;"",SUM($J$2:J290),"")</f>
        <v/>
      </c>
      <c r="L290">
        <f ca="1" t="shared" si="9"/>
        <v>45942</v>
      </c>
    </row>
    <row r="291" spans="9:12">
      <c r="I291">
        <f>IFERROR(VLOOKUP(H291,Rates!$A$2:$B$3,2,0),1)</f>
        <v>1</v>
      </c>
      <c r="J291" t="str">
        <f t="shared" si="8"/>
        <v/>
      </c>
      <c r="K291" t="str">
        <f>IF(J291&lt;&gt;"",SUM($J$2:J291),"")</f>
        <v/>
      </c>
      <c r="L291">
        <f ca="1" t="shared" si="9"/>
        <v>45942</v>
      </c>
    </row>
    <row r="292" spans="9:12">
      <c r="I292">
        <f>IFERROR(VLOOKUP(H292,Rates!$A$2:$B$3,2,0),1)</f>
        <v>1</v>
      </c>
      <c r="J292" t="str">
        <f t="shared" si="8"/>
        <v/>
      </c>
      <c r="K292" t="str">
        <f>IF(J292&lt;&gt;"",SUM($J$2:J292),"")</f>
        <v/>
      </c>
      <c r="L292">
        <f ca="1" t="shared" si="9"/>
        <v>45942</v>
      </c>
    </row>
    <row r="293" spans="9:12">
      <c r="I293">
        <f>IFERROR(VLOOKUP(H293,Rates!$A$2:$B$3,2,0),1)</f>
        <v>1</v>
      </c>
      <c r="J293" t="str">
        <f t="shared" si="8"/>
        <v/>
      </c>
      <c r="K293" t="str">
        <f>IF(J293&lt;&gt;"",SUM($J$2:J293),"")</f>
        <v/>
      </c>
      <c r="L293">
        <f ca="1" t="shared" si="9"/>
        <v>45942</v>
      </c>
    </row>
    <row r="294" spans="9:12">
      <c r="I294">
        <f>IFERROR(VLOOKUP(H294,Rates!$A$2:$B$3,2,0),1)</f>
        <v>1</v>
      </c>
      <c r="J294" t="str">
        <f t="shared" si="8"/>
        <v/>
      </c>
      <c r="K294" t="str">
        <f>IF(J294&lt;&gt;"",SUM($J$2:J294),"")</f>
        <v/>
      </c>
      <c r="L294">
        <f ca="1" t="shared" si="9"/>
        <v>45942</v>
      </c>
    </row>
    <row r="295" spans="9:12">
      <c r="I295">
        <f>IFERROR(VLOOKUP(H295,Rates!$A$2:$B$3,2,0),1)</f>
        <v>1</v>
      </c>
      <c r="J295" t="str">
        <f t="shared" si="8"/>
        <v/>
      </c>
      <c r="K295" t="str">
        <f>IF(J295&lt;&gt;"",SUM($J$2:J295),"")</f>
        <v/>
      </c>
      <c r="L295">
        <f ca="1" t="shared" si="9"/>
        <v>45942</v>
      </c>
    </row>
    <row r="296" spans="9:12">
      <c r="I296">
        <f>IFERROR(VLOOKUP(H296,Rates!$A$2:$B$3,2,0),1)</f>
        <v>1</v>
      </c>
      <c r="J296" t="str">
        <f t="shared" si="8"/>
        <v/>
      </c>
      <c r="K296" t="str">
        <f>IF(J296&lt;&gt;"",SUM($J$2:J296),"")</f>
        <v/>
      </c>
      <c r="L296">
        <f ca="1" t="shared" si="9"/>
        <v>45942</v>
      </c>
    </row>
    <row r="297" spans="9:12">
      <c r="I297">
        <f>IFERROR(VLOOKUP(H297,Rates!$A$2:$B$3,2,0),1)</f>
        <v>1</v>
      </c>
      <c r="J297" t="str">
        <f t="shared" si="8"/>
        <v/>
      </c>
      <c r="K297" t="str">
        <f>IF(J297&lt;&gt;"",SUM($J$2:J297),"")</f>
        <v/>
      </c>
      <c r="L297">
        <f ca="1" t="shared" si="9"/>
        <v>45942</v>
      </c>
    </row>
    <row r="298" spans="9:12">
      <c r="I298">
        <f>IFERROR(VLOOKUP(H298,Rates!$A$2:$B$3,2,0),1)</f>
        <v>1</v>
      </c>
      <c r="J298" t="str">
        <f t="shared" si="8"/>
        <v/>
      </c>
      <c r="K298" t="str">
        <f>IF(J298&lt;&gt;"",SUM($J$2:J298),"")</f>
        <v/>
      </c>
      <c r="L298">
        <f ca="1" t="shared" si="9"/>
        <v>45942</v>
      </c>
    </row>
    <row r="299" spans="9:12">
      <c r="I299">
        <f>IFERROR(VLOOKUP(H299,Rates!$A$2:$B$3,2,0),1)</f>
        <v>1</v>
      </c>
      <c r="J299" t="str">
        <f t="shared" si="8"/>
        <v/>
      </c>
      <c r="K299" t="str">
        <f>IF(J299&lt;&gt;"",SUM($J$2:J299),"")</f>
        <v/>
      </c>
      <c r="L299">
        <f ca="1" t="shared" si="9"/>
        <v>45942</v>
      </c>
    </row>
    <row r="300" spans="9:12">
      <c r="I300">
        <f>IFERROR(VLOOKUP(H300,Rates!$A$2:$B$3,2,0),1)</f>
        <v>1</v>
      </c>
      <c r="J300" t="str">
        <f t="shared" si="8"/>
        <v/>
      </c>
      <c r="K300" t="str">
        <f>IF(J300&lt;&gt;"",SUM($J$2:J300),"")</f>
        <v/>
      </c>
      <c r="L300">
        <f ca="1" t="shared" si="9"/>
        <v>45942</v>
      </c>
    </row>
    <row r="301" spans="9:12">
      <c r="I301">
        <f>IFERROR(VLOOKUP(H301,Rates!$A$2:$B$3,2,0),1)</f>
        <v>1</v>
      </c>
      <c r="J301" t="str">
        <f t="shared" si="8"/>
        <v/>
      </c>
      <c r="K301" t="str">
        <f>IF(J301&lt;&gt;"",SUM($J$2:J301),"")</f>
        <v/>
      </c>
      <c r="L301">
        <f ca="1" t="shared" si="9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workbookViewId="0">
      <pane ySplit="1" topLeftCell="A2" activePane="bottomLeft" state="frozen"/>
      <selection/>
      <selection pane="bottomLeft" activeCell="O26" sqref="O1:O26"/>
    </sheetView>
  </sheetViews>
  <sheetFormatPr defaultColWidth="9" defaultRowHeight="16.8"/>
  <cols>
    <col min="1" max="1" width="10" customWidth="1"/>
    <col min="2" max="2" width="21.09375" customWidth="1"/>
    <col min="3" max="3" width="17.578125" customWidth="1"/>
    <col min="4" max="4" width="18.359375" customWidth="1"/>
    <col min="6" max="6" width="18.234375" customWidth="1"/>
    <col min="8" max="8" width="14.3203125" customWidth="1"/>
    <col min="14" max="14" width="2" customWidth="1"/>
    <col min="16" max="16" width="2" customWidth="1"/>
  </cols>
  <sheetData>
    <row r="1" spans="1:12">
      <c r="A1" t="s">
        <v>36</v>
      </c>
      <c r="B1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</row>
    <row r="2" spans="1:12">
      <c r="A2" t="s">
        <v>55</v>
      </c>
      <c r="B2" t="s">
        <v>88</v>
      </c>
      <c r="C2" t="s">
        <v>14</v>
      </c>
      <c r="F2" t="s">
        <v>152</v>
      </c>
      <c r="H2" t="s">
        <v>3</v>
      </c>
      <c r="I2">
        <f>IFERROR(VLOOKUP(H2,Rates!$A$2:$B$3,2,0),1)</f>
        <v>1</v>
      </c>
      <c r="J2" t="str">
        <f t="shared" ref="J2:J65" si="0">IF(G2&lt;&gt;"",G2*I2,"")</f>
        <v/>
      </c>
      <c r="K2" t="str">
        <f>IF(J2&lt;&gt;"",J2,"")</f>
        <v/>
      </c>
      <c r="L2">
        <f ca="1" t="shared" ref="L2:L65" si="1">IF(COUNTA(A2:K2)&gt;0,TODAY(),"")</f>
        <v>45942</v>
      </c>
    </row>
    <row r="3" spans="1:12">
      <c r="A3" t="s">
        <v>55</v>
      </c>
      <c r="B3" t="s">
        <v>90</v>
      </c>
      <c r="C3" t="s">
        <v>8</v>
      </c>
      <c r="D3" t="s">
        <v>29</v>
      </c>
      <c r="F3" t="s">
        <v>153</v>
      </c>
      <c r="H3" t="s">
        <v>3</v>
      </c>
      <c r="I3">
        <f>IFERROR(VLOOKUP(H3,Rates!$A$2:$B$3,2,0),1)</f>
        <v>1</v>
      </c>
      <c r="J3" t="str">
        <f t="shared" si="0"/>
        <v/>
      </c>
      <c r="K3" t="str">
        <f>IF(J3&lt;&gt;"",SUM($J$2:J3),"")</f>
        <v/>
      </c>
      <c r="L3">
        <f ca="1" t="shared" si="1"/>
        <v>45942</v>
      </c>
    </row>
    <row r="4" spans="1:12">
      <c r="A4" t="s">
        <v>55</v>
      </c>
      <c r="B4" t="s">
        <v>154</v>
      </c>
      <c r="C4" t="s">
        <v>21</v>
      </c>
      <c r="D4" t="s">
        <v>35</v>
      </c>
      <c r="F4" t="s">
        <v>155</v>
      </c>
      <c r="H4" t="s">
        <v>3</v>
      </c>
      <c r="I4">
        <f>IFERROR(VLOOKUP(H4,Rates!$A$2:$B$3,2,0),1)</f>
        <v>1</v>
      </c>
      <c r="J4" t="str">
        <f t="shared" si="0"/>
        <v/>
      </c>
      <c r="K4" t="str">
        <f>IF(J4&lt;&gt;"",SUM($J$2:J4),"")</f>
        <v/>
      </c>
      <c r="L4">
        <f ca="1" t="shared" si="1"/>
        <v>45942</v>
      </c>
    </row>
    <row r="5" spans="9:12">
      <c r="I5">
        <f>IFERROR(VLOOKUP(H5,Rates!$A$2:$B$3,2,0),1)</f>
        <v>1</v>
      </c>
      <c r="J5" t="str">
        <f t="shared" si="0"/>
        <v/>
      </c>
      <c r="K5" t="str">
        <f>IF(J5&lt;&gt;"",SUM($J$2:J5),"")</f>
        <v/>
      </c>
      <c r="L5">
        <f ca="1" t="shared" si="1"/>
        <v>45942</v>
      </c>
    </row>
    <row r="6" spans="9:12">
      <c r="I6">
        <f>IFERROR(VLOOKUP(H6,Rates!$A$2:$B$3,2,0),1)</f>
        <v>1</v>
      </c>
      <c r="J6" t="str">
        <f t="shared" si="0"/>
        <v/>
      </c>
      <c r="K6" t="str">
        <f>IF(J6&lt;&gt;"",SUM($J$2:J6),"")</f>
        <v/>
      </c>
      <c r="L6">
        <f ca="1" t="shared" si="1"/>
        <v>45942</v>
      </c>
    </row>
    <row r="7" spans="9:12">
      <c r="I7">
        <f>IFERROR(VLOOKUP(H7,Rates!$A$2:$B$3,2,0),1)</f>
        <v>1</v>
      </c>
      <c r="J7" t="str">
        <f t="shared" si="0"/>
        <v/>
      </c>
      <c r="K7" t="str">
        <f>IF(J7&lt;&gt;"",SUM($J$2:J7),"")</f>
        <v/>
      </c>
      <c r="L7">
        <f ca="1" t="shared" si="1"/>
        <v>45942</v>
      </c>
    </row>
    <row r="8" spans="9:12">
      <c r="I8">
        <f>IFERROR(VLOOKUP(H8,Rates!$A$2:$B$3,2,0),1)</f>
        <v>1</v>
      </c>
      <c r="J8" t="str">
        <f t="shared" si="0"/>
        <v/>
      </c>
      <c r="K8" t="str">
        <f>IF(J8&lt;&gt;"",SUM($J$2:J8),"")</f>
        <v/>
      </c>
      <c r="L8">
        <f ca="1" t="shared" si="1"/>
        <v>45942</v>
      </c>
    </row>
    <row r="9" spans="9:12">
      <c r="I9">
        <f>IFERROR(VLOOKUP(H9,Rates!$A$2:$B$3,2,0),1)</f>
        <v>1</v>
      </c>
      <c r="J9" t="str">
        <f t="shared" si="0"/>
        <v/>
      </c>
      <c r="K9" t="str">
        <f>IF(J9&lt;&gt;"",SUM($J$2:J9),"")</f>
        <v/>
      </c>
      <c r="L9">
        <f ca="1" t="shared" si="1"/>
        <v>45942</v>
      </c>
    </row>
    <row r="10" spans="9:12">
      <c r="I10">
        <f>IFERROR(VLOOKUP(H10,Rates!$A$2:$B$3,2,0),1)</f>
        <v>1</v>
      </c>
      <c r="J10" t="str">
        <f t="shared" si="0"/>
        <v/>
      </c>
      <c r="K10" t="str">
        <f>IF(J10&lt;&gt;"",SUM($J$2:J10),"")</f>
        <v/>
      </c>
      <c r="L10">
        <f ca="1" t="shared" si="1"/>
        <v>45942</v>
      </c>
    </row>
    <row r="11" spans="9:12">
      <c r="I11">
        <f>IFERROR(VLOOKUP(H11,Rates!$A$2:$B$3,2,0),1)</f>
        <v>1</v>
      </c>
      <c r="J11" t="str">
        <f t="shared" si="0"/>
        <v/>
      </c>
      <c r="K11" t="str">
        <f>IF(J11&lt;&gt;"",SUM($J$2:J11),"")</f>
        <v/>
      </c>
      <c r="L11">
        <f ca="1" t="shared" si="1"/>
        <v>45942</v>
      </c>
    </row>
    <row r="12" spans="9:12">
      <c r="I12">
        <f>IFERROR(VLOOKUP(H12,Rates!$A$2:$B$3,2,0),1)</f>
        <v>1</v>
      </c>
      <c r="J12" t="str">
        <f t="shared" si="0"/>
        <v/>
      </c>
      <c r="K12" t="str">
        <f>IF(J12&lt;&gt;"",SUM($J$2:J12),"")</f>
        <v/>
      </c>
      <c r="L12">
        <f ca="1" t="shared" si="1"/>
        <v>45942</v>
      </c>
    </row>
    <row r="13" spans="9:12">
      <c r="I13">
        <f>IFERROR(VLOOKUP(H13,Rates!$A$2:$B$3,2,0),1)</f>
        <v>1</v>
      </c>
      <c r="J13" t="str">
        <f t="shared" si="0"/>
        <v/>
      </c>
      <c r="K13" t="str">
        <f>IF(J13&lt;&gt;"",SUM($J$2:J13),"")</f>
        <v/>
      </c>
      <c r="L13">
        <f ca="1" t="shared" si="1"/>
        <v>45942</v>
      </c>
    </row>
    <row r="14" spans="9:12">
      <c r="I14">
        <f>IFERROR(VLOOKUP(H14,Rates!$A$2:$B$3,2,0),1)</f>
        <v>1</v>
      </c>
      <c r="J14" t="str">
        <f t="shared" si="0"/>
        <v/>
      </c>
      <c r="K14" t="str">
        <f>IF(J14&lt;&gt;"",SUM($J$2:J14),"")</f>
        <v/>
      </c>
      <c r="L14">
        <f ca="1" t="shared" si="1"/>
        <v>45942</v>
      </c>
    </row>
    <row r="15" spans="9:12">
      <c r="I15">
        <f>IFERROR(VLOOKUP(H15,Rates!$A$2:$B$3,2,0),1)</f>
        <v>1</v>
      </c>
      <c r="J15" t="str">
        <f t="shared" si="0"/>
        <v/>
      </c>
      <c r="K15" t="str">
        <f>IF(J15&lt;&gt;"",SUM($J$2:J15),"")</f>
        <v/>
      </c>
      <c r="L15">
        <f ca="1" t="shared" si="1"/>
        <v>45942</v>
      </c>
    </row>
    <row r="16" spans="9:12">
      <c r="I16">
        <f>IFERROR(VLOOKUP(H16,Rates!$A$2:$B$3,2,0),1)</f>
        <v>1</v>
      </c>
      <c r="J16" t="str">
        <f t="shared" si="0"/>
        <v/>
      </c>
      <c r="K16" t="str">
        <f>IF(J16&lt;&gt;"",SUM($J$2:J16),"")</f>
        <v/>
      </c>
      <c r="L16">
        <f ca="1" t="shared" si="1"/>
        <v>45942</v>
      </c>
    </row>
    <row r="17" spans="9:12">
      <c r="I17">
        <f>IFERROR(VLOOKUP(H17,Rates!$A$2:$B$3,2,0),1)</f>
        <v>1</v>
      </c>
      <c r="J17" t="str">
        <f t="shared" si="0"/>
        <v/>
      </c>
      <c r="K17" t="str">
        <f>IF(J17&lt;&gt;"",SUM($J$2:J17),"")</f>
        <v/>
      </c>
      <c r="L17">
        <f ca="1" t="shared" si="1"/>
        <v>45942</v>
      </c>
    </row>
    <row r="18" spans="9:12">
      <c r="I18">
        <f>IFERROR(VLOOKUP(H18,Rates!$A$2:$B$3,2,0),1)</f>
        <v>1</v>
      </c>
      <c r="J18" t="str">
        <f t="shared" si="0"/>
        <v/>
      </c>
      <c r="K18" t="str">
        <f>IF(J18&lt;&gt;"",SUM($J$2:J18),"")</f>
        <v/>
      </c>
      <c r="L18">
        <f ca="1" t="shared" si="1"/>
        <v>45942</v>
      </c>
    </row>
    <row r="19" spans="9:12">
      <c r="I19">
        <f>IFERROR(VLOOKUP(H19,Rates!$A$2:$B$3,2,0),1)</f>
        <v>1</v>
      </c>
      <c r="J19" t="str">
        <f t="shared" si="0"/>
        <v/>
      </c>
      <c r="K19" t="str">
        <f>IF(J19&lt;&gt;"",SUM($J$2:J19),"")</f>
        <v/>
      </c>
      <c r="L19">
        <f ca="1" t="shared" si="1"/>
        <v>45942</v>
      </c>
    </row>
    <row r="20" spans="9:12">
      <c r="I20">
        <f>IFERROR(VLOOKUP(H20,Rates!$A$2:$B$3,2,0),1)</f>
        <v>1</v>
      </c>
      <c r="J20" t="str">
        <f t="shared" si="0"/>
        <v/>
      </c>
      <c r="K20" t="str">
        <f>IF(J20&lt;&gt;"",SUM($J$2:J20),"")</f>
        <v/>
      </c>
      <c r="L20">
        <f ca="1" t="shared" si="1"/>
        <v>45942</v>
      </c>
    </row>
    <row r="21" spans="9:12">
      <c r="I21">
        <f>IFERROR(VLOOKUP(H21,Rates!$A$2:$B$3,2,0),1)</f>
        <v>1</v>
      </c>
      <c r="J21" t="str">
        <f t="shared" si="0"/>
        <v/>
      </c>
      <c r="K21" t="str">
        <f>IF(J21&lt;&gt;"",SUM($J$2:J21),"")</f>
        <v/>
      </c>
      <c r="L21">
        <f ca="1" t="shared" si="1"/>
        <v>45942</v>
      </c>
    </row>
    <row r="22" spans="9:12">
      <c r="I22">
        <f>IFERROR(VLOOKUP(H22,Rates!$A$2:$B$3,2,0),1)</f>
        <v>1</v>
      </c>
      <c r="J22" t="str">
        <f t="shared" si="0"/>
        <v/>
      </c>
      <c r="K22" t="str">
        <f>IF(J22&lt;&gt;"",SUM($J$2:J22),"")</f>
        <v/>
      </c>
      <c r="L22">
        <f ca="1" t="shared" si="1"/>
        <v>45942</v>
      </c>
    </row>
    <row r="23" spans="9:12">
      <c r="I23">
        <f>IFERROR(VLOOKUP(H23,Rates!$A$2:$B$3,2,0),1)</f>
        <v>1</v>
      </c>
      <c r="J23" t="str">
        <f t="shared" si="0"/>
        <v/>
      </c>
      <c r="K23" t="str">
        <f>IF(J23&lt;&gt;"",SUM($J$2:J23),"")</f>
        <v/>
      </c>
      <c r="L23">
        <f ca="1" t="shared" si="1"/>
        <v>45942</v>
      </c>
    </row>
    <row r="24" spans="9:12">
      <c r="I24">
        <f>IFERROR(VLOOKUP(H24,Rates!$A$2:$B$3,2,0),1)</f>
        <v>1</v>
      </c>
      <c r="J24" t="str">
        <f t="shared" si="0"/>
        <v/>
      </c>
      <c r="K24" t="str">
        <f>IF(J24&lt;&gt;"",SUM($J$2:J24),"")</f>
        <v/>
      </c>
      <c r="L24">
        <f ca="1" t="shared" si="1"/>
        <v>45942</v>
      </c>
    </row>
    <row r="25" spans="9:12">
      <c r="I25">
        <f>IFERROR(VLOOKUP(H25,Rates!$A$2:$B$3,2,0),1)</f>
        <v>1</v>
      </c>
      <c r="J25" t="str">
        <f t="shared" si="0"/>
        <v/>
      </c>
      <c r="K25" t="str">
        <f>IF(J25&lt;&gt;"",SUM($J$2:J25),"")</f>
        <v/>
      </c>
      <c r="L25">
        <f ca="1" t="shared" si="1"/>
        <v>45942</v>
      </c>
    </row>
    <row r="26" spans="9:12">
      <c r="I26">
        <f>IFERROR(VLOOKUP(H26,Rates!$A$2:$B$3,2,0),1)</f>
        <v>1</v>
      </c>
      <c r="J26" t="str">
        <f t="shared" si="0"/>
        <v/>
      </c>
      <c r="K26" t="str">
        <f>IF(J26&lt;&gt;"",SUM($J$2:J26),"")</f>
        <v/>
      </c>
      <c r="L26">
        <f ca="1" t="shared" si="1"/>
        <v>45942</v>
      </c>
    </row>
    <row r="27" spans="9:12">
      <c r="I27">
        <f>IFERROR(VLOOKUP(H27,Rates!$A$2:$B$3,2,0),1)</f>
        <v>1</v>
      </c>
      <c r="J27" t="str">
        <f t="shared" si="0"/>
        <v/>
      </c>
      <c r="K27" t="str">
        <f>IF(J27&lt;&gt;"",SUM($J$2:J27),"")</f>
        <v/>
      </c>
      <c r="L27">
        <f ca="1" t="shared" si="1"/>
        <v>45942</v>
      </c>
    </row>
    <row r="28" spans="9:12">
      <c r="I28">
        <f>IFERROR(VLOOKUP(H28,Rates!$A$2:$B$3,2,0),1)</f>
        <v>1</v>
      </c>
      <c r="J28" t="str">
        <f t="shared" si="0"/>
        <v/>
      </c>
      <c r="K28" t="str">
        <f>IF(J28&lt;&gt;"",SUM($J$2:J28),"")</f>
        <v/>
      </c>
      <c r="L28">
        <f ca="1" t="shared" si="1"/>
        <v>45942</v>
      </c>
    </row>
    <row r="29" spans="9:12">
      <c r="I29">
        <f>IFERROR(VLOOKUP(H29,Rates!$A$2:$B$3,2,0),1)</f>
        <v>1</v>
      </c>
      <c r="J29" t="str">
        <f t="shared" si="0"/>
        <v/>
      </c>
      <c r="K29" t="str">
        <f>IF(J29&lt;&gt;"",SUM($J$2:J29),"")</f>
        <v/>
      </c>
      <c r="L29">
        <f ca="1" t="shared" si="1"/>
        <v>45942</v>
      </c>
    </row>
    <row r="30" spans="9:12">
      <c r="I30">
        <f>IFERROR(VLOOKUP(H30,Rates!$A$2:$B$3,2,0),1)</f>
        <v>1</v>
      </c>
      <c r="J30" t="str">
        <f t="shared" si="0"/>
        <v/>
      </c>
      <c r="K30" t="str">
        <f>IF(J30&lt;&gt;"",SUM($J$2:J30),"")</f>
        <v/>
      </c>
      <c r="L30">
        <f ca="1" t="shared" si="1"/>
        <v>45942</v>
      </c>
    </row>
    <row r="31" spans="9:12">
      <c r="I31">
        <f>IFERROR(VLOOKUP(H31,Rates!$A$2:$B$3,2,0),1)</f>
        <v>1</v>
      </c>
      <c r="J31" t="str">
        <f t="shared" si="0"/>
        <v/>
      </c>
      <c r="K31" t="str">
        <f>IF(J31&lt;&gt;"",SUM($J$2:J31),"")</f>
        <v/>
      </c>
      <c r="L31">
        <f ca="1" t="shared" si="1"/>
        <v>45942</v>
      </c>
    </row>
    <row r="32" spans="9:12">
      <c r="I32">
        <f>IFERROR(VLOOKUP(H32,Rates!$A$2:$B$3,2,0),1)</f>
        <v>1</v>
      </c>
      <c r="J32" t="str">
        <f t="shared" si="0"/>
        <v/>
      </c>
      <c r="K32" t="str">
        <f>IF(J32&lt;&gt;"",SUM($J$2:J32),"")</f>
        <v/>
      </c>
      <c r="L32">
        <f ca="1" t="shared" si="1"/>
        <v>45942</v>
      </c>
    </row>
    <row r="33" spans="9:12">
      <c r="I33">
        <f>IFERROR(VLOOKUP(H33,Rates!$A$2:$B$3,2,0),1)</f>
        <v>1</v>
      </c>
      <c r="J33" t="str">
        <f t="shared" si="0"/>
        <v/>
      </c>
      <c r="K33" t="str">
        <f>IF(J33&lt;&gt;"",SUM($J$2:J33),"")</f>
        <v/>
      </c>
      <c r="L33">
        <f ca="1" t="shared" si="1"/>
        <v>45942</v>
      </c>
    </row>
    <row r="34" spans="9:12">
      <c r="I34">
        <f>IFERROR(VLOOKUP(H34,Rates!$A$2:$B$3,2,0),1)</f>
        <v>1</v>
      </c>
      <c r="J34" t="str">
        <f t="shared" si="0"/>
        <v/>
      </c>
      <c r="K34" t="str">
        <f>IF(J34&lt;&gt;"",SUM($J$2:J34),"")</f>
        <v/>
      </c>
      <c r="L34">
        <f ca="1" t="shared" si="1"/>
        <v>45942</v>
      </c>
    </row>
    <row r="35" spans="9:12">
      <c r="I35">
        <f>IFERROR(VLOOKUP(H35,Rates!$A$2:$B$3,2,0),1)</f>
        <v>1</v>
      </c>
      <c r="J35" t="str">
        <f t="shared" si="0"/>
        <v/>
      </c>
      <c r="K35" t="str">
        <f>IF(J35&lt;&gt;"",SUM($J$2:J35),"")</f>
        <v/>
      </c>
      <c r="L35">
        <f ca="1" t="shared" si="1"/>
        <v>45942</v>
      </c>
    </row>
    <row r="36" spans="9:12">
      <c r="I36">
        <f>IFERROR(VLOOKUP(H36,Rates!$A$2:$B$3,2,0),1)</f>
        <v>1</v>
      </c>
      <c r="J36" t="str">
        <f t="shared" si="0"/>
        <v/>
      </c>
      <c r="K36" t="str">
        <f>IF(J36&lt;&gt;"",SUM($J$2:J36),"")</f>
        <v/>
      </c>
      <c r="L36">
        <f ca="1" t="shared" si="1"/>
        <v>45942</v>
      </c>
    </row>
    <row r="37" spans="9:12">
      <c r="I37">
        <f>IFERROR(VLOOKUP(H37,Rates!$A$2:$B$3,2,0),1)</f>
        <v>1</v>
      </c>
      <c r="J37" t="str">
        <f t="shared" si="0"/>
        <v/>
      </c>
      <c r="K37" t="str">
        <f>IF(J37&lt;&gt;"",SUM($J$2:J37),"")</f>
        <v/>
      </c>
      <c r="L37">
        <f ca="1" t="shared" si="1"/>
        <v>45942</v>
      </c>
    </row>
    <row r="38" spans="9:12">
      <c r="I38">
        <f>IFERROR(VLOOKUP(H38,Rates!$A$2:$B$3,2,0),1)</f>
        <v>1</v>
      </c>
      <c r="J38" t="str">
        <f t="shared" si="0"/>
        <v/>
      </c>
      <c r="K38" t="str">
        <f>IF(J38&lt;&gt;"",SUM($J$2:J38),"")</f>
        <v/>
      </c>
      <c r="L38">
        <f ca="1" t="shared" si="1"/>
        <v>45942</v>
      </c>
    </row>
    <row r="39" spans="9:12">
      <c r="I39">
        <f>IFERROR(VLOOKUP(H39,Rates!$A$2:$B$3,2,0),1)</f>
        <v>1</v>
      </c>
      <c r="J39" t="str">
        <f t="shared" si="0"/>
        <v/>
      </c>
      <c r="K39" t="str">
        <f>IF(J39&lt;&gt;"",SUM($J$2:J39),"")</f>
        <v/>
      </c>
      <c r="L39">
        <f ca="1" t="shared" si="1"/>
        <v>45942</v>
      </c>
    </row>
    <row r="40" spans="9:12">
      <c r="I40">
        <f>IFERROR(VLOOKUP(H40,Rates!$A$2:$B$3,2,0),1)</f>
        <v>1</v>
      </c>
      <c r="J40" t="str">
        <f t="shared" si="0"/>
        <v/>
      </c>
      <c r="K40" t="str">
        <f>IF(J40&lt;&gt;"",SUM($J$2:J40),"")</f>
        <v/>
      </c>
      <c r="L40">
        <f ca="1" t="shared" si="1"/>
        <v>45942</v>
      </c>
    </row>
    <row r="41" spans="9:12">
      <c r="I41">
        <f>IFERROR(VLOOKUP(H41,Rates!$A$2:$B$3,2,0),1)</f>
        <v>1</v>
      </c>
      <c r="J41" t="str">
        <f t="shared" si="0"/>
        <v/>
      </c>
      <c r="K41" t="str">
        <f>IF(J41&lt;&gt;"",SUM($J$2:J41),"")</f>
        <v/>
      </c>
      <c r="L41">
        <f ca="1" t="shared" si="1"/>
        <v>45942</v>
      </c>
    </row>
    <row r="42" spans="9:12">
      <c r="I42">
        <f>IFERROR(VLOOKUP(H42,Rates!$A$2:$B$3,2,0),1)</f>
        <v>1</v>
      </c>
      <c r="J42" t="str">
        <f t="shared" si="0"/>
        <v/>
      </c>
      <c r="K42" t="str">
        <f>IF(J42&lt;&gt;"",SUM($J$2:J42),"")</f>
        <v/>
      </c>
      <c r="L42">
        <f ca="1" t="shared" si="1"/>
        <v>45942</v>
      </c>
    </row>
    <row r="43" spans="9:12">
      <c r="I43">
        <f>IFERROR(VLOOKUP(H43,Rates!$A$2:$B$3,2,0),1)</f>
        <v>1</v>
      </c>
      <c r="J43" t="str">
        <f t="shared" si="0"/>
        <v/>
      </c>
      <c r="K43" t="str">
        <f>IF(J43&lt;&gt;"",SUM($J$2:J43),"")</f>
        <v/>
      </c>
      <c r="L43">
        <f ca="1" t="shared" si="1"/>
        <v>45942</v>
      </c>
    </row>
    <row r="44" spans="9:12">
      <c r="I44">
        <f>IFERROR(VLOOKUP(H44,Rates!$A$2:$B$3,2,0),1)</f>
        <v>1</v>
      </c>
      <c r="J44" t="str">
        <f t="shared" si="0"/>
        <v/>
      </c>
      <c r="K44" t="str">
        <f>IF(J44&lt;&gt;"",SUM($J$2:J44),"")</f>
        <v/>
      </c>
      <c r="L44">
        <f ca="1" t="shared" si="1"/>
        <v>45942</v>
      </c>
    </row>
    <row r="45" spans="9:12">
      <c r="I45">
        <f>IFERROR(VLOOKUP(H45,Rates!$A$2:$B$3,2,0),1)</f>
        <v>1</v>
      </c>
      <c r="J45" t="str">
        <f t="shared" si="0"/>
        <v/>
      </c>
      <c r="K45" t="str">
        <f>IF(J45&lt;&gt;"",SUM($J$2:J45),"")</f>
        <v/>
      </c>
      <c r="L45">
        <f ca="1" t="shared" si="1"/>
        <v>45942</v>
      </c>
    </row>
    <row r="46" spans="9:12">
      <c r="I46">
        <f>IFERROR(VLOOKUP(H46,Rates!$A$2:$B$3,2,0),1)</f>
        <v>1</v>
      </c>
      <c r="J46" t="str">
        <f t="shared" si="0"/>
        <v/>
      </c>
      <c r="K46" t="str">
        <f>IF(J46&lt;&gt;"",SUM($J$2:J46),"")</f>
        <v/>
      </c>
      <c r="L46">
        <f ca="1" t="shared" si="1"/>
        <v>45942</v>
      </c>
    </row>
    <row r="47" spans="9:12">
      <c r="I47">
        <f>IFERROR(VLOOKUP(H47,Rates!$A$2:$B$3,2,0),1)</f>
        <v>1</v>
      </c>
      <c r="J47" t="str">
        <f t="shared" si="0"/>
        <v/>
      </c>
      <c r="K47" t="str">
        <f>IF(J47&lt;&gt;"",SUM($J$2:J47),"")</f>
        <v/>
      </c>
      <c r="L47">
        <f ca="1" t="shared" si="1"/>
        <v>45942</v>
      </c>
    </row>
    <row r="48" spans="9:12">
      <c r="I48">
        <f>IFERROR(VLOOKUP(H48,Rates!$A$2:$B$3,2,0),1)</f>
        <v>1</v>
      </c>
      <c r="J48" t="str">
        <f t="shared" si="0"/>
        <v/>
      </c>
      <c r="K48" t="str">
        <f>IF(J48&lt;&gt;"",SUM($J$2:J48),"")</f>
        <v/>
      </c>
      <c r="L48">
        <f ca="1" t="shared" si="1"/>
        <v>45942</v>
      </c>
    </row>
    <row r="49" spans="9:12">
      <c r="I49">
        <f>IFERROR(VLOOKUP(H49,Rates!$A$2:$B$3,2,0),1)</f>
        <v>1</v>
      </c>
      <c r="J49" t="str">
        <f t="shared" si="0"/>
        <v/>
      </c>
      <c r="K49" t="str">
        <f>IF(J49&lt;&gt;"",SUM($J$2:J49),"")</f>
        <v/>
      </c>
      <c r="L49">
        <f ca="1" t="shared" si="1"/>
        <v>45942</v>
      </c>
    </row>
    <row r="50" spans="9:12">
      <c r="I50">
        <f>IFERROR(VLOOKUP(H50,Rates!$A$2:$B$3,2,0),1)</f>
        <v>1</v>
      </c>
      <c r="J50" t="str">
        <f t="shared" si="0"/>
        <v/>
      </c>
      <c r="K50" t="str">
        <f>IF(J50&lt;&gt;"",SUM($J$2:J50),"")</f>
        <v/>
      </c>
      <c r="L50">
        <f ca="1" t="shared" si="1"/>
        <v>45942</v>
      </c>
    </row>
    <row r="51" spans="9:12">
      <c r="I51">
        <f>IFERROR(VLOOKUP(H51,Rates!$A$2:$B$3,2,0),1)</f>
        <v>1</v>
      </c>
      <c r="J51" t="str">
        <f t="shared" si="0"/>
        <v/>
      </c>
      <c r="K51" t="str">
        <f>IF(J51&lt;&gt;"",SUM($J$2:J51),"")</f>
        <v/>
      </c>
      <c r="L51">
        <f ca="1" t="shared" si="1"/>
        <v>45942</v>
      </c>
    </row>
    <row r="52" spans="9:12">
      <c r="I52">
        <f>IFERROR(VLOOKUP(H52,Rates!$A$2:$B$3,2,0),1)</f>
        <v>1</v>
      </c>
      <c r="J52" t="str">
        <f t="shared" si="0"/>
        <v/>
      </c>
      <c r="K52" t="str">
        <f>IF(J52&lt;&gt;"",SUM($J$2:J52),"")</f>
        <v/>
      </c>
      <c r="L52">
        <f ca="1" t="shared" si="1"/>
        <v>45942</v>
      </c>
    </row>
    <row r="53" spans="9:12">
      <c r="I53">
        <f>IFERROR(VLOOKUP(H53,Rates!$A$2:$B$3,2,0),1)</f>
        <v>1</v>
      </c>
      <c r="J53" t="str">
        <f t="shared" si="0"/>
        <v/>
      </c>
      <c r="K53" t="str">
        <f>IF(J53&lt;&gt;"",SUM($J$2:J53),"")</f>
        <v/>
      </c>
      <c r="L53">
        <f ca="1" t="shared" si="1"/>
        <v>45942</v>
      </c>
    </row>
    <row r="54" spans="9:12">
      <c r="I54">
        <f>IFERROR(VLOOKUP(H54,Rates!$A$2:$B$3,2,0),1)</f>
        <v>1</v>
      </c>
      <c r="J54" t="str">
        <f t="shared" si="0"/>
        <v/>
      </c>
      <c r="K54" t="str">
        <f>IF(J54&lt;&gt;"",SUM($J$2:J54),"")</f>
        <v/>
      </c>
      <c r="L54">
        <f ca="1" t="shared" si="1"/>
        <v>45942</v>
      </c>
    </row>
    <row r="55" spans="9:12">
      <c r="I55">
        <f>IFERROR(VLOOKUP(H55,Rates!$A$2:$B$3,2,0),1)</f>
        <v>1</v>
      </c>
      <c r="J55" t="str">
        <f t="shared" si="0"/>
        <v/>
      </c>
      <c r="K55" t="str">
        <f>IF(J55&lt;&gt;"",SUM($J$2:J55),"")</f>
        <v/>
      </c>
      <c r="L55">
        <f ca="1" t="shared" si="1"/>
        <v>45942</v>
      </c>
    </row>
    <row r="56" spans="9:12">
      <c r="I56">
        <f>IFERROR(VLOOKUP(H56,Rates!$A$2:$B$3,2,0),1)</f>
        <v>1</v>
      </c>
      <c r="J56" t="str">
        <f t="shared" si="0"/>
        <v/>
      </c>
      <c r="K56" t="str">
        <f>IF(J56&lt;&gt;"",SUM($J$2:J56),"")</f>
        <v/>
      </c>
      <c r="L56">
        <f ca="1" t="shared" si="1"/>
        <v>45942</v>
      </c>
    </row>
    <row r="57" spans="9:12">
      <c r="I57">
        <f>IFERROR(VLOOKUP(H57,Rates!$A$2:$B$3,2,0),1)</f>
        <v>1</v>
      </c>
      <c r="J57" t="str">
        <f t="shared" si="0"/>
        <v/>
      </c>
      <c r="K57" t="str">
        <f>IF(J57&lt;&gt;"",SUM($J$2:J57),"")</f>
        <v/>
      </c>
      <c r="L57">
        <f ca="1" t="shared" si="1"/>
        <v>45942</v>
      </c>
    </row>
    <row r="58" spans="9:12">
      <c r="I58">
        <f>IFERROR(VLOOKUP(H58,Rates!$A$2:$B$3,2,0),1)</f>
        <v>1</v>
      </c>
      <c r="J58" t="str">
        <f t="shared" si="0"/>
        <v/>
      </c>
      <c r="K58" t="str">
        <f>IF(J58&lt;&gt;"",SUM($J$2:J58),"")</f>
        <v/>
      </c>
      <c r="L58">
        <f ca="1" t="shared" si="1"/>
        <v>45942</v>
      </c>
    </row>
    <row r="59" spans="9:12">
      <c r="I59">
        <f>IFERROR(VLOOKUP(H59,Rates!$A$2:$B$3,2,0),1)</f>
        <v>1</v>
      </c>
      <c r="J59" t="str">
        <f t="shared" si="0"/>
        <v/>
      </c>
      <c r="K59" t="str">
        <f>IF(J59&lt;&gt;"",SUM($J$2:J59),"")</f>
        <v/>
      </c>
      <c r="L59">
        <f ca="1" t="shared" si="1"/>
        <v>45942</v>
      </c>
    </row>
    <row r="60" spans="9:12">
      <c r="I60">
        <f>IFERROR(VLOOKUP(H60,Rates!$A$2:$B$3,2,0),1)</f>
        <v>1</v>
      </c>
      <c r="J60" t="str">
        <f t="shared" si="0"/>
        <v/>
      </c>
      <c r="K60" t="str">
        <f>IF(J60&lt;&gt;"",SUM($J$2:J60),"")</f>
        <v/>
      </c>
      <c r="L60">
        <f ca="1" t="shared" si="1"/>
        <v>45942</v>
      </c>
    </row>
    <row r="61" spans="9:12">
      <c r="I61">
        <f>IFERROR(VLOOKUP(H61,Rates!$A$2:$B$3,2,0),1)</f>
        <v>1</v>
      </c>
      <c r="J61" t="str">
        <f t="shared" si="0"/>
        <v/>
      </c>
      <c r="K61" t="str">
        <f>IF(J61&lt;&gt;"",SUM($J$2:J61),"")</f>
        <v/>
      </c>
      <c r="L61">
        <f ca="1" t="shared" si="1"/>
        <v>45942</v>
      </c>
    </row>
    <row r="62" spans="9:12">
      <c r="I62">
        <f>IFERROR(VLOOKUP(H62,Rates!$A$2:$B$3,2,0),1)</f>
        <v>1</v>
      </c>
      <c r="J62" t="str">
        <f t="shared" si="0"/>
        <v/>
      </c>
      <c r="K62" t="str">
        <f>IF(J62&lt;&gt;"",SUM($J$2:J62),"")</f>
        <v/>
      </c>
      <c r="L62">
        <f ca="1" t="shared" si="1"/>
        <v>45942</v>
      </c>
    </row>
    <row r="63" spans="9:12">
      <c r="I63">
        <f>IFERROR(VLOOKUP(H63,Rates!$A$2:$B$3,2,0),1)</f>
        <v>1</v>
      </c>
      <c r="J63" t="str">
        <f t="shared" si="0"/>
        <v/>
      </c>
      <c r="K63" t="str">
        <f>IF(J63&lt;&gt;"",SUM($J$2:J63),"")</f>
        <v/>
      </c>
      <c r="L63">
        <f ca="1" t="shared" si="1"/>
        <v>45942</v>
      </c>
    </row>
    <row r="64" spans="9:12">
      <c r="I64">
        <f>IFERROR(VLOOKUP(H64,Rates!$A$2:$B$3,2,0),1)</f>
        <v>1</v>
      </c>
      <c r="J64" t="str">
        <f t="shared" si="0"/>
        <v/>
      </c>
      <c r="K64" t="str">
        <f>IF(J64&lt;&gt;"",SUM($J$2:J64),"")</f>
        <v/>
      </c>
      <c r="L64">
        <f ca="1" t="shared" si="1"/>
        <v>45942</v>
      </c>
    </row>
    <row r="65" spans="9:12">
      <c r="I65">
        <f>IFERROR(VLOOKUP(H65,Rates!$A$2:$B$3,2,0),1)</f>
        <v>1</v>
      </c>
      <c r="J65" t="str">
        <f t="shared" si="0"/>
        <v/>
      </c>
      <c r="K65" t="str">
        <f>IF(J65&lt;&gt;"",SUM($J$2:J65),"")</f>
        <v/>
      </c>
      <c r="L65">
        <f ca="1" t="shared" si="1"/>
        <v>45942</v>
      </c>
    </row>
    <row r="66" spans="9:12">
      <c r="I66">
        <f>IFERROR(VLOOKUP(H66,Rates!$A$2:$B$3,2,0),1)</f>
        <v>1</v>
      </c>
      <c r="J66" t="str">
        <f t="shared" ref="J66:J129" si="2">IF(G66&lt;&gt;"",G66*I66,"")</f>
        <v/>
      </c>
      <c r="K66" t="str">
        <f>IF(J66&lt;&gt;"",SUM($J$2:J66),"")</f>
        <v/>
      </c>
      <c r="L66">
        <f ca="1" t="shared" ref="L66:L129" si="3">IF(COUNTA(A66:K66)&gt;0,TODAY(),"")</f>
        <v>45942</v>
      </c>
    </row>
    <row r="67" spans="9:12">
      <c r="I67">
        <f>IFERROR(VLOOKUP(H67,Rates!$A$2:$B$3,2,0),1)</f>
        <v>1</v>
      </c>
      <c r="J67" t="str">
        <f t="shared" si="2"/>
        <v/>
      </c>
      <c r="K67" t="str">
        <f>IF(J67&lt;&gt;"",SUM($J$2:J67),"")</f>
        <v/>
      </c>
      <c r="L67">
        <f ca="1" t="shared" si="3"/>
        <v>45942</v>
      </c>
    </row>
    <row r="68" spans="9:12">
      <c r="I68">
        <f>IFERROR(VLOOKUP(H68,Rates!$A$2:$B$3,2,0),1)</f>
        <v>1</v>
      </c>
      <c r="J68" t="str">
        <f t="shared" si="2"/>
        <v/>
      </c>
      <c r="K68" t="str">
        <f>IF(J68&lt;&gt;"",SUM($J$2:J68),"")</f>
        <v/>
      </c>
      <c r="L68">
        <f ca="1" t="shared" si="3"/>
        <v>45942</v>
      </c>
    </row>
    <row r="69" spans="9:12">
      <c r="I69">
        <f>IFERROR(VLOOKUP(H69,Rates!$A$2:$B$3,2,0),1)</f>
        <v>1</v>
      </c>
      <c r="J69" t="str">
        <f t="shared" si="2"/>
        <v/>
      </c>
      <c r="K69" t="str">
        <f>IF(J69&lt;&gt;"",SUM($J$2:J69),"")</f>
        <v/>
      </c>
      <c r="L69">
        <f ca="1" t="shared" si="3"/>
        <v>45942</v>
      </c>
    </row>
    <row r="70" spans="9:12">
      <c r="I70">
        <f>IFERROR(VLOOKUP(H70,Rates!$A$2:$B$3,2,0),1)</f>
        <v>1</v>
      </c>
      <c r="J70" t="str">
        <f t="shared" si="2"/>
        <v/>
      </c>
      <c r="K70" t="str">
        <f>IF(J70&lt;&gt;"",SUM($J$2:J70),"")</f>
        <v/>
      </c>
      <c r="L70">
        <f ca="1" t="shared" si="3"/>
        <v>45942</v>
      </c>
    </row>
    <row r="71" spans="9:12">
      <c r="I71">
        <f>IFERROR(VLOOKUP(H71,Rates!$A$2:$B$3,2,0),1)</f>
        <v>1</v>
      </c>
      <c r="J71" t="str">
        <f t="shared" si="2"/>
        <v/>
      </c>
      <c r="K71" t="str">
        <f>IF(J71&lt;&gt;"",SUM($J$2:J71),"")</f>
        <v/>
      </c>
      <c r="L71">
        <f ca="1" t="shared" si="3"/>
        <v>45942</v>
      </c>
    </row>
    <row r="72" spans="9:12">
      <c r="I72">
        <f>IFERROR(VLOOKUP(H72,Rates!$A$2:$B$3,2,0),1)</f>
        <v>1</v>
      </c>
      <c r="J72" t="str">
        <f t="shared" si="2"/>
        <v/>
      </c>
      <c r="K72" t="str">
        <f>IF(J72&lt;&gt;"",SUM($J$2:J72),"")</f>
        <v/>
      </c>
      <c r="L72">
        <f ca="1" t="shared" si="3"/>
        <v>45942</v>
      </c>
    </row>
    <row r="73" spans="9:12">
      <c r="I73">
        <f>IFERROR(VLOOKUP(H73,Rates!$A$2:$B$3,2,0),1)</f>
        <v>1</v>
      </c>
      <c r="J73" t="str">
        <f t="shared" si="2"/>
        <v/>
      </c>
      <c r="K73" t="str">
        <f>IF(J73&lt;&gt;"",SUM($J$2:J73),"")</f>
        <v/>
      </c>
      <c r="L73">
        <f ca="1" t="shared" si="3"/>
        <v>45942</v>
      </c>
    </row>
    <row r="74" spans="9:12">
      <c r="I74">
        <f>IFERROR(VLOOKUP(H74,Rates!$A$2:$B$3,2,0),1)</f>
        <v>1</v>
      </c>
      <c r="J74" t="str">
        <f t="shared" si="2"/>
        <v/>
      </c>
      <c r="K74" t="str">
        <f>IF(J74&lt;&gt;"",SUM($J$2:J74),"")</f>
        <v/>
      </c>
      <c r="L74">
        <f ca="1" t="shared" si="3"/>
        <v>45942</v>
      </c>
    </row>
    <row r="75" spans="9:12">
      <c r="I75">
        <f>IFERROR(VLOOKUP(H75,Rates!$A$2:$B$3,2,0),1)</f>
        <v>1</v>
      </c>
      <c r="J75" t="str">
        <f t="shared" si="2"/>
        <v/>
      </c>
      <c r="K75" t="str">
        <f>IF(J75&lt;&gt;"",SUM($J$2:J75),"")</f>
        <v/>
      </c>
      <c r="L75">
        <f ca="1" t="shared" si="3"/>
        <v>45942</v>
      </c>
    </row>
    <row r="76" spans="9:12">
      <c r="I76">
        <f>IFERROR(VLOOKUP(H76,Rates!$A$2:$B$3,2,0),1)</f>
        <v>1</v>
      </c>
      <c r="J76" t="str">
        <f t="shared" si="2"/>
        <v/>
      </c>
      <c r="K76" t="str">
        <f>IF(J76&lt;&gt;"",SUM($J$2:J76),"")</f>
        <v/>
      </c>
      <c r="L76">
        <f ca="1" t="shared" si="3"/>
        <v>45942</v>
      </c>
    </row>
    <row r="77" spans="9:12">
      <c r="I77">
        <f>IFERROR(VLOOKUP(H77,Rates!$A$2:$B$3,2,0),1)</f>
        <v>1</v>
      </c>
      <c r="J77" t="str">
        <f t="shared" si="2"/>
        <v/>
      </c>
      <c r="K77" t="str">
        <f>IF(J77&lt;&gt;"",SUM($J$2:J77),"")</f>
        <v/>
      </c>
      <c r="L77">
        <f ca="1" t="shared" si="3"/>
        <v>45942</v>
      </c>
    </row>
    <row r="78" spans="9:12">
      <c r="I78">
        <f>IFERROR(VLOOKUP(H78,Rates!$A$2:$B$3,2,0),1)</f>
        <v>1</v>
      </c>
      <c r="J78" t="str">
        <f t="shared" si="2"/>
        <v/>
      </c>
      <c r="K78" t="str">
        <f>IF(J78&lt;&gt;"",SUM($J$2:J78),"")</f>
        <v/>
      </c>
      <c r="L78">
        <f ca="1" t="shared" si="3"/>
        <v>45942</v>
      </c>
    </row>
    <row r="79" spans="9:12">
      <c r="I79">
        <f>IFERROR(VLOOKUP(H79,Rates!$A$2:$B$3,2,0),1)</f>
        <v>1</v>
      </c>
      <c r="J79" t="str">
        <f t="shared" si="2"/>
        <v/>
      </c>
      <c r="K79" t="str">
        <f>IF(J79&lt;&gt;"",SUM($J$2:J79),"")</f>
        <v/>
      </c>
      <c r="L79">
        <f ca="1" t="shared" si="3"/>
        <v>45942</v>
      </c>
    </row>
    <row r="80" spans="9:12">
      <c r="I80">
        <f>IFERROR(VLOOKUP(H80,Rates!$A$2:$B$3,2,0),1)</f>
        <v>1</v>
      </c>
      <c r="J80" t="str">
        <f t="shared" si="2"/>
        <v/>
      </c>
      <c r="K80" t="str">
        <f>IF(J80&lt;&gt;"",SUM($J$2:J80),"")</f>
        <v/>
      </c>
      <c r="L80">
        <f ca="1" t="shared" si="3"/>
        <v>45942</v>
      </c>
    </row>
    <row r="81" spans="9:12">
      <c r="I81">
        <f>IFERROR(VLOOKUP(H81,Rates!$A$2:$B$3,2,0),1)</f>
        <v>1</v>
      </c>
      <c r="J81" t="str">
        <f t="shared" si="2"/>
        <v/>
      </c>
      <c r="K81" t="str">
        <f>IF(J81&lt;&gt;"",SUM($J$2:J81),"")</f>
        <v/>
      </c>
      <c r="L81">
        <f ca="1" t="shared" si="3"/>
        <v>45942</v>
      </c>
    </row>
    <row r="82" spans="9:12">
      <c r="I82">
        <f>IFERROR(VLOOKUP(H82,Rates!$A$2:$B$3,2,0),1)</f>
        <v>1</v>
      </c>
      <c r="J82" t="str">
        <f t="shared" si="2"/>
        <v/>
      </c>
      <c r="K82" t="str">
        <f>IF(J82&lt;&gt;"",SUM($J$2:J82),"")</f>
        <v/>
      </c>
      <c r="L82">
        <f ca="1" t="shared" si="3"/>
        <v>45942</v>
      </c>
    </row>
    <row r="83" spans="9:12">
      <c r="I83">
        <f>IFERROR(VLOOKUP(H83,Rates!$A$2:$B$3,2,0),1)</f>
        <v>1</v>
      </c>
      <c r="J83" t="str">
        <f t="shared" si="2"/>
        <v/>
      </c>
      <c r="K83" t="str">
        <f>IF(J83&lt;&gt;"",SUM($J$2:J83),"")</f>
        <v/>
      </c>
      <c r="L83">
        <f ca="1" t="shared" si="3"/>
        <v>45942</v>
      </c>
    </row>
    <row r="84" spans="9:12">
      <c r="I84">
        <f>IFERROR(VLOOKUP(H84,Rates!$A$2:$B$3,2,0),1)</f>
        <v>1</v>
      </c>
      <c r="J84" t="str">
        <f t="shared" si="2"/>
        <v/>
      </c>
      <c r="K84" t="str">
        <f>IF(J84&lt;&gt;"",SUM($J$2:J84),"")</f>
        <v/>
      </c>
      <c r="L84">
        <f ca="1" t="shared" si="3"/>
        <v>45942</v>
      </c>
    </row>
    <row r="85" spans="9:12">
      <c r="I85">
        <f>IFERROR(VLOOKUP(H85,Rates!$A$2:$B$3,2,0),1)</f>
        <v>1</v>
      </c>
      <c r="J85" t="str">
        <f t="shared" si="2"/>
        <v/>
      </c>
      <c r="K85" t="str">
        <f>IF(J85&lt;&gt;"",SUM($J$2:J85),"")</f>
        <v/>
      </c>
      <c r="L85">
        <f ca="1" t="shared" si="3"/>
        <v>45942</v>
      </c>
    </row>
    <row r="86" spans="9:12">
      <c r="I86">
        <f>IFERROR(VLOOKUP(H86,Rates!$A$2:$B$3,2,0),1)</f>
        <v>1</v>
      </c>
      <c r="J86" t="str">
        <f t="shared" si="2"/>
        <v/>
      </c>
      <c r="K86" t="str">
        <f>IF(J86&lt;&gt;"",SUM($J$2:J86),"")</f>
        <v/>
      </c>
      <c r="L86">
        <f ca="1" t="shared" si="3"/>
        <v>45942</v>
      </c>
    </row>
    <row r="87" spans="9:12">
      <c r="I87">
        <f>IFERROR(VLOOKUP(H87,Rates!$A$2:$B$3,2,0),1)</f>
        <v>1</v>
      </c>
      <c r="J87" t="str">
        <f t="shared" si="2"/>
        <v/>
      </c>
      <c r="K87" t="str">
        <f>IF(J87&lt;&gt;"",SUM($J$2:J87),"")</f>
        <v/>
      </c>
      <c r="L87">
        <f ca="1" t="shared" si="3"/>
        <v>45942</v>
      </c>
    </row>
    <row r="88" spans="9:12">
      <c r="I88">
        <f>IFERROR(VLOOKUP(H88,Rates!$A$2:$B$3,2,0),1)</f>
        <v>1</v>
      </c>
      <c r="J88" t="str">
        <f t="shared" si="2"/>
        <v/>
      </c>
      <c r="K88" t="str">
        <f>IF(J88&lt;&gt;"",SUM($J$2:J88),"")</f>
        <v/>
      </c>
      <c r="L88">
        <f ca="1" t="shared" si="3"/>
        <v>45942</v>
      </c>
    </row>
    <row r="89" spans="9:12">
      <c r="I89">
        <f>IFERROR(VLOOKUP(H89,Rates!$A$2:$B$3,2,0),1)</f>
        <v>1</v>
      </c>
      <c r="J89" t="str">
        <f t="shared" si="2"/>
        <v/>
      </c>
      <c r="K89" t="str">
        <f>IF(J89&lt;&gt;"",SUM($J$2:J89),"")</f>
        <v/>
      </c>
      <c r="L89">
        <f ca="1" t="shared" si="3"/>
        <v>45942</v>
      </c>
    </row>
    <row r="90" spans="9:12">
      <c r="I90">
        <f>IFERROR(VLOOKUP(H90,Rates!$A$2:$B$3,2,0),1)</f>
        <v>1</v>
      </c>
      <c r="J90" t="str">
        <f t="shared" si="2"/>
        <v/>
      </c>
      <c r="K90" t="str">
        <f>IF(J90&lt;&gt;"",SUM($J$2:J90),"")</f>
        <v/>
      </c>
      <c r="L90">
        <f ca="1" t="shared" si="3"/>
        <v>45942</v>
      </c>
    </row>
    <row r="91" spans="9:12">
      <c r="I91">
        <f>IFERROR(VLOOKUP(H91,Rates!$A$2:$B$3,2,0),1)</f>
        <v>1</v>
      </c>
      <c r="J91" t="str">
        <f t="shared" si="2"/>
        <v/>
      </c>
      <c r="K91" t="str">
        <f>IF(J91&lt;&gt;"",SUM($J$2:J91),"")</f>
        <v/>
      </c>
      <c r="L91">
        <f ca="1" t="shared" si="3"/>
        <v>45942</v>
      </c>
    </row>
    <row r="92" spans="9:12">
      <c r="I92">
        <f>IFERROR(VLOOKUP(H92,Rates!$A$2:$B$3,2,0),1)</f>
        <v>1</v>
      </c>
      <c r="J92" t="str">
        <f t="shared" si="2"/>
        <v/>
      </c>
      <c r="K92" t="str">
        <f>IF(J92&lt;&gt;"",SUM($J$2:J92),"")</f>
        <v/>
      </c>
      <c r="L92">
        <f ca="1" t="shared" si="3"/>
        <v>45942</v>
      </c>
    </row>
    <row r="93" spans="9:12">
      <c r="I93">
        <f>IFERROR(VLOOKUP(H93,Rates!$A$2:$B$3,2,0),1)</f>
        <v>1</v>
      </c>
      <c r="J93" t="str">
        <f t="shared" si="2"/>
        <v/>
      </c>
      <c r="K93" t="str">
        <f>IF(J93&lt;&gt;"",SUM($J$2:J93),"")</f>
        <v/>
      </c>
      <c r="L93">
        <f ca="1" t="shared" si="3"/>
        <v>45942</v>
      </c>
    </row>
    <row r="94" spans="9:12">
      <c r="I94">
        <f>IFERROR(VLOOKUP(H94,Rates!$A$2:$B$3,2,0),1)</f>
        <v>1</v>
      </c>
      <c r="J94" t="str">
        <f t="shared" si="2"/>
        <v/>
      </c>
      <c r="K94" t="str">
        <f>IF(J94&lt;&gt;"",SUM($J$2:J94),"")</f>
        <v/>
      </c>
      <c r="L94">
        <f ca="1" t="shared" si="3"/>
        <v>45942</v>
      </c>
    </row>
    <row r="95" spans="9:12">
      <c r="I95">
        <f>IFERROR(VLOOKUP(H95,Rates!$A$2:$B$3,2,0),1)</f>
        <v>1</v>
      </c>
      <c r="J95" t="str">
        <f t="shared" si="2"/>
        <v/>
      </c>
      <c r="K95" t="str">
        <f>IF(J95&lt;&gt;"",SUM($J$2:J95),"")</f>
        <v/>
      </c>
      <c r="L95">
        <f ca="1" t="shared" si="3"/>
        <v>45942</v>
      </c>
    </row>
    <row r="96" spans="9:12">
      <c r="I96">
        <f>IFERROR(VLOOKUP(H96,Rates!$A$2:$B$3,2,0),1)</f>
        <v>1</v>
      </c>
      <c r="J96" t="str">
        <f t="shared" si="2"/>
        <v/>
      </c>
      <c r="K96" t="str">
        <f>IF(J96&lt;&gt;"",SUM($J$2:J96),"")</f>
        <v/>
      </c>
      <c r="L96">
        <f ca="1" t="shared" si="3"/>
        <v>45942</v>
      </c>
    </row>
    <row r="97" spans="9:12">
      <c r="I97">
        <f>IFERROR(VLOOKUP(H97,Rates!$A$2:$B$3,2,0),1)</f>
        <v>1</v>
      </c>
      <c r="J97" t="str">
        <f t="shared" si="2"/>
        <v/>
      </c>
      <c r="K97" t="str">
        <f>IF(J97&lt;&gt;"",SUM($J$2:J97),"")</f>
        <v/>
      </c>
      <c r="L97">
        <f ca="1" t="shared" si="3"/>
        <v>45942</v>
      </c>
    </row>
    <row r="98" spans="9:12">
      <c r="I98">
        <f>IFERROR(VLOOKUP(H98,Rates!$A$2:$B$3,2,0),1)</f>
        <v>1</v>
      </c>
      <c r="J98" t="str">
        <f t="shared" si="2"/>
        <v/>
      </c>
      <c r="K98" t="str">
        <f>IF(J98&lt;&gt;"",SUM($J$2:J98),"")</f>
        <v/>
      </c>
      <c r="L98">
        <f ca="1" t="shared" si="3"/>
        <v>45942</v>
      </c>
    </row>
    <row r="99" spans="9:12">
      <c r="I99">
        <f>IFERROR(VLOOKUP(H99,Rates!$A$2:$B$3,2,0),1)</f>
        <v>1</v>
      </c>
      <c r="J99" t="str">
        <f t="shared" si="2"/>
        <v/>
      </c>
      <c r="K99" t="str">
        <f>IF(J99&lt;&gt;"",SUM($J$2:J99),"")</f>
        <v/>
      </c>
      <c r="L99">
        <f ca="1" t="shared" si="3"/>
        <v>45942</v>
      </c>
    </row>
    <row r="100" spans="9:12">
      <c r="I100">
        <f>IFERROR(VLOOKUP(H100,Rates!$A$2:$B$3,2,0),1)</f>
        <v>1</v>
      </c>
      <c r="J100" t="str">
        <f t="shared" si="2"/>
        <v/>
      </c>
      <c r="K100" t="str">
        <f>IF(J100&lt;&gt;"",SUM($J$2:J100),"")</f>
        <v/>
      </c>
      <c r="L100">
        <f ca="1" t="shared" si="3"/>
        <v>45942</v>
      </c>
    </row>
    <row r="101" spans="9:12">
      <c r="I101">
        <f>IFERROR(VLOOKUP(H101,Rates!$A$2:$B$3,2,0),1)</f>
        <v>1</v>
      </c>
      <c r="J101" t="str">
        <f t="shared" si="2"/>
        <v/>
      </c>
      <c r="K101" t="str">
        <f>IF(J101&lt;&gt;"",SUM($J$2:J101),"")</f>
        <v/>
      </c>
      <c r="L101">
        <f ca="1" t="shared" si="3"/>
        <v>45942</v>
      </c>
    </row>
    <row r="102" spans="9:12">
      <c r="I102">
        <f>IFERROR(VLOOKUP(H102,Rates!$A$2:$B$3,2,0),1)</f>
        <v>1</v>
      </c>
      <c r="J102" t="str">
        <f t="shared" si="2"/>
        <v/>
      </c>
      <c r="K102" t="str">
        <f>IF(J102&lt;&gt;"",SUM($J$2:J102),"")</f>
        <v/>
      </c>
      <c r="L102">
        <f ca="1" t="shared" si="3"/>
        <v>45942</v>
      </c>
    </row>
    <row r="103" spans="9:12">
      <c r="I103">
        <f>IFERROR(VLOOKUP(H103,Rates!$A$2:$B$3,2,0),1)</f>
        <v>1</v>
      </c>
      <c r="J103" t="str">
        <f t="shared" si="2"/>
        <v/>
      </c>
      <c r="K103" t="str">
        <f>IF(J103&lt;&gt;"",SUM($J$2:J103),"")</f>
        <v/>
      </c>
      <c r="L103">
        <f ca="1" t="shared" si="3"/>
        <v>45942</v>
      </c>
    </row>
    <row r="104" spans="9:12">
      <c r="I104">
        <f>IFERROR(VLOOKUP(H104,Rates!$A$2:$B$3,2,0),1)</f>
        <v>1</v>
      </c>
      <c r="J104" t="str">
        <f t="shared" si="2"/>
        <v/>
      </c>
      <c r="K104" t="str">
        <f>IF(J104&lt;&gt;"",SUM($J$2:J104),"")</f>
        <v/>
      </c>
      <c r="L104">
        <f ca="1" t="shared" si="3"/>
        <v>45942</v>
      </c>
    </row>
    <row r="105" spans="9:12">
      <c r="I105">
        <f>IFERROR(VLOOKUP(H105,Rates!$A$2:$B$3,2,0),1)</f>
        <v>1</v>
      </c>
      <c r="J105" t="str">
        <f t="shared" si="2"/>
        <v/>
      </c>
      <c r="K105" t="str">
        <f>IF(J105&lt;&gt;"",SUM($J$2:J105),"")</f>
        <v/>
      </c>
      <c r="L105">
        <f ca="1" t="shared" si="3"/>
        <v>45942</v>
      </c>
    </row>
    <row r="106" spans="9:12">
      <c r="I106">
        <f>IFERROR(VLOOKUP(H106,Rates!$A$2:$B$3,2,0),1)</f>
        <v>1</v>
      </c>
      <c r="J106" t="str">
        <f t="shared" si="2"/>
        <v/>
      </c>
      <c r="K106" t="str">
        <f>IF(J106&lt;&gt;"",SUM($J$2:J106),"")</f>
        <v/>
      </c>
      <c r="L106">
        <f ca="1" t="shared" si="3"/>
        <v>45942</v>
      </c>
    </row>
    <row r="107" spans="9:12">
      <c r="I107">
        <f>IFERROR(VLOOKUP(H107,Rates!$A$2:$B$3,2,0),1)</f>
        <v>1</v>
      </c>
      <c r="J107" t="str">
        <f t="shared" si="2"/>
        <v/>
      </c>
      <c r="K107" t="str">
        <f>IF(J107&lt;&gt;"",SUM($J$2:J107),"")</f>
        <v/>
      </c>
      <c r="L107">
        <f ca="1" t="shared" si="3"/>
        <v>45942</v>
      </c>
    </row>
    <row r="108" spans="9:12">
      <c r="I108">
        <f>IFERROR(VLOOKUP(H108,Rates!$A$2:$B$3,2,0),1)</f>
        <v>1</v>
      </c>
      <c r="J108" t="str">
        <f t="shared" si="2"/>
        <v/>
      </c>
      <c r="K108" t="str">
        <f>IF(J108&lt;&gt;"",SUM($J$2:J108),"")</f>
        <v/>
      </c>
      <c r="L108">
        <f ca="1" t="shared" si="3"/>
        <v>45942</v>
      </c>
    </row>
    <row r="109" spans="9:12">
      <c r="I109">
        <f>IFERROR(VLOOKUP(H109,Rates!$A$2:$B$3,2,0),1)</f>
        <v>1</v>
      </c>
      <c r="J109" t="str">
        <f t="shared" si="2"/>
        <v/>
      </c>
      <c r="K109" t="str">
        <f>IF(J109&lt;&gt;"",SUM($J$2:J109),"")</f>
        <v/>
      </c>
      <c r="L109">
        <f ca="1" t="shared" si="3"/>
        <v>45942</v>
      </c>
    </row>
    <row r="110" spans="9:12">
      <c r="I110">
        <f>IFERROR(VLOOKUP(H110,Rates!$A$2:$B$3,2,0),1)</f>
        <v>1</v>
      </c>
      <c r="J110" t="str">
        <f t="shared" si="2"/>
        <v/>
      </c>
      <c r="K110" t="str">
        <f>IF(J110&lt;&gt;"",SUM($J$2:J110),"")</f>
        <v/>
      </c>
      <c r="L110">
        <f ca="1" t="shared" si="3"/>
        <v>45942</v>
      </c>
    </row>
    <row r="111" spans="9:12">
      <c r="I111">
        <f>IFERROR(VLOOKUP(H111,Rates!$A$2:$B$3,2,0),1)</f>
        <v>1</v>
      </c>
      <c r="J111" t="str">
        <f t="shared" si="2"/>
        <v/>
      </c>
      <c r="K111" t="str">
        <f>IF(J111&lt;&gt;"",SUM($J$2:J111),"")</f>
        <v/>
      </c>
      <c r="L111">
        <f ca="1" t="shared" si="3"/>
        <v>45942</v>
      </c>
    </row>
    <row r="112" spans="9:12">
      <c r="I112">
        <f>IFERROR(VLOOKUP(H112,Rates!$A$2:$B$3,2,0),1)</f>
        <v>1</v>
      </c>
      <c r="J112" t="str">
        <f t="shared" si="2"/>
        <v/>
      </c>
      <c r="K112" t="str">
        <f>IF(J112&lt;&gt;"",SUM($J$2:J112),"")</f>
        <v/>
      </c>
      <c r="L112">
        <f ca="1" t="shared" si="3"/>
        <v>45942</v>
      </c>
    </row>
    <row r="113" spans="9:12">
      <c r="I113">
        <f>IFERROR(VLOOKUP(H113,Rates!$A$2:$B$3,2,0),1)</f>
        <v>1</v>
      </c>
      <c r="J113" t="str">
        <f t="shared" si="2"/>
        <v/>
      </c>
      <c r="K113" t="str">
        <f>IF(J113&lt;&gt;"",SUM($J$2:J113),"")</f>
        <v/>
      </c>
      <c r="L113">
        <f ca="1" t="shared" si="3"/>
        <v>45942</v>
      </c>
    </row>
    <row r="114" spans="9:12">
      <c r="I114">
        <f>IFERROR(VLOOKUP(H114,Rates!$A$2:$B$3,2,0),1)</f>
        <v>1</v>
      </c>
      <c r="J114" t="str">
        <f t="shared" si="2"/>
        <v/>
      </c>
      <c r="K114" t="str">
        <f>IF(J114&lt;&gt;"",SUM($J$2:J114),"")</f>
        <v/>
      </c>
      <c r="L114">
        <f ca="1" t="shared" si="3"/>
        <v>45942</v>
      </c>
    </row>
    <row r="115" spans="9:12">
      <c r="I115">
        <f>IFERROR(VLOOKUP(H115,Rates!$A$2:$B$3,2,0),1)</f>
        <v>1</v>
      </c>
      <c r="J115" t="str">
        <f t="shared" si="2"/>
        <v/>
      </c>
      <c r="K115" t="str">
        <f>IF(J115&lt;&gt;"",SUM($J$2:J115),"")</f>
        <v/>
      </c>
      <c r="L115">
        <f ca="1" t="shared" si="3"/>
        <v>45942</v>
      </c>
    </row>
    <row r="116" spans="9:12">
      <c r="I116">
        <f>IFERROR(VLOOKUP(H116,Rates!$A$2:$B$3,2,0),1)</f>
        <v>1</v>
      </c>
      <c r="J116" t="str">
        <f t="shared" si="2"/>
        <v/>
      </c>
      <c r="K116" t="str">
        <f>IF(J116&lt;&gt;"",SUM($J$2:J116),"")</f>
        <v/>
      </c>
      <c r="L116">
        <f ca="1" t="shared" si="3"/>
        <v>45942</v>
      </c>
    </row>
    <row r="117" spans="9:12">
      <c r="I117">
        <f>IFERROR(VLOOKUP(H117,Rates!$A$2:$B$3,2,0),1)</f>
        <v>1</v>
      </c>
      <c r="J117" t="str">
        <f t="shared" si="2"/>
        <v/>
      </c>
      <c r="K117" t="str">
        <f>IF(J117&lt;&gt;"",SUM($J$2:J117),"")</f>
        <v/>
      </c>
      <c r="L117">
        <f ca="1" t="shared" si="3"/>
        <v>45942</v>
      </c>
    </row>
    <row r="118" spans="9:12">
      <c r="I118">
        <f>IFERROR(VLOOKUP(H118,Rates!$A$2:$B$3,2,0),1)</f>
        <v>1</v>
      </c>
      <c r="J118" t="str">
        <f t="shared" si="2"/>
        <v/>
      </c>
      <c r="K118" t="str">
        <f>IF(J118&lt;&gt;"",SUM($J$2:J118),"")</f>
        <v/>
      </c>
      <c r="L118">
        <f ca="1" t="shared" si="3"/>
        <v>45942</v>
      </c>
    </row>
    <row r="119" spans="9:12">
      <c r="I119">
        <f>IFERROR(VLOOKUP(H119,Rates!$A$2:$B$3,2,0),1)</f>
        <v>1</v>
      </c>
      <c r="J119" t="str">
        <f t="shared" si="2"/>
        <v/>
      </c>
      <c r="K119" t="str">
        <f>IF(J119&lt;&gt;"",SUM($J$2:J119),"")</f>
        <v/>
      </c>
      <c r="L119">
        <f ca="1" t="shared" si="3"/>
        <v>45942</v>
      </c>
    </row>
    <row r="120" spans="9:12">
      <c r="I120">
        <f>IFERROR(VLOOKUP(H120,Rates!$A$2:$B$3,2,0),1)</f>
        <v>1</v>
      </c>
      <c r="J120" t="str">
        <f t="shared" si="2"/>
        <v/>
      </c>
      <c r="K120" t="str">
        <f>IF(J120&lt;&gt;"",SUM($J$2:J120),"")</f>
        <v/>
      </c>
      <c r="L120">
        <f ca="1" t="shared" si="3"/>
        <v>45942</v>
      </c>
    </row>
    <row r="121" spans="9:12">
      <c r="I121">
        <f>IFERROR(VLOOKUP(H121,Rates!$A$2:$B$3,2,0),1)</f>
        <v>1</v>
      </c>
      <c r="J121" t="str">
        <f t="shared" si="2"/>
        <v/>
      </c>
      <c r="K121" t="str">
        <f>IF(J121&lt;&gt;"",SUM($J$2:J121),"")</f>
        <v/>
      </c>
      <c r="L121">
        <f ca="1" t="shared" si="3"/>
        <v>45942</v>
      </c>
    </row>
    <row r="122" spans="9:12">
      <c r="I122">
        <f>IFERROR(VLOOKUP(H122,Rates!$A$2:$B$3,2,0),1)</f>
        <v>1</v>
      </c>
      <c r="J122" t="str">
        <f t="shared" si="2"/>
        <v/>
      </c>
      <c r="K122" t="str">
        <f>IF(J122&lt;&gt;"",SUM($J$2:J122),"")</f>
        <v/>
      </c>
      <c r="L122">
        <f ca="1" t="shared" si="3"/>
        <v>45942</v>
      </c>
    </row>
    <row r="123" spans="9:12">
      <c r="I123">
        <f>IFERROR(VLOOKUP(H123,Rates!$A$2:$B$3,2,0),1)</f>
        <v>1</v>
      </c>
      <c r="J123" t="str">
        <f t="shared" si="2"/>
        <v/>
      </c>
      <c r="K123" t="str">
        <f>IF(J123&lt;&gt;"",SUM($J$2:J123),"")</f>
        <v/>
      </c>
      <c r="L123">
        <f ca="1" t="shared" si="3"/>
        <v>45942</v>
      </c>
    </row>
    <row r="124" spans="9:12">
      <c r="I124">
        <f>IFERROR(VLOOKUP(H124,Rates!$A$2:$B$3,2,0),1)</f>
        <v>1</v>
      </c>
      <c r="J124" t="str">
        <f t="shared" si="2"/>
        <v/>
      </c>
      <c r="K124" t="str">
        <f>IF(J124&lt;&gt;"",SUM($J$2:J124),"")</f>
        <v/>
      </c>
      <c r="L124">
        <f ca="1" t="shared" si="3"/>
        <v>45942</v>
      </c>
    </row>
    <row r="125" spans="9:12">
      <c r="I125">
        <f>IFERROR(VLOOKUP(H125,Rates!$A$2:$B$3,2,0),1)</f>
        <v>1</v>
      </c>
      <c r="J125" t="str">
        <f t="shared" si="2"/>
        <v/>
      </c>
      <c r="K125" t="str">
        <f>IF(J125&lt;&gt;"",SUM($J$2:J125),"")</f>
        <v/>
      </c>
      <c r="L125">
        <f ca="1" t="shared" si="3"/>
        <v>45942</v>
      </c>
    </row>
    <row r="126" spans="9:12">
      <c r="I126">
        <f>IFERROR(VLOOKUP(H126,Rates!$A$2:$B$3,2,0),1)</f>
        <v>1</v>
      </c>
      <c r="J126" t="str">
        <f t="shared" si="2"/>
        <v/>
      </c>
      <c r="K126" t="str">
        <f>IF(J126&lt;&gt;"",SUM($J$2:J126),"")</f>
        <v/>
      </c>
      <c r="L126">
        <f ca="1" t="shared" si="3"/>
        <v>45942</v>
      </c>
    </row>
    <row r="127" spans="9:12">
      <c r="I127">
        <f>IFERROR(VLOOKUP(H127,Rates!$A$2:$B$3,2,0),1)</f>
        <v>1</v>
      </c>
      <c r="J127" t="str">
        <f t="shared" si="2"/>
        <v/>
      </c>
      <c r="K127" t="str">
        <f>IF(J127&lt;&gt;"",SUM($J$2:J127),"")</f>
        <v/>
      </c>
      <c r="L127">
        <f ca="1" t="shared" si="3"/>
        <v>45942</v>
      </c>
    </row>
    <row r="128" spans="9:12">
      <c r="I128">
        <f>IFERROR(VLOOKUP(H128,Rates!$A$2:$B$3,2,0),1)</f>
        <v>1</v>
      </c>
      <c r="J128" t="str">
        <f t="shared" si="2"/>
        <v/>
      </c>
      <c r="K128" t="str">
        <f>IF(J128&lt;&gt;"",SUM($J$2:J128),"")</f>
        <v/>
      </c>
      <c r="L128">
        <f ca="1" t="shared" si="3"/>
        <v>45942</v>
      </c>
    </row>
    <row r="129" spans="9:12">
      <c r="I129">
        <f>IFERROR(VLOOKUP(H129,Rates!$A$2:$B$3,2,0),1)</f>
        <v>1</v>
      </c>
      <c r="J129" t="str">
        <f t="shared" si="2"/>
        <v/>
      </c>
      <c r="K129" t="str">
        <f>IF(J129&lt;&gt;"",SUM($J$2:J129),"")</f>
        <v/>
      </c>
      <c r="L129">
        <f ca="1" t="shared" si="3"/>
        <v>45942</v>
      </c>
    </row>
    <row r="130" spans="9:12">
      <c r="I130">
        <f>IFERROR(VLOOKUP(H130,Rates!$A$2:$B$3,2,0),1)</f>
        <v>1</v>
      </c>
      <c r="J130" t="str">
        <f t="shared" ref="J130:J193" si="4">IF(G130&lt;&gt;"",G130*I130,"")</f>
        <v/>
      </c>
      <c r="K130" t="str">
        <f>IF(J130&lt;&gt;"",SUM($J$2:J130),"")</f>
        <v/>
      </c>
      <c r="L130">
        <f ca="1" t="shared" ref="L130:L193" si="5">IF(COUNTA(A130:K130)&gt;0,TODAY(),"")</f>
        <v>45942</v>
      </c>
    </row>
    <row r="131" spans="9:12">
      <c r="I131">
        <f>IFERROR(VLOOKUP(H131,Rates!$A$2:$B$3,2,0),1)</f>
        <v>1</v>
      </c>
      <c r="J131" t="str">
        <f t="shared" si="4"/>
        <v/>
      </c>
      <c r="K131" t="str">
        <f>IF(J131&lt;&gt;"",SUM($J$2:J131),"")</f>
        <v/>
      </c>
      <c r="L131">
        <f ca="1" t="shared" si="5"/>
        <v>45942</v>
      </c>
    </row>
    <row r="132" spans="9:12">
      <c r="I132">
        <f>IFERROR(VLOOKUP(H132,Rates!$A$2:$B$3,2,0),1)</f>
        <v>1</v>
      </c>
      <c r="J132" t="str">
        <f t="shared" si="4"/>
        <v/>
      </c>
      <c r="K132" t="str">
        <f>IF(J132&lt;&gt;"",SUM($J$2:J132),"")</f>
        <v/>
      </c>
      <c r="L132">
        <f ca="1" t="shared" si="5"/>
        <v>45942</v>
      </c>
    </row>
    <row r="133" spans="9:12">
      <c r="I133">
        <f>IFERROR(VLOOKUP(H133,Rates!$A$2:$B$3,2,0),1)</f>
        <v>1</v>
      </c>
      <c r="J133" t="str">
        <f t="shared" si="4"/>
        <v/>
      </c>
      <c r="K133" t="str">
        <f>IF(J133&lt;&gt;"",SUM($J$2:J133),"")</f>
        <v/>
      </c>
      <c r="L133">
        <f ca="1" t="shared" si="5"/>
        <v>45942</v>
      </c>
    </row>
    <row r="134" spans="9:12">
      <c r="I134">
        <f>IFERROR(VLOOKUP(H134,Rates!$A$2:$B$3,2,0),1)</f>
        <v>1</v>
      </c>
      <c r="J134" t="str">
        <f t="shared" si="4"/>
        <v/>
      </c>
      <c r="K134" t="str">
        <f>IF(J134&lt;&gt;"",SUM($J$2:J134),"")</f>
        <v/>
      </c>
      <c r="L134">
        <f ca="1" t="shared" si="5"/>
        <v>45942</v>
      </c>
    </row>
    <row r="135" spans="9:12">
      <c r="I135">
        <f>IFERROR(VLOOKUP(H135,Rates!$A$2:$B$3,2,0),1)</f>
        <v>1</v>
      </c>
      <c r="J135" t="str">
        <f t="shared" si="4"/>
        <v/>
      </c>
      <c r="K135" t="str">
        <f>IF(J135&lt;&gt;"",SUM($J$2:J135),"")</f>
        <v/>
      </c>
      <c r="L135">
        <f ca="1" t="shared" si="5"/>
        <v>45942</v>
      </c>
    </row>
    <row r="136" spans="9:12">
      <c r="I136">
        <f>IFERROR(VLOOKUP(H136,Rates!$A$2:$B$3,2,0),1)</f>
        <v>1</v>
      </c>
      <c r="J136" t="str">
        <f t="shared" si="4"/>
        <v/>
      </c>
      <c r="K136" t="str">
        <f>IF(J136&lt;&gt;"",SUM($J$2:J136),"")</f>
        <v/>
      </c>
      <c r="L136">
        <f ca="1" t="shared" si="5"/>
        <v>45942</v>
      </c>
    </row>
    <row r="137" spans="9:12">
      <c r="I137">
        <f>IFERROR(VLOOKUP(H137,Rates!$A$2:$B$3,2,0),1)</f>
        <v>1</v>
      </c>
      <c r="J137" t="str">
        <f t="shared" si="4"/>
        <v/>
      </c>
      <c r="K137" t="str">
        <f>IF(J137&lt;&gt;"",SUM($J$2:J137),"")</f>
        <v/>
      </c>
      <c r="L137">
        <f ca="1" t="shared" si="5"/>
        <v>45942</v>
      </c>
    </row>
    <row r="138" spans="9:12">
      <c r="I138">
        <f>IFERROR(VLOOKUP(H138,Rates!$A$2:$B$3,2,0),1)</f>
        <v>1</v>
      </c>
      <c r="J138" t="str">
        <f t="shared" si="4"/>
        <v/>
      </c>
      <c r="K138" t="str">
        <f>IF(J138&lt;&gt;"",SUM($J$2:J138),"")</f>
        <v/>
      </c>
      <c r="L138">
        <f ca="1" t="shared" si="5"/>
        <v>45942</v>
      </c>
    </row>
    <row r="139" spans="9:12">
      <c r="I139">
        <f>IFERROR(VLOOKUP(H139,Rates!$A$2:$B$3,2,0),1)</f>
        <v>1</v>
      </c>
      <c r="J139" t="str">
        <f t="shared" si="4"/>
        <v/>
      </c>
      <c r="K139" t="str">
        <f>IF(J139&lt;&gt;"",SUM($J$2:J139),"")</f>
        <v/>
      </c>
      <c r="L139">
        <f ca="1" t="shared" si="5"/>
        <v>45942</v>
      </c>
    </row>
    <row r="140" spans="9:12">
      <c r="I140">
        <f>IFERROR(VLOOKUP(H140,Rates!$A$2:$B$3,2,0),1)</f>
        <v>1</v>
      </c>
      <c r="J140" t="str">
        <f t="shared" si="4"/>
        <v/>
      </c>
      <c r="K140" t="str">
        <f>IF(J140&lt;&gt;"",SUM($J$2:J140),"")</f>
        <v/>
      </c>
      <c r="L140">
        <f ca="1" t="shared" si="5"/>
        <v>45942</v>
      </c>
    </row>
    <row r="141" spans="9:12">
      <c r="I141">
        <f>IFERROR(VLOOKUP(H141,Rates!$A$2:$B$3,2,0),1)</f>
        <v>1</v>
      </c>
      <c r="J141" t="str">
        <f t="shared" si="4"/>
        <v/>
      </c>
      <c r="K141" t="str">
        <f>IF(J141&lt;&gt;"",SUM($J$2:J141),"")</f>
        <v/>
      </c>
      <c r="L141">
        <f ca="1" t="shared" si="5"/>
        <v>45942</v>
      </c>
    </row>
    <row r="142" spans="9:12">
      <c r="I142">
        <f>IFERROR(VLOOKUP(H142,Rates!$A$2:$B$3,2,0),1)</f>
        <v>1</v>
      </c>
      <c r="J142" t="str">
        <f t="shared" si="4"/>
        <v/>
      </c>
      <c r="K142" t="str">
        <f>IF(J142&lt;&gt;"",SUM($J$2:J142),"")</f>
        <v/>
      </c>
      <c r="L142">
        <f ca="1" t="shared" si="5"/>
        <v>45942</v>
      </c>
    </row>
    <row r="143" spans="9:12">
      <c r="I143">
        <f>IFERROR(VLOOKUP(H143,Rates!$A$2:$B$3,2,0),1)</f>
        <v>1</v>
      </c>
      <c r="J143" t="str">
        <f t="shared" si="4"/>
        <v/>
      </c>
      <c r="K143" t="str">
        <f>IF(J143&lt;&gt;"",SUM($J$2:J143),"")</f>
        <v/>
      </c>
      <c r="L143">
        <f ca="1" t="shared" si="5"/>
        <v>45942</v>
      </c>
    </row>
    <row r="144" spans="9:12">
      <c r="I144">
        <f>IFERROR(VLOOKUP(H144,Rates!$A$2:$B$3,2,0),1)</f>
        <v>1</v>
      </c>
      <c r="J144" t="str">
        <f t="shared" si="4"/>
        <v/>
      </c>
      <c r="K144" t="str">
        <f>IF(J144&lt;&gt;"",SUM($J$2:J144),"")</f>
        <v/>
      </c>
      <c r="L144">
        <f ca="1" t="shared" si="5"/>
        <v>45942</v>
      </c>
    </row>
    <row r="145" spans="9:12">
      <c r="I145">
        <f>IFERROR(VLOOKUP(H145,Rates!$A$2:$B$3,2,0),1)</f>
        <v>1</v>
      </c>
      <c r="J145" t="str">
        <f t="shared" si="4"/>
        <v/>
      </c>
      <c r="K145" t="str">
        <f>IF(J145&lt;&gt;"",SUM($J$2:J145),"")</f>
        <v/>
      </c>
      <c r="L145">
        <f ca="1" t="shared" si="5"/>
        <v>45942</v>
      </c>
    </row>
    <row r="146" spans="9:12">
      <c r="I146">
        <f>IFERROR(VLOOKUP(H146,Rates!$A$2:$B$3,2,0),1)</f>
        <v>1</v>
      </c>
      <c r="J146" t="str">
        <f t="shared" si="4"/>
        <v/>
      </c>
      <c r="K146" t="str">
        <f>IF(J146&lt;&gt;"",SUM($J$2:J146),"")</f>
        <v/>
      </c>
      <c r="L146">
        <f ca="1" t="shared" si="5"/>
        <v>45942</v>
      </c>
    </row>
    <row r="147" spans="9:12">
      <c r="I147">
        <f>IFERROR(VLOOKUP(H147,Rates!$A$2:$B$3,2,0),1)</f>
        <v>1</v>
      </c>
      <c r="J147" t="str">
        <f t="shared" si="4"/>
        <v/>
      </c>
      <c r="K147" t="str">
        <f>IF(J147&lt;&gt;"",SUM($J$2:J147),"")</f>
        <v/>
      </c>
      <c r="L147">
        <f ca="1" t="shared" si="5"/>
        <v>45942</v>
      </c>
    </row>
    <row r="148" spans="9:12">
      <c r="I148">
        <f>IFERROR(VLOOKUP(H148,Rates!$A$2:$B$3,2,0),1)</f>
        <v>1</v>
      </c>
      <c r="J148" t="str">
        <f t="shared" si="4"/>
        <v/>
      </c>
      <c r="K148" t="str">
        <f>IF(J148&lt;&gt;"",SUM($J$2:J148),"")</f>
        <v/>
      </c>
      <c r="L148">
        <f ca="1" t="shared" si="5"/>
        <v>45942</v>
      </c>
    </row>
    <row r="149" spans="9:12">
      <c r="I149">
        <f>IFERROR(VLOOKUP(H149,Rates!$A$2:$B$3,2,0),1)</f>
        <v>1</v>
      </c>
      <c r="J149" t="str">
        <f t="shared" si="4"/>
        <v/>
      </c>
      <c r="K149" t="str">
        <f>IF(J149&lt;&gt;"",SUM($J$2:J149),"")</f>
        <v/>
      </c>
      <c r="L149">
        <f ca="1" t="shared" si="5"/>
        <v>45942</v>
      </c>
    </row>
    <row r="150" spans="9:12">
      <c r="I150">
        <f>IFERROR(VLOOKUP(H150,Rates!$A$2:$B$3,2,0),1)</f>
        <v>1</v>
      </c>
      <c r="J150" t="str">
        <f t="shared" si="4"/>
        <v/>
      </c>
      <c r="K150" t="str">
        <f>IF(J150&lt;&gt;"",SUM($J$2:J150),"")</f>
        <v/>
      </c>
      <c r="L150">
        <f ca="1" t="shared" si="5"/>
        <v>45942</v>
      </c>
    </row>
    <row r="151" spans="9:12">
      <c r="I151">
        <f>IFERROR(VLOOKUP(H151,Rates!$A$2:$B$3,2,0),1)</f>
        <v>1</v>
      </c>
      <c r="J151" t="str">
        <f t="shared" si="4"/>
        <v/>
      </c>
      <c r="K151" t="str">
        <f>IF(J151&lt;&gt;"",SUM($J$2:J151),"")</f>
        <v/>
      </c>
      <c r="L151">
        <f ca="1" t="shared" si="5"/>
        <v>45942</v>
      </c>
    </row>
    <row r="152" spans="9:12">
      <c r="I152">
        <f>IFERROR(VLOOKUP(H152,Rates!$A$2:$B$3,2,0),1)</f>
        <v>1</v>
      </c>
      <c r="J152" t="str">
        <f t="shared" si="4"/>
        <v/>
      </c>
      <c r="K152" t="str">
        <f>IF(J152&lt;&gt;"",SUM($J$2:J152),"")</f>
        <v/>
      </c>
      <c r="L152">
        <f ca="1" t="shared" si="5"/>
        <v>45942</v>
      </c>
    </row>
    <row r="153" spans="9:12">
      <c r="I153">
        <f>IFERROR(VLOOKUP(H153,Rates!$A$2:$B$3,2,0),1)</f>
        <v>1</v>
      </c>
      <c r="J153" t="str">
        <f t="shared" si="4"/>
        <v/>
      </c>
      <c r="K153" t="str">
        <f>IF(J153&lt;&gt;"",SUM($J$2:J153),"")</f>
        <v/>
      </c>
      <c r="L153">
        <f ca="1" t="shared" si="5"/>
        <v>45942</v>
      </c>
    </row>
    <row r="154" spans="9:12">
      <c r="I154">
        <f>IFERROR(VLOOKUP(H154,Rates!$A$2:$B$3,2,0),1)</f>
        <v>1</v>
      </c>
      <c r="J154" t="str">
        <f t="shared" si="4"/>
        <v/>
      </c>
      <c r="K154" t="str">
        <f>IF(J154&lt;&gt;"",SUM($J$2:J154),"")</f>
        <v/>
      </c>
      <c r="L154">
        <f ca="1" t="shared" si="5"/>
        <v>45942</v>
      </c>
    </row>
    <row r="155" spans="9:12">
      <c r="I155">
        <f>IFERROR(VLOOKUP(H155,Rates!$A$2:$B$3,2,0),1)</f>
        <v>1</v>
      </c>
      <c r="J155" t="str">
        <f t="shared" si="4"/>
        <v/>
      </c>
      <c r="K155" t="str">
        <f>IF(J155&lt;&gt;"",SUM($J$2:J155),"")</f>
        <v/>
      </c>
      <c r="L155">
        <f ca="1" t="shared" si="5"/>
        <v>45942</v>
      </c>
    </row>
    <row r="156" spans="9:12">
      <c r="I156">
        <f>IFERROR(VLOOKUP(H156,Rates!$A$2:$B$3,2,0),1)</f>
        <v>1</v>
      </c>
      <c r="J156" t="str">
        <f t="shared" si="4"/>
        <v/>
      </c>
      <c r="K156" t="str">
        <f>IF(J156&lt;&gt;"",SUM($J$2:J156),"")</f>
        <v/>
      </c>
      <c r="L156">
        <f ca="1" t="shared" si="5"/>
        <v>45942</v>
      </c>
    </row>
    <row r="157" spans="9:12">
      <c r="I157">
        <f>IFERROR(VLOOKUP(H157,Rates!$A$2:$B$3,2,0),1)</f>
        <v>1</v>
      </c>
      <c r="J157" t="str">
        <f t="shared" si="4"/>
        <v/>
      </c>
      <c r="K157" t="str">
        <f>IF(J157&lt;&gt;"",SUM($J$2:J157),"")</f>
        <v/>
      </c>
      <c r="L157">
        <f ca="1" t="shared" si="5"/>
        <v>45942</v>
      </c>
    </row>
    <row r="158" spans="9:12">
      <c r="I158">
        <f>IFERROR(VLOOKUP(H158,Rates!$A$2:$B$3,2,0),1)</f>
        <v>1</v>
      </c>
      <c r="J158" t="str">
        <f t="shared" si="4"/>
        <v/>
      </c>
      <c r="K158" t="str">
        <f>IF(J158&lt;&gt;"",SUM($J$2:J158),"")</f>
        <v/>
      </c>
      <c r="L158">
        <f ca="1" t="shared" si="5"/>
        <v>45942</v>
      </c>
    </row>
    <row r="159" spans="9:12">
      <c r="I159">
        <f>IFERROR(VLOOKUP(H159,Rates!$A$2:$B$3,2,0),1)</f>
        <v>1</v>
      </c>
      <c r="J159" t="str">
        <f t="shared" si="4"/>
        <v/>
      </c>
      <c r="K159" t="str">
        <f>IF(J159&lt;&gt;"",SUM($J$2:J159),"")</f>
        <v/>
      </c>
      <c r="L159">
        <f ca="1" t="shared" si="5"/>
        <v>45942</v>
      </c>
    </row>
    <row r="160" spans="9:12">
      <c r="I160">
        <f>IFERROR(VLOOKUP(H160,Rates!$A$2:$B$3,2,0),1)</f>
        <v>1</v>
      </c>
      <c r="J160" t="str">
        <f t="shared" si="4"/>
        <v/>
      </c>
      <c r="K160" t="str">
        <f>IF(J160&lt;&gt;"",SUM($J$2:J160),"")</f>
        <v/>
      </c>
      <c r="L160">
        <f ca="1" t="shared" si="5"/>
        <v>45942</v>
      </c>
    </row>
    <row r="161" spans="9:12">
      <c r="I161">
        <f>IFERROR(VLOOKUP(H161,Rates!$A$2:$B$3,2,0),1)</f>
        <v>1</v>
      </c>
      <c r="J161" t="str">
        <f t="shared" si="4"/>
        <v/>
      </c>
      <c r="K161" t="str">
        <f>IF(J161&lt;&gt;"",SUM($J$2:J161),"")</f>
        <v/>
      </c>
      <c r="L161">
        <f ca="1" t="shared" si="5"/>
        <v>45942</v>
      </c>
    </row>
    <row r="162" spans="9:12">
      <c r="I162">
        <f>IFERROR(VLOOKUP(H162,Rates!$A$2:$B$3,2,0),1)</f>
        <v>1</v>
      </c>
      <c r="J162" t="str">
        <f t="shared" si="4"/>
        <v/>
      </c>
      <c r="K162" t="str">
        <f>IF(J162&lt;&gt;"",SUM($J$2:J162),"")</f>
        <v/>
      </c>
      <c r="L162">
        <f ca="1" t="shared" si="5"/>
        <v>45942</v>
      </c>
    </row>
    <row r="163" spans="9:12">
      <c r="I163">
        <f>IFERROR(VLOOKUP(H163,Rates!$A$2:$B$3,2,0),1)</f>
        <v>1</v>
      </c>
      <c r="J163" t="str">
        <f t="shared" si="4"/>
        <v/>
      </c>
      <c r="K163" t="str">
        <f>IF(J163&lt;&gt;"",SUM($J$2:J163),"")</f>
        <v/>
      </c>
      <c r="L163">
        <f ca="1" t="shared" si="5"/>
        <v>45942</v>
      </c>
    </row>
    <row r="164" spans="9:12">
      <c r="I164">
        <f>IFERROR(VLOOKUP(H164,Rates!$A$2:$B$3,2,0),1)</f>
        <v>1</v>
      </c>
      <c r="J164" t="str">
        <f t="shared" si="4"/>
        <v/>
      </c>
      <c r="K164" t="str">
        <f>IF(J164&lt;&gt;"",SUM($J$2:J164),"")</f>
        <v/>
      </c>
      <c r="L164">
        <f ca="1" t="shared" si="5"/>
        <v>45942</v>
      </c>
    </row>
    <row r="165" spans="9:12">
      <c r="I165">
        <f>IFERROR(VLOOKUP(H165,Rates!$A$2:$B$3,2,0),1)</f>
        <v>1</v>
      </c>
      <c r="J165" t="str">
        <f t="shared" si="4"/>
        <v/>
      </c>
      <c r="K165" t="str">
        <f>IF(J165&lt;&gt;"",SUM($J$2:J165),"")</f>
        <v/>
      </c>
      <c r="L165">
        <f ca="1" t="shared" si="5"/>
        <v>45942</v>
      </c>
    </row>
    <row r="166" spans="9:12">
      <c r="I166">
        <f>IFERROR(VLOOKUP(H166,Rates!$A$2:$B$3,2,0),1)</f>
        <v>1</v>
      </c>
      <c r="J166" t="str">
        <f t="shared" si="4"/>
        <v/>
      </c>
      <c r="K166" t="str">
        <f>IF(J166&lt;&gt;"",SUM($J$2:J166),"")</f>
        <v/>
      </c>
      <c r="L166">
        <f ca="1" t="shared" si="5"/>
        <v>45942</v>
      </c>
    </row>
    <row r="167" spans="9:12">
      <c r="I167">
        <f>IFERROR(VLOOKUP(H167,Rates!$A$2:$B$3,2,0),1)</f>
        <v>1</v>
      </c>
      <c r="J167" t="str">
        <f t="shared" si="4"/>
        <v/>
      </c>
      <c r="K167" t="str">
        <f>IF(J167&lt;&gt;"",SUM($J$2:J167),"")</f>
        <v/>
      </c>
      <c r="L167">
        <f ca="1" t="shared" si="5"/>
        <v>45942</v>
      </c>
    </row>
    <row r="168" spans="9:12">
      <c r="I168">
        <f>IFERROR(VLOOKUP(H168,Rates!$A$2:$B$3,2,0),1)</f>
        <v>1</v>
      </c>
      <c r="J168" t="str">
        <f t="shared" si="4"/>
        <v/>
      </c>
      <c r="K168" t="str">
        <f>IF(J168&lt;&gt;"",SUM($J$2:J168),"")</f>
        <v/>
      </c>
      <c r="L168">
        <f ca="1" t="shared" si="5"/>
        <v>45942</v>
      </c>
    </row>
    <row r="169" spans="9:12">
      <c r="I169">
        <f>IFERROR(VLOOKUP(H169,Rates!$A$2:$B$3,2,0),1)</f>
        <v>1</v>
      </c>
      <c r="J169" t="str">
        <f t="shared" si="4"/>
        <v/>
      </c>
      <c r="K169" t="str">
        <f>IF(J169&lt;&gt;"",SUM($J$2:J169),"")</f>
        <v/>
      </c>
      <c r="L169">
        <f ca="1" t="shared" si="5"/>
        <v>45942</v>
      </c>
    </row>
    <row r="170" spans="9:12">
      <c r="I170">
        <f>IFERROR(VLOOKUP(H170,Rates!$A$2:$B$3,2,0),1)</f>
        <v>1</v>
      </c>
      <c r="J170" t="str">
        <f t="shared" si="4"/>
        <v/>
      </c>
      <c r="K170" t="str">
        <f>IF(J170&lt;&gt;"",SUM($J$2:J170),"")</f>
        <v/>
      </c>
      <c r="L170">
        <f ca="1" t="shared" si="5"/>
        <v>45942</v>
      </c>
    </row>
    <row r="171" spans="9:12">
      <c r="I171">
        <f>IFERROR(VLOOKUP(H171,Rates!$A$2:$B$3,2,0),1)</f>
        <v>1</v>
      </c>
      <c r="J171" t="str">
        <f t="shared" si="4"/>
        <v/>
      </c>
      <c r="K171" t="str">
        <f>IF(J171&lt;&gt;"",SUM($J$2:J171),"")</f>
        <v/>
      </c>
      <c r="L171">
        <f ca="1" t="shared" si="5"/>
        <v>45942</v>
      </c>
    </row>
    <row r="172" spans="9:12">
      <c r="I172">
        <f>IFERROR(VLOOKUP(H172,Rates!$A$2:$B$3,2,0),1)</f>
        <v>1</v>
      </c>
      <c r="J172" t="str">
        <f t="shared" si="4"/>
        <v/>
      </c>
      <c r="K172" t="str">
        <f>IF(J172&lt;&gt;"",SUM($J$2:J172),"")</f>
        <v/>
      </c>
      <c r="L172">
        <f ca="1" t="shared" si="5"/>
        <v>45942</v>
      </c>
    </row>
    <row r="173" spans="9:12">
      <c r="I173">
        <f>IFERROR(VLOOKUP(H173,Rates!$A$2:$B$3,2,0),1)</f>
        <v>1</v>
      </c>
      <c r="J173" t="str">
        <f t="shared" si="4"/>
        <v/>
      </c>
      <c r="K173" t="str">
        <f>IF(J173&lt;&gt;"",SUM($J$2:J173),"")</f>
        <v/>
      </c>
      <c r="L173">
        <f ca="1" t="shared" si="5"/>
        <v>45942</v>
      </c>
    </row>
    <row r="174" spans="9:12">
      <c r="I174">
        <f>IFERROR(VLOOKUP(H174,Rates!$A$2:$B$3,2,0),1)</f>
        <v>1</v>
      </c>
      <c r="J174" t="str">
        <f t="shared" si="4"/>
        <v/>
      </c>
      <c r="K174" t="str">
        <f>IF(J174&lt;&gt;"",SUM($J$2:J174),"")</f>
        <v/>
      </c>
      <c r="L174">
        <f ca="1" t="shared" si="5"/>
        <v>45942</v>
      </c>
    </row>
    <row r="175" spans="9:12">
      <c r="I175">
        <f>IFERROR(VLOOKUP(H175,Rates!$A$2:$B$3,2,0),1)</f>
        <v>1</v>
      </c>
      <c r="J175" t="str">
        <f t="shared" si="4"/>
        <v/>
      </c>
      <c r="K175" t="str">
        <f>IF(J175&lt;&gt;"",SUM($J$2:J175),"")</f>
        <v/>
      </c>
      <c r="L175">
        <f ca="1" t="shared" si="5"/>
        <v>45942</v>
      </c>
    </row>
    <row r="176" spans="9:12">
      <c r="I176">
        <f>IFERROR(VLOOKUP(H176,Rates!$A$2:$B$3,2,0),1)</f>
        <v>1</v>
      </c>
      <c r="J176" t="str">
        <f t="shared" si="4"/>
        <v/>
      </c>
      <c r="K176" t="str">
        <f>IF(J176&lt;&gt;"",SUM($J$2:J176),"")</f>
        <v/>
      </c>
      <c r="L176">
        <f ca="1" t="shared" si="5"/>
        <v>45942</v>
      </c>
    </row>
    <row r="177" spans="9:12">
      <c r="I177">
        <f>IFERROR(VLOOKUP(H177,Rates!$A$2:$B$3,2,0),1)</f>
        <v>1</v>
      </c>
      <c r="J177" t="str">
        <f t="shared" si="4"/>
        <v/>
      </c>
      <c r="K177" t="str">
        <f>IF(J177&lt;&gt;"",SUM($J$2:J177),"")</f>
        <v/>
      </c>
      <c r="L177">
        <f ca="1" t="shared" si="5"/>
        <v>45942</v>
      </c>
    </row>
    <row r="178" spans="9:12">
      <c r="I178">
        <f>IFERROR(VLOOKUP(H178,Rates!$A$2:$B$3,2,0),1)</f>
        <v>1</v>
      </c>
      <c r="J178" t="str">
        <f t="shared" si="4"/>
        <v/>
      </c>
      <c r="K178" t="str">
        <f>IF(J178&lt;&gt;"",SUM($J$2:J178),"")</f>
        <v/>
      </c>
      <c r="L178">
        <f ca="1" t="shared" si="5"/>
        <v>45942</v>
      </c>
    </row>
    <row r="179" spans="9:12">
      <c r="I179">
        <f>IFERROR(VLOOKUP(H179,Rates!$A$2:$B$3,2,0),1)</f>
        <v>1</v>
      </c>
      <c r="J179" t="str">
        <f t="shared" si="4"/>
        <v/>
      </c>
      <c r="K179" t="str">
        <f>IF(J179&lt;&gt;"",SUM($J$2:J179),"")</f>
        <v/>
      </c>
      <c r="L179">
        <f ca="1" t="shared" si="5"/>
        <v>45942</v>
      </c>
    </row>
    <row r="180" spans="9:12">
      <c r="I180">
        <f>IFERROR(VLOOKUP(H180,Rates!$A$2:$B$3,2,0),1)</f>
        <v>1</v>
      </c>
      <c r="J180" t="str">
        <f t="shared" si="4"/>
        <v/>
      </c>
      <c r="K180" t="str">
        <f>IF(J180&lt;&gt;"",SUM($J$2:J180),"")</f>
        <v/>
      </c>
      <c r="L180">
        <f ca="1" t="shared" si="5"/>
        <v>45942</v>
      </c>
    </row>
    <row r="181" spans="9:12">
      <c r="I181">
        <f>IFERROR(VLOOKUP(H181,Rates!$A$2:$B$3,2,0),1)</f>
        <v>1</v>
      </c>
      <c r="J181" t="str">
        <f t="shared" si="4"/>
        <v/>
      </c>
      <c r="K181" t="str">
        <f>IF(J181&lt;&gt;"",SUM($J$2:J181),"")</f>
        <v/>
      </c>
      <c r="L181">
        <f ca="1" t="shared" si="5"/>
        <v>45942</v>
      </c>
    </row>
    <row r="182" spans="9:12">
      <c r="I182">
        <f>IFERROR(VLOOKUP(H182,Rates!$A$2:$B$3,2,0),1)</f>
        <v>1</v>
      </c>
      <c r="J182" t="str">
        <f t="shared" si="4"/>
        <v/>
      </c>
      <c r="K182" t="str">
        <f>IF(J182&lt;&gt;"",SUM($J$2:J182),"")</f>
        <v/>
      </c>
      <c r="L182">
        <f ca="1" t="shared" si="5"/>
        <v>45942</v>
      </c>
    </row>
    <row r="183" spans="9:12">
      <c r="I183">
        <f>IFERROR(VLOOKUP(H183,Rates!$A$2:$B$3,2,0),1)</f>
        <v>1</v>
      </c>
      <c r="J183" t="str">
        <f t="shared" si="4"/>
        <v/>
      </c>
      <c r="K183" t="str">
        <f>IF(J183&lt;&gt;"",SUM($J$2:J183),"")</f>
        <v/>
      </c>
      <c r="L183">
        <f ca="1" t="shared" si="5"/>
        <v>45942</v>
      </c>
    </row>
    <row r="184" spans="9:12">
      <c r="I184">
        <f>IFERROR(VLOOKUP(H184,Rates!$A$2:$B$3,2,0),1)</f>
        <v>1</v>
      </c>
      <c r="J184" t="str">
        <f t="shared" si="4"/>
        <v/>
      </c>
      <c r="K184" t="str">
        <f>IF(J184&lt;&gt;"",SUM($J$2:J184),"")</f>
        <v/>
      </c>
      <c r="L184">
        <f ca="1" t="shared" si="5"/>
        <v>45942</v>
      </c>
    </row>
    <row r="185" spans="9:12">
      <c r="I185">
        <f>IFERROR(VLOOKUP(H185,Rates!$A$2:$B$3,2,0),1)</f>
        <v>1</v>
      </c>
      <c r="J185" t="str">
        <f t="shared" si="4"/>
        <v/>
      </c>
      <c r="K185" t="str">
        <f>IF(J185&lt;&gt;"",SUM($J$2:J185),"")</f>
        <v/>
      </c>
      <c r="L185">
        <f ca="1" t="shared" si="5"/>
        <v>45942</v>
      </c>
    </row>
    <row r="186" spans="9:12">
      <c r="I186">
        <f>IFERROR(VLOOKUP(H186,Rates!$A$2:$B$3,2,0),1)</f>
        <v>1</v>
      </c>
      <c r="J186" t="str">
        <f t="shared" si="4"/>
        <v/>
      </c>
      <c r="K186" t="str">
        <f>IF(J186&lt;&gt;"",SUM($J$2:J186),"")</f>
        <v/>
      </c>
      <c r="L186">
        <f ca="1" t="shared" si="5"/>
        <v>45942</v>
      </c>
    </row>
    <row r="187" spans="9:12">
      <c r="I187">
        <f>IFERROR(VLOOKUP(H187,Rates!$A$2:$B$3,2,0),1)</f>
        <v>1</v>
      </c>
      <c r="J187" t="str">
        <f t="shared" si="4"/>
        <v/>
      </c>
      <c r="K187" t="str">
        <f>IF(J187&lt;&gt;"",SUM($J$2:J187),"")</f>
        <v/>
      </c>
      <c r="L187">
        <f ca="1" t="shared" si="5"/>
        <v>45942</v>
      </c>
    </row>
    <row r="188" spans="9:12">
      <c r="I188">
        <f>IFERROR(VLOOKUP(H188,Rates!$A$2:$B$3,2,0),1)</f>
        <v>1</v>
      </c>
      <c r="J188" t="str">
        <f t="shared" si="4"/>
        <v/>
      </c>
      <c r="K188" t="str">
        <f>IF(J188&lt;&gt;"",SUM($J$2:J188),"")</f>
        <v/>
      </c>
      <c r="L188">
        <f ca="1" t="shared" si="5"/>
        <v>45942</v>
      </c>
    </row>
    <row r="189" spans="9:12">
      <c r="I189">
        <f>IFERROR(VLOOKUP(H189,Rates!$A$2:$B$3,2,0),1)</f>
        <v>1</v>
      </c>
      <c r="J189" t="str">
        <f t="shared" si="4"/>
        <v/>
      </c>
      <c r="K189" t="str">
        <f>IF(J189&lt;&gt;"",SUM($J$2:J189),"")</f>
        <v/>
      </c>
      <c r="L189">
        <f ca="1" t="shared" si="5"/>
        <v>45942</v>
      </c>
    </row>
    <row r="190" spans="9:12">
      <c r="I190">
        <f>IFERROR(VLOOKUP(H190,Rates!$A$2:$B$3,2,0),1)</f>
        <v>1</v>
      </c>
      <c r="J190" t="str">
        <f t="shared" si="4"/>
        <v/>
      </c>
      <c r="K190" t="str">
        <f>IF(J190&lt;&gt;"",SUM($J$2:J190),"")</f>
        <v/>
      </c>
      <c r="L190">
        <f ca="1" t="shared" si="5"/>
        <v>45942</v>
      </c>
    </row>
    <row r="191" spans="9:12">
      <c r="I191">
        <f>IFERROR(VLOOKUP(H191,Rates!$A$2:$B$3,2,0),1)</f>
        <v>1</v>
      </c>
      <c r="J191" t="str">
        <f t="shared" si="4"/>
        <v/>
      </c>
      <c r="K191" t="str">
        <f>IF(J191&lt;&gt;"",SUM($J$2:J191),"")</f>
        <v/>
      </c>
      <c r="L191">
        <f ca="1" t="shared" si="5"/>
        <v>45942</v>
      </c>
    </row>
    <row r="192" spans="9:12">
      <c r="I192">
        <f>IFERROR(VLOOKUP(H192,Rates!$A$2:$B$3,2,0),1)</f>
        <v>1</v>
      </c>
      <c r="J192" t="str">
        <f t="shared" si="4"/>
        <v/>
      </c>
      <c r="K192" t="str">
        <f>IF(J192&lt;&gt;"",SUM($J$2:J192),"")</f>
        <v/>
      </c>
      <c r="L192">
        <f ca="1" t="shared" si="5"/>
        <v>45942</v>
      </c>
    </row>
    <row r="193" spans="9:12">
      <c r="I193">
        <f>IFERROR(VLOOKUP(H193,Rates!$A$2:$B$3,2,0),1)</f>
        <v>1</v>
      </c>
      <c r="J193" t="str">
        <f t="shared" si="4"/>
        <v/>
      </c>
      <c r="K193" t="str">
        <f>IF(J193&lt;&gt;"",SUM($J$2:J193),"")</f>
        <v/>
      </c>
      <c r="L193">
        <f ca="1" t="shared" si="5"/>
        <v>45942</v>
      </c>
    </row>
    <row r="194" spans="9:12">
      <c r="I194">
        <f>IFERROR(VLOOKUP(H194,Rates!$A$2:$B$3,2,0),1)</f>
        <v>1</v>
      </c>
      <c r="J194" t="str">
        <f t="shared" ref="J194:J257" si="6">IF(G194&lt;&gt;"",G194*I194,"")</f>
        <v/>
      </c>
      <c r="K194" t="str">
        <f>IF(J194&lt;&gt;"",SUM($J$2:J194),"")</f>
        <v/>
      </c>
      <c r="L194">
        <f ca="1" t="shared" ref="L194:L257" si="7">IF(COUNTA(A194:K194)&gt;0,TODAY(),"")</f>
        <v>45942</v>
      </c>
    </row>
    <row r="195" spans="9:12">
      <c r="I195">
        <f>IFERROR(VLOOKUP(H195,Rates!$A$2:$B$3,2,0),1)</f>
        <v>1</v>
      </c>
      <c r="J195" t="str">
        <f t="shared" si="6"/>
        <v/>
      </c>
      <c r="K195" t="str">
        <f>IF(J195&lt;&gt;"",SUM($J$2:J195),"")</f>
        <v/>
      </c>
      <c r="L195">
        <f ca="1" t="shared" si="7"/>
        <v>45942</v>
      </c>
    </row>
    <row r="196" spans="9:12">
      <c r="I196">
        <f>IFERROR(VLOOKUP(H196,Rates!$A$2:$B$3,2,0),1)</f>
        <v>1</v>
      </c>
      <c r="J196" t="str">
        <f t="shared" si="6"/>
        <v/>
      </c>
      <c r="K196" t="str">
        <f>IF(J196&lt;&gt;"",SUM($J$2:J196),"")</f>
        <v/>
      </c>
      <c r="L196">
        <f ca="1" t="shared" si="7"/>
        <v>45942</v>
      </c>
    </row>
    <row r="197" spans="9:12">
      <c r="I197">
        <f>IFERROR(VLOOKUP(H197,Rates!$A$2:$B$3,2,0),1)</f>
        <v>1</v>
      </c>
      <c r="J197" t="str">
        <f t="shared" si="6"/>
        <v/>
      </c>
      <c r="K197" t="str">
        <f>IF(J197&lt;&gt;"",SUM($J$2:J197),"")</f>
        <v/>
      </c>
      <c r="L197">
        <f ca="1" t="shared" si="7"/>
        <v>45942</v>
      </c>
    </row>
    <row r="198" spans="9:12">
      <c r="I198">
        <f>IFERROR(VLOOKUP(H198,Rates!$A$2:$B$3,2,0),1)</f>
        <v>1</v>
      </c>
      <c r="J198" t="str">
        <f t="shared" si="6"/>
        <v/>
      </c>
      <c r="K198" t="str">
        <f>IF(J198&lt;&gt;"",SUM($J$2:J198),"")</f>
        <v/>
      </c>
      <c r="L198">
        <f ca="1" t="shared" si="7"/>
        <v>45942</v>
      </c>
    </row>
    <row r="199" spans="9:12">
      <c r="I199">
        <f>IFERROR(VLOOKUP(H199,Rates!$A$2:$B$3,2,0),1)</f>
        <v>1</v>
      </c>
      <c r="J199" t="str">
        <f t="shared" si="6"/>
        <v/>
      </c>
      <c r="K199" t="str">
        <f>IF(J199&lt;&gt;"",SUM($J$2:J199),"")</f>
        <v/>
      </c>
      <c r="L199">
        <f ca="1" t="shared" si="7"/>
        <v>45942</v>
      </c>
    </row>
    <row r="200" spans="9:12">
      <c r="I200">
        <f>IFERROR(VLOOKUP(H200,Rates!$A$2:$B$3,2,0),1)</f>
        <v>1</v>
      </c>
      <c r="J200" t="str">
        <f t="shared" si="6"/>
        <v/>
      </c>
      <c r="K200" t="str">
        <f>IF(J200&lt;&gt;"",SUM($J$2:J200),"")</f>
        <v/>
      </c>
      <c r="L200">
        <f ca="1" t="shared" si="7"/>
        <v>45942</v>
      </c>
    </row>
    <row r="201" spans="9:12">
      <c r="I201">
        <f>IFERROR(VLOOKUP(H201,Rates!$A$2:$B$3,2,0),1)</f>
        <v>1</v>
      </c>
      <c r="J201" t="str">
        <f t="shared" si="6"/>
        <v/>
      </c>
      <c r="K201" t="str">
        <f>IF(J201&lt;&gt;"",SUM($J$2:J201),"")</f>
        <v/>
      </c>
      <c r="L201">
        <f ca="1" t="shared" si="7"/>
        <v>45942</v>
      </c>
    </row>
    <row r="202" spans="9:12">
      <c r="I202">
        <f>IFERROR(VLOOKUP(H202,Rates!$A$2:$B$3,2,0),1)</f>
        <v>1</v>
      </c>
      <c r="J202" t="str">
        <f t="shared" si="6"/>
        <v/>
      </c>
      <c r="K202" t="str">
        <f>IF(J202&lt;&gt;"",SUM($J$2:J202),"")</f>
        <v/>
      </c>
      <c r="L202">
        <f ca="1" t="shared" si="7"/>
        <v>45942</v>
      </c>
    </row>
    <row r="203" spans="9:12">
      <c r="I203">
        <f>IFERROR(VLOOKUP(H203,Rates!$A$2:$B$3,2,0),1)</f>
        <v>1</v>
      </c>
      <c r="J203" t="str">
        <f t="shared" si="6"/>
        <v/>
      </c>
      <c r="K203" t="str">
        <f>IF(J203&lt;&gt;"",SUM($J$2:J203),"")</f>
        <v/>
      </c>
      <c r="L203">
        <f ca="1" t="shared" si="7"/>
        <v>45942</v>
      </c>
    </row>
    <row r="204" spans="9:12">
      <c r="I204">
        <f>IFERROR(VLOOKUP(H204,Rates!$A$2:$B$3,2,0),1)</f>
        <v>1</v>
      </c>
      <c r="J204" t="str">
        <f t="shared" si="6"/>
        <v/>
      </c>
      <c r="K204" t="str">
        <f>IF(J204&lt;&gt;"",SUM($J$2:J204),"")</f>
        <v/>
      </c>
      <c r="L204">
        <f ca="1" t="shared" si="7"/>
        <v>45942</v>
      </c>
    </row>
    <row r="205" spans="9:12">
      <c r="I205">
        <f>IFERROR(VLOOKUP(H205,Rates!$A$2:$B$3,2,0),1)</f>
        <v>1</v>
      </c>
      <c r="J205" t="str">
        <f t="shared" si="6"/>
        <v/>
      </c>
      <c r="K205" t="str">
        <f>IF(J205&lt;&gt;"",SUM($J$2:J205),"")</f>
        <v/>
      </c>
      <c r="L205">
        <f ca="1" t="shared" si="7"/>
        <v>45942</v>
      </c>
    </row>
    <row r="206" spans="9:12">
      <c r="I206">
        <f>IFERROR(VLOOKUP(H206,Rates!$A$2:$B$3,2,0),1)</f>
        <v>1</v>
      </c>
      <c r="J206" t="str">
        <f t="shared" si="6"/>
        <v/>
      </c>
      <c r="K206" t="str">
        <f>IF(J206&lt;&gt;"",SUM($J$2:J206),"")</f>
        <v/>
      </c>
      <c r="L206">
        <f ca="1" t="shared" si="7"/>
        <v>45942</v>
      </c>
    </row>
    <row r="207" spans="9:12">
      <c r="I207">
        <f>IFERROR(VLOOKUP(H207,Rates!$A$2:$B$3,2,0),1)</f>
        <v>1</v>
      </c>
      <c r="J207" t="str">
        <f t="shared" si="6"/>
        <v/>
      </c>
      <c r="K207" t="str">
        <f>IF(J207&lt;&gt;"",SUM($J$2:J207),"")</f>
        <v/>
      </c>
      <c r="L207">
        <f ca="1" t="shared" si="7"/>
        <v>45942</v>
      </c>
    </row>
    <row r="208" spans="9:12">
      <c r="I208">
        <f>IFERROR(VLOOKUP(H208,Rates!$A$2:$B$3,2,0),1)</f>
        <v>1</v>
      </c>
      <c r="J208" t="str">
        <f t="shared" si="6"/>
        <v/>
      </c>
      <c r="K208" t="str">
        <f>IF(J208&lt;&gt;"",SUM($J$2:J208),"")</f>
        <v/>
      </c>
      <c r="L208">
        <f ca="1" t="shared" si="7"/>
        <v>45942</v>
      </c>
    </row>
    <row r="209" spans="9:12">
      <c r="I209">
        <f>IFERROR(VLOOKUP(H209,Rates!$A$2:$B$3,2,0),1)</f>
        <v>1</v>
      </c>
      <c r="J209" t="str">
        <f t="shared" si="6"/>
        <v/>
      </c>
      <c r="K209" t="str">
        <f>IF(J209&lt;&gt;"",SUM($J$2:J209),"")</f>
        <v/>
      </c>
      <c r="L209">
        <f ca="1" t="shared" si="7"/>
        <v>45942</v>
      </c>
    </row>
    <row r="210" spans="9:12">
      <c r="I210">
        <f>IFERROR(VLOOKUP(H210,Rates!$A$2:$B$3,2,0),1)</f>
        <v>1</v>
      </c>
      <c r="J210" t="str">
        <f t="shared" si="6"/>
        <v/>
      </c>
      <c r="K210" t="str">
        <f>IF(J210&lt;&gt;"",SUM($J$2:J210),"")</f>
        <v/>
      </c>
      <c r="L210">
        <f ca="1" t="shared" si="7"/>
        <v>45942</v>
      </c>
    </row>
    <row r="211" spans="9:12">
      <c r="I211">
        <f>IFERROR(VLOOKUP(H211,Rates!$A$2:$B$3,2,0),1)</f>
        <v>1</v>
      </c>
      <c r="J211" t="str">
        <f t="shared" si="6"/>
        <v/>
      </c>
      <c r="K211" t="str">
        <f>IF(J211&lt;&gt;"",SUM($J$2:J211),"")</f>
        <v/>
      </c>
      <c r="L211">
        <f ca="1" t="shared" si="7"/>
        <v>45942</v>
      </c>
    </row>
    <row r="212" spans="9:12">
      <c r="I212">
        <f>IFERROR(VLOOKUP(H212,Rates!$A$2:$B$3,2,0),1)</f>
        <v>1</v>
      </c>
      <c r="J212" t="str">
        <f t="shared" si="6"/>
        <v/>
      </c>
      <c r="K212" t="str">
        <f>IF(J212&lt;&gt;"",SUM($J$2:J212),"")</f>
        <v/>
      </c>
      <c r="L212">
        <f ca="1" t="shared" si="7"/>
        <v>45942</v>
      </c>
    </row>
    <row r="213" spans="9:12">
      <c r="I213">
        <f>IFERROR(VLOOKUP(H213,Rates!$A$2:$B$3,2,0),1)</f>
        <v>1</v>
      </c>
      <c r="J213" t="str">
        <f t="shared" si="6"/>
        <v/>
      </c>
      <c r="K213" t="str">
        <f>IF(J213&lt;&gt;"",SUM($J$2:J213),"")</f>
        <v/>
      </c>
      <c r="L213">
        <f ca="1" t="shared" si="7"/>
        <v>45942</v>
      </c>
    </row>
    <row r="214" spans="9:12">
      <c r="I214">
        <f>IFERROR(VLOOKUP(H214,Rates!$A$2:$B$3,2,0),1)</f>
        <v>1</v>
      </c>
      <c r="J214" t="str">
        <f t="shared" si="6"/>
        <v/>
      </c>
      <c r="K214" t="str">
        <f>IF(J214&lt;&gt;"",SUM($J$2:J214),"")</f>
        <v/>
      </c>
      <c r="L214">
        <f ca="1" t="shared" si="7"/>
        <v>45942</v>
      </c>
    </row>
    <row r="215" spans="9:12">
      <c r="I215">
        <f>IFERROR(VLOOKUP(H215,Rates!$A$2:$B$3,2,0),1)</f>
        <v>1</v>
      </c>
      <c r="J215" t="str">
        <f t="shared" si="6"/>
        <v/>
      </c>
      <c r="K215" t="str">
        <f>IF(J215&lt;&gt;"",SUM($J$2:J215),"")</f>
        <v/>
      </c>
      <c r="L215">
        <f ca="1" t="shared" si="7"/>
        <v>45942</v>
      </c>
    </row>
    <row r="216" spans="9:12">
      <c r="I216">
        <f>IFERROR(VLOOKUP(H216,Rates!$A$2:$B$3,2,0),1)</f>
        <v>1</v>
      </c>
      <c r="J216" t="str">
        <f t="shared" si="6"/>
        <v/>
      </c>
      <c r="K216" t="str">
        <f>IF(J216&lt;&gt;"",SUM($J$2:J216),"")</f>
        <v/>
      </c>
      <c r="L216">
        <f ca="1" t="shared" si="7"/>
        <v>45942</v>
      </c>
    </row>
    <row r="217" spans="9:12">
      <c r="I217">
        <f>IFERROR(VLOOKUP(H217,Rates!$A$2:$B$3,2,0),1)</f>
        <v>1</v>
      </c>
      <c r="J217" t="str">
        <f t="shared" si="6"/>
        <v/>
      </c>
      <c r="K217" t="str">
        <f>IF(J217&lt;&gt;"",SUM($J$2:J217),"")</f>
        <v/>
      </c>
      <c r="L217">
        <f ca="1" t="shared" si="7"/>
        <v>45942</v>
      </c>
    </row>
    <row r="218" spans="9:12">
      <c r="I218">
        <f>IFERROR(VLOOKUP(H218,Rates!$A$2:$B$3,2,0),1)</f>
        <v>1</v>
      </c>
      <c r="J218" t="str">
        <f t="shared" si="6"/>
        <v/>
      </c>
      <c r="K218" t="str">
        <f>IF(J218&lt;&gt;"",SUM($J$2:J218),"")</f>
        <v/>
      </c>
      <c r="L218">
        <f ca="1" t="shared" si="7"/>
        <v>45942</v>
      </c>
    </row>
    <row r="219" spans="9:12">
      <c r="I219">
        <f>IFERROR(VLOOKUP(H219,Rates!$A$2:$B$3,2,0),1)</f>
        <v>1</v>
      </c>
      <c r="J219" t="str">
        <f t="shared" si="6"/>
        <v/>
      </c>
      <c r="K219" t="str">
        <f>IF(J219&lt;&gt;"",SUM($J$2:J219),"")</f>
        <v/>
      </c>
      <c r="L219">
        <f ca="1" t="shared" si="7"/>
        <v>45942</v>
      </c>
    </row>
    <row r="220" spans="9:12">
      <c r="I220">
        <f>IFERROR(VLOOKUP(H220,Rates!$A$2:$B$3,2,0),1)</f>
        <v>1</v>
      </c>
      <c r="J220" t="str">
        <f t="shared" si="6"/>
        <v/>
      </c>
      <c r="K220" t="str">
        <f>IF(J220&lt;&gt;"",SUM($J$2:J220),"")</f>
        <v/>
      </c>
      <c r="L220">
        <f ca="1" t="shared" si="7"/>
        <v>45942</v>
      </c>
    </row>
    <row r="221" spans="9:12">
      <c r="I221">
        <f>IFERROR(VLOOKUP(H221,Rates!$A$2:$B$3,2,0),1)</f>
        <v>1</v>
      </c>
      <c r="J221" t="str">
        <f t="shared" si="6"/>
        <v/>
      </c>
      <c r="K221" t="str">
        <f>IF(J221&lt;&gt;"",SUM($J$2:J221),"")</f>
        <v/>
      </c>
      <c r="L221">
        <f ca="1" t="shared" si="7"/>
        <v>45942</v>
      </c>
    </row>
    <row r="222" spans="9:12">
      <c r="I222">
        <f>IFERROR(VLOOKUP(H222,Rates!$A$2:$B$3,2,0),1)</f>
        <v>1</v>
      </c>
      <c r="J222" t="str">
        <f t="shared" si="6"/>
        <v/>
      </c>
      <c r="K222" t="str">
        <f>IF(J222&lt;&gt;"",SUM($J$2:J222),"")</f>
        <v/>
      </c>
      <c r="L222">
        <f ca="1" t="shared" si="7"/>
        <v>45942</v>
      </c>
    </row>
    <row r="223" spans="9:12">
      <c r="I223">
        <f>IFERROR(VLOOKUP(H223,Rates!$A$2:$B$3,2,0),1)</f>
        <v>1</v>
      </c>
      <c r="J223" t="str">
        <f t="shared" si="6"/>
        <v/>
      </c>
      <c r="K223" t="str">
        <f>IF(J223&lt;&gt;"",SUM($J$2:J223),"")</f>
        <v/>
      </c>
      <c r="L223">
        <f ca="1" t="shared" si="7"/>
        <v>45942</v>
      </c>
    </row>
    <row r="224" spans="9:12">
      <c r="I224">
        <f>IFERROR(VLOOKUP(H224,Rates!$A$2:$B$3,2,0),1)</f>
        <v>1</v>
      </c>
      <c r="J224" t="str">
        <f t="shared" si="6"/>
        <v/>
      </c>
      <c r="K224" t="str">
        <f>IF(J224&lt;&gt;"",SUM($J$2:J224),"")</f>
        <v/>
      </c>
      <c r="L224">
        <f ca="1" t="shared" si="7"/>
        <v>45942</v>
      </c>
    </row>
    <row r="225" spans="9:12">
      <c r="I225">
        <f>IFERROR(VLOOKUP(H225,Rates!$A$2:$B$3,2,0),1)</f>
        <v>1</v>
      </c>
      <c r="J225" t="str">
        <f t="shared" si="6"/>
        <v/>
      </c>
      <c r="K225" t="str">
        <f>IF(J225&lt;&gt;"",SUM($J$2:J225),"")</f>
        <v/>
      </c>
      <c r="L225">
        <f ca="1" t="shared" si="7"/>
        <v>45942</v>
      </c>
    </row>
    <row r="226" spans="9:12">
      <c r="I226">
        <f>IFERROR(VLOOKUP(H226,Rates!$A$2:$B$3,2,0),1)</f>
        <v>1</v>
      </c>
      <c r="J226" t="str">
        <f t="shared" si="6"/>
        <v/>
      </c>
      <c r="K226" t="str">
        <f>IF(J226&lt;&gt;"",SUM($J$2:J226),"")</f>
        <v/>
      </c>
      <c r="L226">
        <f ca="1" t="shared" si="7"/>
        <v>45942</v>
      </c>
    </row>
    <row r="227" spans="9:12">
      <c r="I227">
        <f>IFERROR(VLOOKUP(H227,Rates!$A$2:$B$3,2,0),1)</f>
        <v>1</v>
      </c>
      <c r="J227" t="str">
        <f t="shared" si="6"/>
        <v/>
      </c>
      <c r="K227" t="str">
        <f>IF(J227&lt;&gt;"",SUM($J$2:J227),"")</f>
        <v/>
      </c>
      <c r="L227">
        <f ca="1" t="shared" si="7"/>
        <v>45942</v>
      </c>
    </row>
    <row r="228" spans="9:12">
      <c r="I228">
        <f>IFERROR(VLOOKUP(H228,Rates!$A$2:$B$3,2,0),1)</f>
        <v>1</v>
      </c>
      <c r="J228" t="str">
        <f t="shared" si="6"/>
        <v/>
      </c>
      <c r="K228" t="str">
        <f>IF(J228&lt;&gt;"",SUM($J$2:J228),"")</f>
        <v/>
      </c>
      <c r="L228">
        <f ca="1" t="shared" si="7"/>
        <v>45942</v>
      </c>
    </row>
    <row r="229" spans="9:12">
      <c r="I229">
        <f>IFERROR(VLOOKUP(H229,Rates!$A$2:$B$3,2,0),1)</f>
        <v>1</v>
      </c>
      <c r="J229" t="str">
        <f t="shared" si="6"/>
        <v/>
      </c>
      <c r="K229" t="str">
        <f>IF(J229&lt;&gt;"",SUM($J$2:J229),"")</f>
        <v/>
      </c>
      <c r="L229">
        <f ca="1" t="shared" si="7"/>
        <v>45942</v>
      </c>
    </row>
    <row r="230" spans="9:12">
      <c r="I230">
        <f>IFERROR(VLOOKUP(H230,Rates!$A$2:$B$3,2,0),1)</f>
        <v>1</v>
      </c>
      <c r="J230" t="str">
        <f t="shared" si="6"/>
        <v/>
      </c>
      <c r="K230" t="str">
        <f>IF(J230&lt;&gt;"",SUM($J$2:J230),"")</f>
        <v/>
      </c>
      <c r="L230">
        <f ca="1" t="shared" si="7"/>
        <v>45942</v>
      </c>
    </row>
    <row r="231" spans="9:12">
      <c r="I231">
        <f>IFERROR(VLOOKUP(H231,Rates!$A$2:$B$3,2,0),1)</f>
        <v>1</v>
      </c>
      <c r="J231" t="str">
        <f t="shared" si="6"/>
        <v/>
      </c>
      <c r="K231" t="str">
        <f>IF(J231&lt;&gt;"",SUM($J$2:J231),"")</f>
        <v/>
      </c>
      <c r="L231">
        <f ca="1" t="shared" si="7"/>
        <v>45942</v>
      </c>
    </row>
    <row r="232" spans="9:12">
      <c r="I232">
        <f>IFERROR(VLOOKUP(H232,Rates!$A$2:$B$3,2,0),1)</f>
        <v>1</v>
      </c>
      <c r="J232" t="str">
        <f t="shared" si="6"/>
        <v/>
      </c>
      <c r="K232" t="str">
        <f>IF(J232&lt;&gt;"",SUM($J$2:J232),"")</f>
        <v/>
      </c>
      <c r="L232">
        <f ca="1" t="shared" si="7"/>
        <v>45942</v>
      </c>
    </row>
    <row r="233" spans="9:12">
      <c r="I233">
        <f>IFERROR(VLOOKUP(H233,Rates!$A$2:$B$3,2,0),1)</f>
        <v>1</v>
      </c>
      <c r="J233" t="str">
        <f t="shared" si="6"/>
        <v/>
      </c>
      <c r="K233" t="str">
        <f>IF(J233&lt;&gt;"",SUM($J$2:J233),"")</f>
        <v/>
      </c>
      <c r="L233">
        <f ca="1" t="shared" si="7"/>
        <v>45942</v>
      </c>
    </row>
    <row r="234" spans="9:12">
      <c r="I234">
        <f>IFERROR(VLOOKUP(H234,Rates!$A$2:$B$3,2,0),1)</f>
        <v>1</v>
      </c>
      <c r="J234" t="str">
        <f t="shared" si="6"/>
        <v/>
      </c>
      <c r="K234" t="str">
        <f>IF(J234&lt;&gt;"",SUM($J$2:J234),"")</f>
        <v/>
      </c>
      <c r="L234">
        <f ca="1" t="shared" si="7"/>
        <v>45942</v>
      </c>
    </row>
    <row r="235" spans="9:12">
      <c r="I235">
        <f>IFERROR(VLOOKUP(H235,Rates!$A$2:$B$3,2,0),1)</f>
        <v>1</v>
      </c>
      <c r="J235" t="str">
        <f t="shared" si="6"/>
        <v/>
      </c>
      <c r="K235" t="str">
        <f>IF(J235&lt;&gt;"",SUM($J$2:J235),"")</f>
        <v/>
      </c>
      <c r="L235">
        <f ca="1" t="shared" si="7"/>
        <v>45942</v>
      </c>
    </row>
    <row r="236" spans="9:12">
      <c r="I236">
        <f>IFERROR(VLOOKUP(H236,Rates!$A$2:$B$3,2,0),1)</f>
        <v>1</v>
      </c>
      <c r="J236" t="str">
        <f t="shared" si="6"/>
        <v/>
      </c>
      <c r="K236" t="str">
        <f>IF(J236&lt;&gt;"",SUM($J$2:J236),"")</f>
        <v/>
      </c>
      <c r="L236">
        <f ca="1" t="shared" si="7"/>
        <v>45942</v>
      </c>
    </row>
    <row r="237" spans="9:12">
      <c r="I237">
        <f>IFERROR(VLOOKUP(H237,Rates!$A$2:$B$3,2,0),1)</f>
        <v>1</v>
      </c>
      <c r="J237" t="str">
        <f t="shared" si="6"/>
        <v/>
      </c>
      <c r="K237" t="str">
        <f>IF(J237&lt;&gt;"",SUM($J$2:J237),"")</f>
        <v/>
      </c>
      <c r="L237">
        <f ca="1" t="shared" si="7"/>
        <v>45942</v>
      </c>
    </row>
    <row r="238" spans="9:12">
      <c r="I238">
        <f>IFERROR(VLOOKUP(H238,Rates!$A$2:$B$3,2,0),1)</f>
        <v>1</v>
      </c>
      <c r="J238" t="str">
        <f t="shared" si="6"/>
        <v/>
      </c>
      <c r="K238" t="str">
        <f>IF(J238&lt;&gt;"",SUM($J$2:J238),"")</f>
        <v/>
      </c>
      <c r="L238">
        <f ca="1" t="shared" si="7"/>
        <v>45942</v>
      </c>
    </row>
    <row r="239" spans="9:12">
      <c r="I239">
        <f>IFERROR(VLOOKUP(H239,Rates!$A$2:$B$3,2,0),1)</f>
        <v>1</v>
      </c>
      <c r="J239" t="str">
        <f t="shared" si="6"/>
        <v/>
      </c>
      <c r="K239" t="str">
        <f>IF(J239&lt;&gt;"",SUM($J$2:J239),"")</f>
        <v/>
      </c>
      <c r="L239">
        <f ca="1" t="shared" si="7"/>
        <v>45942</v>
      </c>
    </row>
    <row r="240" spans="9:12">
      <c r="I240">
        <f>IFERROR(VLOOKUP(H240,Rates!$A$2:$B$3,2,0),1)</f>
        <v>1</v>
      </c>
      <c r="J240" t="str">
        <f t="shared" si="6"/>
        <v/>
      </c>
      <c r="K240" t="str">
        <f>IF(J240&lt;&gt;"",SUM($J$2:J240),"")</f>
        <v/>
      </c>
      <c r="L240">
        <f ca="1" t="shared" si="7"/>
        <v>45942</v>
      </c>
    </row>
    <row r="241" spans="9:12">
      <c r="I241">
        <f>IFERROR(VLOOKUP(H241,Rates!$A$2:$B$3,2,0),1)</f>
        <v>1</v>
      </c>
      <c r="J241" t="str">
        <f t="shared" si="6"/>
        <v/>
      </c>
      <c r="K241" t="str">
        <f>IF(J241&lt;&gt;"",SUM($J$2:J241),"")</f>
        <v/>
      </c>
      <c r="L241">
        <f ca="1" t="shared" si="7"/>
        <v>45942</v>
      </c>
    </row>
    <row r="242" spans="9:12">
      <c r="I242">
        <f>IFERROR(VLOOKUP(H242,Rates!$A$2:$B$3,2,0),1)</f>
        <v>1</v>
      </c>
      <c r="J242" t="str">
        <f t="shared" si="6"/>
        <v/>
      </c>
      <c r="K242" t="str">
        <f>IF(J242&lt;&gt;"",SUM($J$2:J242),"")</f>
        <v/>
      </c>
      <c r="L242">
        <f ca="1" t="shared" si="7"/>
        <v>45942</v>
      </c>
    </row>
    <row r="243" spans="9:12">
      <c r="I243">
        <f>IFERROR(VLOOKUP(H243,Rates!$A$2:$B$3,2,0),1)</f>
        <v>1</v>
      </c>
      <c r="J243" t="str">
        <f t="shared" si="6"/>
        <v/>
      </c>
      <c r="K243" t="str">
        <f>IF(J243&lt;&gt;"",SUM($J$2:J243),"")</f>
        <v/>
      </c>
      <c r="L243">
        <f ca="1" t="shared" si="7"/>
        <v>45942</v>
      </c>
    </row>
    <row r="244" spans="9:12">
      <c r="I244">
        <f>IFERROR(VLOOKUP(H244,Rates!$A$2:$B$3,2,0),1)</f>
        <v>1</v>
      </c>
      <c r="J244" t="str">
        <f t="shared" si="6"/>
        <v/>
      </c>
      <c r="K244" t="str">
        <f>IF(J244&lt;&gt;"",SUM($J$2:J244),"")</f>
        <v/>
      </c>
      <c r="L244">
        <f ca="1" t="shared" si="7"/>
        <v>45942</v>
      </c>
    </row>
    <row r="245" spans="9:12">
      <c r="I245">
        <f>IFERROR(VLOOKUP(H245,Rates!$A$2:$B$3,2,0),1)</f>
        <v>1</v>
      </c>
      <c r="J245" t="str">
        <f t="shared" si="6"/>
        <v/>
      </c>
      <c r="K245" t="str">
        <f>IF(J245&lt;&gt;"",SUM($J$2:J245),"")</f>
        <v/>
      </c>
      <c r="L245">
        <f ca="1" t="shared" si="7"/>
        <v>45942</v>
      </c>
    </row>
    <row r="246" spans="9:12">
      <c r="I246">
        <f>IFERROR(VLOOKUP(H246,Rates!$A$2:$B$3,2,0),1)</f>
        <v>1</v>
      </c>
      <c r="J246" t="str">
        <f t="shared" si="6"/>
        <v/>
      </c>
      <c r="K246" t="str">
        <f>IF(J246&lt;&gt;"",SUM($J$2:J246),"")</f>
        <v/>
      </c>
      <c r="L246">
        <f ca="1" t="shared" si="7"/>
        <v>45942</v>
      </c>
    </row>
    <row r="247" spans="9:12">
      <c r="I247">
        <f>IFERROR(VLOOKUP(H247,Rates!$A$2:$B$3,2,0),1)</f>
        <v>1</v>
      </c>
      <c r="J247" t="str">
        <f t="shared" si="6"/>
        <v/>
      </c>
      <c r="K247" t="str">
        <f>IF(J247&lt;&gt;"",SUM($J$2:J247),"")</f>
        <v/>
      </c>
      <c r="L247">
        <f ca="1" t="shared" si="7"/>
        <v>45942</v>
      </c>
    </row>
    <row r="248" spans="9:12">
      <c r="I248">
        <f>IFERROR(VLOOKUP(H248,Rates!$A$2:$B$3,2,0),1)</f>
        <v>1</v>
      </c>
      <c r="J248" t="str">
        <f t="shared" si="6"/>
        <v/>
      </c>
      <c r="K248" t="str">
        <f>IF(J248&lt;&gt;"",SUM($J$2:J248),"")</f>
        <v/>
      </c>
      <c r="L248">
        <f ca="1" t="shared" si="7"/>
        <v>45942</v>
      </c>
    </row>
    <row r="249" spans="9:12">
      <c r="I249">
        <f>IFERROR(VLOOKUP(H249,Rates!$A$2:$B$3,2,0),1)</f>
        <v>1</v>
      </c>
      <c r="J249" t="str">
        <f t="shared" si="6"/>
        <v/>
      </c>
      <c r="K249" t="str">
        <f>IF(J249&lt;&gt;"",SUM($J$2:J249),"")</f>
        <v/>
      </c>
      <c r="L249">
        <f ca="1" t="shared" si="7"/>
        <v>45942</v>
      </c>
    </row>
    <row r="250" spans="9:12">
      <c r="I250">
        <f>IFERROR(VLOOKUP(H250,Rates!$A$2:$B$3,2,0),1)</f>
        <v>1</v>
      </c>
      <c r="J250" t="str">
        <f t="shared" si="6"/>
        <v/>
      </c>
      <c r="K250" t="str">
        <f>IF(J250&lt;&gt;"",SUM($J$2:J250),"")</f>
        <v/>
      </c>
      <c r="L250">
        <f ca="1" t="shared" si="7"/>
        <v>45942</v>
      </c>
    </row>
    <row r="251" spans="9:12">
      <c r="I251">
        <f>IFERROR(VLOOKUP(H251,Rates!$A$2:$B$3,2,0),1)</f>
        <v>1</v>
      </c>
      <c r="J251" t="str">
        <f t="shared" si="6"/>
        <v/>
      </c>
      <c r="K251" t="str">
        <f>IF(J251&lt;&gt;"",SUM($J$2:J251),"")</f>
        <v/>
      </c>
      <c r="L251">
        <f ca="1" t="shared" si="7"/>
        <v>45942</v>
      </c>
    </row>
    <row r="252" spans="9:12">
      <c r="I252">
        <f>IFERROR(VLOOKUP(H252,Rates!$A$2:$B$3,2,0),1)</f>
        <v>1</v>
      </c>
      <c r="J252" t="str">
        <f t="shared" si="6"/>
        <v/>
      </c>
      <c r="K252" t="str">
        <f>IF(J252&lt;&gt;"",SUM($J$2:J252),"")</f>
        <v/>
      </c>
      <c r="L252">
        <f ca="1" t="shared" si="7"/>
        <v>45942</v>
      </c>
    </row>
    <row r="253" spans="9:12">
      <c r="I253">
        <f>IFERROR(VLOOKUP(H253,Rates!$A$2:$B$3,2,0),1)</f>
        <v>1</v>
      </c>
      <c r="J253" t="str">
        <f t="shared" si="6"/>
        <v/>
      </c>
      <c r="K253" t="str">
        <f>IF(J253&lt;&gt;"",SUM($J$2:J253),"")</f>
        <v/>
      </c>
      <c r="L253">
        <f ca="1" t="shared" si="7"/>
        <v>45942</v>
      </c>
    </row>
    <row r="254" spans="9:12">
      <c r="I254">
        <f>IFERROR(VLOOKUP(H254,Rates!$A$2:$B$3,2,0),1)</f>
        <v>1</v>
      </c>
      <c r="J254" t="str">
        <f t="shared" si="6"/>
        <v/>
      </c>
      <c r="K254" t="str">
        <f>IF(J254&lt;&gt;"",SUM($J$2:J254),"")</f>
        <v/>
      </c>
      <c r="L254">
        <f ca="1" t="shared" si="7"/>
        <v>45942</v>
      </c>
    </row>
    <row r="255" spans="9:12">
      <c r="I255">
        <f>IFERROR(VLOOKUP(H255,Rates!$A$2:$B$3,2,0),1)</f>
        <v>1</v>
      </c>
      <c r="J255" t="str">
        <f t="shared" si="6"/>
        <v/>
      </c>
      <c r="K255" t="str">
        <f>IF(J255&lt;&gt;"",SUM($J$2:J255),"")</f>
        <v/>
      </c>
      <c r="L255">
        <f ca="1" t="shared" si="7"/>
        <v>45942</v>
      </c>
    </row>
    <row r="256" spans="9:12">
      <c r="I256">
        <f>IFERROR(VLOOKUP(H256,Rates!$A$2:$B$3,2,0),1)</f>
        <v>1</v>
      </c>
      <c r="J256" t="str">
        <f t="shared" si="6"/>
        <v/>
      </c>
      <c r="K256" t="str">
        <f>IF(J256&lt;&gt;"",SUM($J$2:J256),"")</f>
        <v/>
      </c>
      <c r="L256">
        <f ca="1" t="shared" si="7"/>
        <v>45942</v>
      </c>
    </row>
    <row r="257" spans="9:12">
      <c r="I257">
        <f>IFERROR(VLOOKUP(H257,Rates!$A$2:$B$3,2,0),1)</f>
        <v>1</v>
      </c>
      <c r="J257" t="str">
        <f t="shared" si="6"/>
        <v/>
      </c>
      <c r="K257" t="str">
        <f>IF(J257&lt;&gt;"",SUM($J$2:J257),"")</f>
        <v/>
      </c>
      <c r="L257">
        <f ca="1" t="shared" si="7"/>
        <v>45942</v>
      </c>
    </row>
    <row r="258" spans="9:12">
      <c r="I258">
        <f>IFERROR(VLOOKUP(H258,Rates!$A$2:$B$3,2,0),1)</f>
        <v>1</v>
      </c>
      <c r="J258" t="str">
        <f t="shared" ref="J258:J301" si="8">IF(G258&lt;&gt;"",G258*I258,"")</f>
        <v/>
      </c>
      <c r="K258" t="str">
        <f>IF(J258&lt;&gt;"",SUM($J$2:J258),"")</f>
        <v/>
      </c>
      <c r="L258">
        <f ca="1" t="shared" ref="L258:L301" si="9">IF(COUNTA(A258:K258)&gt;0,TODAY(),"")</f>
        <v>45942</v>
      </c>
    </row>
    <row r="259" spans="9:12">
      <c r="I259">
        <f>IFERROR(VLOOKUP(H259,Rates!$A$2:$B$3,2,0),1)</f>
        <v>1</v>
      </c>
      <c r="J259" t="str">
        <f t="shared" si="8"/>
        <v/>
      </c>
      <c r="K259" t="str">
        <f>IF(J259&lt;&gt;"",SUM($J$2:J259),"")</f>
        <v/>
      </c>
      <c r="L259">
        <f ca="1" t="shared" si="9"/>
        <v>45942</v>
      </c>
    </row>
    <row r="260" spans="9:12">
      <c r="I260">
        <f>IFERROR(VLOOKUP(H260,Rates!$A$2:$B$3,2,0),1)</f>
        <v>1</v>
      </c>
      <c r="J260" t="str">
        <f t="shared" si="8"/>
        <v/>
      </c>
      <c r="K260" t="str">
        <f>IF(J260&lt;&gt;"",SUM($J$2:J260),"")</f>
        <v/>
      </c>
      <c r="L260">
        <f ca="1" t="shared" si="9"/>
        <v>45942</v>
      </c>
    </row>
    <row r="261" spans="9:12">
      <c r="I261">
        <f>IFERROR(VLOOKUP(H261,Rates!$A$2:$B$3,2,0),1)</f>
        <v>1</v>
      </c>
      <c r="J261" t="str">
        <f t="shared" si="8"/>
        <v/>
      </c>
      <c r="K261" t="str">
        <f>IF(J261&lt;&gt;"",SUM($J$2:J261),"")</f>
        <v/>
      </c>
      <c r="L261">
        <f ca="1" t="shared" si="9"/>
        <v>45942</v>
      </c>
    </row>
    <row r="262" spans="9:12">
      <c r="I262">
        <f>IFERROR(VLOOKUP(H262,Rates!$A$2:$B$3,2,0),1)</f>
        <v>1</v>
      </c>
      <c r="J262" t="str">
        <f t="shared" si="8"/>
        <v/>
      </c>
      <c r="K262" t="str">
        <f>IF(J262&lt;&gt;"",SUM($J$2:J262),"")</f>
        <v/>
      </c>
      <c r="L262">
        <f ca="1" t="shared" si="9"/>
        <v>45942</v>
      </c>
    </row>
    <row r="263" spans="9:12">
      <c r="I263">
        <f>IFERROR(VLOOKUP(H263,Rates!$A$2:$B$3,2,0),1)</f>
        <v>1</v>
      </c>
      <c r="J263" t="str">
        <f t="shared" si="8"/>
        <v/>
      </c>
      <c r="K263" t="str">
        <f>IF(J263&lt;&gt;"",SUM($J$2:J263),"")</f>
        <v/>
      </c>
      <c r="L263">
        <f ca="1" t="shared" si="9"/>
        <v>45942</v>
      </c>
    </row>
    <row r="264" spans="9:12">
      <c r="I264">
        <f>IFERROR(VLOOKUP(H264,Rates!$A$2:$B$3,2,0),1)</f>
        <v>1</v>
      </c>
      <c r="J264" t="str">
        <f t="shared" si="8"/>
        <v/>
      </c>
      <c r="K264" t="str">
        <f>IF(J264&lt;&gt;"",SUM($J$2:J264),"")</f>
        <v/>
      </c>
      <c r="L264">
        <f ca="1" t="shared" si="9"/>
        <v>45942</v>
      </c>
    </row>
    <row r="265" spans="9:12">
      <c r="I265">
        <f>IFERROR(VLOOKUP(H265,Rates!$A$2:$B$3,2,0),1)</f>
        <v>1</v>
      </c>
      <c r="J265" t="str">
        <f t="shared" si="8"/>
        <v/>
      </c>
      <c r="K265" t="str">
        <f>IF(J265&lt;&gt;"",SUM($J$2:J265),"")</f>
        <v/>
      </c>
      <c r="L265">
        <f ca="1" t="shared" si="9"/>
        <v>45942</v>
      </c>
    </row>
    <row r="266" spans="9:12">
      <c r="I266">
        <f>IFERROR(VLOOKUP(H266,Rates!$A$2:$B$3,2,0),1)</f>
        <v>1</v>
      </c>
      <c r="J266" t="str">
        <f t="shared" si="8"/>
        <v/>
      </c>
      <c r="K266" t="str">
        <f>IF(J266&lt;&gt;"",SUM($J$2:J266),"")</f>
        <v/>
      </c>
      <c r="L266">
        <f ca="1" t="shared" si="9"/>
        <v>45942</v>
      </c>
    </row>
    <row r="267" spans="9:12">
      <c r="I267">
        <f>IFERROR(VLOOKUP(H267,Rates!$A$2:$B$3,2,0),1)</f>
        <v>1</v>
      </c>
      <c r="J267" t="str">
        <f t="shared" si="8"/>
        <v/>
      </c>
      <c r="K267" t="str">
        <f>IF(J267&lt;&gt;"",SUM($J$2:J267),"")</f>
        <v/>
      </c>
      <c r="L267">
        <f ca="1" t="shared" si="9"/>
        <v>45942</v>
      </c>
    </row>
    <row r="268" spans="9:12">
      <c r="I268">
        <f>IFERROR(VLOOKUP(H268,Rates!$A$2:$B$3,2,0),1)</f>
        <v>1</v>
      </c>
      <c r="J268" t="str">
        <f t="shared" si="8"/>
        <v/>
      </c>
      <c r="K268" t="str">
        <f>IF(J268&lt;&gt;"",SUM($J$2:J268),"")</f>
        <v/>
      </c>
      <c r="L268">
        <f ca="1" t="shared" si="9"/>
        <v>45942</v>
      </c>
    </row>
    <row r="269" spans="9:12">
      <c r="I269">
        <f>IFERROR(VLOOKUP(H269,Rates!$A$2:$B$3,2,0),1)</f>
        <v>1</v>
      </c>
      <c r="J269" t="str">
        <f t="shared" si="8"/>
        <v/>
      </c>
      <c r="K269" t="str">
        <f>IF(J269&lt;&gt;"",SUM($J$2:J269),"")</f>
        <v/>
      </c>
      <c r="L269">
        <f ca="1" t="shared" si="9"/>
        <v>45942</v>
      </c>
    </row>
    <row r="270" spans="9:12">
      <c r="I270">
        <f>IFERROR(VLOOKUP(H270,Rates!$A$2:$B$3,2,0),1)</f>
        <v>1</v>
      </c>
      <c r="J270" t="str">
        <f t="shared" si="8"/>
        <v/>
      </c>
      <c r="K270" t="str">
        <f>IF(J270&lt;&gt;"",SUM($J$2:J270),"")</f>
        <v/>
      </c>
      <c r="L270">
        <f ca="1" t="shared" si="9"/>
        <v>45942</v>
      </c>
    </row>
    <row r="271" spans="9:12">
      <c r="I271">
        <f>IFERROR(VLOOKUP(H271,Rates!$A$2:$B$3,2,0),1)</f>
        <v>1</v>
      </c>
      <c r="J271" t="str">
        <f t="shared" si="8"/>
        <v/>
      </c>
      <c r="K271" t="str">
        <f>IF(J271&lt;&gt;"",SUM($J$2:J271),"")</f>
        <v/>
      </c>
      <c r="L271">
        <f ca="1" t="shared" si="9"/>
        <v>45942</v>
      </c>
    </row>
    <row r="272" spans="9:12">
      <c r="I272">
        <f>IFERROR(VLOOKUP(H272,Rates!$A$2:$B$3,2,0),1)</f>
        <v>1</v>
      </c>
      <c r="J272" t="str">
        <f t="shared" si="8"/>
        <v/>
      </c>
      <c r="K272" t="str">
        <f>IF(J272&lt;&gt;"",SUM($J$2:J272),"")</f>
        <v/>
      </c>
      <c r="L272">
        <f ca="1" t="shared" si="9"/>
        <v>45942</v>
      </c>
    </row>
    <row r="273" spans="9:12">
      <c r="I273">
        <f>IFERROR(VLOOKUP(H273,Rates!$A$2:$B$3,2,0),1)</f>
        <v>1</v>
      </c>
      <c r="J273" t="str">
        <f t="shared" si="8"/>
        <v/>
      </c>
      <c r="K273" t="str">
        <f>IF(J273&lt;&gt;"",SUM($J$2:J273),"")</f>
        <v/>
      </c>
      <c r="L273">
        <f ca="1" t="shared" si="9"/>
        <v>45942</v>
      </c>
    </row>
    <row r="274" spans="9:12">
      <c r="I274">
        <f>IFERROR(VLOOKUP(H274,Rates!$A$2:$B$3,2,0),1)</f>
        <v>1</v>
      </c>
      <c r="J274" t="str">
        <f t="shared" si="8"/>
        <v/>
      </c>
      <c r="K274" t="str">
        <f>IF(J274&lt;&gt;"",SUM($J$2:J274),"")</f>
        <v/>
      </c>
      <c r="L274">
        <f ca="1" t="shared" si="9"/>
        <v>45942</v>
      </c>
    </row>
    <row r="275" spans="9:12">
      <c r="I275">
        <f>IFERROR(VLOOKUP(H275,Rates!$A$2:$B$3,2,0),1)</f>
        <v>1</v>
      </c>
      <c r="J275" t="str">
        <f t="shared" si="8"/>
        <v/>
      </c>
      <c r="K275" t="str">
        <f>IF(J275&lt;&gt;"",SUM($J$2:J275),"")</f>
        <v/>
      </c>
      <c r="L275">
        <f ca="1" t="shared" si="9"/>
        <v>45942</v>
      </c>
    </row>
    <row r="276" spans="9:12">
      <c r="I276">
        <f>IFERROR(VLOOKUP(H276,Rates!$A$2:$B$3,2,0),1)</f>
        <v>1</v>
      </c>
      <c r="J276" t="str">
        <f t="shared" si="8"/>
        <v/>
      </c>
      <c r="K276" t="str">
        <f>IF(J276&lt;&gt;"",SUM($J$2:J276),"")</f>
        <v/>
      </c>
      <c r="L276">
        <f ca="1" t="shared" si="9"/>
        <v>45942</v>
      </c>
    </row>
    <row r="277" spans="9:12">
      <c r="I277">
        <f>IFERROR(VLOOKUP(H277,Rates!$A$2:$B$3,2,0),1)</f>
        <v>1</v>
      </c>
      <c r="J277" t="str">
        <f t="shared" si="8"/>
        <v/>
      </c>
      <c r="K277" t="str">
        <f>IF(J277&lt;&gt;"",SUM($J$2:J277),"")</f>
        <v/>
      </c>
      <c r="L277">
        <f ca="1" t="shared" si="9"/>
        <v>45942</v>
      </c>
    </row>
    <row r="278" spans="9:12">
      <c r="I278">
        <f>IFERROR(VLOOKUP(H278,Rates!$A$2:$B$3,2,0),1)</f>
        <v>1</v>
      </c>
      <c r="J278" t="str">
        <f t="shared" si="8"/>
        <v/>
      </c>
      <c r="K278" t="str">
        <f>IF(J278&lt;&gt;"",SUM($J$2:J278),"")</f>
        <v/>
      </c>
      <c r="L278">
        <f ca="1" t="shared" si="9"/>
        <v>45942</v>
      </c>
    </row>
    <row r="279" spans="9:12">
      <c r="I279">
        <f>IFERROR(VLOOKUP(H279,Rates!$A$2:$B$3,2,0),1)</f>
        <v>1</v>
      </c>
      <c r="J279" t="str">
        <f t="shared" si="8"/>
        <v/>
      </c>
      <c r="K279" t="str">
        <f>IF(J279&lt;&gt;"",SUM($J$2:J279),"")</f>
        <v/>
      </c>
      <c r="L279">
        <f ca="1" t="shared" si="9"/>
        <v>45942</v>
      </c>
    </row>
    <row r="280" spans="9:12">
      <c r="I280">
        <f>IFERROR(VLOOKUP(H280,Rates!$A$2:$B$3,2,0),1)</f>
        <v>1</v>
      </c>
      <c r="J280" t="str">
        <f t="shared" si="8"/>
        <v/>
      </c>
      <c r="K280" t="str">
        <f>IF(J280&lt;&gt;"",SUM($J$2:J280),"")</f>
        <v/>
      </c>
      <c r="L280">
        <f ca="1" t="shared" si="9"/>
        <v>45942</v>
      </c>
    </row>
    <row r="281" spans="9:12">
      <c r="I281">
        <f>IFERROR(VLOOKUP(H281,Rates!$A$2:$B$3,2,0),1)</f>
        <v>1</v>
      </c>
      <c r="J281" t="str">
        <f t="shared" si="8"/>
        <v/>
      </c>
      <c r="K281" t="str">
        <f>IF(J281&lt;&gt;"",SUM($J$2:J281),"")</f>
        <v/>
      </c>
      <c r="L281">
        <f ca="1" t="shared" si="9"/>
        <v>45942</v>
      </c>
    </row>
    <row r="282" spans="9:12">
      <c r="I282">
        <f>IFERROR(VLOOKUP(H282,Rates!$A$2:$B$3,2,0),1)</f>
        <v>1</v>
      </c>
      <c r="J282" t="str">
        <f t="shared" si="8"/>
        <v/>
      </c>
      <c r="K282" t="str">
        <f>IF(J282&lt;&gt;"",SUM($J$2:J282),"")</f>
        <v/>
      </c>
      <c r="L282">
        <f ca="1" t="shared" si="9"/>
        <v>45942</v>
      </c>
    </row>
    <row r="283" spans="9:12">
      <c r="I283">
        <f>IFERROR(VLOOKUP(H283,Rates!$A$2:$B$3,2,0),1)</f>
        <v>1</v>
      </c>
      <c r="J283" t="str">
        <f t="shared" si="8"/>
        <v/>
      </c>
      <c r="K283" t="str">
        <f>IF(J283&lt;&gt;"",SUM($J$2:J283),"")</f>
        <v/>
      </c>
      <c r="L283">
        <f ca="1" t="shared" si="9"/>
        <v>45942</v>
      </c>
    </row>
    <row r="284" spans="9:12">
      <c r="I284">
        <f>IFERROR(VLOOKUP(H284,Rates!$A$2:$B$3,2,0),1)</f>
        <v>1</v>
      </c>
      <c r="J284" t="str">
        <f t="shared" si="8"/>
        <v/>
      </c>
      <c r="K284" t="str">
        <f>IF(J284&lt;&gt;"",SUM($J$2:J284),"")</f>
        <v/>
      </c>
      <c r="L284">
        <f ca="1" t="shared" si="9"/>
        <v>45942</v>
      </c>
    </row>
    <row r="285" spans="9:12">
      <c r="I285">
        <f>IFERROR(VLOOKUP(H285,Rates!$A$2:$B$3,2,0),1)</f>
        <v>1</v>
      </c>
      <c r="J285" t="str">
        <f t="shared" si="8"/>
        <v/>
      </c>
      <c r="K285" t="str">
        <f>IF(J285&lt;&gt;"",SUM($J$2:J285),"")</f>
        <v/>
      </c>
      <c r="L285">
        <f ca="1" t="shared" si="9"/>
        <v>45942</v>
      </c>
    </row>
    <row r="286" spans="9:12">
      <c r="I286">
        <f>IFERROR(VLOOKUP(H286,Rates!$A$2:$B$3,2,0),1)</f>
        <v>1</v>
      </c>
      <c r="J286" t="str">
        <f t="shared" si="8"/>
        <v/>
      </c>
      <c r="K286" t="str">
        <f>IF(J286&lt;&gt;"",SUM($J$2:J286),"")</f>
        <v/>
      </c>
      <c r="L286">
        <f ca="1" t="shared" si="9"/>
        <v>45942</v>
      </c>
    </row>
    <row r="287" spans="9:12">
      <c r="I287">
        <f>IFERROR(VLOOKUP(H287,Rates!$A$2:$B$3,2,0),1)</f>
        <v>1</v>
      </c>
      <c r="J287" t="str">
        <f t="shared" si="8"/>
        <v/>
      </c>
      <c r="K287" t="str">
        <f>IF(J287&lt;&gt;"",SUM($J$2:J287),"")</f>
        <v/>
      </c>
      <c r="L287">
        <f ca="1" t="shared" si="9"/>
        <v>45942</v>
      </c>
    </row>
    <row r="288" spans="9:12">
      <c r="I288">
        <f>IFERROR(VLOOKUP(H288,Rates!$A$2:$B$3,2,0),1)</f>
        <v>1</v>
      </c>
      <c r="J288" t="str">
        <f t="shared" si="8"/>
        <v/>
      </c>
      <c r="K288" t="str">
        <f>IF(J288&lt;&gt;"",SUM($J$2:J288),"")</f>
        <v/>
      </c>
      <c r="L288">
        <f ca="1" t="shared" si="9"/>
        <v>45942</v>
      </c>
    </row>
    <row r="289" spans="9:12">
      <c r="I289">
        <f>IFERROR(VLOOKUP(H289,Rates!$A$2:$B$3,2,0),1)</f>
        <v>1</v>
      </c>
      <c r="J289" t="str">
        <f t="shared" si="8"/>
        <v/>
      </c>
      <c r="K289" t="str">
        <f>IF(J289&lt;&gt;"",SUM($J$2:J289),"")</f>
        <v/>
      </c>
      <c r="L289">
        <f ca="1" t="shared" si="9"/>
        <v>45942</v>
      </c>
    </row>
    <row r="290" spans="9:12">
      <c r="I290">
        <f>IFERROR(VLOOKUP(H290,Rates!$A$2:$B$3,2,0),1)</f>
        <v>1</v>
      </c>
      <c r="J290" t="str">
        <f t="shared" si="8"/>
        <v/>
      </c>
      <c r="K290" t="str">
        <f>IF(J290&lt;&gt;"",SUM($J$2:J290),"")</f>
        <v/>
      </c>
      <c r="L290">
        <f ca="1" t="shared" si="9"/>
        <v>45942</v>
      </c>
    </row>
    <row r="291" spans="9:12">
      <c r="I291">
        <f>IFERROR(VLOOKUP(H291,Rates!$A$2:$B$3,2,0),1)</f>
        <v>1</v>
      </c>
      <c r="J291" t="str">
        <f t="shared" si="8"/>
        <v/>
      </c>
      <c r="K291" t="str">
        <f>IF(J291&lt;&gt;"",SUM($J$2:J291),"")</f>
        <v/>
      </c>
      <c r="L291">
        <f ca="1" t="shared" si="9"/>
        <v>45942</v>
      </c>
    </row>
    <row r="292" spans="9:12">
      <c r="I292">
        <f>IFERROR(VLOOKUP(H292,Rates!$A$2:$B$3,2,0),1)</f>
        <v>1</v>
      </c>
      <c r="J292" t="str">
        <f t="shared" si="8"/>
        <v/>
      </c>
      <c r="K292" t="str">
        <f>IF(J292&lt;&gt;"",SUM($J$2:J292),"")</f>
        <v/>
      </c>
      <c r="L292">
        <f ca="1" t="shared" si="9"/>
        <v>45942</v>
      </c>
    </row>
    <row r="293" spans="9:12">
      <c r="I293">
        <f>IFERROR(VLOOKUP(H293,Rates!$A$2:$B$3,2,0),1)</f>
        <v>1</v>
      </c>
      <c r="J293" t="str">
        <f t="shared" si="8"/>
        <v/>
      </c>
      <c r="K293" t="str">
        <f>IF(J293&lt;&gt;"",SUM($J$2:J293),"")</f>
        <v/>
      </c>
      <c r="L293">
        <f ca="1" t="shared" si="9"/>
        <v>45942</v>
      </c>
    </row>
    <row r="294" spans="9:12">
      <c r="I294">
        <f>IFERROR(VLOOKUP(H294,Rates!$A$2:$B$3,2,0),1)</f>
        <v>1</v>
      </c>
      <c r="J294" t="str">
        <f t="shared" si="8"/>
        <v/>
      </c>
      <c r="K294" t="str">
        <f>IF(J294&lt;&gt;"",SUM($J$2:J294),"")</f>
        <v/>
      </c>
      <c r="L294">
        <f ca="1" t="shared" si="9"/>
        <v>45942</v>
      </c>
    </row>
    <row r="295" spans="9:12">
      <c r="I295">
        <f>IFERROR(VLOOKUP(H295,Rates!$A$2:$B$3,2,0),1)</f>
        <v>1</v>
      </c>
      <c r="J295" t="str">
        <f t="shared" si="8"/>
        <v/>
      </c>
      <c r="K295" t="str">
        <f>IF(J295&lt;&gt;"",SUM($J$2:J295),"")</f>
        <v/>
      </c>
      <c r="L295">
        <f ca="1" t="shared" si="9"/>
        <v>45942</v>
      </c>
    </row>
    <row r="296" spans="9:12">
      <c r="I296">
        <f>IFERROR(VLOOKUP(H296,Rates!$A$2:$B$3,2,0),1)</f>
        <v>1</v>
      </c>
      <c r="J296" t="str">
        <f t="shared" si="8"/>
        <v/>
      </c>
      <c r="K296" t="str">
        <f>IF(J296&lt;&gt;"",SUM($J$2:J296),"")</f>
        <v/>
      </c>
      <c r="L296">
        <f ca="1" t="shared" si="9"/>
        <v>45942</v>
      </c>
    </row>
    <row r="297" spans="9:12">
      <c r="I297">
        <f>IFERROR(VLOOKUP(H297,Rates!$A$2:$B$3,2,0),1)</f>
        <v>1</v>
      </c>
      <c r="J297" t="str">
        <f t="shared" si="8"/>
        <v/>
      </c>
      <c r="K297" t="str">
        <f>IF(J297&lt;&gt;"",SUM($J$2:J297),"")</f>
        <v/>
      </c>
      <c r="L297">
        <f ca="1" t="shared" si="9"/>
        <v>45942</v>
      </c>
    </row>
    <row r="298" spans="9:12">
      <c r="I298">
        <f>IFERROR(VLOOKUP(H298,Rates!$A$2:$B$3,2,0),1)</f>
        <v>1</v>
      </c>
      <c r="J298" t="str">
        <f t="shared" si="8"/>
        <v/>
      </c>
      <c r="K298" t="str">
        <f>IF(J298&lt;&gt;"",SUM($J$2:J298),"")</f>
        <v/>
      </c>
      <c r="L298">
        <f ca="1" t="shared" si="9"/>
        <v>45942</v>
      </c>
    </row>
    <row r="299" spans="9:12">
      <c r="I299">
        <f>IFERROR(VLOOKUP(H299,Rates!$A$2:$B$3,2,0),1)</f>
        <v>1</v>
      </c>
      <c r="J299" t="str">
        <f t="shared" si="8"/>
        <v/>
      </c>
      <c r="K299" t="str">
        <f>IF(J299&lt;&gt;"",SUM($J$2:J299),"")</f>
        <v/>
      </c>
      <c r="L299">
        <f ca="1" t="shared" si="9"/>
        <v>45942</v>
      </c>
    </row>
    <row r="300" spans="9:12">
      <c r="I300">
        <f>IFERROR(VLOOKUP(H300,Rates!$A$2:$B$3,2,0),1)</f>
        <v>1</v>
      </c>
      <c r="J300" t="str">
        <f t="shared" si="8"/>
        <v/>
      </c>
      <c r="K300" t="str">
        <f>IF(J300&lt;&gt;"",SUM($J$2:J300),"")</f>
        <v/>
      </c>
      <c r="L300">
        <f ca="1" t="shared" si="9"/>
        <v>45942</v>
      </c>
    </row>
    <row r="301" spans="9:12">
      <c r="I301">
        <f>IFERROR(VLOOKUP(H301,Rates!$A$2:$B$3,2,0),1)</f>
        <v>1</v>
      </c>
      <c r="J301" t="str">
        <f t="shared" si="8"/>
        <v/>
      </c>
      <c r="K301" t="str">
        <f>IF(J301&lt;&gt;"",SUM($J$2:J301),"")</f>
        <v/>
      </c>
      <c r="L301">
        <f ca="1" t="shared" si="9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workbookViewId="0">
      <pane ySplit="1" topLeftCell="A2" activePane="bottomLeft" state="frozen"/>
      <selection/>
      <selection pane="bottomLeft" activeCell="C20" sqref="C20"/>
    </sheetView>
  </sheetViews>
  <sheetFormatPr defaultColWidth="9" defaultRowHeight="16.8" outlineLevelCol="4"/>
  <cols>
    <col min="1" max="1" width="26" customWidth="1"/>
    <col min="2" max="5" width="18" customWidth="1"/>
  </cols>
  <sheetData>
    <row r="1" spans="1:5">
      <c r="A1" t="s">
        <v>156</v>
      </c>
      <c r="B1" t="s">
        <v>157</v>
      </c>
      <c r="C1" t="s">
        <v>158</v>
      </c>
      <c r="D1" t="s">
        <v>159</v>
      </c>
      <c r="E1" t="s">
        <v>160</v>
      </c>
    </row>
    <row r="2" spans="1:5">
      <c r="A2" t="s">
        <v>38</v>
      </c>
      <c r="B2" s="1">
        <f>SUMIFS(MinorBugsRetention!$J:$J,MinorBugsRetention!$J:$J,"&gt;0",MinorBugsRetention!$C:$C,"&lt;&gt;TransferEntry")</f>
        <v>10188</v>
      </c>
      <c r="C2" s="1">
        <f>-SUMIFS(MinorBugsRetention!$J:$J,MinorBugsRetention!$J:$J,"&lt;0",MinorBugsRetention!$C:$C,"&lt;&gt;TransferEntry")</f>
        <v>0</v>
      </c>
      <c r="D2" s="1">
        <f t="shared" ref="D2:D19" si="0">B2-C2</f>
        <v>10188</v>
      </c>
      <c r="E2" s="1">
        <f>SUM(MinorBugsRetention!$J:$J)</f>
        <v>6460041</v>
      </c>
    </row>
    <row r="3" spans="1:5">
      <c r="A3" t="s">
        <v>39</v>
      </c>
      <c r="B3" s="1">
        <f>SUMIFS(MintCodeRetention!$J:$J,MintCodeRetention!$J:$J,"&gt;0",MintCodeRetention!$C:$C,"&lt;&gt;TransferEntry")</f>
        <v>444593</v>
      </c>
      <c r="C3" s="1">
        <f>-SUMIFS(MintCodeRetention!$J:$J,MintCodeRetention!$J:$J,"&lt;0",MintCodeRetention!$C:$C,"&lt;&gt;TransferEntry")</f>
        <v>431575</v>
      </c>
      <c r="D3" s="1">
        <f t="shared" si="0"/>
        <v>13018</v>
      </c>
      <c r="E3" s="1">
        <f>SUM(MintCodeRetention!$J:$J)</f>
        <v>13018</v>
      </c>
    </row>
    <row r="4" spans="1:5">
      <c r="A4" t="s">
        <v>40</v>
      </c>
      <c r="B4" s="1">
        <f>SUMIFS(AlphaRaysFlagStar!$J:$J,AlphaRaysFlagStar!$J:$J,"&gt;0",AlphaRaysFlagStar!$C:$C,"&lt;&gt;TransferEntry")</f>
        <v>0</v>
      </c>
      <c r="C4" s="1">
        <f>-SUMIFS(AlphaRaysFlagStar!$J:$J,AlphaRaysFlagStar!$J:$J,"&lt;0",AlphaRaysFlagStar!$C:$C,"&lt;&gt;TransferEntry")</f>
        <v>1459145.17</v>
      </c>
      <c r="D4" s="1">
        <f t="shared" si="0"/>
        <v>-1459145.17</v>
      </c>
      <c r="E4" s="1">
        <f>SUM(AlphaRaysFlagStar!$J:$J)</f>
        <v>-1459145.17</v>
      </c>
    </row>
    <row r="5" spans="1:5">
      <c r="A5" t="s">
        <v>41</v>
      </c>
      <c r="B5" s="1">
        <f>SUMIFS(GloriousWise!$J:$J,GloriousWise!$J:$J,"&gt;0",GloriousWise!$C:$C,"&lt;&gt;TransferEntry")</f>
        <v>379449.23</v>
      </c>
      <c r="C5" s="1">
        <f>-SUMIFS(GloriousWise!$J:$J,GloriousWise!$J:$J,"&lt;0",GloriousWise!$C:$C,"&lt;&gt;TransferEntry")</f>
        <v>326533.89</v>
      </c>
      <c r="D5" s="1">
        <f t="shared" si="0"/>
        <v>52915.34</v>
      </c>
      <c r="E5" s="1">
        <f>SUM(GloriousWise!$J:$J)</f>
        <v>52915.34</v>
      </c>
    </row>
    <row r="6" spans="1:5">
      <c r="A6" t="s">
        <v>42</v>
      </c>
      <c r="B6" s="1">
        <f>SUMIFS(Counter!$J:$J,Counter!$J:$J,"&gt;0",Counter!$C:$C,"&lt;&gt;TransferEntry")</f>
        <v>0</v>
      </c>
      <c r="C6" s="1">
        <f>-SUMIFS(Counter!$J:$J,Counter!$J:$J,"&lt;0",Counter!$C:$C,"&lt;&gt;TransferEntry")</f>
        <v>28650</v>
      </c>
      <c r="D6" s="1">
        <f t="shared" si="0"/>
        <v>-28650</v>
      </c>
      <c r="E6" s="1">
        <f>SUM(Counter!$J:$J)</f>
        <v>-28650</v>
      </c>
    </row>
    <row r="7" spans="1:5">
      <c r="A7" t="s">
        <v>43</v>
      </c>
      <c r="B7" s="1">
        <f>SUMIFS(MinorBugsBAHLCurrent!$J:$J,MinorBugsBAHLCurrent!$J:$J,"&gt;0",MinorBugsBAHLCurrent!$C:$C,"&lt;&gt;TransferEntry")</f>
        <v>7339150</v>
      </c>
      <c r="C7" s="1">
        <f>-SUMIFS(MinorBugsBAHLCurrent!$J:$J,MinorBugsBAHLCurrent!$J:$J,"&lt;0",MinorBugsBAHLCurrent!$C:$C,"&lt;&gt;TransferEntry")</f>
        <v>4506995</v>
      </c>
      <c r="D7" s="1">
        <f t="shared" si="0"/>
        <v>2832155</v>
      </c>
      <c r="E7" s="1">
        <f>SUM(MinorBugsBAHLCurrent!$J:$J)</f>
        <v>7332155</v>
      </c>
    </row>
    <row r="8" spans="1:5">
      <c r="A8" t="s">
        <v>44</v>
      </c>
      <c r="B8" s="1">
        <f>SUMIFS(MinorBugsBAHLSaving!$J:$J,MinorBugsBAHLSaving!$J:$J,"&gt;0",MinorBugsBAHLSaving!$C:$C,"&lt;&gt;TransferEntry")</f>
        <v>23410591</v>
      </c>
      <c r="C8" s="1">
        <f>-SUMIFS(MinorBugsBAHLSaving!$J:$J,MinorBugsBAHLSaving!$J:$J,"&lt;0",MinorBugsBAHLSaving!$C:$C,"&lt;&gt;TransferEntry")</f>
        <v>300000</v>
      </c>
      <c r="D8" s="1">
        <f t="shared" si="0"/>
        <v>23110591</v>
      </c>
      <c r="E8" s="1">
        <f>SUM(MinorBugsBAHLSaving!$J:$J)</f>
        <v>19201985</v>
      </c>
    </row>
    <row r="9" spans="1:5">
      <c r="A9" t="s">
        <v>45</v>
      </c>
      <c r="B9" s="1">
        <f>SUMIFS(MinorBugsMeezanCurrent!$J:$J,MinorBugsMeezanCurrent!$J:$J,"&gt;0",MinorBugsMeezanCurrent!$C:$C,"&lt;&gt;TransferEntry")</f>
        <v>0</v>
      </c>
      <c r="C9" s="1">
        <f>-SUMIFS(MinorBugsMeezanCurrent!$J:$J,MinorBugsMeezanCurrent!$J:$J,"&lt;0",MinorBugsMeezanCurrent!$C:$C,"&lt;&gt;TransferEntry")</f>
        <v>0</v>
      </c>
      <c r="D9" s="1">
        <f t="shared" si="0"/>
        <v>0</v>
      </c>
      <c r="E9" s="1">
        <f>SUM(MinorBugsMeezanCurrent!$J:$J)</f>
        <v>0</v>
      </c>
    </row>
    <row r="10" spans="1:5">
      <c r="A10" t="s">
        <v>46</v>
      </c>
      <c r="B10" s="1">
        <f>SUMIFS(MintCodeCurrent!$J:$J,MintCodeCurrent!$J:$J,"&gt;0",MintCodeCurrent!$C:$C,"&lt;&gt;TransferEntry")</f>
        <v>15309573</v>
      </c>
      <c r="C10" s="1">
        <f>-SUMIFS(MintCodeCurrent!$J:$J,MintCodeCurrent!$J:$J,"&lt;0",MintCodeCurrent!$C:$C,"&lt;&gt;TransferEntry")</f>
        <v>1516863</v>
      </c>
      <c r="D10" s="1">
        <f t="shared" si="0"/>
        <v>13792710</v>
      </c>
      <c r="E10" s="1">
        <f>SUM(MintCodeCurrent!$J:$J)</f>
        <v>2113004</v>
      </c>
    </row>
    <row r="11" spans="1:5">
      <c r="A11" t="s">
        <v>47</v>
      </c>
      <c r="B11" s="1">
        <f>SUMIFS(GamesGeeksBAHL!$J:$J,GamesGeeksBAHL!$J:$J,"&gt;0",GamesGeeksBAHL!$C:$C,"&lt;&gt;TransferEntry")</f>
        <v>2568464</v>
      </c>
      <c r="C11" s="1">
        <f>-SUMIFS(GamesGeeksBAHL!$J:$J,GamesGeeksBAHL!$J:$J,"&lt;0",GamesGeeksBAHL!$C:$C,"&lt;&gt;TransferEntry")</f>
        <v>2414</v>
      </c>
      <c r="D11" s="1">
        <f t="shared" si="0"/>
        <v>2566050</v>
      </c>
      <c r="E11" s="1">
        <f>SUM(GamesGeeksBAHL!$J:$J)</f>
        <v>1066050</v>
      </c>
    </row>
    <row r="12" spans="1:5">
      <c r="A12" t="s">
        <v>48</v>
      </c>
      <c r="B12" s="1">
        <f>SUMIFS(GamingUniverse!$J:$J,GamingUniverse!$J:$J,"&gt;0",GamingUniverse!$C:$C,"&lt;&gt;TransferEntry")</f>
        <v>0</v>
      </c>
      <c r="C12" s="1">
        <f>-SUMIFS(GamingUniverse!$J:$J,GamingUniverse!$J:$J,"&lt;0",GamingUniverse!$C:$C,"&lt;&gt;TransferEntry")</f>
        <v>0</v>
      </c>
      <c r="D12" s="1">
        <f t="shared" si="0"/>
        <v>0</v>
      </c>
      <c r="E12" s="1">
        <f>SUM(GamingUniverse!$J:$J)</f>
        <v>0</v>
      </c>
    </row>
    <row r="13" spans="1:5">
      <c r="A13" t="s">
        <v>49</v>
      </c>
      <c r="B13" s="1">
        <f>SUMIFS(KashifMeezan!$J:$J,KashifMeezan!$J:$J,"&gt;0",KashifMeezan!$C:$C,"&lt;&gt;TransferEntry")</f>
        <v>0</v>
      </c>
      <c r="C13" s="1">
        <f>-SUMIFS(KashifMeezan!$J:$J,KashifMeezan!$J:$J,"&lt;0",KashifMeezan!$C:$C,"&lt;&gt;TransferEntry")</f>
        <v>0</v>
      </c>
      <c r="D13" s="1">
        <f t="shared" si="0"/>
        <v>0</v>
      </c>
      <c r="E13" s="1">
        <f>SUM(KashifMeezan!$J:$J)</f>
        <v>0</v>
      </c>
    </row>
    <row r="14" spans="1:5">
      <c r="A14" t="s">
        <v>50</v>
      </c>
      <c r="B14" s="1">
        <f>SUMIFS(SaadMeezan!$J:$J,SaadMeezan!$J:$J,"&gt;0",SaadMeezan!$C:$C,"&lt;&gt;TransferEntry")</f>
        <v>256429.95</v>
      </c>
      <c r="C14" s="1">
        <f>-SUMIFS(SaadMeezan!$J:$J,SaadMeezan!$J:$J,"&lt;0",SaadMeezan!$C:$C,"&lt;&gt;TransferEntry")</f>
        <v>391468</v>
      </c>
      <c r="D14" s="1">
        <f t="shared" si="0"/>
        <v>-135038.05</v>
      </c>
      <c r="E14" s="1">
        <f>SUM(SaadMeezan!$J:$J)</f>
        <v>591388.55</v>
      </c>
    </row>
    <row r="15" spans="1:5">
      <c r="A15" t="s">
        <v>51</v>
      </c>
      <c r="B15" s="1">
        <f>SUMIFS(GameHippoMeezan!$J:$J,GameHippoMeezan!$J:$J,"&gt;0",GameHippoMeezan!$C:$C,"&lt;&gt;TransferEntry")</f>
        <v>200596</v>
      </c>
      <c r="C15" s="1">
        <f>-SUMIFS(GameHippoMeezan!$J:$J,GameHippoMeezan!$J:$J,"&lt;0",GameHippoMeezan!$C:$C,"&lt;&gt;TransferEntry")</f>
        <v>0</v>
      </c>
      <c r="D15" s="1">
        <f t="shared" si="0"/>
        <v>200596</v>
      </c>
      <c r="E15" s="1">
        <f>SUM(GameHippoMeezan!$J:$J)</f>
        <v>67593</v>
      </c>
    </row>
    <row r="16" spans="1:5">
      <c r="A16" t="s">
        <v>52</v>
      </c>
      <c r="B16" s="1">
        <f>SUMIFS(AbdullahMeezan!$J:$J,AbdullahMeezan!$J:$J,"&gt;0",AbdullahMeezan!$C:$C,"&lt;&gt;TransferEntry")</f>
        <v>0</v>
      </c>
      <c r="C16" s="1">
        <f>-SUMIFS(AbdullahMeezan!$J:$J,AbdullahMeezan!$J:$J,"&lt;0",AbdullahMeezan!$C:$C,"&lt;&gt;TransferEntry")</f>
        <v>0</v>
      </c>
      <c r="D16" s="1">
        <f t="shared" si="0"/>
        <v>0</v>
      </c>
      <c r="E16" s="1">
        <f>SUM(AbdullahMeezan!$J:$J)</f>
        <v>0</v>
      </c>
    </row>
    <row r="17" spans="1:5">
      <c r="A17" t="s">
        <v>53</v>
      </c>
      <c r="B17" s="1">
        <f>SUMIFS(GameSol!$J:$J,GameSol!$J:$J,"&gt;0",GameSol!$C:$C,"&lt;&gt;TransferEntry")</f>
        <v>0</v>
      </c>
      <c r="C17" s="1">
        <f>-SUMIFS(GameSol!$J:$J,GameSol!$J:$J,"&lt;0",GameSol!$C:$C,"&lt;&gt;TransferEntry")</f>
        <v>0</v>
      </c>
      <c r="D17" s="1">
        <f t="shared" si="0"/>
        <v>0</v>
      </c>
      <c r="E17" s="1">
        <f>SUM(GameSol!$J:$J)</f>
        <v>0</v>
      </c>
    </row>
    <row r="18" spans="1:5">
      <c r="A18" t="s">
        <v>54</v>
      </c>
      <c r="B18" s="1">
        <f>SUMIFS(CipherWaveWise!$J:$J,CipherWaveWise!$J:$J,"&gt;0",CipherWaveWise!$C:$C,"&lt;&gt;TransferEntry")</f>
        <v>0</v>
      </c>
      <c r="C18" s="1">
        <f>-SUMIFS(CipherWaveWise!$J:$J,CipherWaveWise!$J:$J,"&lt;0",CipherWaveWise!$C:$C,"&lt;&gt;TransferEntry")</f>
        <v>1645920</v>
      </c>
      <c r="D18" s="1">
        <f t="shared" si="0"/>
        <v>-1645920</v>
      </c>
      <c r="E18" s="1">
        <f>SUM(CipherWaveWise!$J:$J)</f>
        <v>115200</v>
      </c>
    </row>
    <row r="19" spans="1:5">
      <c r="A19" t="s">
        <v>55</v>
      </c>
      <c r="B19" s="1">
        <f>SUMIFS(AstroVerse!$J:$J,AstroVerse!$J:$J,"&gt;0",AstroVerse!$C:$C,"&lt;&gt;TransferEntry")</f>
        <v>0</v>
      </c>
      <c r="C19" s="1">
        <f>-SUMIFS(AstroVerse!$J:$J,AstroVerse!$J:$J,"&lt;0",AstroVerse!$C:$C,"&lt;&gt;TransferEntry")</f>
        <v>0</v>
      </c>
      <c r="D19" s="1">
        <f t="shared" si="0"/>
        <v>0</v>
      </c>
      <c r="E19" s="1">
        <f>SUM(AstroVerse!$J:$J)</f>
        <v>0</v>
      </c>
    </row>
    <row r="20" spans="2:5">
      <c r="B20" s="1"/>
      <c r="C20" s="1"/>
      <c r="D20" s="1"/>
      <c r="E20" s="1"/>
    </row>
    <row r="21" spans="1:5">
      <c r="A21" t="s">
        <v>28</v>
      </c>
      <c r="B21" s="1" t="s">
        <v>161</v>
      </c>
      <c r="C21" s="1"/>
      <c r="D21" s="1"/>
      <c r="E21" s="1"/>
    </row>
    <row r="22" spans="1:5">
      <c r="A22" t="s">
        <v>29</v>
      </c>
      <c r="B22" s="1">
        <f>-(SUMIFS(MinorBugsRetention!$J:$J,MinorBugsRetention!$D:$D,"MinorBugs",MinorBugsRetention!$J:$J,"&lt;0",MinorBugsRetention!$C:$C,"&lt;&gt;TransferEntry")+SUMIFS(MintCodeRetention!$J:$J,MintCodeRetention!$D:$D,"MinorBugs",MintCodeRetention!$J:$J,"&lt;0",MintCodeRetention!$C:$C,"&lt;&gt;TransferEntry")+SUMIFS(AlphaRaysFlagStar!$J:$J,AlphaRaysFlagStar!$D:$D,"MinorBugs",AlphaRaysFlagStar!$J:$J,"&lt;0",AlphaRaysFlagStar!$C:$C,"&lt;&gt;TransferEntry")+SUMIFS(GloriousWise!$J:$J,GloriousWise!$D:$D,"MinorBugs",GloriousWise!$J:$J,"&lt;0",GloriousWise!$C:$C,"&lt;&gt;TransferEntry")+SUMIFS(Counter!$J:$J,Counter!$D:$D,"MinorBugs",Counter!$J:$J,"&lt;0",Counter!$C:$C,"&lt;&gt;TransferEntry")+SUMIFS(MinorBugsBAHLCurrent!$J:$J,MinorBugsBAHLCurrent!$D:$D,"MinorBugs",MinorBugsBAHLCurrent!$J:$J,"&lt;0",MinorBugsBAHLCurrent!$C:$C,"&lt;&gt;TransferEntry")+SUMIFS(MinorBugsBAHLSaving!$J:$J,MinorBugsBAHLSaving!$D:$D,"MinorBugs",MinorBugsBAHLSaving!$J:$J,"&lt;0",MinorBugsBAHLSaving!$C:$C,"&lt;&gt;TransferEntry")+SUMIFS(MinorBugsMeezanCurrent!$J:$J,MinorBugsMeezanCurrent!$D:$D,"MinorBugs",MinorBugsMeezanCurrent!$J:$J,"&lt;0",MinorBugsMeezanCurrent!$C:$C,"&lt;&gt;TransferEntry")+SUMIFS(MintCodeCurrent!$J:$J,MintCodeCurrent!$D:$D,"MinorBugs",MintCodeCurrent!$J:$J,"&lt;0",MintCodeCurrent!$C:$C,"&lt;&gt;TransferEntry")+SUMIFS(GamesGeeksBAHL!$J:$J,GamesGeeksBAHL!$D:$D,"MinorBugs",GamesGeeksBAHL!$J:$J,"&lt;0",GamesGeeksBAHL!$C:$C,"&lt;&gt;TransferEntry")+SUMIFS(GamingUniverse!$J:$J,GamingUniverse!$D:$D,"MinorBugs",GamingUniverse!$J:$J,"&lt;0",GamingUniverse!$C:$C,"&lt;&gt;TransferEntry")+SUMIFS(KashifMeezan!$J:$J,KashifMeezan!$D:$D,"MinorBugs",KashifMeezan!$J:$J,"&lt;0",KashifMeezan!$C:$C,"&lt;&gt;TransferEntry")+SUMIFS(SaadMeezan!$J:$J,SaadMeezan!$D:$D,"MinorBugs",SaadMeezan!$J:$J,"&lt;0",SaadMeezan!$C:$C,"&lt;&gt;TransferEntry")+SUMIFS(GameHippoMeezan!$J:$J,GameHippoMeezan!$D:$D,"MinorBugs",GameHippoMeezan!$J:$J,"&lt;0",GameHippoMeezan!$C:$C,"&lt;&gt;TransferEntry")+SUMIFS(AbdullahMeezan!$J:$J,AbdullahMeezan!$D:$D,"MinorBugs",AbdullahMeezan!$J:$J,"&lt;0",AbdullahMeezan!$C:$C,"&lt;&gt;TransferEntry")+SUMIFS(GameSol!$J:$J,GameSol!$D:$D,"MinorBugs",GameSol!$J:$J,"&lt;0",GameSol!$C:$C,"&lt;&gt;TransferEntry")+SUMIFS(CipherWaveWise!$J:$J,CipherWaveWise!$D:$D,"MinorBugs",CipherWaveWise!$J:$J,"&lt;0",CipherWaveWise!$C:$C,"&lt;&gt;TransferEntry")+SUMIFS(AstroVerse!$J:$J,AstroVerse!$D:$D,"MinorBugs",AstroVerse!$J:$J,"&lt;0",AstroVerse!$C:$C,"&lt;&gt;TransferEntry"))</f>
        <v>8532205.17</v>
      </c>
      <c r="C22" s="1"/>
      <c r="D22" s="1"/>
      <c r="E22" s="1"/>
    </row>
    <row r="23" spans="1:5">
      <c r="A23" t="s">
        <v>30</v>
      </c>
      <c r="B23" s="1">
        <f>-(SUMIFS(MinorBugsRetention!$J:$J,MinorBugsRetention!$D:$D,"BraveJackals",MinorBugsRetention!$J:$J,"&lt;0",MinorBugsRetention!$C:$C,"&lt;&gt;TransferEntry")+SUMIFS(MintCodeRetention!$J:$J,MintCodeRetention!$D:$D,"BraveJackals",MintCodeRetention!$J:$J,"&lt;0",MintCodeRetention!$C:$C,"&lt;&gt;TransferEntry")+SUMIFS(AlphaRaysFlagStar!$J:$J,AlphaRaysFlagStar!$D:$D,"BraveJackals",AlphaRaysFlagStar!$J:$J,"&lt;0",AlphaRaysFlagStar!$C:$C,"&lt;&gt;TransferEntry")+SUMIFS(GloriousWise!$J:$J,GloriousWise!$D:$D,"BraveJackals",GloriousWise!$J:$J,"&lt;0",GloriousWise!$C:$C,"&lt;&gt;TransferEntry")+SUMIFS(Counter!$J:$J,Counter!$D:$D,"BraveJackals",Counter!$J:$J,"&lt;0",Counter!$C:$C,"&lt;&gt;TransferEntry")+SUMIFS(MinorBugsBAHLCurrent!$J:$J,MinorBugsBAHLCurrent!$D:$D,"BraveJackals",MinorBugsBAHLCurrent!$J:$J,"&lt;0",MinorBugsBAHLCurrent!$C:$C,"&lt;&gt;TransferEntry")+SUMIFS(MinorBugsBAHLSaving!$J:$J,MinorBugsBAHLSaving!$D:$D,"BraveJackals",MinorBugsBAHLSaving!$J:$J,"&lt;0",MinorBugsBAHLSaving!$C:$C,"&lt;&gt;TransferEntry")+SUMIFS(MinorBugsMeezanCurrent!$J:$J,MinorBugsMeezanCurrent!$D:$D,"BraveJackals",MinorBugsMeezanCurrent!$J:$J,"&lt;0",MinorBugsMeezanCurrent!$C:$C,"&lt;&gt;TransferEntry")+SUMIFS(MintCodeCurrent!$J:$J,MintCodeCurrent!$D:$D,"BraveJackals",MintCodeCurrent!$J:$J,"&lt;0",MintCodeCurrent!$C:$C,"&lt;&gt;TransferEntry")+SUMIFS(GamesGeeksBAHL!$J:$J,GamesGeeksBAHL!$D:$D,"BraveJackals",GamesGeeksBAHL!$J:$J,"&lt;0",GamesGeeksBAHL!$C:$C,"&lt;&gt;TransferEntry")+SUMIFS(GamingUniverse!$J:$J,GamingUniverse!$D:$D,"BraveJackals",GamingUniverse!$J:$J,"&lt;0",GamingUniverse!$C:$C,"&lt;&gt;TransferEntry")+SUMIFS(KashifMeezan!$J:$J,KashifMeezan!$D:$D,"BraveJackals",KashifMeezan!$J:$J,"&lt;0",KashifMeezan!$C:$C,"&lt;&gt;TransferEntry")+SUMIFS(SaadMeezan!$J:$J,SaadMeezan!$D:$D,"BraveJackals",SaadMeezan!$J:$J,"&lt;0",SaadMeezan!$C:$C,"&lt;&gt;TransferEntry")+SUMIFS(GameHippoMeezan!$J:$J,GameHippoMeezan!$D:$D,"BraveJackals",GameHippoMeezan!$J:$J,"&lt;0",GameHippoMeezan!$C:$C,"&lt;&gt;TransferEntry")+SUMIFS(AbdullahMeezan!$J:$J,AbdullahMeezan!$D:$D,"BraveJackals",AbdullahMeezan!$J:$J,"&lt;0",AbdullahMeezan!$C:$C,"&lt;&gt;TransferEntry")+SUMIFS(GameSol!$J:$J,GameSol!$D:$D,"BraveJackals",GameSol!$J:$J,"&lt;0",GameSol!$C:$C,"&lt;&gt;TransferEntry")+SUMIFS(CipherWaveWise!$J:$J,CipherWaveWise!$D:$D,"BraveJackals",CipherWaveWise!$J:$J,"&lt;0",CipherWaveWise!$C:$C,"&lt;&gt;TransferEntry")+SUMIFS(AstroVerse!$J:$J,AstroVerse!$D:$D,"BraveJackals",AstroVerse!$J:$J,"&lt;0",AstroVerse!$C:$C,"&lt;&gt;TransferEntry"))</f>
        <v>830039</v>
      </c>
      <c r="C23" s="1"/>
      <c r="D23" s="1"/>
      <c r="E23" s="1"/>
    </row>
    <row r="24" spans="1:5">
      <c r="A24" t="s">
        <v>31</v>
      </c>
      <c r="B24" s="1">
        <f>-(SUMIFS(MinorBugsRetention!$J:$J,MinorBugsRetention!$D:$D,"GoJins",MinorBugsRetention!$J:$J,"&lt;0",MinorBugsRetention!$C:$C,"&lt;&gt;TransferEntry")+SUMIFS(MintCodeRetention!$J:$J,MintCodeRetention!$D:$D,"GoJins",MintCodeRetention!$J:$J,"&lt;0",MintCodeRetention!$C:$C,"&lt;&gt;TransferEntry")+SUMIFS(AlphaRaysFlagStar!$J:$J,AlphaRaysFlagStar!$D:$D,"GoJins",AlphaRaysFlagStar!$J:$J,"&lt;0",AlphaRaysFlagStar!$C:$C,"&lt;&gt;TransferEntry")+SUMIFS(GloriousWise!$J:$J,GloriousWise!$D:$D,"GoJins",GloriousWise!$J:$J,"&lt;0",GloriousWise!$C:$C,"&lt;&gt;TransferEntry")+SUMIFS(Counter!$J:$J,Counter!$D:$D,"GoJins",Counter!$J:$J,"&lt;0",Counter!$C:$C,"&lt;&gt;TransferEntry")+SUMIFS(MinorBugsBAHLCurrent!$J:$J,MinorBugsBAHLCurrent!$D:$D,"GoJins",MinorBugsBAHLCurrent!$J:$J,"&lt;0",MinorBugsBAHLCurrent!$C:$C,"&lt;&gt;TransferEntry")+SUMIFS(MinorBugsBAHLSaving!$J:$J,MinorBugsBAHLSaving!$D:$D,"GoJins",MinorBugsBAHLSaving!$J:$J,"&lt;0",MinorBugsBAHLSaving!$C:$C,"&lt;&gt;TransferEntry")+SUMIFS(MinorBugsMeezanCurrent!$J:$J,MinorBugsMeezanCurrent!$D:$D,"GoJins",MinorBugsMeezanCurrent!$J:$J,"&lt;0",MinorBugsMeezanCurrent!$C:$C,"&lt;&gt;TransferEntry")+SUMIFS(MintCodeCurrent!$J:$J,MintCodeCurrent!$D:$D,"GoJins",MintCodeCurrent!$J:$J,"&lt;0",MintCodeCurrent!$C:$C,"&lt;&gt;TransferEntry")+SUMIFS(GamesGeeksBAHL!$J:$J,GamesGeeksBAHL!$D:$D,"GoJins",GamesGeeksBAHL!$J:$J,"&lt;0",GamesGeeksBAHL!$C:$C,"&lt;&gt;TransferEntry")+SUMIFS(GamingUniverse!$J:$J,GamingUniverse!$D:$D,"GoJins",GamingUniverse!$J:$J,"&lt;0",GamingUniverse!$C:$C,"&lt;&gt;TransferEntry")+SUMIFS(KashifMeezan!$J:$J,KashifMeezan!$D:$D,"GoJins",KashifMeezan!$J:$J,"&lt;0",KashifMeezan!$C:$C,"&lt;&gt;TransferEntry")+SUMIFS(SaadMeezan!$J:$J,SaadMeezan!$D:$D,"GoJins",SaadMeezan!$J:$J,"&lt;0",SaadMeezan!$C:$C,"&lt;&gt;TransferEntry")+SUMIFS(GameHippoMeezan!$J:$J,GameHippoMeezan!$D:$D,"GoJins",GameHippoMeezan!$J:$J,"&lt;0",GameHippoMeezan!$C:$C,"&lt;&gt;TransferEntry")+SUMIFS(AbdullahMeezan!$J:$J,AbdullahMeezan!$D:$D,"GoJins",AbdullahMeezan!$J:$J,"&lt;0",AbdullahMeezan!$C:$C,"&lt;&gt;TransferEntry")+SUMIFS(GameSol!$J:$J,GameSol!$D:$D,"GoJins",GameSol!$J:$J,"&lt;0",GameSol!$C:$C,"&lt;&gt;TransferEntry")+SUMIFS(CipherWaveWise!$J:$J,CipherWaveWise!$D:$D,"GoJins",CipherWaveWise!$J:$J,"&lt;0",CipherWaveWise!$C:$C,"&lt;&gt;TransferEntry")+SUMIFS(AstroVerse!$J:$J,AstroVerse!$D:$D,"GoJins",AstroVerse!$J:$J,"&lt;0",AstroVerse!$C:$C,"&lt;&gt;TransferEntry"))</f>
        <v>37964.45</v>
      </c>
      <c r="C24" s="1"/>
      <c r="D24" s="1"/>
      <c r="E24" s="1"/>
    </row>
    <row r="25" spans="1:5">
      <c r="A25" t="s">
        <v>32</v>
      </c>
      <c r="B25" s="1">
        <f>-(SUMIFS(MinorBugsRetention!$J:$J,MinorBugsRetention!$D:$D,"BuggiesKids",MinorBugsRetention!$J:$J,"&lt;0",MinorBugsRetention!$C:$C,"&lt;&gt;TransferEntry")+SUMIFS(MintCodeRetention!$J:$J,MintCodeRetention!$D:$D,"BuggiesKids",MintCodeRetention!$J:$J,"&lt;0",MintCodeRetention!$C:$C,"&lt;&gt;TransferEntry")+SUMIFS(AlphaRaysFlagStar!$J:$J,AlphaRaysFlagStar!$D:$D,"BuggiesKids",AlphaRaysFlagStar!$J:$J,"&lt;0",AlphaRaysFlagStar!$C:$C,"&lt;&gt;TransferEntry")+SUMIFS(GloriousWise!$J:$J,GloriousWise!$D:$D,"BuggiesKids",GloriousWise!$J:$J,"&lt;0",GloriousWise!$C:$C,"&lt;&gt;TransferEntry")+SUMIFS(Counter!$J:$J,Counter!$D:$D,"BuggiesKids",Counter!$J:$J,"&lt;0",Counter!$C:$C,"&lt;&gt;TransferEntry")+SUMIFS(MinorBugsBAHLCurrent!$J:$J,MinorBugsBAHLCurrent!$D:$D,"BuggiesKids",MinorBugsBAHLCurrent!$J:$J,"&lt;0",MinorBugsBAHLCurrent!$C:$C,"&lt;&gt;TransferEntry")+SUMIFS(MinorBugsBAHLSaving!$J:$J,MinorBugsBAHLSaving!$D:$D,"BuggiesKids",MinorBugsBAHLSaving!$J:$J,"&lt;0",MinorBugsBAHLSaving!$C:$C,"&lt;&gt;TransferEntry")+SUMIFS(MinorBugsMeezanCurrent!$J:$J,MinorBugsMeezanCurrent!$D:$D,"BuggiesKids",MinorBugsMeezanCurrent!$J:$J,"&lt;0",MinorBugsMeezanCurrent!$C:$C,"&lt;&gt;TransferEntry")+SUMIFS(MintCodeCurrent!$J:$J,MintCodeCurrent!$D:$D,"BuggiesKids",MintCodeCurrent!$J:$J,"&lt;0",MintCodeCurrent!$C:$C,"&lt;&gt;TransferEntry")+SUMIFS(GamesGeeksBAHL!$J:$J,GamesGeeksBAHL!$D:$D,"BuggiesKids",GamesGeeksBAHL!$J:$J,"&lt;0",GamesGeeksBAHL!$C:$C,"&lt;&gt;TransferEntry")+SUMIFS(GamingUniverse!$J:$J,GamingUniverse!$D:$D,"BuggiesKids",GamingUniverse!$J:$J,"&lt;0",GamingUniverse!$C:$C,"&lt;&gt;TransferEntry")+SUMIFS(KashifMeezan!$J:$J,KashifMeezan!$D:$D,"BuggiesKids",KashifMeezan!$J:$J,"&lt;0",KashifMeezan!$C:$C,"&lt;&gt;TransferEntry")+SUMIFS(SaadMeezan!$J:$J,SaadMeezan!$D:$D,"BuggiesKids",SaadMeezan!$J:$J,"&lt;0",SaadMeezan!$C:$C,"&lt;&gt;TransferEntry")+SUMIFS(GameHippoMeezan!$J:$J,GameHippoMeezan!$D:$D,"BuggiesKids",GameHippoMeezan!$J:$J,"&lt;0",GameHippoMeezan!$C:$C,"&lt;&gt;TransferEntry")+SUMIFS(AbdullahMeezan!$J:$J,AbdullahMeezan!$D:$D,"BuggiesKids",AbdullahMeezan!$J:$J,"&lt;0",AbdullahMeezan!$C:$C,"&lt;&gt;TransferEntry")+SUMIFS(GameSol!$J:$J,GameSol!$D:$D,"BuggiesKids",GameSol!$J:$J,"&lt;0",GameSol!$C:$C,"&lt;&gt;TransferEntry")+SUMIFS(CipherWaveWise!$J:$J,CipherWaveWise!$D:$D,"BuggiesKids",CipherWaveWise!$J:$J,"&lt;0",CipherWaveWise!$C:$C,"&lt;&gt;TransferEntry")+SUMIFS(AstroVerse!$J:$J,AstroVerse!$D:$D,"BuggiesKids",AstroVerse!$J:$J,"&lt;0",AstroVerse!$C:$C,"&lt;&gt;TransferEntry"))</f>
        <v>593347</v>
      </c>
      <c r="C25" s="1"/>
      <c r="D25" s="1"/>
      <c r="E25" s="1"/>
    </row>
    <row r="26" spans="1:5">
      <c r="A26" t="s">
        <v>33</v>
      </c>
      <c r="B26" s="1">
        <f>-(SUMIFS(MinorBugsRetention!$J:$J,MinorBugsRetention!$D:$D,"GameHippo",MinorBugsRetention!$J:$J,"&lt;0",MinorBugsRetention!$C:$C,"&lt;&gt;TransferEntry")+SUMIFS(MintCodeRetention!$J:$J,MintCodeRetention!$D:$D,"GameHippo",MintCodeRetention!$J:$J,"&lt;0",MintCodeRetention!$C:$C,"&lt;&gt;TransferEntry")+SUMIFS(AlphaRaysFlagStar!$J:$J,AlphaRaysFlagStar!$D:$D,"GameHippo",AlphaRaysFlagStar!$J:$J,"&lt;0",AlphaRaysFlagStar!$C:$C,"&lt;&gt;TransferEntry")+SUMIFS(GloriousWise!$J:$J,GloriousWise!$D:$D,"GameHippo",GloriousWise!$J:$J,"&lt;0",GloriousWise!$C:$C,"&lt;&gt;TransferEntry")+SUMIFS(Counter!$J:$J,Counter!$D:$D,"GameHippo",Counter!$J:$J,"&lt;0",Counter!$C:$C,"&lt;&gt;TransferEntry")+SUMIFS(MinorBugsBAHLCurrent!$J:$J,MinorBugsBAHLCurrent!$D:$D,"GameHippo",MinorBugsBAHLCurrent!$J:$J,"&lt;0",MinorBugsBAHLCurrent!$C:$C,"&lt;&gt;TransferEntry")+SUMIFS(MinorBugsBAHLSaving!$J:$J,MinorBugsBAHLSaving!$D:$D,"GameHippo",MinorBugsBAHLSaving!$J:$J,"&lt;0",MinorBugsBAHLSaving!$C:$C,"&lt;&gt;TransferEntry")+SUMIFS(MinorBugsMeezanCurrent!$J:$J,MinorBugsMeezanCurrent!$D:$D,"GameHippo",MinorBugsMeezanCurrent!$J:$J,"&lt;0",MinorBugsMeezanCurrent!$C:$C,"&lt;&gt;TransferEntry")+SUMIFS(MintCodeCurrent!$J:$J,MintCodeCurrent!$D:$D,"GameHippo",MintCodeCurrent!$J:$J,"&lt;0",MintCodeCurrent!$C:$C,"&lt;&gt;TransferEntry")+SUMIFS(GamesGeeksBAHL!$J:$J,GamesGeeksBAHL!$D:$D,"GameHippo",GamesGeeksBAHL!$J:$J,"&lt;0",GamesGeeksBAHL!$C:$C,"&lt;&gt;TransferEntry")+SUMIFS(GamingUniverse!$J:$J,GamingUniverse!$D:$D,"GameHippo",GamingUniverse!$J:$J,"&lt;0",GamingUniverse!$C:$C,"&lt;&gt;TransferEntry")+SUMIFS(KashifMeezan!$J:$J,KashifMeezan!$D:$D,"GameHippo",KashifMeezan!$J:$J,"&lt;0",KashifMeezan!$C:$C,"&lt;&gt;TransferEntry")+SUMIFS(SaadMeezan!$J:$J,SaadMeezan!$D:$D,"GameHippo",SaadMeezan!$J:$J,"&lt;0",SaadMeezan!$C:$C,"&lt;&gt;TransferEntry")+SUMIFS(GameHippoMeezan!$J:$J,GameHippoMeezan!$D:$D,"GameHippo",GameHippoMeezan!$J:$J,"&lt;0",GameHippoMeezan!$C:$C,"&lt;&gt;TransferEntry")+SUMIFS(AbdullahMeezan!$J:$J,AbdullahMeezan!$D:$D,"GameHippo",AbdullahMeezan!$J:$J,"&lt;0",AbdullahMeezan!$C:$C,"&lt;&gt;TransferEntry")+SUMIFS(GameSol!$J:$J,GameSol!$D:$D,"GameHippo",GameSol!$J:$J,"&lt;0",GameSol!$C:$C,"&lt;&gt;TransferEntry")+SUMIFS(CipherWaveWise!$J:$J,CipherWaveWise!$D:$D,"GameHippo",CipherWaveWise!$J:$J,"&lt;0",CipherWaveWise!$C:$C,"&lt;&gt;TransferEntry")+SUMIFS(AstroVerse!$J:$J,AstroVerse!$D:$D,"GameHippo",AstroVerse!$J:$J,"&lt;0",AstroVerse!$C:$C,"&lt;&gt;TransferEntry"))</f>
        <v>0</v>
      </c>
      <c r="C26" s="1"/>
      <c r="D26" s="1"/>
      <c r="E26" s="1"/>
    </row>
    <row r="27" spans="1:5">
      <c r="A27" t="s">
        <v>34</v>
      </c>
      <c r="B27" s="1">
        <f>-(SUMIFS(MinorBugsRetention!$J:$J,MinorBugsRetention!$D:$D,"Frentech",MinorBugsRetention!$J:$J,"&lt;0",MinorBugsRetention!$C:$C,"&lt;&gt;TransferEntry")+SUMIFS(MintCodeRetention!$J:$J,MintCodeRetention!$D:$D,"Frentech",MintCodeRetention!$J:$J,"&lt;0",MintCodeRetention!$C:$C,"&lt;&gt;TransferEntry")+SUMIFS(AlphaRaysFlagStar!$J:$J,AlphaRaysFlagStar!$D:$D,"Frentech",AlphaRaysFlagStar!$J:$J,"&lt;0",AlphaRaysFlagStar!$C:$C,"&lt;&gt;TransferEntry")+SUMIFS(GloriousWise!$J:$J,GloriousWise!$D:$D,"Frentech",GloriousWise!$J:$J,"&lt;0",GloriousWise!$C:$C,"&lt;&gt;TransferEntry")+SUMIFS(Counter!$J:$J,Counter!$D:$D,"Frentech",Counter!$J:$J,"&lt;0",Counter!$C:$C,"&lt;&gt;TransferEntry")+SUMIFS(MinorBugsBAHLCurrent!$J:$J,MinorBugsBAHLCurrent!$D:$D,"Frentech",MinorBugsBAHLCurrent!$J:$J,"&lt;0",MinorBugsBAHLCurrent!$C:$C,"&lt;&gt;TransferEntry")+SUMIFS(MinorBugsBAHLSaving!$J:$J,MinorBugsBAHLSaving!$D:$D,"Frentech",MinorBugsBAHLSaving!$J:$J,"&lt;0",MinorBugsBAHLSaving!$C:$C,"&lt;&gt;TransferEntry")+SUMIFS(MinorBugsMeezanCurrent!$J:$J,MinorBugsMeezanCurrent!$D:$D,"Frentech",MinorBugsMeezanCurrent!$J:$J,"&lt;0",MinorBugsMeezanCurrent!$C:$C,"&lt;&gt;TransferEntry")+SUMIFS(MintCodeCurrent!$J:$J,MintCodeCurrent!$D:$D,"Frentech",MintCodeCurrent!$J:$J,"&lt;0",MintCodeCurrent!$C:$C,"&lt;&gt;TransferEntry")+SUMIFS(GamesGeeksBAHL!$J:$J,GamesGeeksBAHL!$D:$D,"Frentech",GamesGeeksBAHL!$J:$J,"&lt;0",GamesGeeksBAHL!$C:$C,"&lt;&gt;TransferEntry")+SUMIFS(GamingUniverse!$J:$J,GamingUniverse!$D:$D,"Frentech",GamingUniverse!$J:$J,"&lt;0",GamingUniverse!$C:$C,"&lt;&gt;TransferEntry")+SUMIFS(KashifMeezan!$J:$J,KashifMeezan!$D:$D,"Frentech",KashifMeezan!$J:$J,"&lt;0",KashifMeezan!$C:$C,"&lt;&gt;TransferEntry")+SUMIFS(SaadMeezan!$J:$J,SaadMeezan!$D:$D,"Frentech",SaadMeezan!$J:$J,"&lt;0",SaadMeezan!$C:$C,"&lt;&gt;TransferEntry")+SUMIFS(GameHippoMeezan!$J:$J,GameHippoMeezan!$D:$D,"Frentech",GameHippoMeezan!$J:$J,"&lt;0",GameHippoMeezan!$C:$C,"&lt;&gt;TransferEntry")+SUMIFS(AbdullahMeezan!$J:$J,AbdullahMeezan!$D:$D,"Frentech",AbdullahMeezan!$J:$J,"&lt;0",AbdullahMeezan!$C:$C,"&lt;&gt;TransferEntry")+SUMIFS(GameSol!$J:$J,GameSol!$D:$D,"Frentech",GameSol!$J:$J,"&lt;0",GameSol!$C:$C,"&lt;&gt;TransferEntry")+SUMIFS(CipherWaveWise!$J:$J,CipherWaveWise!$D:$D,"Frentech",CipherWaveWise!$J:$J,"&lt;0",CipherWaveWise!$C:$C,"&lt;&gt;TransferEntry")+SUMIFS(AstroVerse!$J:$J,AstroVerse!$D:$D,"Frentech",AstroVerse!$J:$J,"&lt;0",AstroVerse!$C:$C,"&lt;&gt;TransferEntry"))</f>
        <v>0</v>
      </c>
      <c r="C27" s="1"/>
      <c r="D27" s="1"/>
      <c r="E27" s="1"/>
    </row>
    <row r="28" spans="1:5">
      <c r="A28" t="s">
        <v>35</v>
      </c>
      <c r="B28" s="1">
        <f>-(SUMIFS(MinorBugsRetention!$J:$J,MinorBugsRetention!$D:$D,"DevBoat",MinorBugsRetention!$J:$J,"&lt;0",MinorBugsRetention!$C:$C,"&lt;&gt;TransferEntry")+SUMIFS(MintCodeRetention!$J:$J,MintCodeRetention!$D:$D,"DevBoat",MintCodeRetention!$J:$J,"&lt;0",MintCodeRetention!$C:$C,"&lt;&gt;TransferEntry")+SUMIFS(AlphaRaysFlagStar!$J:$J,AlphaRaysFlagStar!$D:$D,"DevBoat",AlphaRaysFlagStar!$J:$J,"&lt;0",AlphaRaysFlagStar!$C:$C,"&lt;&gt;TransferEntry")+SUMIFS(GloriousWise!$J:$J,GloriousWise!$D:$D,"DevBoat",GloriousWise!$J:$J,"&lt;0",GloriousWise!$C:$C,"&lt;&gt;TransferEntry")+SUMIFS(Counter!$J:$J,Counter!$D:$D,"DevBoat",Counter!$J:$J,"&lt;0",Counter!$C:$C,"&lt;&gt;TransferEntry")+SUMIFS(MinorBugsBAHLCurrent!$J:$J,MinorBugsBAHLCurrent!$D:$D,"DevBoat",MinorBugsBAHLCurrent!$J:$J,"&lt;0",MinorBugsBAHLCurrent!$C:$C,"&lt;&gt;TransferEntry")+SUMIFS(MinorBugsBAHLSaving!$J:$J,MinorBugsBAHLSaving!$D:$D,"DevBoat",MinorBugsBAHLSaving!$J:$J,"&lt;0",MinorBugsBAHLSaving!$C:$C,"&lt;&gt;TransferEntry")+SUMIFS(MinorBugsMeezanCurrent!$J:$J,MinorBugsMeezanCurrent!$D:$D,"DevBoat",MinorBugsMeezanCurrent!$J:$J,"&lt;0",MinorBugsMeezanCurrent!$C:$C,"&lt;&gt;TransferEntry")+SUMIFS(MintCodeCurrent!$J:$J,MintCodeCurrent!$D:$D,"DevBoat",MintCodeCurrent!$J:$J,"&lt;0",MintCodeCurrent!$C:$C,"&lt;&gt;TransferEntry")+SUMIFS(GamesGeeksBAHL!$J:$J,GamesGeeksBAHL!$D:$D,"DevBoat",GamesGeeksBAHL!$J:$J,"&lt;0",GamesGeeksBAHL!$C:$C,"&lt;&gt;TransferEntry")+SUMIFS(GamingUniverse!$J:$J,GamingUniverse!$D:$D,"DevBoat",GamingUniverse!$J:$J,"&lt;0",GamingUniverse!$C:$C,"&lt;&gt;TransferEntry")+SUMIFS(KashifMeezan!$J:$J,KashifMeezan!$D:$D,"DevBoat",KashifMeezan!$J:$J,"&lt;0",KashifMeezan!$C:$C,"&lt;&gt;TransferEntry")+SUMIFS(SaadMeezan!$J:$J,SaadMeezan!$D:$D,"DevBoat",SaadMeezan!$J:$J,"&lt;0",SaadMeezan!$C:$C,"&lt;&gt;TransferEntry")+SUMIFS(GameHippoMeezan!$J:$J,GameHippoMeezan!$D:$D,"DevBoat",GameHippoMeezan!$J:$J,"&lt;0",GameHippoMeezan!$C:$C,"&lt;&gt;TransferEntry")+SUMIFS(AbdullahMeezan!$J:$J,AbdullahMeezan!$D:$D,"DevBoat",AbdullahMeezan!$J:$J,"&lt;0",AbdullahMeezan!$C:$C,"&lt;&gt;TransferEntry")+SUMIFS(GameSol!$J:$J,GameSol!$D:$D,"DevBoat",GameSol!$J:$J,"&lt;0",GameSol!$C:$C,"&lt;&gt;TransferEntry")+SUMIFS(CipherWaveWise!$J:$J,CipherWaveWise!$D:$D,"DevBoat",CipherWaveWise!$J:$J,"&lt;0",CipherWaveWise!$C:$C,"&lt;&gt;TransferEntry")+SUMIFS(AstroVerse!$J:$J,AstroVerse!$D:$D,"DevBoat",AstroVerse!$J:$J,"&lt;0",AstroVerse!$C:$C,"&lt;&gt;TransferEntry"))</f>
        <v>2414</v>
      </c>
      <c r="D28" s="1"/>
      <c r="E28" s="1"/>
    </row>
    <row r="29" spans="2:5">
      <c r="B29" s="1"/>
      <c r="C29" s="1"/>
      <c r="D29" s="1"/>
      <c r="E29" s="1"/>
    </row>
    <row r="30" spans="1:5">
      <c r="A30" t="s">
        <v>162</v>
      </c>
      <c r="B30" s="1" t="s">
        <v>157</v>
      </c>
      <c r="C30" s="1" t="s">
        <v>158</v>
      </c>
      <c r="D30" s="1" t="s">
        <v>159</v>
      </c>
      <c r="E30" s="1" t="s">
        <v>160</v>
      </c>
    </row>
    <row r="31" spans="2:5">
      <c r="B31" s="1">
        <f>SUMIFS(MinorBugsRetention!$J:$J,MinorBugsRetention!$J:$J,"&gt;0",MinorBugsRetention!$C:$C,"&lt;&gt;TransferEntry")+SUMIFS(MintCodeRetention!$J:$J,MintCodeRetention!$J:$J,"&gt;0",MintCodeRetention!$C:$C,"&lt;&gt;TransferEntry")+SUMIFS(AlphaRaysFlagStar!$J:$J,AlphaRaysFlagStar!$J:$J,"&gt;0",AlphaRaysFlagStar!$C:$C,"&lt;&gt;TransferEntry")+SUMIFS(GloriousWise!$J:$J,GloriousWise!$J:$J,"&gt;0",GloriousWise!$C:$C,"&lt;&gt;TransferEntry")+SUMIFS(Counter!$J:$J,Counter!$J:$J,"&gt;0",Counter!$C:$C,"&lt;&gt;TransferEntry")+SUMIFS(MinorBugsBAHLCurrent!$J:$J,MinorBugsBAHLCurrent!$J:$J,"&gt;0",MinorBugsBAHLCurrent!$C:$C,"&lt;&gt;TransferEntry")+SUMIFS(MinorBugsBAHLSaving!$J:$J,MinorBugsBAHLSaving!$J:$J,"&gt;0",MinorBugsBAHLSaving!$C:$C,"&lt;&gt;TransferEntry")+SUMIFS(MinorBugsMeezanCurrent!$J:$J,MinorBugsMeezanCurrent!$J:$J,"&gt;0",MinorBugsMeezanCurrent!$C:$C,"&lt;&gt;TransferEntry")+SUMIFS(MintCodeCurrent!$J:$J,MintCodeCurrent!$J:$J,"&gt;0",MintCodeCurrent!$C:$C,"&lt;&gt;TransferEntry")+SUMIFS(GamesGeeksBAHL!$J:$J,GamesGeeksBAHL!$J:$J,"&gt;0",GamesGeeksBAHL!$C:$C,"&lt;&gt;TransferEntry")+SUMIFS(GamingUniverse!$J:$J,GamingUniverse!$J:$J,"&gt;0",GamingUniverse!$C:$C,"&lt;&gt;TransferEntry")+SUMIFS(KashifMeezan!$J:$J,KashifMeezan!$J:$J,"&gt;0",KashifMeezan!$C:$C,"&lt;&gt;TransferEntry")+SUMIFS(SaadMeezan!$J:$J,SaadMeezan!$J:$J,"&gt;0",SaadMeezan!$C:$C,"&lt;&gt;TransferEntry")+SUMIFS(GameHippoMeezan!$J:$J,GameHippoMeezan!$J:$J,"&gt;0",GameHippoMeezan!$C:$C,"&lt;&gt;TransferEntry")+SUMIFS(AbdullahMeezan!$J:$J,AbdullahMeezan!$J:$J,"&gt;0",AbdullahMeezan!$C:$C,"&lt;&gt;TransferEntry")+SUMIFS(GameSol!$J:$J,GameSol!$J:$J,"&gt;0",GameSol!$C:$C,"&lt;&gt;TransferEntry")+SUMIFS(CipherWaveWise!$J:$J,CipherWaveWise!$J:$J,"&gt;0",CipherWaveWise!$C:$C,"&lt;&gt;TransferEntry")+SUMIFS(AstroVerse!$J:$J,AstroVerse!$J:$J,"&gt;0",AstroVerse!$C:$C,"&lt;&gt;TransferEntry")</f>
        <v>49919034.18</v>
      </c>
      <c r="C31" s="1">
        <f>-(SUMIFS(MinorBugsRetention!$J:$J,MinorBugsRetention!$J:$J,"&lt;0",MinorBugsRetention!$C:$C,"&lt;&gt;TransferEntry")+SUMIFS(MintCodeRetention!$J:$J,MintCodeRetention!$J:$J,"&lt;0",MintCodeRetention!$C:$C,"&lt;&gt;TransferEntry")+SUMIFS(AlphaRaysFlagStar!$J:$J,AlphaRaysFlagStar!$J:$J,"&lt;0",AlphaRaysFlagStar!$C:$C,"&lt;&gt;TransferEntry")+SUMIFS(GloriousWise!$J:$J,GloriousWise!$J:$J,"&lt;0",GloriousWise!$C:$C,"&lt;&gt;TransferEntry")+SUMIFS(Counter!$J:$J,Counter!$J:$J,"&lt;0",Counter!$C:$C,"&lt;&gt;TransferEntry")+SUMIFS(MinorBugsBAHLCurrent!$J:$J,MinorBugsBAHLCurrent!$J:$J,"&lt;0",MinorBugsBAHLCurrent!$C:$C,"&lt;&gt;TransferEntry")+SUMIFS(MinorBugsBAHLSaving!$J:$J,MinorBugsBAHLSaving!$J:$J,"&lt;0",MinorBugsBAHLSaving!$C:$C,"&lt;&gt;TransferEntry")+SUMIFS(MinorBugsMeezanCurrent!$J:$J,MinorBugsMeezanCurrent!$J:$J,"&lt;0",MinorBugsMeezanCurrent!$C:$C,"&lt;&gt;TransferEntry")+SUMIFS(MintCodeCurrent!$J:$J,MintCodeCurrent!$J:$J,"&lt;0",MintCodeCurrent!$C:$C,"&lt;&gt;TransferEntry")+SUMIFS(GamesGeeksBAHL!$J:$J,GamesGeeksBAHL!$J:$J,"&lt;0",GamesGeeksBAHL!$C:$C,"&lt;&gt;TransferEntry")+SUMIFS(GamingUniverse!$J:$J,GamingUniverse!$J:$J,"&lt;0",GamingUniverse!$C:$C,"&lt;&gt;TransferEntry")+SUMIFS(KashifMeezan!$J:$J,KashifMeezan!$J:$J,"&lt;0",KashifMeezan!$C:$C,"&lt;&gt;TransferEntry")+SUMIFS(SaadMeezan!$J:$J,SaadMeezan!$J:$J,"&lt;0",SaadMeezan!$C:$C,"&lt;&gt;TransferEntry")+SUMIFS(GameHippoMeezan!$J:$J,GameHippoMeezan!$J:$J,"&lt;0",GameHippoMeezan!$C:$C,"&lt;&gt;TransferEntry")+SUMIFS(AbdullahMeezan!$J:$J,AbdullahMeezan!$J:$J,"&lt;0",AbdullahMeezan!$C:$C,"&lt;&gt;TransferEntry")+SUMIFS(GameSol!$J:$J,GameSol!$J:$J,"&lt;0",GameSol!$C:$C,"&lt;&gt;TransferEntry")+SUMIFS(CipherWaveWise!$J:$J,CipherWaveWise!$J:$J,"&lt;0",CipherWaveWise!$C:$C,"&lt;&gt;TransferEntry")+SUMIFS(AstroVerse!$J:$J,AstroVerse!$J:$J,"&lt;0",AstroVerse!$C:$C,"&lt;&gt;TransferEntry"))</f>
        <v>10609564.06</v>
      </c>
      <c r="D31" s="1">
        <f>B31-C31</f>
        <v>39309470.12</v>
      </c>
      <c r="E31" s="1">
        <f>SUM(MinorBugsRetention!$J:$J)+SUM(MintCodeRetention!$J:$J)+SUM(AlphaRaysFlagStar!$J:$J)+SUM(GloriousWise!$J:$J)+SUM(Counter!$J:$J)+SUM(MinorBugsBAHLCurrent!$J:$J)+SUM(MinorBugsBAHLSaving!$J:$J)+SUM(MinorBugsMeezanCurrent!$J:$J)+SUM(MintCodeCurrent!$J:$J)+SUM(GamesGeeksBAHL!$J:$J)+SUM(GamingUniverse!$J:$J)+SUM(KashifMeezan!$J:$J)+SUM(SaadMeezan!$J:$J)+SUM(GameHippoMeezan!$J:$J)+SUM(AbdullahMeezan!$J:$J)+SUM(GameSol!$J:$J)+SUM(CipherWaveWise!$J:$J)+SUM(AstroVerse!$J:$J)</f>
        <v>35525554.72</v>
      </c>
    </row>
    <row r="32" spans="2:5">
      <c r="B32" s="1"/>
      <c r="C32" s="1"/>
      <c r="D32" s="1"/>
      <c r="E32" s="1"/>
    </row>
    <row r="33" spans="2:5">
      <c r="B33" s="1"/>
      <c r="C33" s="1"/>
      <c r="D33" s="1"/>
      <c r="E33" s="1"/>
    </row>
    <row r="34" spans="2:5">
      <c r="B34" s="1"/>
      <c r="C34" s="1"/>
      <c r="D34" s="1"/>
      <c r="E34" s="1"/>
    </row>
    <row r="35" spans="2:5">
      <c r="B35" s="1"/>
      <c r="C35" s="1"/>
      <c r="D35" s="1"/>
      <c r="E35" s="1"/>
    </row>
    <row r="36" spans="2:5">
      <c r="B36" s="1"/>
      <c r="C36" s="1"/>
      <c r="D36" s="1"/>
      <c r="E36" s="1"/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7" sqref="F27"/>
    </sheetView>
  </sheetViews>
  <sheetFormatPr defaultColWidth="9" defaultRowHeight="16.8"/>
  <cols>
    <col min="1" max="1" width="16.5625" customWidth="1"/>
    <col min="2" max="2" width="12.6875" customWidth="1"/>
    <col min="3" max="3" width="12.1875" customWidth="1"/>
    <col min="4" max="4" width="10.5625" customWidth="1"/>
    <col min="5" max="5" width="11.5625" customWidth="1"/>
    <col min="6" max="6" width="11.0625" customWidth="1"/>
    <col min="9" max="9" width="12.6875" customWidth="1"/>
  </cols>
  <sheetData>
    <row r="1" spans="1:9">
      <c r="A1" t="s">
        <v>4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163</v>
      </c>
    </row>
    <row r="2" spans="1:9">
      <c r="A2" t="s">
        <v>5</v>
      </c>
      <c r="B2" s="1">
        <f>-(SUMIFS(MinorBugsRetention!$J:$J,MinorBugsRetention!$C:$C,"SaadPersonal",MinorBugsRetention!$D:$D,"MinorBugs",MinorBugsRetention!$J:$J,"&lt;0")+SUMIFS(MintCodeRetention!$J:$J,MintCodeRetention!$C:$C,"SaadPersonal",MintCodeRetention!$D:$D,"MinorBugs",MintCodeRetention!$J:$J,"&lt;0")+SUMIFS(AlphaRaysFlagStar!$J:$J,AlphaRaysFlagStar!$C:$C,"SaadPersonal",AlphaRaysFlagStar!$D:$D,"MinorBugs",AlphaRaysFlagStar!$J:$J,"&lt;0")+SUMIFS(GloriousWise!$J:$J,GloriousWise!$C:$C,"SaadPersonal",GloriousWise!$D:$D,"MinorBugs",GloriousWise!$J:$J,"&lt;0")+SUMIFS(Counter!$J:$J,Counter!$C:$C,"SaadPersonal",Counter!$D:$D,"MinorBugs",Counter!$J:$J,"&lt;0")+SUMIFS(MinorBugsBAHLCurrent!$J:$J,MinorBugsBAHLCurrent!$C:$C,"SaadPersonal",MinorBugsBAHLCurrent!$D:$D,"MinorBugs",MinorBugsBAHLCurrent!$J:$J,"&lt;0")+SUMIFS(MinorBugsBAHLSaving!$J:$J,MinorBugsBAHLSaving!$C:$C,"SaadPersonal",MinorBugsBAHLSaving!$D:$D,"MinorBugs",MinorBugsBAHLSaving!$J:$J,"&lt;0")+SUMIFS(MinorBugsMeezanCurrent!$J:$J,MinorBugsMeezanCurrent!$C:$C,"SaadPersonal",MinorBugsMeezanCurrent!$D:$D,"MinorBugs",MinorBugsMeezanCurrent!$J:$J,"&lt;0")+SUMIFS(MintCodeCurrent!$J:$J,MintCodeCurrent!$C:$C,"SaadPersonal",MintCodeCurrent!$D:$D,"MinorBugs",MintCodeCurrent!$J:$J,"&lt;0")+SUMIFS(GamesGeeksBAHL!$J:$J,GamesGeeksBAHL!$C:$C,"SaadPersonal",GamesGeeksBAHL!$D:$D,"MinorBugs",GamesGeeksBAHL!$J:$J,"&lt;0")+SUMIFS(GamingUniverse!$J:$J,GamingUniverse!$C:$C,"SaadPersonal",GamingUniverse!$D:$D,"MinorBugs",GamingUniverse!$J:$J,"&lt;0")+SUMIFS(KashifMeezan!$J:$J,KashifMeezan!$C:$C,"SaadPersonal",KashifMeezan!$D:$D,"MinorBugs",KashifMeezan!$J:$J,"&lt;0")+SUMIFS(SaadMeezan!$J:$J,SaadMeezan!$C:$C,"SaadPersonal",SaadMeezan!$D:$D,"MinorBugs",SaadMeezan!$J:$J,"&lt;0")+SUMIFS(GameHippoMeezan!$J:$J,GameHippoMeezan!$C:$C,"SaadPersonal",GameHippoMeezan!$D:$D,"MinorBugs",GameHippoMeezan!$J:$J,"&lt;0")+SUMIFS(AbdullahMeezan!$J:$J,AbdullahMeezan!$C:$C,"SaadPersonal",AbdullahMeezan!$D:$D,"MinorBugs",AbdullahMeezan!$J:$J,"&lt;0")+SUMIFS(GameSol!$J:$J,GameSol!$C:$C,"SaadPersonal",GameSol!$D:$D,"MinorBugs",GameSol!$J:$J,"&lt;0")+SUMIFS(CipherWaveWise!$J:$J,CipherWaveWise!$C:$C,"SaadPersonal",CipherWaveWise!$D:$D,"MinorBugs",CipherWaveWise!$J:$J,"&lt;0")+SUMIFS(AstroVerse!$J:$J,AstroVerse!$C:$C,"SaadPersonal",AstroVerse!$D:$D,"MinorBugs",AstroVerse!$J:$J,"&lt;0"))</f>
        <v>300200</v>
      </c>
      <c r="C2" s="1">
        <f>-(SUMIFS(MinorBugsRetention!$J:$J,MinorBugsRetention!$C:$C,"SaadPersonal",MinorBugsRetention!$D:$D,"BraveJackals",MinorBugsRetention!$J:$J,"&lt;0")+SUMIFS(MintCodeRetention!$J:$J,MintCodeRetention!$C:$C,"SaadPersonal",MintCodeRetention!$D:$D,"BraveJackals",MintCodeRetention!$J:$J,"&lt;0")+SUMIFS(AlphaRaysFlagStar!$J:$J,AlphaRaysFlagStar!$C:$C,"SaadPersonal",AlphaRaysFlagStar!$D:$D,"BraveJackals",AlphaRaysFlagStar!$J:$J,"&lt;0")+SUMIFS(GloriousWise!$J:$J,GloriousWise!$C:$C,"SaadPersonal",GloriousWise!$D:$D,"BraveJackals",GloriousWise!$J:$J,"&lt;0")+SUMIFS(Counter!$J:$J,Counter!$C:$C,"SaadPersonal",Counter!$D:$D,"BraveJackals",Counter!$J:$J,"&lt;0")+SUMIFS(MinorBugsBAHLCurrent!$J:$J,MinorBugsBAHLCurrent!$C:$C,"SaadPersonal",MinorBugsBAHLCurrent!$D:$D,"BraveJackals",MinorBugsBAHLCurrent!$J:$J,"&lt;0")+SUMIFS(MinorBugsBAHLSaving!$J:$J,MinorBugsBAHLSaving!$C:$C,"SaadPersonal",MinorBugsBAHLSaving!$D:$D,"BraveJackals",MinorBugsBAHLSaving!$J:$J,"&lt;0")+SUMIFS(MinorBugsMeezanCurrent!$J:$J,MinorBugsMeezanCurrent!$C:$C,"SaadPersonal",MinorBugsMeezanCurrent!$D:$D,"BraveJackals",MinorBugsMeezanCurrent!$J:$J,"&lt;0")+SUMIFS(MintCodeCurrent!$J:$J,MintCodeCurrent!$C:$C,"SaadPersonal",MintCodeCurrent!$D:$D,"BraveJackals",MintCodeCurrent!$J:$J,"&lt;0")+SUMIFS(GamesGeeksBAHL!$J:$J,GamesGeeksBAHL!$C:$C,"SaadPersonal",GamesGeeksBAHL!$D:$D,"BraveJackals",GamesGeeksBAHL!$J:$J,"&lt;0")+SUMIFS(GamingUniverse!$J:$J,GamingUniverse!$C:$C,"SaadPersonal",GamingUniverse!$D:$D,"BraveJackals",GamingUniverse!$J:$J,"&lt;0")+SUMIFS(KashifMeezan!$J:$J,KashifMeezan!$C:$C,"SaadPersonal",KashifMeezan!$D:$D,"BraveJackals",KashifMeezan!$J:$J,"&lt;0")+SUMIFS(SaadMeezan!$J:$J,SaadMeezan!$C:$C,"SaadPersonal",SaadMeezan!$D:$D,"BraveJackals",SaadMeezan!$J:$J,"&lt;0")+SUMIFS(GameHippoMeezan!$J:$J,GameHippoMeezan!$C:$C,"SaadPersonal",GameHippoMeezan!$D:$D,"BraveJackals",GameHippoMeezan!$J:$J,"&lt;0")+SUMIFS(AbdullahMeezan!$J:$J,AbdullahMeezan!$C:$C,"SaadPersonal",AbdullahMeezan!$D:$D,"BraveJackals",AbdullahMeezan!$J:$J,"&lt;0")+SUMIFS(GameSol!$J:$J,GameSol!$C:$C,"SaadPersonal",GameSol!$D:$D,"BraveJackals",GameSol!$J:$J,"&lt;0")+SUMIFS(CipherWaveWise!$J:$J,CipherWaveWise!$C:$C,"SaadPersonal",CipherWaveWise!$D:$D,"BraveJackals",CipherWaveWise!$J:$J,"&lt;0")+SUMIFS(AstroVerse!$J:$J,AstroVerse!$C:$C,"SaadPersonal",AstroVerse!$D:$D,"BraveJackals",AstroVerse!$J:$J,"&lt;0"))</f>
        <v>0</v>
      </c>
      <c r="D2" s="1">
        <f>-(SUMIFS(MinorBugsRetention!$J:$J,MinorBugsRetention!$C:$C,"SaadPersonal",MinorBugsRetention!$D:$D,"GoJins",MinorBugsRetention!$J:$J,"&lt;0")+SUMIFS(MintCodeRetention!$J:$J,MintCodeRetention!$C:$C,"SaadPersonal",MintCodeRetention!$D:$D,"GoJins",MintCodeRetention!$J:$J,"&lt;0")+SUMIFS(AlphaRaysFlagStar!$J:$J,AlphaRaysFlagStar!$C:$C,"SaadPersonal",AlphaRaysFlagStar!$D:$D,"GoJins",AlphaRaysFlagStar!$J:$J,"&lt;0")+SUMIFS(GloriousWise!$J:$J,GloriousWise!$C:$C,"SaadPersonal",GloriousWise!$D:$D,"GoJins",GloriousWise!$J:$J,"&lt;0")+SUMIFS(Counter!$J:$J,Counter!$C:$C,"SaadPersonal",Counter!$D:$D,"GoJins",Counter!$J:$J,"&lt;0")+SUMIFS(MinorBugsBAHLCurrent!$J:$J,MinorBugsBAHLCurrent!$C:$C,"SaadPersonal",MinorBugsBAHLCurrent!$D:$D,"GoJins",MinorBugsBAHLCurrent!$J:$J,"&lt;0")+SUMIFS(MinorBugsBAHLSaving!$J:$J,MinorBugsBAHLSaving!$C:$C,"SaadPersonal",MinorBugsBAHLSaving!$D:$D,"GoJins",MinorBugsBAHLSaving!$J:$J,"&lt;0")+SUMIFS(MinorBugsMeezanCurrent!$J:$J,MinorBugsMeezanCurrent!$C:$C,"SaadPersonal",MinorBugsMeezanCurrent!$D:$D,"GoJins",MinorBugsMeezanCurrent!$J:$J,"&lt;0")+SUMIFS(MintCodeCurrent!$J:$J,MintCodeCurrent!$C:$C,"SaadPersonal",MintCodeCurrent!$D:$D,"GoJins",MintCodeCurrent!$J:$J,"&lt;0")+SUMIFS(GamesGeeksBAHL!$J:$J,GamesGeeksBAHL!$C:$C,"SaadPersonal",GamesGeeksBAHL!$D:$D,"GoJins",GamesGeeksBAHL!$J:$J,"&lt;0")+SUMIFS(GamingUniverse!$J:$J,GamingUniverse!$C:$C,"SaadPersonal",GamingUniverse!$D:$D,"GoJins",GamingUniverse!$J:$J,"&lt;0")+SUMIFS(KashifMeezan!$J:$J,KashifMeezan!$C:$C,"SaadPersonal",KashifMeezan!$D:$D,"GoJins",KashifMeezan!$J:$J,"&lt;0")+SUMIFS(SaadMeezan!$J:$J,SaadMeezan!$C:$C,"SaadPersonal",SaadMeezan!$D:$D,"GoJins",SaadMeezan!$J:$J,"&lt;0")+SUMIFS(GameHippoMeezan!$J:$J,GameHippoMeezan!$C:$C,"SaadPersonal",GameHippoMeezan!$D:$D,"GoJins",GameHippoMeezan!$J:$J,"&lt;0")+SUMIFS(AbdullahMeezan!$J:$J,AbdullahMeezan!$C:$C,"SaadPersonal",AbdullahMeezan!$D:$D,"GoJins",AbdullahMeezan!$J:$J,"&lt;0")+SUMIFS(GameSol!$J:$J,GameSol!$C:$C,"SaadPersonal",GameSol!$D:$D,"GoJins",GameSol!$J:$J,"&lt;0")+SUMIFS(CipherWaveWise!$J:$J,CipherWaveWise!$C:$C,"SaadPersonal",CipherWaveWise!$D:$D,"GoJins",CipherWaveWise!$J:$J,"&lt;0")+SUMIFS(AstroVerse!$J:$J,AstroVerse!$C:$C,"SaadPersonal",AstroVerse!$D:$D,"GoJins",AstroVerse!$J:$J,"&lt;0"))</f>
        <v>0</v>
      </c>
      <c r="E2" s="1">
        <f>-(SUMIFS(MinorBugsRetention!$J:$J,MinorBugsRetention!$C:$C,"SaadPersonal",MinorBugsRetention!$D:$D,"BuggiesKids",MinorBugsRetention!$J:$J,"&lt;0")+SUMIFS(MintCodeRetention!$J:$J,MintCodeRetention!$C:$C,"SaadPersonal",MintCodeRetention!$D:$D,"BuggiesKids",MintCodeRetention!$J:$J,"&lt;0")+SUMIFS(AlphaRaysFlagStar!$J:$J,AlphaRaysFlagStar!$C:$C,"SaadPersonal",AlphaRaysFlagStar!$D:$D,"BuggiesKids",AlphaRaysFlagStar!$J:$J,"&lt;0")+SUMIFS(GloriousWise!$J:$J,GloriousWise!$C:$C,"SaadPersonal",GloriousWise!$D:$D,"BuggiesKids",GloriousWise!$J:$J,"&lt;0")+SUMIFS(Counter!$J:$J,Counter!$C:$C,"SaadPersonal",Counter!$D:$D,"BuggiesKids",Counter!$J:$J,"&lt;0")+SUMIFS(MinorBugsBAHLCurrent!$J:$J,MinorBugsBAHLCurrent!$C:$C,"SaadPersonal",MinorBugsBAHLCurrent!$D:$D,"BuggiesKids",MinorBugsBAHLCurrent!$J:$J,"&lt;0")+SUMIFS(MinorBugsBAHLSaving!$J:$J,MinorBugsBAHLSaving!$C:$C,"SaadPersonal",MinorBugsBAHLSaving!$D:$D,"BuggiesKids",MinorBugsBAHLSaving!$J:$J,"&lt;0")+SUMIFS(MinorBugsMeezanCurrent!$J:$J,MinorBugsMeezanCurrent!$C:$C,"SaadPersonal",MinorBugsMeezanCurrent!$D:$D,"BuggiesKids",MinorBugsMeezanCurrent!$J:$J,"&lt;0")+SUMIFS(MintCodeCurrent!$J:$J,MintCodeCurrent!$C:$C,"SaadPersonal",MintCodeCurrent!$D:$D,"BuggiesKids",MintCodeCurrent!$J:$J,"&lt;0")+SUMIFS(GamesGeeksBAHL!$J:$J,GamesGeeksBAHL!$C:$C,"SaadPersonal",GamesGeeksBAHL!$D:$D,"BuggiesKids",GamesGeeksBAHL!$J:$J,"&lt;0")+SUMIFS(GamingUniverse!$J:$J,GamingUniverse!$C:$C,"SaadPersonal",GamingUniverse!$D:$D,"BuggiesKids",GamingUniverse!$J:$J,"&lt;0")+SUMIFS(KashifMeezan!$J:$J,KashifMeezan!$C:$C,"SaadPersonal",KashifMeezan!$D:$D,"BuggiesKids",KashifMeezan!$J:$J,"&lt;0")+SUMIFS(SaadMeezan!$J:$J,SaadMeezan!$C:$C,"SaadPersonal",SaadMeezan!$D:$D,"BuggiesKids",SaadMeezan!$J:$J,"&lt;0")+SUMIFS(GameHippoMeezan!$J:$J,GameHippoMeezan!$C:$C,"SaadPersonal",GameHippoMeezan!$D:$D,"BuggiesKids",GameHippoMeezan!$J:$J,"&lt;0")+SUMIFS(AbdullahMeezan!$J:$J,AbdullahMeezan!$C:$C,"SaadPersonal",AbdullahMeezan!$D:$D,"BuggiesKids",AbdullahMeezan!$J:$J,"&lt;0")+SUMIFS(GameSol!$J:$J,GameSol!$C:$C,"SaadPersonal",GameSol!$D:$D,"BuggiesKids",GameSol!$J:$J,"&lt;0")+SUMIFS(CipherWaveWise!$J:$J,CipherWaveWise!$C:$C,"SaadPersonal",CipherWaveWise!$D:$D,"BuggiesKids",CipherWaveWise!$J:$J,"&lt;0")+SUMIFS(AstroVerse!$J:$J,AstroVerse!$C:$C,"SaadPersonal",AstroVerse!$D:$D,"BuggiesKids",AstroVerse!$J:$J,"&lt;0"))</f>
        <v>0</v>
      </c>
      <c r="F2" s="1">
        <f>-(SUMIFS(MinorBugsRetention!$J:$J,MinorBugsRetention!$C:$C,"SaadPersonal",MinorBugsRetention!$D:$D,"GameHippo",MinorBugsRetention!$J:$J,"&lt;0")+SUMIFS(MintCodeRetention!$J:$J,MintCodeRetention!$C:$C,"SaadPersonal",MintCodeRetention!$D:$D,"GameHippo",MintCodeRetention!$J:$J,"&lt;0")+SUMIFS(AlphaRaysFlagStar!$J:$J,AlphaRaysFlagStar!$C:$C,"SaadPersonal",AlphaRaysFlagStar!$D:$D,"GameHippo",AlphaRaysFlagStar!$J:$J,"&lt;0")+SUMIFS(GloriousWise!$J:$J,GloriousWise!$C:$C,"SaadPersonal",GloriousWise!$D:$D,"GameHippo",GloriousWise!$J:$J,"&lt;0")+SUMIFS(Counter!$J:$J,Counter!$C:$C,"SaadPersonal",Counter!$D:$D,"GameHippo",Counter!$J:$J,"&lt;0")+SUMIFS(MinorBugsBAHLCurrent!$J:$J,MinorBugsBAHLCurrent!$C:$C,"SaadPersonal",MinorBugsBAHLCurrent!$D:$D,"GameHippo",MinorBugsBAHLCurrent!$J:$J,"&lt;0")+SUMIFS(MinorBugsBAHLSaving!$J:$J,MinorBugsBAHLSaving!$C:$C,"SaadPersonal",MinorBugsBAHLSaving!$D:$D,"GameHippo",MinorBugsBAHLSaving!$J:$J,"&lt;0")+SUMIFS(MinorBugsMeezanCurrent!$J:$J,MinorBugsMeezanCurrent!$C:$C,"SaadPersonal",MinorBugsMeezanCurrent!$D:$D,"GameHippo",MinorBugsMeezanCurrent!$J:$J,"&lt;0")+SUMIFS(MintCodeCurrent!$J:$J,MintCodeCurrent!$C:$C,"SaadPersonal",MintCodeCurrent!$D:$D,"GameHippo",MintCodeCurrent!$J:$J,"&lt;0")+SUMIFS(GamesGeeksBAHL!$J:$J,GamesGeeksBAHL!$C:$C,"SaadPersonal",GamesGeeksBAHL!$D:$D,"GameHippo",GamesGeeksBAHL!$J:$J,"&lt;0")+SUMIFS(GamingUniverse!$J:$J,GamingUniverse!$C:$C,"SaadPersonal",GamingUniverse!$D:$D,"GameHippo",GamingUniverse!$J:$J,"&lt;0")+SUMIFS(KashifMeezan!$J:$J,KashifMeezan!$C:$C,"SaadPersonal",KashifMeezan!$D:$D,"GameHippo",KashifMeezan!$J:$J,"&lt;0")+SUMIFS(SaadMeezan!$J:$J,SaadMeezan!$C:$C,"SaadPersonal",SaadMeezan!$D:$D,"GameHippo",SaadMeezan!$J:$J,"&lt;0")+SUMIFS(GameHippoMeezan!$J:$J,GameHippoMeezan!$C:$C,"SaadPersonal",GameHippoMeezan!$D:$D,"GameHippo",GameHippoMeezan!$J:$J,"&lt;0")+SUMIFS(AbdullahMeezan!$J:$J,AbdullahMeezan!$C:$C,"SaadPersonal",AbdullahMeezan!$D:$D,"GameHippo",AbdullahMeezan!$J:$J,"&lt;0")+SUMIFS(GameSol!$J:$J,GameSol!$C:$C,"SaadPersonal",GameSol!$D:$D,"GameHippo",GameSol!$J:$J,"&lt;0")+SUMIFS(CipherWaveWise!$J:$J,CipherWaveWise!$C:$C,"SaadPersonal",CipherWaveWise!$D:$D,"GameHippo",CipherWaveWise!$J:$J,"&lt;0")+SUMIFS(AstroVerse!$J:$J,AstroVerse!$C:$C,"SaadPersonal",AstroVerse!$D:$D,"GameHippo",AstroVerse!$J:$J,"&lt;0"))</f>
        <v>0</v>
      </c>
      <c r="G2" s="1">
        <f>-(SUMIFS(MinorBugsRetention!$J:$J,MinorBugsRetention!$C:$C,"SaadPersonal",MinorBugsRetention!$D:$D,"Frentech",MinorBugsRetention!$J:$J,"&lt;0")+SUMIFS(MintCodeRetention!$J:$J,MintCodeRetention!$C:$C,"SaadPersonal",MintCodeRetention!$D:$D,"Frentech",MintCodeRetention!$J:$J,"&lt;0")+SUMIFS(AlphaRaysFlagStar!$J:$J,AlphaRaysFlagStar!$C:$C,"SaadPersonal",AlphaRaysFlagStar!$D:$D,"Frentech",AlphaRaysFlagStar!$J:$J,"&lt;0")+SUMIFS(GloriousWise!$J:$J,GloriousWise!$C:$C,"SaadPersonal",GloriousWise!$D:$D,"Frentech",GloriousWise!$J:$J,"&lt;0")+SUMIFS(Counter!$J:$J,Counter!$C:$C,"SaadPersonal",Counter!$D:$D,"Frentech",Counter!$J:$J,"&lt;0")+SUMIFS(MinorBugsBAHLCurrent!$J:$J,MinorBugsBAHLCurrent!$C:$C,"SaadPersonal",MinorBugsBAHLCurrent!$D:$D,"Frentech",MinorBugsBAHLCurrent!$J:$J,"&lt;0")+SUMIFS(MinorBugsBAHLSaving!$J:$J,MinorBugsBAHLSaving!$C:$C,"SaadPersonal",MinorBugsBAHLSaving!$D:$D,"Frentech",MinorBugsBAHLSaving!$J:$J,"&lt;0")+SUMIFS(MinorBugsMeezanCurrent!$J:$J,MinorBugsMeezanCurrent!$C:$C,"SaadPersonal",MinorBugsMeezanCurrent!$D:$D,"Frentech",MinorBugsMeezanCurrent!$J:$J,"&lt;0")+SUMIFS(MintCodeCurrent!$J:$J,MintCodeCurrent!$C:$C,"SaadPersonal",MintCodeCurrent!$D:$D,"Frentech",MintCodeCurrent!$J:$J,"&lt;0")+SUMIFS(GamesGeeksBAHL!$J:$J,GamesGeeksBAHL!$C:$C,"SaadPersonal",GamesGeeksBAHL!$D:$D,"Frentech",GamesGeeksBAHL!$J:$J,"&lt;0")+SUMIFS(GamingUniverse!$J:$J,GamingUniverse!$C:$C,"SaadPersonal",GamingUniverse!$D:$D,"Frentech",GamingUniverse!$J:$J,"&lt;0")+SUMIFS(KashifMeezan!$J:$J,KashifMeezan!$C:$C,"SaadPersonal",KashifMeezan!$D:$D,"Frentech",KashifMeezan!$J:$J,"&lt;0")+SUMIFS(SaadMeezan!$J:$J,SaadMeezan!$C:$C,"SaadPersonal",SaadMeezan!$D:$D,"Frentech",SaadMeezan!$J:$J,"&lt;0")+SUMIFS(GameHippoMeezan!$J:$J,GameHippoMeezan!$C:$C,"SaadPersonal",GameHippoMeezan!$D:$D,"Frentech",GameHippoMeezan!$J:$J,"&lt;0")+SUMIFS(AbdullahMeezan!$J:$J,AbdullahMeezan!$C:$C,"SaadPersonal",AbdullahMeezan!$D:$D,"Frentech",AbdullahMeezan!$J:$J,"&lt;0")+SUMIFS(GameSol!$J:$J,GameSol!$C:$C,"SaadPersonal",GameSol!$D:$D,"Frentech",GameSol!$J:$J,"&lt;0")+SUMIFS(CipherWaveWise!$J:$J,CipherWaveWise!$C:$C,"SaadPersonal",CipherWaveWise!$D:$D,"Frentech",CipherWaveWise!$J:$J,"&lt;0")+SUMIFS(AstroVerse!$J:$J,AstroVerse!$C:$C,"SaadPersonal",AstroVerse!$D:$D,"Frentech",AstroVerse!$J:$J,"&lt;0"))</f>
        <v>0</v>
      </c>
      <c r="H2" s="1">
        <f>-(SUMIFS(MinorBugsRetention!$J:$J,MinorBugsRetention!$C:$C,"SaadPersonal",MinorBugsRetention!$D:$D,"DevBoat",MinorBugsRetention!$J:$J,"&lt;0")+SUMIFS(MintCodeRetention!$J:$J,MintCodeRetention!$C:$C,"SaadPersonal",MintCodeRetention!$D:$D,"DevBoat",MintCodeRetention!$J:$J,"&lt;0")+SUMIFS(AlphaRaysFlagStar!$J:$J,AlphaRaysFlagStar!$C:$C,"SaadPersonal",AlphaRaysFlagStar!$D:$D,"DevBoat",AlphaRaysFlagStar!$J:$J,"&lt;0")+SUMIFS(GloriousWise!$J:$J,GloriousWise!$C:$C,"SaadPersonal",GloriousWise!$D:$D,"DevBoat",GloriousWise!$J:$J,"&lt;0")+SUMIFS(Counter!$J:$J,Counter!$C:$C,"SaadPersonal",Counter!$D:$D,"DevBoat",Counter!$J:$J,"&lt;0")+SUMIFS(MinorBugsBAHLCurrent!$J:$J,MinorBugsBAHLCurrent!$C:$C,"SaadPersonal",MinorBugsBAHLCurrent!$D:$D,"DevBoat",MinorBugsBAHLCurrent!$J:$J,"&lt;0")+SUMIFS(MinorBugsBAHLSaving!$J:$J,MinorBugsBAHLSaving!$C:$C,"SaadPersonal",MinorBugsBAHLSaving!$D:$D,"DevBoat",MinorBugsBAHLSaving!$J:$J,"&lt;0")+SUMIFS(MinorBugsMeezanCurrent!$J:$J,MinorBugsMeezanCurrent!$C:$C,"SaadPersonal",MinorBugsMeezanCurrent!$D:$D,"DevBoat",MinorBugsMeezanCurrent!$J:$J,"&lt;0")+SUMIFS(MintCodeCurrent!$J:$J,MintCodeCurrent!$C:$C,"SaadPersonal",MintCodeCurrent!$D:$D,"DevBoat",MintCodeCurrent!$J:$J,"&lt;0")+SUMIFS(GamesGeeksBAHL!$J:$J,GamesGeeksBAHL!$C:$C,"SaadPersonal",GamesGeeksBAHL!$D:$D,"DevBoat",GamesGeeksBAHL!$J:$J,"&lt;0")+SUMIFS(GamingUniverse!$J:$J,GamingUniverse!$C:$C,"SaadPersonal",GamingUniverse!$D:$D,"DevBoat",GamingUniverse!$J:$J,"&lt;0")+SUMIFS(KashifMeezan!$J:$J,KashifMeezan!$C:$C,"SaadPersonal",KashifMeezan!$D:$D,"DevBoat",KashifMeezan!$J:$J,"&lt;0")+SUMIFS(SaadMeezan!$J:$J,SaadMeezan!$C:$C,"SaadPersonal",SaadMeezan!$D:$D,"DevBoat",SaadMeezan!$J:$J,"&lt;0")+SUMIFS(GameHippoMeezan!$J:$J,GameHippoMeezan!$C:$C,"SaadPersonal",GameHippoMeezan!$D:$D,"DevBoat",GameHippoMeezan!$J:$J,"&lt;0")+SUMIFS(AbdullahMeezan!$J:$J,AbdullahMeezan!$C:$C,"SaadPersonal",AbdullahMeezan!$D:$D,"DevBoat",AbdullahMeezan!$J:$J,"&lt;0")+SUMIFS(GameSol!$J:$J,GameSol!$C:$C,"SaadPersonal",GameSol!$D:$D,"DevBoat",GameSol!$J:$J,"&lt;0")+SUMIFS(CipherWaveWise!$J:$J,CipherWaveWise!$C:$C,"SaadPersonal",CipherWaveWise!$D:$D,"DevBoat",CipherWaveWise!$J:$J,"&lt;0")+SUMIFS(AstroVerse!$J:$J,AstroVerse!$C:$C,"SaadPersonal",AstroVerse!$D:$D,"DevBoat",AstroVerse!$J:$J,"&lt;0"))</f>
        <v>0</v>
      </c>
      <c r="I2" s="1">
        <f t="shared" ref="I2:I22" si="0">SUM(B2:H2)</f>
        <v>300200</v>
      </c>
    </row>
    <row r="3" spans="1:9">
      <c r="A3" t="s">
        <v>6</v>
      </c>
      <c r="B3" s="1">
        <f>-(SUMIFS(MinorBugsRetention!$J:$J,MinorBugsRetention!$C:$C,"KashifPersonal",MinorBugsRetention!$D:$D,"MinorBugs",MinorBugsRetention!$J:$J,"&lt;0")+SUMIFS(MintCodeRetention!$J:$J,MintCodeRetention!$C:$C,"KashifPersonal",MintCodeRetention!$D:$D,"MinorBugs",MintCodeRetention!$J:$J,"&lt;0")+SUMIFS(AlphaRaysFlagStar!$J:$J,AlphaRaysFlagStar!$C:$C,"KashifPersonal",AlphaRaysFlagStar!$D:$D,"MinorBugs",AlphaRaysFlagStar!$J:$J,"&lt;0")+SUMIFS(GloriousWise!$J:$J,GloriousWise!$C:$C,"KashifPersonal",GloriousWise!$D:$D,"MinorBugs",GloriousWise!$J:$J,"&lt;0")+SUMIFS(Counter!$J:$J,Counter!$C:$C,"KashifPersonal",Counter!$D:$D,"MinorBugs",Counter!$J:$J,"&lt;0")+SUMIFS(MinorBugsBAHLCurrent!$J:$J,MinorBugsBAHLCurrent!$C:$C,"KashifPersonal",MinorBugsBAHLCurrent!$D:$D,"MinorBugs",MinorBugsBAHLCurrent!$J:$J,"&lt;0")+SUMIFS(MinorBugsBAHLSaving!$J:$J,MinorBugsBAHLSaving!$C:$C,"KashifPersonal",MinorBugsBAHLSaving!$D:$D,"MinorBugs",MinorBugsBAHLSaving!$J:$J,"&lt;0")+SUMIFS(MinorBugsMeezanCurrent!$J:$J,MinorBugsMeezanCurrent!$C:$C,"KashifPersonal",MinorBugsMeezanCurrent!$D:$D,"MinorBugs",MinorBugsMeezanCurrent!$J:$J,"&lt;0")+SUMIFS(MintCodeCurrent!$J:$J,MintCodeCurrent!$C:$C,"KashifPersonal",MintCodeCurrent!$D:$D,"MinorBugs",MintCodeCurrent!$J:$J,"&lt;0")+SUMIFS(GamesGeeksBAHL!$J:$J,GamesGeeksBAHL!$C:$C,"KashifPersonal",GamesGeeksBAHL!$D:$D,"MinorBugs",GamesGeeksBAHL!$J:$J,"&lt;0")+SUMIFS(GamingUniverse!$J:$J,GamingUniverse!$C:$C,"KashifPersonal",GamingUniverse!$D:$D,"MinorBugs",GamingUniverse!$J:$J,"&lt;0")+SUMIFS(KashifMeezan!$J:$J,KashifMeezan!$C:$C,"KashifPersonal",KashifMeezan!$D:$D,"MinorBugs",KashifMeezan!$J:$J,"&lt;0")+SUMIFS(SaadMeezan!$J:$J,SaadMeezan!$C:$C,"KashifPersonal",SaadMeezan!$D:$D,"MinorBugs",SaadMeezan!$J:$J,"&lt;0")+SUMIFS(GameHippoMeezan!$J:$J,GameHippoMeezan!$C:$C,"KashifPersonal",GameHippoMeezan!$D:$D,"MinorBugs",GameHippoMeezan!$J:$J,"&lt;0")+SUMIFS(AbdullahMeezan!$J:$J,AbdullahMeezan!$C:$C,"KashifPersonal",AbdullahMeezan!$D:$D,"MinorBugs",AbdullahMeezan!$J:$J,"&lt;0")+SUMIFS(GameSol!$J:$J,GameSol!$C:$C,"KashifPersonal",GameSol!$D:$D,"MinorBugs",GameSol!$J:$J,"&lt;0")+SUMIFS(CipherWaveWise!$J:$J,CipherWaveWise!$C:$C,"KashifPersonal",CipherWaveWise!$D:$D,"MinorBugs",CipherWaveWise!$J:$J,"&lt;0")+SUMIFS(AstroVerse!$J:$J,AstroVerse!$C:$C,"KashifPersonal",AstroVerse!$D:$D,"MinorBugs",AstroVerse!$J:$J,"&lt;0"))</f>
        <v>14250</v>
      </c>
      <c r="C3" s="1">
        <f>-(SUMIFS(MinorBugsRetention!$J:$J,MinorBugsRetention!$C:$C,"KashifPersonal",MinorBugsRetention!$D:$D,"BraveJackals",MinorBugsRetention!$J:$J,"&lt;0")+SUMIFS(MintCodeRetention!$J:$J,MintCodeRetention!$C:$C,"KashifPersonal",MintCodeRetention!$D:$D,"BraveJackals",MintCodeRetention!$J:$J,"&lt;0")+SUMIFS(AlphaRaysFlagStar!$J:$J,AlphaRaysFlagStar!$C:$C,"KashifPersonal",AlphaRaysFlagStar!$D:$D,"BraveJackals",AlphaRaysFlagStar!$J:$J,"&lt;0")+SUMIFS(GloriousWise!$J:$J,GloriousWise!$C:$C,"KashifPersonal",GloriousWise!$D:$D,"BraveJackals",GloriousWise!$J:$J,"&lt;0")+SUMIFS(Counter!$J:$J,Counter!$C:$C,"KashifPersonal",Counter!$D:$D,"BraveJackals",Counter!$J:$J,"&lt;0")+SUMIFS(MinorBugsBAHLCurrent!$J:$J,MinorBugsBAHLCurrent!$C:$C,"KashifPersonal",MinorBugsBAHLCurrent!$D:$D,"BraveJackals",MinorBugsBAHLCurrent!$J:$J,"&lt;0")+SUMIFS(MinorBugsBAHLSaving!$J:$J,MinorBugsBAHLSaving!$C:$C,"KashifPersonal",MinorBugsBAHLSaving!$D:$D,"BraveJackals",MinorBugsBAHLSaving!$J:$J,"&lt;0")+SUMIFS(MinorBugsMeezanCurrent!$J:$J,MinorBugsMeezanCurrent!$C:$C,"KashifPersonal",MinorBugsMeezanCurrent!$D:$D,"BraveJackals",MinorBugsMeezanCurrent!$J:$J,"&lt;0")+SUMIFS(MintCodeCurrent!$J:$J,MintCodeCurrent!$C:$C,"KashifPersonal",MintCodeCurrent!$D:$D,"BraveJackals",MintCodeCurrent!$J:$J,"&lt;0")+SUMIFS(GamesGeeksBAHL!$J:$J,GamesGeeksBAHL!$C:$C,"KashifPersonal",GamesGeeksBAHL!$D:$D,"BraveJackals",GamesGeeksBAHL!$J:$J,"&lt;0")+SUMIFS(GamingUniverse!$J:$J,GamingUniverse!$C:$C,"KashifPersonal",GamingUniverse!$D:$D,"BraveJackals",GamingUniverse!$J:$J,"&lt;0")+SUMIFS(KashifMeezan!$J:$J,KashifMeezan!$C:$C,"KashifPersonal",KashifMeezan!$D:$D,"BraveJackals",KashifMeezan!$J:$J,"&lt;0")+SUMIFS(SaadMeezan!$J:$J,SaadMeezan!$C:$C,"KashifPersonal",SaadMeezan!$D:$D,"BraveJackals",SaadMeezan!$J:$J,"&lt;0")+SUMIFS(GameHippoMeezan!$J:$J,GameHippoMeezan!$C:$C,"KashifPersonal",GameHippoMeezan!$D:$D,"BraveJackals",GameHippoMeezan!$J:$J,"&lt;0")+SUMIFS(AbdullahMeezan!$J:$J,AbdullahMeezan!$C:$C,"KashifPersonal",AbdullahMeezan!$D:$D,"BraveJackals",AbdullahMeezan!$J:$J,"&lt;0")+SUMIFS(GameSol!$J:$J,GameSol!$C:$C,"KashifPersonal",GameSol!$D:$D,"BraveJackals",GameSol!$J:$J,"&lt;0")+SUMIFS(CipherWaveWise!$J:$J,CipherWaveWise!$C:$C,"KashifPersonal",CipherWaveWise!$D:$D,"BraveJackals",CipherWaveWise!$J:$J,"&lt;0")+SUMIFS(AstroVerse!$J:$J,AstroVerse!$C:$C,"KashifPersonal",AstroVerse!$D:$D,"BraveJackals",AstroVerse!$J:$J,"&lt;0"))</f>
        <v>0</v>
      </c>
      <c r="D3" s="1">
        <f>-(SUMIFS(MinorBugsRetention!$J:$J,MinorBugsRetention!$C:$C,"KashifPersonal",MinorBugsRetention!$D:$D,"GoJins",MinorBugsRetention!$J:$J,"&lt;0")+SUMIFS(MintCodeRetention!$J:$J,MintCodeRetention!$C:$C,"KashifPersonal",MintCodeRetention!$D:$D,"GoJins",MintCodeRetention!$J:$J,"&lt;0")+SUMIFS(AlphaRaysFlagStar!$J:$J,AlphaRaysFlagStar!$C:$C,"KashifPersonal",AlphaRaysFlagStar!$D:$D,"GoJins",AlphaRaysFlagStar!$J:$J,"&lt;0")+SUMIFS(GloriousWise!$J:$J,GloriousWise!$C:$C,"KashifPersonal",GloriousWise!$D:$D,"GoJins",GloriousWise!$J:$J,"&lt;0")+SUMIFS(Counter!$J:$J,Counter!$C:$C,"KashifPersonal",Counter!$D:$D,"GoJins",Counter!$J:$J,"&lt;0")+SUMIFS(MinorBugsBAHLCurrent!$J:$J,MinorBugsBAHLCurrent!$C:$C,"KashifPersonal",MinorBugsBAHLCurrent!$D:$D,"GoJins",MinorBugsBAHLCurrent!$J:$J,"&lt;0")+SUMIFS(MinorBugsBAHLSaving!$J:$J,MinorBugsBAHLSaving!$C:$C,"KashifPersonal",MinorBugsBAHLSaving!$D:$D,"GoJins",MinorBugsBAHLSaving!$J:$J,"&lt;0")+SUMIFS(MinorBugsMeezanCurrent!$J:$J,MinorBugsMeezanCurrent!$C:$C,"KashifPersonal",MinorBugsMeezanCurrent!$D:$D,"GoJins",MinorBugsMeezanCurrent!$J:$J,"&lt;0")+SUMIFS(MintCodeCurrent!$J:$J,MintCodeCurrent!$C:$C,"KashifPersonal",MintCodeCurrent!$D:$D,"GoJins",MintCodeCurrent!$J:$J,"&lt;0")+SUMIFS(GamesGeeksBAHL!$J:$J,GamesGeeksBAHL!$C:$C,"KashifPersonal",GamesGeeksBAHL!$D:$D,"GoJins",GamesGeeksBAHL!$J:$J,"&lt;0")+SUMIFS(GamingUniverse!$J:$J,GamingUniverse!$C:$C,"KashifPersonal",GamingUniverse!$D:$D,"GoJins",GamingUniverse!$J:$J,"&lt;0")+SUMIFS(KashifMeezan!$J:$J,KashifMeezan!$C:$C,"KashifPersonal",KashifMeezan!$D:$D,"GoJins",KashifMeezan!$J:$J,"&lt;0")+SUMIFS(SaadMeezan!$J:$J,SaadMeezan!$C:$C,"KashifPersonal",SaadMeezan!$D:$D,"GoJins",SaadMeezan!$J:$J,"&lt;0")+SUMIFS(GameHippoMeezan!$J:$J,GameHippoMeezan!$C:$C,"KashifPersonal",GameHippoMeezan!$D:$D,"GoJins",GameHippoMeezan!$J:$J,"&lt;0")+SUMIFS(AbdullahMeezan!$J:$J,AbdullahMeezan!$C:$C,"KashifPersonal",AbdullahMeezan!$D:$D,"GoJins",AbdullahMeezan!$J:$J,"&lt;0")+SUMIFS(GameSol!$J:$J,GameSol!$C:$C,"KashifPersonal",GameSol!$D:$D,"GoJins",GameSol!$J:$J,"&lt;0")+SUMIFS(CipherWaveWise!$J:$J,CipherWaveWise!$C:$C,"KashifPersonal",CipherWaveWise!$D:$D,"GoJins",CipherWaveWise!$J:$J,"&lt;0")+SUMIFS(AstroVerse!$J:$J,AstroVerse!$C:$C,"KashifPersonal",AstroVerse!$D:$D,"GoJins",AstroVerse!$J:$J,"&lt;0"))</f>
        <v>0</v>
      </c>
      <c r="E3" s="1">
        <f>-(SUMIFS(MinorBugsRetention!$J:$J,MinorBugsRetention!$C:$C,"KashifPersonal",MinorBugsRetention!$D:$D,"BuggiesKids",MinorBugsRetention!$J:$J,"&lt;0")+SUMIFS(MintCodeRetention!$J:$J,MintCodeRetention!$C:$C,"KashifPersonal",MintCodeRetention!$D:$D,"BuggiesKids",MintCodeRetention!$J:$J,"&lt;0")+SUMIFS(AlphaRaysFlagStar!$J:$J,AlphaRaysFlagStar!$C:$C,"KashifPersonal",AlphaRaysFlagStar!$D:$D,"BuggiesKids",AlphaRaysFlagStar!$J:$J,"&lt;0")+SUMIFS(GloriousWise!$J:$J,GloriousWise!$C:$C,"KashifPersonal",GloriousWise!$D:$D,"BuggiesKids",GloriousWise!$J:$J,"&lt;0")+SUMIFS(Counter!$J:$J,Counter!$C:$C,"KashifPersonal",Counter!$D:$D,"BuggiesKids",Counter!$J:$J,"&lt;0")+SUMIFS(MinorBugsBAHLCurrent!$J:$J,MinorBugsBAHLCurrent!$C:$C,"KashifPersonal",MinorBugsBAHLCurrent!$D:$D,"BuggiesKids",MinorBugsBAHLCurrent!$J:$J,"&lt;0")+SUMIFS(MinorBugsBAHLSaving!$J:$J,MinorBugsBAHLSaving!$C:$C,"KashifPersonal",MinorBugsBAHLSaving!$D:$D,"BuggiesKids",MinorBugsBAHLSaving!$J:$J,"&lt;0")+SUMIFS(MinorBugsMeezanCurrent!$J:$J,MinorBugsMeezanCurrent!$C:$C,"KashifPersonal",MinorBugsMeezanCurrent!$D:$D,"BuggiesKids",MinorBugsMeezanCurrent!$J:$J,"&lt;0")+SUMIFS(MintCodeCurrent!$J:$J,MintCodeCurrent!$C:$C,"KashifPersonal",MintCodeCurrent!$D:$D,"BuggiesKids",MintCodeCurrent!$J:$J,"&lt;0")+SUMIFS(GamesGeeksBAHL!$J:$J,GamesGeeksBAHL!$C:$C,"KashifPersonal",GamesGeeksBAHL!$D:$D,"BuggiesKids",GamesGeeksBAHL!$J:$J,"&lt;0")+SUMIFS(GamingUniverse!$J:$J,GamingUniverse!$C:$C,"KashifPersonal",GamingUniverse!$D:$D,"BuggiesKids",GamingUniverse!$J:$J,"&lt;0")+SUMIFS(KashifMeezan!$J:$J,KashifMeezan!$C:$C,"KashifPersonal",KashifMeezan!$D:$D,"BuggiesKids",KashifMeezan!$J:$J,"&lt;0")+SUMIFS(SaadMeezan!$J:$J,SaadMeezan!$C:$C,"KashifPersonal",SaadMeezan!$D:$D,"BuggiesKids",SaadMeezan!$J:$J,"&lt;0")+SUMIFS(GameHippoMeezan!$J:$J,GameHippoMeezan!$C:$C,"KashifPersonal",GameHippoMeezan!$D:$D,"BuggiesKids",GameHippoMeezan!$J:$J,"&lt;0")+SUMIFS(AbdullahMeezan!$J:$J,AbdullahMeezan!$C:$C,"KashifPersonal",AbdullahMeezan!$D:$D,"BuggiesKids",AbdullahMeezan!$J:$J,"&lt;0")+SUMIFS(GameSol!$J:$J,GameSol!$C:$C,"KashifPersonal",GameSol!$D:$D,"BuggiesKids",GameSol!$J:$J,"&lt;0")+SUMIFS(CipherWaveWise!$J:$J,CipherWaveWise!$C:$C,"KashifPersonal",CipherWaveWise!$D:$D,"BuggiesKids",CipherWaveWise!$J:$J,"&lt;0")+SUMIFS(AstroVerse!$J:$J,AstroVerse!$C:$C,"KashifPersonal",AstroVerse!$D:$D,"BuggiesKids",AstroVerse!$J:$J,"&lt;0"))</f>
        <v>0</v>
      </c>
      <c r="F3" s="1">
        <f>-(SUMIFS(MinorBugsRetention!$J:$J,MinorBugsRetention!$C:$C,"KashifPersonal",MinorBugsRetention!$D:$D,"GameHippo",MinorBugsRetention!$J:$J,"&lt;0")+SUMIFS(MintCodeRetention!$J:$J,MintCodeRetention!$C:$C,"KashifPersonal",MintCodeRetention!$D:$D,"GameHippo",MintCodeRetention!$J:$J,"&lt;0")+SUMIFS(AlphaRaysFlagStar!$J:$J,AlphaRaysFlagStar!$C:$C,"KashifPersonal",AlphaRaysFlagStar!$D:$D,"GameHippo",AlphaRaysFlagStar!$J:$J,"&lt;0")+SUMIFS(GloriousWise!$J:$J,GloriousWise!$C:$C,"KashifPersonal",GloriousWise!$D:$D,"GameHippo",GloriousWise!$J:$J,"&lt;0")+SUMIFS(Counter!$J:$J,Counter!$C:$C,"KashifPersonal",Counter!$D:$D,"GameHippo",Counter!$J:$J,"&lt;0")+SUMIFS(MinorBugsBAHLCurrent!$J:$J,MinorBugsBAHLCurrent!$C:$C,"KashifPersonal",MinorBugsBAHLCurrent!$D:$D,"GameHippo",MinorBugsBAHLCurrent!$J:$J,"&lt;0")+SUMIFS(MinorBugsBAHLSaving!$J:$J,MinorBugsBAHLSaving!$C:$C,"KashifPersonal",MinorBugsBAHLSaving!$D:$D,"GameHippo",MinorBugsBAHLSaving!$J:$J,"&lt;0")+SUMIFS(MinorBugsMeezanCurrent!$J:$J,MinorBugsMeezanCurrent!$C:$C,"KashifPersonal",MinorBugsMeezanCurrent!$D:$D,"GameHippo",MinorBugsMeezanCurrent!$J:$J,"&lt;0")+SUMIFS(MintCodeCurrent!$J:$J,MintCodeCurrent!$C:$C,"KashifPersonal",MintCodeCurrent!$D:$D,"GameHippo",MintCodeCurrent!$J:$J,"&lt;0")+SUMIFS(GamesGeeksBAHL!$J:$J,GamesGeeksBAHL!$C:$C,"KashifPersonal",GamesGeeksBAHL!$D:$D,"GameHippo",GamesGeeksBAHL!$J:$J,"&lt;0")+SUMIFS(GamingUniverse!$J:$J,GamingUniverse!$C:$C,"KashifPersonal",GamingUniverse!$D:$D,"GameHippo",GamingUniverse!$J:$J,"&lt;0")+SUMIFS(KashifMeezan!$J:$J,KashifMeezan!$C:$C,"KashifPersonal",KashifMeezan!$D:$D,"GameHippo",KashifMeezan!$J:$J,"&lt;0")+SUMIFS(SaadMeezan!$J:$J,SaadMeezan!$C:$C,"KashifPersonal",SaadMeezan!$D:$D,"GameHippo",SaadMeezan!$J:$J,"&lt;0")+SUMIFS(GameHippoMeezan!$J:$J,GameHippoMeezan!$C:$C,"KashifPersonal",GameHippoMeezan!$D:$D,"GameHippo",GameHippoMeezan!$J:$J,"&lt;0")+SUMIFS(AbdullahMeezan!$J:$J,AbdullahMeezan!$C:$C,"KashifPersonal",AbdullahMeezan!$D:$D,"GameHippo",AbdullahMeezan!$J:$J,"&lt;0")+SUMIFS(GameSol!$J:$J,GameSol!$C:$C,"KashifPersonal",GameSol!$D:$D,"GameHippo",GameSol!$J:$J,"&lt;0")+SUMIFS(CipherWaveWise!$J:$J,CipherWaveWise!$C:$C,"KashifPersonal",CipherWaveWise!$D:$D,"GameHippo",CipherWaveWise!$J:$J,"&lt;0")+SUMIFS(AstroVerse!$J:$J,AstroVerse!$C:$C,"KashifPersonal",AstroVerse!$D:$D,"GameHippo",AstroVerse!$J:$J,"&lt;0"))</f>
        <v>0</v>
      </c>
      <c r="G3" s="1">
        <f>-(SUMIFS(MinorBugsRetention!$J:$J,MinorBugsRetention!$C:$C,"KashifPersonal",MinorBugsRetention!$D:$D,"Frentech",MinorBugsRetention!$J:$J,"&lt;0")+SUMIFS(MintCodeRetention!$J:$J,MintCodeRetention!$C:$C,"KashifPersonal",MintCodeRetention!$D:$D,"Frentech",MintCodeRetention!$J:$J,"&lt;0")+SUMIFS(AlphaRaysFlagStar!$J:$J,AlphaRaysFlagStar!$C:$C,"KashifPersonal",AlphaRaysFlagStar!$D:$D,"Frentech",AlphaRaysFlagStar!$J:$J,"&lt;0")+SUMIFS(GloriousWise!$J:$J,GloriousWise!$C:$C,"KashifPersonal",GloriousWise!$D:$D,"Frentech",GloriousWise!$J:$J,"&lt;0")+SUMIFS(Counter!$J:$J,Counter!$C:$C,"KashifPersonal",Counter!$D:$D,"Frentech",Counter!$J:$J,"&lt;0")+SUMIFS(MinorBugsBAHLCurrent!$J:$J,MinorBugsBAHLCurrent!$C:$C,"KashifPersonal",MinorBugsBAHLCurrent!$D:$D,"Frentech",MinorBugsBAHLCurrent!$J:$J,"&lt;0")+SUMIFS(MinorBugsBAHLSaving!$J:$J,MinorBugsBAHLSaving!$C:$C,"KashifPersonal",MinorBugsBAHLSaving!$D:$D,"Frentech",MinorBugsBAHLSaving!$J:$J,"&lt;0")+SUMIFS(MinorBugsMeezanCurrent!$J:$J,MinorBugsMeezanCurrent!$C:$C,"KashifPersonal",MinorBugsMeezanCurrent!$D:$D,"Frentech",MinorBugsMeezanCurrent!$J:$J,"&lt;0")+SUMIFS(MintCodeCurrent!$J:$J,MintCodeCurrent!$C:$C,"KashifPersonal",MintCodeCurrent!$D:$D,"Frentech",MintCodeCurrent!$J:$J,"&lt;0")+SUMIFS(GamesGeeksBAHL!$J:$J,GamesGeeksBAHL!$C:$C,"KashifPersonal",GamesGeeksBAHL!$D:$D,"Frentech",GamesGeeksBAHL!$J:$J,"&lt;0")+SUMIFS(GamingUniverse!$J:$J,GamingUniverse!$C:$C,"KashifPersonal",GamingUniverse!$D:$D,"Frentech",GamingUniverse!$J:$J,"&lt;0")+SUMIFS(KashifMeezan!$J:$J,KashifMeezan!$C:$C,"KashifPersonal",KashifMeezan!$D:$D,"Frentech",KashifMeezan!$J:$J,"&lt;0")+SUMIFS(SaadMeezan!$J:$J,SaadMeezan!$C:$C,"KashifPersonal",SaadMeezan!$D:$D,"Frentech",SaadMeezan!$J:$J,"&lt;0")+SUMIFS(GameHippoMeezan!$J:$J,GameHippoMeezan!$C:$C,"KashifPersonal",GameHippoMeezan!$D:$D,"Frentech",GameHippoMeezan!$J:$J,"&lt;0")+SUMIFS(AbdullahMeezan!$J:$J,AbdullahMeezan!$C:$C,"KashifPersonal",AbdullahMeezan!$D:$D,"Frentech",AbdullahMeezan!$J:$J,"&lt;0")+SUMIFS(GameSol!$J:$J,GameSol!$C:$C,"KashifPersonal",GameSol!$D:$D,"Frentech",GameSol!$J:$J,"&lt;0")+SUMIFS(CipherWaveWise!$J:$J,CipherWaveWise!$C:$C,"KashifPersonal",CipherWaveWise!$D:$D,"Frentech",CipherWaveWise!$J:$J,"&lt;0")+SUMIFS(AstroVerse!$J:$J,AstroVerse!$C:$C,"KashifPersonal",AstroVerse!$D:$D,"Frentech",AstroVerse!$J:$J,"&lt;0"))</f>
        <v>0</v>
      </c>
      <c r="H3" s="1">
        <f>-(SUMIFS(MinorBugsRetention!$J:$J,MinorBugsRetention!$C:$C,"KashifPersonal",MinorBugsRetention!$D:$D,"DevBoat",MinorBugsRetention!$J:$J,"&lt;0")+SUMIFS(MintCodeRetention!$J:$J,MintCodeRetention!$C:$C,"KashifPersonal",MintCodeRetention!$D:$D,"DevBoat",MintCodeRetention!$J:$J,"&lt;0")+SUMIFS(AlphaRaysFlagStar!$J:$J,AlphaRaysFlagStar!$C:$C,"KashifPersonal",AlphaRaysFlagStar!$D:$D,"DevBoat",AlphaRaysFlagStar!$J:$J,"&lt;0")+SUMIFS(GloriousWise!$J:$J,GloriousWise!$C:$C,"KashifPersonal",GloriousWise!$D:$D,"DevBoat",GloriousWise!$J:$J,"&lt;0")+SUMIFS(Counter!$J:$J,Counter!$C:$C,"KashifPersonal",Counter!$D:$D,"DevBoat",Counter!$J:$J,"&lt;0")+SUMIFS(MinorBugsBAHLCurrent!$J:$J,MinorBugsBAHLCurrent!$C:$C,"KashifPersonal",MinorBugsBAHLCurrent!$D:$D,"DevBoat",MinorBugsBAHLCurrent!$J:$J,"&lt;0")+SUMIFS(MinorBugsBAHLSaving!$J:$J,MinorBugsBAHLSaving!$C:$C,"KashifPersonal",MinorBugsBAHLSaving!$D:$D,"DevBoat",MinorBugsBAHLSaving!$J:$J,"&lt;0")+SUMIFS(MinorBugsMeezanCurrent!$J:$J,MinorBugsMeezanCurrent!$C:$C,"KashifPersonal",MinorBugsMeezanCurrent!$D:$D,"DevBoat",MinorBugsMeezanCurrent!$J:$J,"&lt;0")+SUMIFS(MintCodeCurrent!$J:$J,MintCodeCurrent!$C:$C,"KashifPersonal",MintCodeCurrent!$D:$D,"DevBoat",MintCodeCurrent!$J:$J,"&lt;0")+SUMIFS(GamesGeeksBAHL!$J:$J,GamesGeeksBAHL!$C:$C,"KashifPersonal",GamesGeeksBAHL!$D:$D,"DevBoat",GamesGeeksBAHL!$J:$J,"&lt;0")+SUMIFS(GamingUniverse!$J:$J,GamingUniverse!$C:$C,"KashifPersonal",GamingUniverse!$D:$D,"DevBoat",GamingUniverse!$J:$J,"&lt;0")+SUMIFS(KashifMeezan!$J:$J,KashifMeezan!$C:$C,"KashifPersonal",KashifMeezan!$D:$D,"DevBoat",KashifMeezan!$J:$J,"&lt;0")+SUMIFS(SaadMeezan!$J:$J,SaadMeezan!$C:$C,"KashifPersonal",SaadMeezan!$D:$D,"DevBoat",SaadMeezan!$J:$J,"&lt;0")+SUMIFS(GameHippoMeezan!$J:$J,GameHippoMeezan!$C:$C,"KashifPersonal",GameHippoMeezan!$D:$D,"DevBoat",GameHippoMeezan!$J:$J,"&lt;0")+SUMIFS(AbdullahMeezan!$J:$J,AbdullahMeezan!$C:$C,"KashifPersonal",AbdullahMeezan!$D:$D,"DevBoat",AbdullahMeezan!$J:$J,"&lt;0")+SUMIFS(GameSol!$J:$J,GameSol!$C:$C,"KashifPersonal",GameSol!$D:$D,"DevBoat",GameSol!$J:$J,"&lt;0")+SUMIFS(CipherWaveWise!$J:$J,CipherWaveWise!$C:$C,"KashifPersonal",CipherWaveWise!$D:$D,"DevBoat",CipherWaveWise!$J:$J,"&lt;0")+SUMIFS(AstroVerse!$J:$J,AstroVerse!$C:$C,"KashifPersonal",AstroVerse!$D:$D,"DevBoat",AstroVerse!$J:$J,"&lt;0"))</f>
        <v>0</v>
      </c>
      <c r="I3" s="1">
        <f t="shared" si="0"/>
        <v>14250</v>
      </c>
    </row>
    <row r="4" spans="1:9">
      <c r="A4" t="s">
        <v>7</v>
      </c>
      <c r="B4" s="1">
        <f>-(SUMIFS(MinorBugsRetention!$J:$J,MinorBugsRetention!$C:$C,"NasirPersonal",MinorBugsRetention!$D:$D,"MinorBugs",MinorBugsRetention!$J:$J,"&lt;0")+SUMIFS(MintCodeRetention!$J:$J,MintCodeRetention!$C:$C,"NasirPersonal",MintCodeRetention!$D:$D,"MinorBugs",MintCodeRetention!$J:$J,"&lt;0")+SUMIFS(AlphaRaysFlagStar!$J:$J,AlphaRaysFlagStar!$C:$C,"NasirPersonal",AlphaRaysFlagStar!$D:$D,"MinorBugs",AlphaRaysFlagStar!$J:$J,"&lt;0")+SUMIFS(GloriousWise!$J:$J,GloriousWise!$C:$C,"NasirPersonal",GloriousWise!$D:$D,"MinorBugs",GloriousWise!$J:$J,"&lt;0")+SUMIFS(Counter!$J:$J,Counter!$C:$C,"NasirPersonal",Counter!$D:$D,"MinorBugs",Counter!$J:$J,"&lt;0")+SUMIFS(MinorBugsBAHLCurrent!$J:$J,MinorBugsBAHLCurrent!$C:$C,"NasirPersonal",MinorBugsBAHLCurrent!$D:$D,"MinorBugs",MinorBugsBAHLCurrent!$J:$J,"&lt;0")+SUMIFS(MinorBugsBAHLSaving!$J:$J,MinorBugsBAHLSaving!$C:$C,"NasirPersonal",MinorBugsBAHLSaving!$D:$D,"MinorBugs",MinorBugsBAHLSaving!$J:$J,"&lt;0")+SUMIFS(MinorBugsMeezanCurrent!$J:$J,MinorBugsMeezanCurrent!$C:$C,"NasirPersonal",MinorBugsMeezanCurrent!$D:$D,"MinorBugs",MinorBugsMeezanCurrent!$J:$J,"&lt;0")+SUMIFS(MintCodeCurrent!$J:$J,MintCodeCurrent!$C:$C,"NasirPersonal",MintCodeCurrent!$D:$D,"MinorBugs",MintCodeCurrent!$J:$J,"&lt;0")+SUMIFS(GamesGeeksBAHL!$J:$J,GamesGeeksBAHL!$C:$C,"NasirPersonal",GamesGeeksBAHL!$D:$D,"MinorBugs",GamesGeeksBAHL!$J:$J,"&lt;0")+SUMIFS(GamingUniverse!$J:$J,GamingUniverse!$C:$C,"NasirPersonal",GamingUniverse!$D:$D,"MinorBugs",GamingUniverse!$J:$J,"&lt;0")+SUMIFS(KashifMeezan!$J:$J,KashifMeezan!$C:$C,"NasirPersonal",KashifMeezan!$D:$D,"MinorBugs",KashifMeezan!$J:$J,"&lt;0")+SUMIFS(SaadMeezan!$J:$J,SaadMeezan!$C:$C,"NasirPersonal",SaadMeezan!$D:$D,"MinorBugs",SaadMeezan!$J:$J,"&lt;0")+SUMIFS(GameHippoMeezan!$J:$J,GameHippoMeezan!$C:$C,"NasirPersonal",GameHippoMeezan!$D:$D,"MinorBugs",GameHippoMeezan!$J:$J,"&lt;0")+SUMIFS(AbdullahMeezan!$J:$J,AbdullahMeezan!$C:$C,"NasirPersonal",AbdullahMeezan!$D:$D,"MinorBugs",AbdullahMeezan!$J:$J,"&lt;0")+SUMIFS(GameSol!$J:$J,GameSol!$C:$C,"NasirPersonal",GameSol!$D:$D,"MinorBugs",GameSol!$J:$J,"&lt;0")+SUMIFS(CipherWaveWise!$J:$J,CipherWaveWise!$C:$C,"NasirPersonal",CipherWaveWise!$D:$D,"MinorBugs",CipherWaveWise!$J:$J,"&lt;0")+SUMIFS(AstroVerse!$J:$J,AstroVerse!$C:$C,"NasirPersonal",AstroVerse!$D:$D,"MinorBugs",AstroVerse!$J:$J,"&lt;0"))</f>
        <v>12390</v>
      </c>
      <c r="C4" s="1">
        <f>-(SUMIFS(MinorBugsRetention!$J:$J,MinorBugsRetention!$C:$C,"NasirPersonal",MinorBugsRetention!$D:$D,"BraveJackals",MinorBugsRetention!$J:$J,"&lt;0")+SUMIFS(MintCodeRetention!$J:$J,MintCodeRetention!$C:$C,"NasirPersonal",MintCodeRetention!$D:$D,"BraveJackals",MintCodeRetention!$J:$J,"&lt;0")+SUMIFS(AlphaRaysFlagStar!$J:$J,AlphaRaysFlagStar!$C:$C,"NasirPersonal",AlphaRaysFlagStar!$D:$D,"BraveJackals",AlphaRaysFlagStar!$J:$J,"&lt;0")+SUMIFS(GloriousWise!$J:$J,GloriousWise!$C:$C,"NasirPersonal",GloriousWise!$D:$D,"BraveJackals",GloriousWise!$J:$J,"&lt;0")+SUMIFS(Counter!$J:$J,Counter!$C:$C,"NasirPersonal",Counter!$D:$D,"BraveJackals",Counter!$J:$J,"&lt;0")+SUMIFS(MinorBugsBAHLCurrent!$J:$J,MinorBugsBAHLCurrent!$C:$C,"NasirPersonal",MinorBugsBAHLCurrent!$D:$D,"BraveJackals",MinorBugsBAHLCurrent!$J:$J,"&lt;0")+SUMIFS(MinorBugsBAHLSaving!$J:$J,MinorBugsBAHLSaving!$C:$C,"NasirPersonal",MinorBugsBAHLSaving!$D:$D,"BraveJackals",MinorBugsBAHLSaving!$J:$J,"&lt;0")+SUMIFS(MinorBugsMeezanCurrent!$J:$J,MinorBugsMeezanCurrent!$C:$C,"NasirPersonal",MinorBugsMeezanCurrent!$D:$D,"BraveJackals",MinorBugsMeezanCurrent!$J:$J,"&lt;0")+SUMIFS(MintCodeCurrent!$J:$J,MintCodeCurrent!$C:$C,"NasirPersonal",MintCodeCurrent!$D:$D,"BraveJackals",MintCodeCurrent!$J:$J,"&lt;0")+SUMIFS(GamesGeeksBAHL!$J:$J,GamesGeeksBAHL!$C:$C,"NasirPersonal",GamesGeeksBAHL!$D:$D,"BraveJackals",GamesGeeksBAHL!$J:$J,"&lt;0")+SUMIFS(GamingUniverse!$J:$J,GamingUniverse!$C:$C,"NasirPersonal",GamingUniverse!$D:$D,"BraveJackals",GamingUniverse!$J:$J,"&lt;0")+SUMIFS(KashifMeezan!$J:$J,KashifMeezan!$C:$C,"NasirPersonal",KashifMeezan!$D:$D,"BraveJackals",KashifMeezan!$J:$J,"&lt;0")+SUMIFS(SaadMeezan!$J:$J,SaadMeezan!$C:$C,"NasirPersonal",SaadMeezan!$D:$D,"BraveJackals",SaadMeezan!$J:$J,"&lt;0")+SUMIFS(GameHippoMeezan!$J:$J,GameHippoMeezan!$C:$C,"NasirPersonal",GameHippoMeezan!$D:$D,"BraveJackals",GameHippoMeezan!$J:$J,"&lt;0")+SUMIFS(AbdullahMeezan!$J:$J,AbdullahMeezan!$C:$C,"NasirPersonal",AbdullahMeezan!$D:$D,"BraveJackals",AbdullahMeezan!$J:$J,"&lt;0")+SUMIFS(GameSol!$J:$J,GameSol!$C:$C,"NasirPersonal",GameSol!$D:$D,"BraveJackals",GameSol!$J:$J,"&lt;0")+SUMIFS(CipherWaveWise!$J:$J,CipherWaveWise!$C:$C,"NasirPersonal",CipherWaveWise!$D:$D,"BraveJackals",CipherWaveWise!$J:$J,"&lt;0")+SUMIFS(AstroVerse!$J:$J,AstroVerse!$C:$C,"NasirPersonal",AstroVerse!$D:$D,"BraveJackals",AstroVerse!$J:$J,"&lt;0"))</f>
        <v>0</v>
      </c>
      <c r="D4" s="1">
        <f>-(SUMIFS(MinorBugsRetention!$J:$J,MinorBugsRetention!$C:$C,"NasirPersonal",MinorBugsRetention!$D:$D,"GoJins",MinorBugsRetention!$J:$J,"&lt;0")+SUMIFS(MintCodeRetention!$J:$J,MintCodeRetention!$C:$C,"NasirPersonal",MintCodeRetention!$D:$D,"GoJins",MintCodeRetention!$J:$J,"&lt;0")+SUMIFS(AlphaRaysFlagStar!$J:$J,AlphaRaysFlagStar!$C:$C,"NasirPersonal",AlphaRaysFlagStar!$D:$D,"GoJins",AlphaRaysFlagStar!$J:$J,"&lt;0")+SUMIFS(GloriousWise!$J:$J,GloriousWise!$C:$C,"NasirPersonal",GloriousWise!$D:$D,"GoJins",GloriousWise!$J:$J,"&lt;0")+SUMIFS(Counter!$J:$J,Counter!$C:$C,"NasirPersonal",Counter!$D:$D,"GoJins",Counter!$J:$J,"&lt;0")+SUMIFS(MinorBugsBAHLCurrent!$J:$J,MinorBugsBAHLCurrent!$C:$C,"NasirPersonal",MinorBugsBAHLCurrent!$D:$D,"GoJins",MinorBugsBAHLCurrent!$J:$J,"&lt;0")+SUMIFS(MinorBugsBAHLSaving!$J:$J,MinorBugsBAHLSaving!$C:$C,"NasirPersonal",MinorBugsBAHLSaving!$D:$D,"GoJins",MinorBugsBAHLSaving!$J:$J,"&lt;0")+SUMIFS(MinorBugsMeezanCurrent!$J:$J,MinorBugsMeezanCurrent!$C:$C,"NasirPersonal",MinorBugsMeezanCurrent!$D:$D,"GoJins",MinorBugsMeezanCurrent!$J:$J,"&lt;0")+SUMIFS(MintCodeCurrent!$J:$J,MintCodeCurrent!$C:$C,"NasirPersonal",MintCodeCurrent!$D:$D,"GoJins",MintCodeCurrent!$J:$J,"&lt;0")+SUMIFS(GamesGeeksBAHL!$J:$J,GamesGeeksBAHL!$C:$C,"NasirPersonal",GamesGeeksBAHL!$D:$D,"GoJins",GamesGeeksBAHL!$J:$J,"&lt;0")+SUMIFS(GamingUniverse!$J:$J,GamingUniverse!$C:$C,"NasirPersonal",GamingUniverse!$D:$D,"GoJins",GamingUniverse!$J:$J,"&lt;0")+SUMIFS(KashifMeezan!$J:$J,KashifMeezan!$C:$C,"NasirPersonal",KashifMeezan!$D:$D,"GoJins",KashifMeezan!$J:$J,"&lt;0")+SUMIFS(SaadMeezan!$J:$J,SaadMeezan!$C:$C,"NasirPersonal",SaadMeezan!$D:$D,"GoJins",SaadMeezan!$J:$J,"&lt;0")+SUMIFS(GameHippoMeezan!$J:$J,GameHippoMeezan!$C:$C,"NasirPersonal",GameHippoMeezan!$D:$D,"GoJins",GameHippoMeezan!$J:$J,"&lt;0")+SUMIFS(AbdullahMeezan!$J:$J,AbdullahMeezan!$C:$C,"NasirPersonal",AbdullahMeezan!$D:$D,"GoJins",AbdullahMeezan!$J:$J,"&lt;0")+SUMIFS(GameSol!$J:$J,GameSol!$C:$C,"NasirPersonal",GameSol!$D:$D,"GoJins",GameSol!$J:$J,"&lt;0")+SUMIFS(CipherWaveWise!$J:$J,CipherWaveWise!$C:$C,"NasirPersonal",CipherWaveWise!$D:$D,"GoJins",CipherWaveWise!$J:$J,"&lt;0")+SUMIFS(AstroVerse!$J:$J,AstroVerse!$C:$C,"NasirPersonal",AstroVerse!$D:$D,"GoJins",AstroVerse!$J:$J,"&lt;0"))</f>
        <v>0</v>
      </c>
      <c r="E4" s="1">
        <f>-(SUMIFS(MinorBugsRetention!$J:$J,MinorBugsRetention!$C:$C,"NasirPersonal",MinorBugsRetention!$D:$D,"BuggiesKids",MinorBugsRetention!$J:$J,"&lt;0")+SUMIFS(MintCodeRetention!$J:$J,MintCodeRetention!$C:$C,"NasirPersonal",MintCodeRetention!$D:$D,"BuggiesKids",MintCodeRetention!$J:$J,"&lt;0")+SUMIFS(AlphaRaysFlagStar!$J:$J,AlphaRaysFlagStar!$C:$C,"NasirPersonal",AlphaRaysFlagStar!$D:$D,"BuggiesKids",AlphaRaysFlagStar!$J:$J,"&lt;0")+SUMIFS(GloriousWise!$J:$J,GloriousWise!$C:$C,"NasirPersonal",GloriousWise!$D:$D,"BuggiesKids",GloriousWise!$J:$J,"&lt;0")+SUMIFS(Counter!$J:$J,Counter!$C:$C,"NasirPersonal",Counter!$D:$D,"BuggiesKids",Counter!$J:$J,"&lt;0")+SUMIFS(MinorBugsBAHLCurrent!$J:$J,MinorBugsBAHLCurrent!$C:$C,"NasirPersonal",MinorBugsBAHLCurrent!$D:$D,"BuggiesKids",MinorBugsBAHLCurrent!$J:$J,"&lt;0")+SUMIFS(MinorBugsBAHLSaving!$J:$J,MinorBugsBAHLSaving!$C:$C,"NasirPersonal",MinorBugsBAHLSaving!$D:$D,"BuggiesKids",MinorBugsBAHLSaving!$J:$J,"&lt;0")+SUMIFS(MinorBugsMeezanCurrent!$J:$J,MinorBugsMeezanCurrent!$C:$C,"NasirPersonal",MinorBugsMeezanCurrent!$D:$D,"BuggiesKids",MinorBugsMeezanCurrent!$J:$J,"&lt;0")+SUMIFS(MintCodeCurrent!$J:$J,MintCodeCurrent!$C:$C,"NasirPersonal",MintCodeCurrent!$D:$D,"BuggiesKids",MintCodeCurrent!$J:$J,"&lt;0")+SUMIFS(GamesGeeksBAHL!$J:$J,GamesGeeksBAHL!$C:$C,"NasirPersonal",GamesGeeksBAHL!$D:$D,"BuggiesKids",GamesGeeksBAHL!$J:$J,"&lt;0")+SUMIFS(GamingUniverse!$J:$J,GamingUniverse!$C:$C,"NasirPersonal",GamingUniverse!$D:$D,"BuggiesKids",GamingUniverse!$J:$J,"&lt;0")+SUMIFS(KashifMeezan!$J:$J,KashifMeezan!$C:$C,"NasirPersonal",KashifMeezan!$D:$D,"BuggiesKids",KashifMeezan!$J:$J,"&lt;0")+SUMIFS(SaadMeezan!$J:$J,SaadMeezan!$C:$C,"NasirPersonal",SaadMeezan!$D:$D,"BuggiesKids",SaadMeezan!$J:$J,"&lt;0")+SUMIFS(GameHippoMeezan!$J:$J,GameHippoMeezan!$C:$C,"NasirPersonal",GameHippoMeezan!$D:$D,"BuggiesKids",GameHippoMeezan!$J:$J,"&lt;0")+SUMIFS(AbdullahMeezan!$J:$J,AbdullahMeezan!$C:$C,"NasirPersonal",AbdullahMeezan!$D:$D,"BuggiesKids",AbdullahMeezan!$J:$J,"&lt;0")+SUMIFS(GameSol!$J:$J,GameSol!$C:$C,"NasirPersonal",GameSol!$D:$D,"BuggiesKids",GameSol!$J:$J,"&lt;0")+SUMIFS(CipherWaveWise!$J:$J,CipherWaveWise!$C:$C,"NasirPersonal",CipherWaveWise!$D:$D,"BuggiesKids",CipherWaveWise!$J:$J,"&lt;0")+SUMIFS(AstroVerse!$J:$J,AstroVerse!$C:$C,"NasirPersonal",AstroVerse!$D:$D,"BuggiesKids",AstroVerse!$J:$J,"&lt;0"))</f>
        <v>0</v>
      </c>
      <c r="F4" s="1">
        <f>-(SUMIFS(MinorBugsRetention!$J:$J,MinorBugsRetention!$C:$C,"NasirPersonal",MinorBugsRetention!$D:$D,"GameHippo",MinorBugsRetention!$J:$J,"&lt;0")+SUMIFS(MintCodeRetention!$J:$J,MintCodeRetention!$C:$C,"NasirPersonal",MintCodeRetention!$D:$D,"GameHippo",MintCodeRetention!$J:$J,"&lt;0")+SUMIFS(AlphaRaysFlagStar!$J:$J,AlphaRaysFlagStar!$C:$C,"NasirPersonal",AlphaRaysFlagStar!$D:$D,"GameHippo",AlphaRaysFlagStar!$J:$J,"&lt;0")+SUMIFS(GloriousWise!$J:$J,GloriousWise!$C:$C,"NasirPersonal",GloriousWise!$D:$D,"GameHippo",GloriousWise!$J:$J,"&lt;0")+SUMIFS(Counter!$J:$J,Counter!$C:$C,"NasirPersonal",Counter!$D:$D,"GameHippo",Counter!$J:$J,"&lt;0")+SUMIFS(MinorBugsBAHLCurrent!$J:$J,MinorBugsBAHLCurrent!$C:$C,"NasirPersonal",MinorBugsBAHLCurrent!$D:$D,"GameHippo",MinorBugsBAHLCurrent!$J:$J,"&lt;0")+SUMIFS(MinorBugsBAHLSaving!$J:$J,MinorBugsBAHLSaving!$C:$C,"NasirPersonal",MinorBugsBAHLSaving!$D:$D,"GameHippo",MinorBugsBAHLSaving!$J:$J,"&lt;0")+SUMIFS(MinorBugsMeezanCurrent!$J:$J,MinorBugsMeezanCurrent!$C:$C,"NasirPersonal",MinorBugsMeezanCurrent!$D:$D,"GameHippo",MinorBugsMeezanCurrent!$J:$J,"&lt;0")+SUMIFS(MintCodeCurrent!$J:$J,MintCodeCurrent!$C:$C,"NasirPersonal",MintCodeCurrent!$D:$D,"GameHippo",MintCodeCurrent!$J:$J,"&lt;0")+SUMIFS(GamesGeeksBAHL!$J:$J,GamesGeeksBAHL!$C:$C,"NasirPersonal",GamesGeeksBAHL!$D:$D,"GameHippo",GamesGeeksBAHL!$J:$J,"&lt;0")+SUMIFS(GamingUniverse!$J:$J,GamingUniverse!$C:$C,"NasirPersonal",GamingUniverse!$D:$D,"GameHippo",GamingUniverse!$J:$J,"&lt;0")+SUMIFS(KashifMeezan!$J:$J,KashifMeezan!$C:$C,"NasirPersonal",KashifMeezan!$D:$D,"GameHippo",KashifMeezan!$J:$J,"&lt;0")+SUMIFS(SaadMeezan!$J:$J,SaadMeezan!$C:$C,"NasirPersonal",SaadMeezan!$D:$D,"GameHippo",SaadMeezan!$J:$J,"&lt;0")+SUMIFS(GameHippoMeezan!$J:$J,GameHippoMeezan!$C:$C,"NasirPersonal",GameHippoMeezan!$D:$D,"GameHippo",GameHippoMeezan!$J:$J,"&lt;0")+SUMIFS(AbdullahMeezan!$J:$J,AbdullahMeezan!$C:$C,"NasirPersonal",AbdullahMeezan!$D:$D,"GameHippo",AbdullahMeezan!$J:$J,"&lt;0")+SUMIFS(GameSol!$J:$J,GameSol!$C:$C,"NasirPersonal",GameSol!$D:$D,"GameHippo",GameSol!$J:$J,"&lt;0")+SUMIFS(CipherWaveWise!$J:$J,CipherWaveWise!$C:$C,"NasirPersonal",CipherWaveWise!$D:$D,"GameHippo",CipherWaveWise!$J:$J,"&lt;0")+SUMIFS(AstroVerse!$J:$J,AstroVerse!$C:$C,"NasirPersonal",AstroVerse!$D:$D,"GameHippo",AstroVerse!$J:$J,"&lt;0"))</f>
        <v>0</v>
      </c>
      <c r="G4" s="1">
        <f>-(SUMIFS(MinorBugsRetention!$J:$J,MinorBugsRetention!$C:$C,"NasirPersonal",MinorBugsRetention!$D:$D,"Frentech",MinorBugsRetention!$J:$J,"&lt;0")+SUMIFS(MintCodeRetention!$J:$J,MintCodeRetention!$C:$C,"NasirPersonal",MintCodeRetention!$D:$D,"Frentech",MintCodeRetention!$J:$J,"&lt;0")+SUMIFS(AlphaRaysFlagStar!$J:$J,AlphaRaysFlagStar!$C:$C,"NasirPersonal",AlphaRaysFlagStar!$D:$D,"Frentech",AlphaRaysFlagStar!$J:$J,"&lt;0")+SUMIFS(GloriousWise!$J:$J,GloriousWise!$C:$C,"NasirPersonal",GloriousWise!$D:$D,"Frentech",GloriousWise!$J:$J,"&lt;0")+SUMIFS(Counter!$J:$J,Counter!$C:$C,"NasirPersonal",Counter!$D:$D,"Frentech",Counter!$J:$J,"&lt;0")+SUMIFS(MinorBugsBAHLCurrent!$J:$J,MinorBugsBAHLCurrent!$C:$C,"NasirPersonal",MinorBugsBAHLCurrent!$D:$D,"Frentech",MinorBugsBAHLCurrent!$J:$J,"&lt;0")+SUMIFS(MinorBugsBAHLSaving!$J:$J,MinorBugsBAHLSaving!$C:$C,"NasirPersonal",MinorBugsBAHLSaving!$D:$D,"Frentech",MinorBugsBAHLSaving!$J:$J,"&lt;0")+SUMIFS(MinorBugsMeezanCurrent!$J:$J,MinorBugsMeezanCurrent!$C:$C,"NasirPersonal",MinorBugsMeezanCurrent!$D:$D,"Frentech",MinorBugsMeezanCurrent!$J:$J,"&lt;0")+SUMIFS(MintCodeCurrent!$J:$J,MintCodeCurrent!$C:$C,"NasirPersonal",MintCodeCurrent!$D:$D,"Frentech",MintCodeCurrent!$J:$J,"&lt;0")+SUMIFS(GamesGeeksBAHL!$J:$J,GamesGeeksBAHL!$C:$C,"NasirPersonal",GamesGeeksBAHL!$D:$D,"Frentech",GamesGeeksBAHL!$J:$J,"&lt;0")+SUMIFS(GamingUniverse!$J:$J,GamingUniverse!$C:$C,"NasirPersonal",GamingUniverse!$D:$D,"Frentech",GamingUniverse!$J:$J,"&lt;0")+SUMIFS(KashifMeezan!$J:$J,KashifMeezan!$C:$C,"NasirPersonal",KashifMeezan!$D:$D,"Frentech",KashifMeezan!$J:$J,"&lt;0")+SUMIFS(SaadMeezan!$J:$J,SaadMeezan!$C:$C,"NasirPersonal",SaadMeezan!$D:$D,"Frentech",SaadMeezan!$J:$J,"&lt;0")+SUMIFS(GameHippoMeezan!$J:$J,GameHippoMeezan!$C:$C,"NasirPersonal",GameHippoMeezan!$D:$D,"Frentech",GameHippoMeezan!$J:$J,"&lt;0")+SUMIFS(AbdullahMeezan!$J:$J,AbdullahMeezan!$C:$C,"NasirPersonal",AbdullahMeezan!$D:$D,"Frentech",AbdullahMeezan!$J:$J,"&lt;0")+SUMIFS(GameSol!$J:$J,GameSol!$C:$C,"NasirPersonal",GameSol!$D:$D,"Frentech",GameSol!$J:$J,"&lt;0")+SUMIFS(CipherWaveWise!$J:$J,CipherWaveWise!$C:$C,"NasirPersonal",CipherWaveWise!$D:$D,"Frentech",CipherWaveWise!$J:$J,"&lt;0")+SUMIFS(AstroVerse!$J:$J,AstroVerse!$C:$C,"NasirPersonal",AstroVerse!$D:$D,"Frentech",AstroVerse!$J:$J,"&lt;0"))</f>
        <v>0</v>
      </c>
      <c r="H4" s="1">
        <f>-(SUMIFS(MinorBugsRetention!$J:$J,MinorBugsRetention!$C:$C,"NasirPersonal",MinorBugsRetention!$D:$D,"DevBoat",MinorBugsRetention!$J:$J,"&lt;0")+SUMIFS(MintCodeRetention!$J:$J,MintCodeRetention!$C:$C,"NasirPersonal",MintCodeRetention!$D:$D,"DevBoat",MintCodeRetention!$J:$J,"&lt;0")+SUMIFS(AlphaRaysFlagStar!$J:$J,AlphaRaysFlagStar!$C:$C,"NasirPersonal",AlphaRaysFlagStar!$D:$D,"DevBoat",AlphaRaysFlagStar!$J:$J,"&lt;0")+SUMIFS(GloriousWise!$J:$J,GloriousWise!$C:$C,"NasirPersonal",GloriousWise!$D:$D,"DevBoat",GloriousWise!$J:$J,"&lt;0")+SUMIFS(Counter!$J:$J,Counter!$C:$C,"NasirPersonal",Counter!$D:$D,"DevBoat",Counter!$J:$J,"&lt;0")+SUMIFS(MinorBugsBAHLCurrent!$J:$J,MinorBugsBAHLCurrent!$C:$C,"NasirPersonal",MinorBugsBAHLCurrent!$D:$D,"DevBoat",MinorBugsBAHLCurrent!$J:$J,"&lt;0")+SUMIFS(MinorBugsBAHLSaving!$J:$J,MinorBugsBAHLSaving!$C:$C,"NasirPersonal",MinorBugsBAHLSaving!$D:$D,"DevBoat",MinorBugsBAHLSaving!$J:$J,"&lt;0")+SUMIFS(MinorBugsMeezanCurrent!$J:$J,MinorBugsMeezanCurrent!$C:$C,"NasirPersonal",MinorBugsMeezanCurrent!$D:$D,"DevBoat",MinorBugsMeezanCurrent!$J:$J,"&lt;0")+SUMIFS(MintCodeCurrent!$J:$J,MintCodeCurrent!$C:$C,"NasirPersonal",MintCodeCurrent!$D:$D,"DevBoat",MintCodeCurrent!$J:$J,"&lt;0")+SUMIFS(GamesGeeksBAHL!$J:$J,GamesGeeksBAHL!$C:$C,"NasirPersonal",GamesGeeksBAHL!$D:$D,"DevBoat",GamesGeeksBAHL!$J:$J,"&lt;0")+SUMIFS(GamingUniverse!$J:$J,GamingUniverse!$C:$C,"NasirPersonal",GamingUniverse!$D:$D,"DevBoat",GamingUniverse!$J:$J,"&lt;0")+SUMIFS(KashifMeezan!$J:$J,KashifMeezan!$C:$C,"NasirPersonal",KashifMeezan!$D:$D,"DevBoat",KashifMeezan!$J:$J,"&lt;0")+SUMIFS(SaadMeezan!$J:$J,SaadMeezan!$C:$C,"NasirPersonal",SaadMeezan!$D:$D,"DevBoat",SaadMeezan!$J:$J,"&lt;0")+SUMIFS(GameHippoMeezan!$J:$J,GameHippoMeezan!$C:$C,"NasirPersonal",GameHippoMeezan!$D:$D,"DevBoat",GameHippoMeezan!$J:$J,"&lt;0")+SUMIFS(AbdullahMeezan!$J:$J,AbdullahMeezan!$C:$C,"NasirPersonal",AbdullahMeezan!$D:$D,"DevBoat",AbdullahMeezan!$J:$J,"&lt;0")+SUMIFS(GameSol!$J:$J,GameSol!$C:$C,"NasirPersonal",GameSol!$D:$D,"DevBoat",GameSol!$J:$J,"&lt;0")+SUMIFS(CipherWaveWise!$J:$J,CipherWaveWise!$C:$C,"NasirPersonal",CipherWaveWise!$D:$D,"DevBoat",CipherWaveWise!$J:$J,"&lt;0")+SUMIFS(AstroVerse!$J:$J,AstroVerse!$C:$C,"NasirPersonal",AstroVerse!$D:$D,"DevBoat",AstroVerse!$J:$J,"&lt;0"))</f>
        <v>0</v>
      </c>
      <c r="I4" s="1">
        <f t="shared" si="0"/>
        <v>12390</v>
      </c>
    </row>
    <row r="5" spans="1:9">
      <c r="A5" t="s">
        <v>8</v>
      </c>
      <c r="B5" s="1">
        <f>-(SUMIFS(MinorBugsRetention!$J:$J,MinorBugsRetention!$C:$C,"OfficeRent",MinorBugsRetention!$D:$D,"MinorBugs",MinorBugsRetention!$J:$J,"&lt;0")+SUMIFS(MintCodeRetention!$J:$J,MintCodeRetention!$C:$C,"OfficeRent",MintCodeRetention!$D:$D,"MinorBugs",MintCodeRetention!$J:$J,"&lt;0")+SUMIFS(AlphaRaysFlagStar!$J:$J,AlphaRaysFlagStar!$C:$C,"OfficeRent",AlphaRaysFlagStar!$D:$D,"MinorBugs",AlphaRaysFlagStar!$J:$J,"&lt;0")+SUMIFS(GloriousWise!$J:$J,GloriousWise!$C:$C,"OfficeRent",GloriousWise!$D:$D,"MinorBugs",GloriousWise!$J:$J,"&lt;0")+SUMIFS(Counter!$J:$J,Counter!$C:$C,"OfficeRent",Counter!$D:$D,"MinorBugs",Counter!$J:$J,"&lt;0")+SUMIFS(MinorBugsBAHLCurrent!$J:$J,MinorBugsBAHLCurrent!$C:$C,"OfficeRent",MinorBugsBAHLCurrent!$D:$D,"MinorBugs",MinorBugsBAHLCurrent!$J:$J,"&lt;0")+SUMIFS(MinorBugsBAHLSaving!$J:$J,MinorBugsBAHLSaving!$C:$C,"OfficeRent",MinorBugsBAHLSaving!$D:$D,"MinorBugs",MinorBugsBAHLSaving!$J:$J,"&lt;0")+SUMIFS(MinorBugsMeezanCurrent!$J:$J,MinorBugsMeezanCurrent!$C:$C,"OfficeRent",MinorBugsMeezanCurrent!$D:$D,"MinorBugs",MinorBugsMeezanCurrent!$J:$J,"&lt;0")+SUMIFS(MintCodeCurrent!$J:$J,MintCodeCurrent!$C:$C,"OfficeRent",MintCodeCurrent!$D:$D,"MinorBugs",MintCodeCurrent!$J:$J,"&lt;0")+SUMIFS(GamesGeeksBAHL!$J:$J,GamesGeeksBAHL!$C:$C,"OfficeRent",GamesGeeksBAHL!$D:$D,"MinorBugs",GamesGeeksBAHL!$J:$J,"&lt;0")+SUMIFS(GamingUniverse!$J:$J,GamingUniverse!$C:$C,"OfficeRent",GamingUniverse!$D:$D,"MinorBugs",GamingUniverse!$J:$J,"&lt;0")+SUMIFS(KashifMeezan!$J:$J,KashifMeezan!$C:$C,"OfficeRent",KashifMeezan!$D:$D,"MinorBugs",KashifMeezan!$J:$J,"&lt;0")+SUMIFS(SaadMeezan!$J:$J,SaadMeezan!$C:$C,"OfficeRent",SaadMeezan!$D:$D,"MinorBugs",SaadMeezan!$J:$J,"&lt;0")+SUMIFS(GameHippoMeezan!$J:$J,GameHippoMeezan!$C:$C,"OfficeRent",GameHippoMeezan!$D:$D,"MinorBugs",GameHippoMeezan!$J:$J,"&lt;0")+SUMIFS(AbdullahMeezan!$J:$J,AbdullahMeezan!$C:$C,"OfficeRent",AbdullahMeezan!$D:$D,"MinorBugs",AbdullahMeezan!$J:$J,"&lt;0")+SUMIFS(GameSol!$J:$J,GameSol!$C:$C,"OfficeRent",GameSol!$D:$D,"MinorBugs",GameSol!$J:$J,"&lt;0")+SUMIFS(CipherWaveWise!$J:$J,CipherWaveWise!$C:$C,"OfficeRent",CipherWaveWise!$D:$D,"MinorBugs",CipherWaveWise!$J:$J,"&lt;0")+SUMIFS(AstroVerse!$J:$J,AstroVerse!$C:$C,"OfficeRent",AstroVerse!$D:$D,"MinorBugs",AstroVerse!$J:$J,"&lt;0"))</f>
        <v>0</v>
      </c>
      <c r="C5" s="1">
        <f>-(SUMIFS(MinorBugsRetention!$J:$J,MinorBugsRetention!$C:$C,"OfficeRent",MinorBugsRetention!$D:$D,"BraveJackals",MinorBugsRetention!$J:$J,"&lt;0")+SUMIFS(MintCodeRetention!$J:$J,MintCodeRetention!$C:$C,"OfficeRent",MintCodeRetention!$D:$D,"BraveJackals",MintCodeRetention!$J:$J,"&lt;0")+SUMIFS(AlphaRaysFlagStar!$J:$J,AlphaRaysFlagStar!$C:$C,"OfficeRent",AlphaRaysFlagStar!$D:$D,"BraveJackals",AlphaRaysFlagStar!$J:$J,"&lt;0")+SUMIFS(GloriousWise!$J:$J,GloriousWise!$C:$C,"OfficeRent",GloriousWise!$D:$D,"BraveJackals",GloriousWise!$J:$J,"&lt;0")+SUMIFS(Counter!$J:$J,Counter!$C:$C,"OfficeRent",Counter!$D:$D,"BraveJackals",Counter!$J:$J,"&lt;0")+SUMIFS(MinorBugsBAHLCurrent!$J:$J,MinorBugsBAHLCurrent!$C:$C,"OfficeRent",MinorBugsBAHLCurrent!$D:$D,"BraveJackals",MinorBugsBAHLCurrent!$J:$J,"&lt;0")+SUMIFS(MinorBugsBAHLSaving!$J:$J,MinorBugsBAHLSaving!$C:$C,"OfficeRent",MinorBugsBAHLSaving!$D:$D,"BraveJackals",MinorBugsBAHLSaving!$J:$J,"&lt;0")+SUMIFS(MinorBugsMeezanCurrent!$J:$J,MinorBugsMeezanCurrent!$C:$C,"OfficeRent",MinorBugsMeezanCurrent!$D:$D,"BraveJackals",MinorBugsMeezanCurrent!$J:$J,"&lt;0")+SUMIFS(MintCodeCurrent!$J:$J,MintCodeCurrent!$C:$C,"OfficeRent",MintCodeCurrent!$D:$D,"BraveJackals",MintCodeCurrent!$J:$J,"&lt;0")+SUMIFS(GamesGeeksBAHL!$J:$J,GamesGeeksBAHL!$C:$C,"OfficeRent",GamesGeeksBAHL!$D:$D,"BraveJackals",GamesGeeksBAHL!$J:$J,"&lt;0")+SUMIFS(GamingUniverse!$J:$J,GamingUniverse!$C:$C,"OfficeRent",GamingUniverse!$D:$D,"BraveJackals",GamingUniverse!$J:$J,"&lt;0")+SUMIFS(KashifMeezan!$J:$J,KashifMeezan!$C:$C,"OfficeRent",KashifMeezan!$D:$D,"BraveJackals",KashifMeezan!$J:$J,"&lt;0")+SUMIFS(SaadMeezan!$J:$J,SaadMeezan!$C:$C,"OfficeRent",SaadMeezan!$D:$D,"BraveJackals",SaadMeezan!$J:$J,"&lt;0")+SUMIFS(GameHippoMeezan!$J:$J,GameHippoMeezan!$C:$C,"OfficeRent",GameHippoMeezan!$D:$D,"BraveJackals",GameHippoMeezan!$J:$J,"&lt;0")+SUMIFS(AbdullahMeezan!$J:$J,AbdullahMeezan!$C:$C,"OfficeRent",AbdullahMeezan!$D:$D,"BraveJackals",AbdullahMeezan!$J:$J,"&lt;0")+SUMIFS(GameSol!$J:$J,GameSol!$C:$C,"OfficeRent",GameSol!$D:$D,"BraveJackals",GameSol!$J:$J,"&lt;0")+SUMIFS(CipherWaveWise!$J:$J,CipherWaveWise!$C:$C,"OfficeRent",CipherWaveWise!$D:$D,"BraveJackals",CipherWaveWise!$J:$J,"&lt;0")+SUMIFS(AstroVerse!$J:$J,AstroVerse!$C:$C,"OfficeRent",AstroVerse!$D:$D,"BraveJackals",AstroVerse!$J:$J,"&lt;0"))</f>
        <v>0</v>
      </c>
      <c r="D5" s="1">
        <f>-(SUMIFS(MinorBugsRetention!$J:$J,MinorBugsRetention!$C:$C,"OfficeRent",MinorBugsRetention!$D:$D,"GoJins",MinorBugsRetention!$J:$J,"&lt;0")+SUMIFS(MintCodeRetention!$J:$J,MintCodeRetention!$C:$C,"OfficeRent",MintCodeRetention!$D:$D,"GoJins",MintCodeRetention!$J:$J,"&lt;0")+SUMIFS(AlphaRaysFlagStar!$J:$J,AlphaRaysFlagStar!$C:$C,"OfficeRent",AlphaRaysFlagStar!$D:$D,"GoJins",AlphaRaysFlagStar!$J:$J,"&lt;0")+SUMIFS(GloriousWise!$J:$J,GloriousWise!$C:$C,"OfficeRent",GloriousWise!$D:$D,"GoJins",GloriousWise!$J:$J,"&lt;0")+SUMIFS(Counter!$J:$J,Counter!$C:$C,"OfficeRent",Counter!$D:$D,"GoJins",Counter!$J:$J,"&lt;0")+SUMIFS(MinorBugsBAHLCurrent!$J:$J,MinorBugsBAHLCurrent!$C:$C,"OfficeRent",MinorBugsBAHLCurrent!$D:$D,"GoJins",MinorBugsBAHLCurrent!$J:$J,"&lt;0")+SUMIFS(MinorBugsBAHLSaving!$J:$J,MinorBugsBAHLSaving!$C:$C,"OfficeRent",MinorBugsBAHLSaving!$D:$D,"GoJins",MinorBugsBAHLSaving!$J:$J,"&lt;0")+SUMIFS(MinorBugsMeezanCurrent!$J:$J,MinorBugsMeezanCurrent!$C:$C,"OfficeRent",MinorBugsMeezanCurrent!$D:$D,"GoJins",MinorBugsMeezanCurrent!$J:$J,"&lt;0")+SUMIFS(MintCodeCurrent!$J:$J,MintCodeCurrent!$C:$C,"OfficeRent",MintCodeCurrent!$D:$D,"GoJins",MintCodeCurrent!$J:$J,"&lt;0")+SUMIFS(GamesGeeksBAHL!$J:$J,GamesGeeksBAHL!$C:$C,"OfficeRent",GamesGeeksBAHL!$D:$D,"GoJins",GamesGeeksBAHL!$J:$J,"&lt;0")+SUMIFS(GamingUniverse!$J:$J,GamingUniverse!$C:$C,"OfficeRent",GamingUniverse!$D:$D,"GoJins",GamingUniverse!$J:$J,"&lt;0")+SUMIFS(KashifMeezan!$J:$J,KashifMeezan!$C:$C,"OfficeRent",KashifMeezan!$D:$D,"GoJins",KashifMeezan!$J:$J,"&lt;0")+SUMIFS(SaadMeezan!$J:$J,SaadMeezan!$C:$C,"OfficeRent",SaadMeezan!$D:$D,"GoJins",SaadMeezan!$J:$J,"&lt;0")+SUMIFS(GameHippoMeezan!$J:$J,GameHippoMeezan!$C:$C,"OfficeRent",GameHippoMeezan!$D:$D,"GoJins",GameHippoMeezan!$J:$J,"&lt;0")+SUMIFS(AbdullahMeezan!$J:$J,AbdullahMeezan!$C:$C,"OfficeRent",AbdullahMeezan!$D:$D,"GoJins",AbdullahMeezan!$J:$J,"&lt;0")+SUMIFS(GameSol!$J:$J,GameSol!$C:$C,"OfficeRent",GameSol!$D:$D,"GoJins",GameSol!$J:$J,"&lt;0")+SUMIFS(CipherWaveWise!$J:$J,CipherWaveWise!$C:$C,"OfficeRent",CipherWaveWise!$D:$D,"GoJins",CipherWaveWise!$J:$J,"&lt;0")+SUMIFS(AstroVerse!$J:$J,AstroVerse!$C:$C,"OfficeRent",AstroVerse!$D:$D,"GoJins",AstroVerse!$J:$J,"&lt;0"))</f>
        <v>0</v>
      </c>
      <c r="E5" s="1">
        <f>-(SUMIFS(MinorBugsRetention!$J:$J,MinorBugsRetention!$C:$C,"OfficeRent",MinorBugsRetention!$D:$D,"BuggiesKids",MinorBugsRetention!$J:$J,"&lt;0")+SUMIFS(MintCodeRetention!$J:$J,MintCodeRetention!$C:$C,"OfficeRent",MintCodeRetention!$D:$D,"BuggiesKids",MintCodeRetention!$J:$J,"&lt;0")+SUMIFS(AlphaRaysFlagStar!$J:$J,AlphaRaysFlagStar!$C:$C,"OfficeRent",AlphaRaysFlagStar!$D:$D,"BuggiesKids",AlphaRaysFlagStar!$J:$J,"&lt;0")+SUMIFS(GloriousWise!$J:$J,GloriousWise!$C:$C,"OfficeRent",GloriousWise!$D:$D,"BuggiesKids",GloriousWise!$J:$J,"&lt;0")+SUMIFS(Counter!$J:$J,Counter!$C:$C,"OfficeRent",Counter!$D:$D,"BuggiesKids",Counter!$J:$J,"&lt;0")+SUMIFS(MinorBugsBAHLCurrent!$J:$J,MinorBugsBAHLCurrent!$C:$C,"OfficeRent",MinorBugsBAHLCurrent!$D:$D,"BuggiesKids",MinorBugsBAHLCurrent!$J:$J,"&lt;0")+SUMIFS(MinorBugsBAHLSaving!$J:$J,MinorBugsBAHLSaving!$C:$C,"OfficeRent",MinorBugsBAHLSaving!$D:$D,"BuggiesKids",MinorBugsBAHLSaving!$J:$J,"&lt;0")+SUMIFS(MinorBugsMeezanCurrent!$J:$J,MinorBugsMeezanCurrent!$C:$C,"OfficeRent",MinorBugsMeezanCurrent!$D:$D,"BuggiesKids",MinorBugsMeezanCurrent!$J:$J,"&lt;0")+SUMIFS(MintCodeCurrent!$J:$J,MintCodeCurrent!$C:$C,"OfficeRent",MintCodeCurrent!$D:$D,"BuggiesKids",MintCodeCurrent!$J:$J,"&lt;0")+SUMIFS(GamesGeeksBAHL!$J:$J,GamesGeeksBAHL!$C:$C,"OfficeRent",GamesGeeksBAHL!$D:$D,"BuggiesKids",GamesGeeksBAHL!$J:$J,"&lt;0")+SUMIFS(GamingUniverse!$J:$J,GamingUniverse!$C:$C,"OfficeRent",GamingUniverse!$D:$D,"BuggiesKids",GamingUniverse!$J:$J,"&lt;0")+SUMIFS(KashifMeezan!$J:$J,KashifMeezan!$C:$C,"OfficeRent",KashifMeezan!$D:$D,"BuggiesKids",KashifMeezan!$J:$J,"&lt;0")+SUMIFS(SaadMeezan!$J:$J,SaadMeezan!$C:$C,"OfficeRent",SaadMeezan!$D:$D,"BuggiesKids",SaadMeezan!$J:$J,"&lt;0")+SUMIFS(GameHippoMeezan!$J:$J,GameHippoMeezan!$C:$C,"OfficeRent",GameHippoMeezan!$D:$D,"BuggiesKids",GameHippoMeezan!$J:$J,"&lt;0")+SUMIFS(AbdullahMeezan!$J:$J,AbdullahMeezan!$C:$C,"OfficeRent",AbdullahMeezan!$D:$D,"BuggiesKids",AbdullahMeezan!$J:$J,"&lt;0")+SUMIFS(GameSol!$J:$J,GameSol!$C:$C,"OfficeRent",GameSol!$D:$D,"BuggiesKids",GameSol!$J:$J,"&lt;0")+SUMIFS(CipherWaveWise!$J:$J,CipherWaveWise!$C:$C,"OfficeRent",CipherWaveWise!$D:$D,"BuggiesKids",CipherWaveWise!$J:$J,"&lt;0")+SUMIFS(AstroVerse!$J:$J,AstroVerse!$C:$C,"OfficeRent",AstroVerse!$D:$D,"BuggiesKids",AstroVerse!$J:$J,"&lt;0"))</f>
        <v>0</v>
      </c>
      <c r="F5" s="1">
        <f>-(SUMIFS(MinorBugsRetention!$J:$J,MinorBugsRetention!$C:$C,"OfficeRent",MinorBugsRetention!$D:$D,"GameHippo",MinorBugsRetention!$J:$J,"&lt;0")+SUMIFS(MintCodeRetention!$J:$J,MintCodeRetention!$C:$C,"OfficeRent",MintCodeRetention!$D:$D,"GameHippo",MintCodeRetention!$J:$J,"&lt;0")+SUMIFS(AlphaRaysFlagStar!$J:$J,AlphaRaysFlagStar!$C:$C,"OfficeRent",AlphaRaysFlagStar!$D:$D,"GameHippo",AlphaRaysFlagStar!$J:$J,"&lt;0")+SUMIFS(GloriousWise!$J:$J,GloriousWise!$C:$C,"OfficeRent",GloriousWise!$D:$D,"GameHippo",GloriousWise!$J:$J,"&lt;0")+SUMIFS(Counter!$J:$J,Counter!$C:$C,"OfficeRent",Counter!$D:$D,"GameHippo",Counter!$J:$J,"&lt;0")+SUMIFS(MinorBugsBAHLCurrent!$J:$J,MinorBugsBAHLCurrent!$C:$C,"OfficeRent",MinorBugsBAHLCurrent!$D:$D,"GameHippo",MinorBugsBAHLCurrent!$J:$J,"&lt;0")+SUMIFS(MinorBugsBAHLSaving!$J:$J,MinorBugsBAHLSaving!$C:$C,"OfficeRent",MinorBugsBAHLSaving!$D:$D,"GameHippo",MinorBugsBAHLSaving!$J:$J,"&lt;0")+SUMIFS(MinorBugsMeezanCurrent!$J:$J,MinorBugsMeezanCurrent!$C:$C,"OfficeRent",MinorBugsMeezanCurrent!$D:$D,"GameHippo",MinorBugsMeezanCurrent!$J:$J,"&lt;0")+SUMIFS(MintCodeCurrent!$J:$J,MintCodeCurrent!$C:$C,"OfficeRent",MintCodeCurrent!$D:$D,"GameHippo",MintCodeCurrent!$J:$J,"&lt;0")+SUMIFS(GamesGeeksBAHL!$J:$J,GamesGeeksBAHL!$C:$C,"OfficeRent",GamesGeeksBAHL!$D:$D,"GameHippo",GamesGeeksBAHL!$J:$J,"&lt;0")+SUMIFS(GamingUniverse!$J:$J,GamingUniverse!$C:$C,"OfficeRent",GamingUniverse!$D:$D,"GameHippo",GamingUniverse!$J:$J,"&lt;0")+SUMIFS(KashifMeezan!$J:$J,KashifMeezan!$C:$C,"OfficeRent",KashifMeezan!$D:$D,"GameHippo",KashifMeezan!$J:$J,"&lt;0")+SUMIFS(SaadMeezan!$J:$J,SaadMeezan!$C:$C,"OfficeRent",SaadMeezan!$D:$D,"GameHippo",SaadMeezan!$J:$J,"&lt;0")+SUMIFS(GameHippoMeezan!$J:$J,GameHippoMeezan!$C:$C,"OfficeRent",GameHippoMeezan!$D:$D,"GameHippo",GameHippoMeezan!$J:$J,"&lt;0")+SUMIFS(AbdullahMeezan!$J:$J,AbdullahMeezan!$C:$C,"OfficeRent",AbdullahMeezan!$D:$D,"GameHippo",AbdullahMeezan!$J:$J,"&lt;0")+SUMIFS(GameSol!$J:$J,GameSol!$C:$C,"OfficeRent",GameSol!$D:$D,"GameHippo",GameSol!$J:$J,"&lt;0")+SUMIFS(CipherWaveWise!$J:$J,CipherWaveWise!$C:$C,"OfficeRent",CipherWaveWise!$D:$D,"GameHippo",CipherWaveWise!$J:$J,"&lt;0")+SUMIFS(AstroVerse!$J:$J,AstroVerse!$C:$C,"OfficeRent",AstroVerse!$D:$D,"GameHippo",AstroVerse!$J:$J,"&lt;0"))</f>
        <v>0</v>
      </c>
      <c r="G5" s="1">
        <f>-(SUMIFS(MinorBugsRetention!$J:$J,MinorBugsRetention!$C:$C,"OfficeRent",MinorBugsRetention!$D:$D,"Frentech",MinorBugsRetention!$J:$J,"&lt;0")+SUMIFS(MintCodeRetention!$J:$J,MintCodeRetention!$C:$C,"OfficeRent",MintCodeRetention!$D:$D,"Frentech",MintCodeRetention!$J:$J,"&lt;0")+SUMIFS(AlphaRaysFlagStar!$J:$J,AlphaRaysFlagStar!$C:$C,"OfficeRent",AlphaRaysFlagStar!$D:$D,"Frentech",AlphaRaysFlagStar!$J:$J,"&lt;0")+SUMIFS(GloriousWise!$J:$J,GloriousWise!$C:$C,"OfficeRent",GloriousWise!$D:$D,"Frentech",GloriousWise!$J:$J,"&lt;0")+SUMIFS(Counter!$J:$J,Counter!$C:$C,"OfficeRent",Counter!$D:$D,"Frentech",Counter!$J:$J,"&lt;0")+SUMIFS(MinorBugsBAHLCurrent!$J:$J,MinorBugsBAHLCurrent!$C:$C,"OfficeRent",MinorBugsBAHLCurrent!$D:$D,"Frentech",MinorBugsBAHLCurrent!$J:$J,"&lt;0")+SUMIFS(MinorBugsBAHLSaving!$J:$J,MinorBugsBAHLSaving!$C:$C,"OfficeRent",MinorBugsBAHLSaving!$D:$D,"Frentech",MinorBugsBAHLSaving!$J:$J,"&lt;0")+SUMIFS(MinorBugsMeezanCurrent!$J:$J,MinorBugsMeezanCurrent!$C:$C,"OfficeRent",MinorBugsMeezanCurrent!$D:$D,"Frentech",MinorBugsMeezanCurrent!$J:$J,"&lt;0")+SUMIFS(MintCodeCurrent!$J:$J,MintCodeCurrent!$C:$C,"OfficeRent",MintCodeCurrent!$D:$D,"Frentech",MintCodeCurrent!$J:$J,"&lt;0")+SUMIFS(GamesGeeksBAHL!$J:$J,GamesGeeksBAHL!$C:$C,"OfficeRent",GamesGeeksBAHL!$D:$D,"Frentech",GamesGeeksBAHL!$J:$J,"&lt;0")+SUMIFS(GamingUniverse!$J:$J,GamingUniverse!$C:$C,"OfficeRent",GamingUniverse!$D:$D,"Frentech",GamingUniverse!$J:$J,"&lt;0")+SUMIFS(KashifMeezan!$J:$J,KashifMeezan!$C:$C,"OfficeRent",KashifMeezan!$D:$D,"Frentech",KashifMeezan!$J:$J,"&lt;0")+SUMIFS(SaadMeezan!$J:$J,SaadMeezan!$C:$C,"OfficeRent",SaadMeezan!$D:$D,"Frentech",SaadMeezan!$J:$J,"&lt;0")+SUMIFS(GameHippoMeezan!$J:$J,GameHippoMeezan!$C:$C,"OfficeRent",GameHippoMeezan!$D:$D,"Frentech",GameHippoMeezan!$J:$J,"&lt;0")+SUMIFS(AbdullahMeezan!$J:$J,AbdullahMeezan!$C:$C,"OfficeRent",AbdullahMeezan!$D:$D,"Frentech",AbdullahMeezan!$J:$J,"&lt;0")+SUMIFS(GameSol!$J:$J,GameSol!$C:$C,"OfficeRent",GameSol!$D:$D,"Frentech",GameSol!$J:$J,"&lt;0")+SUMIFS(CipherWaveWise!$J:$J,CipherWaveWise!$C:$C,"OfficeRent",CipherWaveWise!$D:$D,"Frentech",CipherWaveWise!$J:$J,"&lt;0")+SUMIFS(AstroVerse!$J:$J,AstroVerse!$C:$C,"OfficeRent",AstroVerse!$D:$D,"Frentech",AstroVerse!$J:$J,"&lt;0"))</f>
        <v>0</v>
      </c>
      <c r="H5" s="1">
        <f>-(SUMIFS(MinorBugsRetention!$J:$J,MinorBugsRetention!$C:$C,"OfficeRent",MinorBugsRetention!$D:$D,"DevBoat",MinorBugsRetention!$J:$J,"&lt;0")+SUMIFS(MintCodeRetention!$J:$J,MintCodeRetention!$C:$C,"OfficeRent",MintCodeRetention!$D:$D,"DevBoat",MintCodeRetention!$J:$J,"&lt;0")+SUMIFS(AlphaRaysFlagStar!$J:$J,AlphaRaysFlagStar!$C:$C,"OfficeRent",AlphaRaysFlagStar!$D:$D,"DevBoat",AlphaRaysFlagStar!$J:$J,"&lt;0")+SUMIFS(GloriousWise!$J:$J,GloriousWise!$C:$C,"OfficeRent",GloriousWise!$D:$D,"DevBoat",GloriousWise!$J:$J,"&lt;0")+SUMIFS(Counter!$J:$J,Counter!$C:$C,"OfficeRent",Counter!$D:$D,"DevBoat",Counter!$J:$J,"&lt;0")+SUMIFS(MinorBugsBAHLCurrent!$J:$J,MinorBugsBAHLCurrent!$C:$C,"OfficeRent",MinorBugsBAHLCurrent!$D:$D,"DevBoat",MinorBugsBAHLCurrent!$J:$J,"&lt;0")+SUMIFS(MinorBugsBAHLSaving!$J:$J,MinorBugsBAHLSaving!$C:$C,"OfficeRent",MinorBugsBAHLSaving!$D:$D,"DevBoat",MinorBugsBAHLSaving!$J:$J,"&lt;0")+SUMIFS(MinorBugsMeezanCurrent!$J:$J,MinorBugsMeezanCurrent!$C:$C,"OfficeRent",MinorBugsMeezanCurrent!$D:$D,"DevBoat",MinorBugsMeezanCurrent!$J:$J,"&lt;0")+SUMIFS(MintCodeCurrent!$J:$J,MintCodeCurrent!$C:$C,"OfficeRent",MintCodeCurrent!$D:$D,"DevBoat",MintCodeCurrent!$J:$J,"&lt;0")+SUMIFS(GamesGeeksBAHL!$J:$J,GamesGeeksBAHL!$C:$C,"OfficeRent",GamesGeeksBAHL!$D:$D,"DevBoat",GamesGeeksBAHL!$J:$J,"&lt;0")+SUMIFS(GamingUniverse!$J:$J,GamingUniverse!$C:$C,"OfficeRent",GamingUniverse!$D:$D,"DevBoat",GamingUniverse!$J:$J,"&lt;0")+SUMIFS(KashifMeezan!$J:$J,KashifMeezan!$C:$C,"OfficeRent",KashifMeezan!$D:$D,"DevBoat",KashifMeezan!$J:$J,"&lt;0")+SUMIFS(SaadMeezan!$J:$J,SaadMeezan!$C:$C,"OfficeRent",SaadMeezan!$D:$D,"DevBoat",SaadMeezan!$J:$J,"&lt;0")+SUMIFS(GameHippoMeezan!$J:$J,GameHippoMeezan!$C:$C,"OfficeRent",GameHippoMeezan!$D:$D,"DevBoat",GameHippoMeezan!$J:$J,"&lt;0")+SUMIFS(AbdullahMeezan!$J:$J,AbdullahMeezan!$C:$C,"OfficeRent",AbdullahMeezan!$D:$D,"DevBoat",AbdullahMeezan!$J:$J,"&lt;0")+SUMIFS(GameSol!$J:$J,GameSol!$C:$C,"OfficeRent",GameSol!$D:$D,"DevBoat",GameSol!$J:$J,"&lt;0")+SUMIFS(CipherWaveWise!$J:$J,CipherWaveWise!$C:$C,"OfficeRent",CipherWaveWise!$D:$D,"DevBoat",CipherWaveWise!$J:$J,"&lt;0")+SUMIFS(AstroVerse!$J:$J,AstroVerse!$C:$C,"OfficeRent",AstroVerse!$D:$D,"DevBoat",AstroVerse!$J:$J,"&lt;0"))</f>
        <v>0</v>
      </c>
      <c r="I5" s="1">
        <f t="shared" si="0"/>
        <v>0</v>
      </c>
    </row>
    <row r="6" spans="1:9">
      <c r="A6" t="s">
        <v>9</v>
      </c>
      <c r="B6" s="1">
        <f>-(SUMIFS(MinorBugsRetention!$J:$J,MinorBugsRetention!$C:$C,"Equipments",MinorBugsRetention!$D:$D,"MinorBugs",MinorBugsRetention!$J:$J,"&lt;0")+SUMIFS(MintCodeRetention!$J:$J,MintCodeRetention!$C:$C,"Equipments",MintCodeRetention!$D:$D,"MinorBugs",MintCodeRetention!$J:$J,"&lt;0")+SUMIFS(AlphaRaysFlagStar!$J:$J,AlphaRaysFlagStar!$C:$C,"Equipments",AlphaRaysFlagStar!$D:$D,"MinorBugs",AlphaRaysFlagStar!$J:$J,"&lt;0")+SUMIFS(GloriousWise!$J:$J,GloriousWise!$C:$C,"Equipments",GloriousWise!$D:$D,"MinorBugs",GloriousWise!$J:$J,"&lt;0")+SUMIFS(Counter!$J:$J,Counter!$C:$C,"Equipments",Counter!$D:$D,"MinorBugs",Counter!$J:$J,"&lt;0")+SUMIFS(MinorBugsBAHLCurrent!$J:$J,MinorBugsBAHLCurrent!$C:$C,"Equipments",MinorBugsBAHLCurrent!$D:$D,"MinorBugs",MinorBugsBAHLCurrent!$J:$J,"&lt;0")+SUMIFS(MinorBugsBAHLSaving!$J:$J,MinorBugsBAHLSaving!$C:$C,"Equipments",MinorBugsBAHLSaving!$D:$D,"MinorBugs",MinorBugsBAHLSaving!$J:$J,"&lt;0")+SUMIFS(MinorBugsMeezanCurrent!$J:$J,MinorBugsMeezanCurrent!$C:$C,"Equipments",MinorBugsMeezanCurrent!$D:$D,"MinorBugs",MinorBugsMeezanCurrent!$J:$J,"&lt;0")+SUMIFS(MintCodeCurrent!$J:$J,MintCodeCurrent!$C:$C,"Equipments",MintCodeCurrent!$D:$D,"MinorBugs",MintCodeCurrent!$J:$J,"&lt;0")+SUMIFS(GamesGeeksBAHL!$J:$J,GamesGeeksBAHL!$C:$C,"Equipments",GamesGeeksBAHL!$D:$D,"MinorBugs",GamesGeeksBAHL!$J:$J,"&lt;0")+SUMIFS(GamingUniverse!$J:$J,GamingUniverse!$C:$C,"Equipments",GamingUniverse!$D:$D,"MinorBugs",GamingUniverse!$J:$J,"&lt;0")+SUMIFS(KashifMeezan!$J:$J,KashifMeezan!$C:$C,"Equipments",KashifMeezan!$D:$D,"MinorBugs",KashifMeezan!$J:$J,"&lt;0")+SUMIFS(SaadMeezan!$J:$J,SaadMeezan!$C:$C,"Equipments",SaadMeezan!$D:$D,"MinorBugs",SaadMeezan!$J:$J,"&lt;0")+SUMIFS(GameHippoMeezan!$J:$J,GameHippoMeezan!$C:$C,"Equipments",GameHippoMeezan!$D:$D,"MinorBugs",GameHippoMeezan!$J:$J,"&lt;0")+SUMIFS(AbdullahMeezan!$J:$J,AbdullahMeezan!$C:$C,"Equipments",AbdullahMeezan!$D:$D,"MinorBugs",AbdullahMeezan!$J:$J,"&lt;0")+SUMIFS(GameSol!$J:$J,GameSol!$C:$C,"Equipments",GameSol!$D:$D,"MinorBugs",GameSol!$J:$J,"&lt;0")+SUMIFS(CipherWaveWise!$J:$J,CipherWaveWise!$C:$C,"Equipments",CipherWaveWise!$D:$D,"MinorBugs",CipherWaveWise!$J:$J,"&lt;0")+SUMIFS(AstroVerse!$J:$J,AstroVerse!$C:$C,"Equipments",AstroVerse!$D:$D,"MinorBugs",AstroVerse!$J:$J,"&lt;0"))</f>
        <v>0</v>
      </c>
      <c r="C6" s="1">
        <f>-(SUMIFS(MinorBugsRetention!$J:$J,MinorBugsRetention!$C:$C,"Equipments",MinorBugsRetention!$D:$D,"BraveJackals",MinorBugsRetention!$J:$J,"&lt;0")+SUMIFS(MintCodeRetention!$J:$J,MintCodeRetention!$C:$C,"Equipments",MintCodeRetention!$D:$D,"BraveJackals",MintCodeRetention!$J:$J,"&lt;0")+SUMIFS(AlphaRaysFlagStar!$J:$J,AlphaRaysFlagStar!$C:$C,"Equipments",AlphaRaysFlagStar!$D:$D,"BraveJackals",AlphaRaysFlagStar!$J:$J,"&lt;0")+SUMIFS(GloriousWise!$J:$J,GloriousWise!$C:$C,"Equipments",GloriousWise!$D:$D,"BraveJackals",GloriousWise!$J:$J,"&lt;0")+SUMIFS(Counter!$J:$J,Counter!$C:$C,"Equipments",Counter!$D:$D,"BraveJackals",Counter!$J:$J,"&lt;0")+SUMIFS(MinorBugsBAHLCurrent!$J:$J,MinorBugsBAHLCurrent!$C:$C,"Equipments",MinorBugsBAHLCurrent!$D:$D,"BraveJackals",MinorBugsBAHLCurrent!$J:$J,"&lt;0")+SUMIFS(MinorBugsBAHLSaving!$J:$J,MinorBugsBAHLSaving!$C:$C,"Equipments",MinorBugsBAHLSaving!$D:$D,"BraveJackals",MinorBugsBAHLSaving!$J:$J,"&lt;0")+SUMIFS(MinorBugsMeezanCurrent!$J:$J,MinorBugsMeezanCurrent!$C:$C,"Equipments",MinorBugsMeezanCurrent!$D:$D,"BraveJackals",MinorBugsMeezanCurrent!$J:$J,"&lt;0")+SUMIFS(MintCodeCurrent!$J:$J,MintCodeCurrent!$C:$C,"Equipments",MintCodeCurrent!$D:$D,"BraveJackals",MintCodeCurrent!$J:$J,"&lt;0")+SUMIFS(GamesGeeksBAHL!$J:$J,GamesGeeksBAHL!$C:$C,"Equipments",GamesGeeksBAHL!$D:$D,"BraveJackals",GamesGeeksBAHL!$J:$J,"&lt;0")+SUMIFS(GamingUniverse!$J:$J,GamingUniverse!$C:$C,"Equipments",GamingUniverse!$D:$D,"BraveJackals",GamingUniverse!$J:$J,"&lt;0")+SUMIFS(KashifMeezan!$J:$J,KashifMeezan!$C:$C,"Equipments",KashifMeezan!$D:$D,"BraveJackals",KashifMeezan!$J:$J,"&lt;0")+SUMIFS(SaadMeezan!$J:$J,SaadMeezan!$C:$C,"Equipments",SaadMeezan!$D:$D,"BraveJackals",SaadMeezan!$J:$J,"&lt;0")+SUMIFS(GameHippoMeezan!$J:$J,GameHippoMeezan!$C:$C,"Equipments",GameHippoMeezan!$D:$D,"BraveJackals",GameHippoMeezan!$J:$J,"&lt;0")+SUMIFS(AbdullahMeezan!$J:$J,AbdullahMeezan!$C:$C,"Equipments",AbdullahMeezan!$D:$D,"BraveJackals",AbdullahMeezan!$J:$J,"&lt;0")+SUMIFS(GameSol!$J:$J,GameSol!$C:$C,"Equipments",GameSol!$D:$D,"BraveJackals",GameSol!$J:$J,"&lt;0")+SUMIFS(CipherWaveWise!$J:$J,CipherWaveWise!$C:$C,"Equipments",CipherWaveWise!$D:$D,"BraveJackals",CipherWaveWise!$J:$J,"&lt;0")+SUMIFS(AstroVerse!$J:$J,AstroVerse!$C:$C,"Equipments",AstroVerse!$D:$D,"BraveJackals",AstroVerse!$J:$J,"&lt;0"))</f>
        <v>0</v>
      </c>
      <c r="D6" s="1">
        <f>-(SUMIFS(MinorBugsRetention!$J:$J,MinorBugsRetention!$C:$C,"Equipments",MinorBugsRetention!$D:$D,"GoJins",MinorBugsRetention!$J:$J,"&lt;0")+SUMIFS(MintCodeRetention!$J:$J,MintCodeRetention!$C:$C,"Equipments",MintCodeRetention!$D:$D,"GoJins",MintCodeRetention!$J:$J,"&lt;0")+SUMIFS(AlphaRaysFlagStar!$J:$J,AlphaRaysFlagStar!$C:$C,"Equipments",AlphaRaysFlagStar!$D:$D,"GoJins",AlphaRaysFlagStar!$J:$J,"&lt;0")+SUMIFS(GloriousWise!$J:$J,GloriousWise!$C:$C,"Equipments",GloriousWise!$D:$D,"GoJins",GloriousWise!$J:$J,"&lt;0")+SUMIFS(Counter!$J:$J,Counter!$C:$C,"Equipments",Counter!$D:$D,"GoJins",Counter!$J:$J,"&lt;0")+SUMIFS(MinorBugsBAHLCurrent!$J:$J,MinorBugsBAHLCurrent!$C:$C,"Equipments",MinorBugsBAHLCurrent!$D:$D,"GoJins",MinorBugsBAHLCurrent!$J:$J,"&lt;0")+SUMIFS(MinorBugsBAHLSaving!$J:$J,MinorBugsBAHLSaving!$C:$C,"Equipments",MinorBugsBAHLSaving!$D:$D,"GoJins",MinorBugsBAHLSaving!$J:$J,"&lt;0")+SUMIFS(MinorBugsMeezanCurrent!$J:$J,MinorBugsMeezanCurrent!$C:$C,"Equipments",MinorBugsMeezanCurrent!$D:$D,"GoJins",MinorBugsMeezanCurrent!$J:$J,"&lt;0")+SUMIFS(MintCodeCurrent!$J:$J,MintCodeCurrent!$C:$C,"Equipments",MintCodeCurrent!$D:$D,"GoJins",MintCodeCurrent!$J:$J,"&lt;0")+SUMIFS(GamesGeeksBAHL!$J:$J,GamesGeeksBAHL!$C:$C,"Equipments",GamesGeeksBAHL!$D:$D,"GoJins",GamesGeeksBAHL!$J:$J,"&lt;0")+SUMIFS(GamingUniverse!$J:$J,GamingUniverse!$C:$C,"Equipments",GamingUniverse!$D:$D,"GoJins",GamingUniverse!$J:$J,"&lt;0")+SUMIFS(KashifMeezan!$J:$J,KashifMeezan!$C:$C,"Equipments",KashifMeezan!$D:$D,"GoJins",KashifMeezan!$J:$J,"&lt;0")+SUMIFS(SaadMeezan!$J:$J,SaadMeezan!$C:$C,"Equipments",SaadMeezan!$D:$D,"GoJins",SaadMeezan!$J:$J,"&lt;0")+SUMIFS(GameHippoMeezan!$J:$J,GameHippoMeezan!$C:$C,"Equipments",GameHippoMeezan!$D:$D,"GoJins",GameHippoMeezan!$J:$J,"&lt;0")+SUMIFS(AbdullahMeezan!$J:$J,AbdullahMeezan!$C:$C,"Equipments",AbdullahMeezan!$D:$D,"GoJins",AbdullahMeezan!$J:$J,"&lt;0")+SUMIFS(GameSol!$J:$J,GameSol!$C:$C,"Equipments",GameSol!$D:$D,"GoJins",GameSol!$J:$J,"&lt;0")+SUMIFS(CipherWaveWise!$J:$J,CipherWaveWise!$C:$C,"Equipments",CipherWaveWise!$D:$D,"GoJins",CipherWaveWise!$J:$J,"&lt;0")+SUMIFS(AstroVerse!$J:$J,AstroVerse!$C:$C,"Equipments",AstroVerse!$D:$D,"GoJins",AstroVerse!$J:$J,"&lt;0"))</f>
        <v>0</v>
      </c>
      <c r="E6" s="1">
        <f>-(SUMIFS(MinorBugsRetention!$J:$J,MinorBugsRetention!$C:$C,"Equipments",MinorBugsRetention!$D:$D,"BuggiesKids",MinorBugsRetention!$J:$J,"&lt;0")+SUMIFS(MintCodeRetention!$J:$J,MintCodeRetention!$C:$C,"Equipments",MintCodeRetention!$D:$D,"BuggiesKids",MintCodeRetention!$J:$J,"&lt;0")+SUMIFS(AlphaRaysFlagStar!$J:$J,AlphaRaysFlagStar!$C:$C,"Equipments",AlphaRaysFlagStar!$D:$D,"BuggiesKids",AlphaRaysFlagStar!$J:$J,"&lt;0")+SUMIFS(GloriousWise!$J:$J,GloriousWise!$C:$C,"Equipments",GloriousWise!$D:$D,"BuggiesKids",GloriousWise!$J:$J,"&lt;0")+SUMIFS(Counter!$J:$J,Counter!$C:$C,"Equipments",Counter!$D:$D,"BuggiesKids",Counter!$J:$J,"&lt;0")+SUMIFS(MinorBugsBAHLCurrent!$J:$J,MinorBugsBAHLCurrent!$C:$C,"Equipments",MinorBugsBAHLCurrent!$D:$D,"BuggiesKids",MinorBugsBAHLCurrent!$J:$J,"&lt;0")+SUMIFS(MinorBugsBAHLSaving!$J:$J,MinorBugsBAHLSaving!$C:$C,"Equipments",MinorBugsBAHLSaving!$D:$D,"BuggiesKids",MinorBugsBAHLSaving!$J:$J,"&lt;0")+SUMIFS(MinorBugsMeezanCurrent!$J:$J,MinorBugsMeezanCurrent!$C:$C,"Equipments",MinorBugsMeezanCurrent!$D:$D,"BuggiesKids",MinorBugsMeezanCurrent!$J:$J,"&lt;0")+SUMIFS(MintCodeCurrent!$J:$J,MintCodeCurrent!$C:$C,"Equipments",MintCodeCurrent!$D:$D,"BuggiesKids",MintCodeCurrent!$J:$J,"&lt;0")+SUMIFS(GamesGeeksBAHL!$J:$J,GamesGeeksBAHL!$C:$C,"Equipments",GamesGeeksBAHL!$D:$D,"BuggiesKids",GamesGeeksBAHL!$J:$J,"&lt;0")+SUMIFS(GamingUniverse!$J:$J,GamingUniverse!$C:$C,"Equipments",GamingUniverse!$D:$D,"BuggiesKids",GamingUniverse!$J:$J,"&lt;0")+SUMIFS(KashifMeezan!$J:$J,KashifMeezan!$C:$C,"Equipments",KashifMeezan!$D:$D,"BuggiesKids",KashifMeezan!$J:$J,"&lt;0")+SUMIFS(SaadMeezan!$J:$J,SaadMeezan!$C:$C,"Equipments",SaadMeezan!$D:$D,"BuggiesKids",SaadMeezan!$J:$J,"&lt;0")+SUMIFS(GameHippoMeezan!$J:$J,GameHippoMeezan!$C:$C,"Equipments",GameHippoMeezan!$D:$D,"BuggiesKids",GameHippoMeezan!$J:$J,"&lt;0")+SUMIFS(AbdullahMeezan!$J:$J,AbdullahMeezan!$C:$C,"Equipments",AbdullahMeezan!$D:$D,"BuggiesKids",AbdullahMeezan!$J:$J,"&lt;0")+SUMIFS(GameSol!$J:$J,GameSol!$C:$C,"Equipments",GameSol!$D:$D,"BuggiesKids",GameSol!$J:$J,"&lt;0")+SUMIFS(CipherWaveWise!$J:$J,CipherWaveWise!$C:$C,"Equipments",CipherWaveWise!$D:$D,"BuggiesKids",CipherWaveWise!$J:$J,"&lt;0")+SUMIFS(AstroVerse!$J:$J,AstroVerse!$C:$C,"Equipments",AstroVerse!$D:$D,"BuggiesKids",AstroVerse!$J:$J,"&lt;0"))</f>
        <v>0</v>
      </c>
      <c r="F6" s="1">
        <f>-(SUMIFS(MinorBugsRetention!$J:$J,MinorBugsRetention!$C:$C,"Equipments",MinorBugsRetention!$D:$D,"GameHippo",MinorBugsRetention!$J:$J,"&lt;0")+SUMIFS(MintCodeRetention!$J:$J,MintCodeRetention!$C:$C,"Equipments",MintCodeRetention!$D:$D,"GameHippo",MintCodeRetention!$J:$J,"&lt;0")+SUMIFS(AlphaRaysFlagStar!$J:$J,AlphaRaysFlagStar!$C:$C,"Equipments",AlphaRaysFlagStar!$D:$D,"GameHippo",AlphaRaysFlagStar!$J:$J,"&lt;0")+SUMIFS(GloriousWise!$J:$J,GloriousWise!$C:$C,"Equipments",GloriousWise!$D:$D,"GameHippo",GloriousWise!$J:$J,"&lt;0")+SUMIFS(Counter!$J:$J,Counter!$C:$C,"Equipments",Counter!$D:$D,"GameHippo",Counter!$J:$J,"&lt;0")+SUMIFS(MinorBugsBAHLCurrent!$J:$J,MinorBugsBAHLCurrent!$C:$C,"Equipments",MinorBugsBAHLCurrent!$D:$D,"GameHippo",MinorBugsBAHLCurrent!$J:$J,"&lt;0")+SUMIFS(MinorBugsBAHLSaving!$J:$J,MinorBugsBAHLSaving!$C:$C,"Equipments",MinorBugsBAHLSaving!$D:$D,"GameHippo",MinorBugsBAHLSaving!$J:$J,"&lt;0")+SUMIFS(MinorBugsMeezanCurrent!$J:$J,MinorBugsMeezanCurrent!$C:$C,"Equipments",MinorBugsMeezanCurrent!$D:$D,"GameHippo",MinorBugsMeezanCurrent!$J:$J,"&lt;0")+SUMIFS(MintCodeCurrent!$J:$J,MintCodeCurrent!$C:$C,"Equipments",MintCodeCurrent!$D:$D,"GameHippo",MintCodeCurrent!$J:$J,"&lt;0")+SUMIFS(GamesGeeksBAHL!$J:$J,GamesGeeksBAHL!$C:$C,"Equipments",GamesGeeksBAHL!$D:$D,"GameHippo",GamesGeeksBAHL!$J:$J,"&lt;0")+SUMIFS(GamingUniverse!$J:$J,GamingUniverse!$C:$C,"Equipments",GamingUniverse!$D:$D,"GameHippo",GamingUniverse!$J:$J,"&lt;0")+SUMIFS(KashifMeezan!$J:$J,KashifMeezan!$C:$C,"Equipments",KashifMeezan!$D:$D,"GameHippo",KashifMeezan!$J:$J,"&lt;0")+SUMIFS(SaadMeezan!$J:$J,SaadMeezan!$C:$C,"Equipments",SaadMeezan!$D:$D,"GameHippo",SaadMeezan!$J:$J,"&lt;0")+SUMIFS(GameHippoMeezan!$J:$J,GameHippoMeezan!$C:$C,"Equipments",GameHippoMeezan!$D:$D,"GameHippo",GameHippoMeezan!$J:$J,"&lt;0")+SUMIFS(AbdullahMeezan!$J:$J,AbdullahMeezan!$C:$C,"Equipments",AbdullahMeezan!$D:$D,"GameHippo",AbdullahMeezan!$J:$J,"&lt;0")+SUMIFS(GameSol!$J:$J,GameSol!$C:$C,"Equipments",GameSol!$D:$D,"GameHippo",GameSol!$J:$J,"&lt;0")+SUMIFS(CipherWaveWise!$J:$J,CipherWaveWise!$C:$C,"Equipments",CipherWaveWise!$D:$D,"GameHippo",CipherWaveWise!$J:$J,"&lt;0")+SUMIFS(AstroVerse!$J:$J,AstroVerse!$C:$C,"Equipments",AstroVerse!$D:$D,"GameHippo",AstroVerse!$J:$J,"&lt;0"))</f>
        <v>0</v>
      </c>
      <c r="G6" s="1">
        <f>-(SUMIFS(MinorBugsRetention!$J:$J,MinorBugsRetention!$C:$C,"Equipments",MinorBugsRetention!$D:$D,"Frentech",MinorBugsRetention!$J:$J,"&lt;0")+SUMIFS(MintCodeRetention!$J:$J,MintCodeRetention!$C:$C,"Equipments",MintCodeRetention!$D:$D,"Frentech",MintCodeRetention!$J:$J,"&lt;0")+SUMIFS(AlphaRaysFlagStar!$J:$J,AlphaRaysFlagStar!$C:$C,"Equipments",AlphaRaysFlagStar!$D:$D,"Frentech",AlphaRaysFlagStar!$J:$J,"&lt;0")+SUMIFS(GloriousWise!$J:$J,GloriousWise!$C:$C,"Equipments",GloriousWise!$D:$D,"Frentech",GloriousWise!$J:$J,"&lt;0")+SUMIFS(Counter!$J:$J,Counter!$C:$C,"Equipments",Counter!$D:$D,"Frentech",Counter!$J:$J,"&lt;0")+SUMIFS(MinorBugsBAHLCurrent!$J:$J,MinorBugsBAHLCurrent!$C:$C,"Equipments",MinorBugsBAHLCurrent!$D:$D,"Frentech",MinorBugsBAHLCurrent!$J:$J,"&lt;0")+SUMIFS(MinorBugsBAHLSaving!$J:$J,MinorBugsBAHLSaving!$C:$C,"Equipments",MinorBugsBAHLSaving!$D:$D,"Frentech",MinorBugsBAHLSaving!$J:$J,"&lt;0")+SUMIFS(MinorBugsMeezanCurrent!$J:$J,MinorBugsMeezanCurrent!$C:$C,"Equipments",MinorBugsMeezanCurrent!$D:$D,"Frentech",MinorBugsMeezanCurrent!$J:$J,"&lt;0")+SUMIFS(MintCodeCurrent!$J:$J,MintCodeCurrent!$C:$C,"Equipments",MintCodeCurrent!$D:$D,"Frentech",MintCodeCurrent!$J:$J,"&lt;0")+SUMIFS(GamesGeeksBAHL!$J:$J,GamesGeeksBAHL!$C:$C,"Equipments",GamesGeeksBAHL!$D:$D,"Frentech",GamesGeeksBAHL!$J:$J,"&lt;0")+SUMIFS(GamingUniverse!$J:$J,GamingUniverse!$C:$C,"Equipments",GamingUniverse!$D:$D,"Frentech",GamingUniverse!$J:$J,"&lt;0")+SUMIFS(KashifMeezan!$J:$J,KashifMeezan!$C:$C,"Equipments",KashifMeezan!$D:$D,"Frentech",KashifMeezan!$J:$J,"&lt;0")+SUMIFS(SaadMeezan!$J:$J,SaadMeezan!$C:$C,"Equipments",SaadMeezan!$D:$D,"Frentech",SaadMeezan!$J:$J,"&lt;0")+SUMIFS(GameHippoMeezan!$J:$J,GameHippoMeezan!$C:$C,"Equipments",GameHippoMeezan!$D:$D,"Frentech",GameHippoMeezan!$J:$J,"&lt;0")+SUMIFS(AbdullahMeezan!$J:$J,AbdullahMeezan!$C:$C,"Equipments",AbdullahMeezan!$D:$D,"Frentech",AbdullahMeezan!$J:$J,"&lt;0")+SUMIFS(GameSol!$J:$J,GameSol!$C:$C,"Equipments",GameSol!$D:$D,"Frentech",GameSol!$J:$J,"&lt;0")+SUMIFS(CipherWaveWise!$J:$J,CipherWaveWise!$C:$C,"Equipments",CipherWaveWise!$D:$D,"Frentech",CipherWaveWise!$J:$J,"&lt;0")+SUMIFS(AstroVerse!$J:$J,AstroVerse!$C:$C,"Equipments",AstroVerse!$D:$D,"Frentech",AstroVerse!$J:$J,"&lt;0"))</f>
        <v>0</v>
      </c>
      <c r="H6" s="1">
        <f>-(SUMIFS(MinorBugsRetention!$J:$J,MinorBugsRetention!$C:$C,"Equipments",MinorBugsRetention!$D:$D,"DevBoat",MinorBugsRetention!$J:$J,"&lt;0")+SUMIFS(MintCodeRetention!$J:$J,MintCodeRetention!$C:$C,"Equipments",MintCodeRetention!$D:$D,"DevBoat",MintCodeRetention!$J:$J,"&lt;0")+SUMIFS(AlphaRaysFlagStar!$J:$J,AlphaRaysFlagStar!$C:$C,"Equipments",AlphaRaysFlagStar!$D:$D,"DevBoat",AlphaRaysFlagStar!$J:$J,"&lt;0")+SUMIFS(GloriousWise!$J:$J,GloriousWise!$C:$C,"Equipments",GloriousWise!$D:$D,"DevBoat",GloriousWise!$J:$J,"&lt;0")+SUMIFS(Counter!$J:$J,Counter!$C:$C,"Equipments",Counter!$D:$D,"DevBoat",Counter!$J:$J,"&lt;0")+SUMIFS(MinorBugsBAHLCurrent!$J:$J,MinorBugsBAHLCurrent!$C:$C,"Equipments",MinorBugsBAHLCurrent!$D:$D,"DevBoat",MinorBugsBAHLCurrent!$J:$J,"&lt;0")+SUMIFS(MinorBugsBAHLSaving!$J:$J,MinorBugsBAHLSaving!$C:$C,"Equipments",MinorBugsBAHLSaving!$D:$D,"DevBoat",MinorBugsBAHLSaving!$J:$J,"&lt;0")+SUMIFS(MinorBugsMeezanCurrent!$J:$J,MinorBugsMeezanCurrent!$C:$C,"Equipments",MinorBugsMeezanCurrent!$D:$D,"DevBoat",MinorBugsMeezanCurrent!$J:$J,"&lt;0")+SUMIFS(MintCodeCurrent!$J:$J,MintCodeCurrent!$C:$C,"Equipments",MintCodeCurrent!$D:$D,"DevBoat",MintCodeCurrent!$J:$J,"&lt;0")+SUMIFS(GamesGeeksBAHL!$J:$J,GamesGeeksBAHL!$C:$C,"Equipments",GamesGeeksBAHL!$D:$D,"DevBoat",GamesGeeksBAHL!$J:$J,"&lt;0")+SUMIFS(GamingUniverse!$J:$J,GamingUniverse!$C:$C,"Equipments",GamingUniverse!$D:$D,"DevBoat",GamingUniverse!$J:$J,"&lt;0")+SUMIFS(KashifMeezan!$J:$J,KashifMeezan!$C:$C,"Equipments",KashifMeezan!$D:$D,"DevBoat",KashifMeezan!$J:$J,"&lt;0")+SUMIFS(SaadMeezan!$J:$J,SaadMeezan!$C:$C,"Equipments",SaadMeezan!$D:$D,"DevBoat",SaadMeezan!$J:$J,"&lt;0")+SUMIFS(GameHippoMeezan!$J:$J,GameHippoMeezan!$C:$C,"Equipments",GameHippoMeezan!$D:$D,"DevBoat",GameHippoMeezan!$J:$J,"&lt;0")+SUMIFS(AbdullahMeezan!$J:$J,AbdullahMeezan!$C:$C,"Equipments",AbdullahMeezan!$D:$D,"DevBoat",AbdullahMeezan!$J:$J,"&lt;0")+SUMIFS(GameSol!$J:$J,GameSol!$C:$C,"Equipments",GameSol!$D:$D,"DevBoat",GameSol!$J:$J,"&lt;0")+SUMIFS(CipherWaveWise!$J:$J,CipherWaveWise!$C:$C,"Equipments",CipherWaveWise!$D:$D,"DevBoat",CipherWaveWise!$J:$J,"&lt;0")+SUMIFS(AstroVerse!$J:$J,AstroVerse!$C:$C,"Equipments",AstroVerse!$D:$D,"DevBoat",AstroVerse!$J:$J,"&lt;0"))</f>
        <v>0</v>
      </c>
      <c r="I6" s="1">
        <f t="shared" si="0"/>
        <v>0</v>
      </c>
    </row>
    <row r="7" spans="1:9">
      <c r="A7" t="s">
        <v>10</v>
      </c>
      <c r="B7" s="1">
        <f>-(SUMIFS(MinorBugsRetention!$J:$J,MinorBugsRetention!$C:$C,"CompanyExpense",MinorBugsRetention!$D:$D,"MinorBugs",MinorBugsRetention!$J:$J,"&lt;0")+SUMIFS(MintCodeRetention!$J:$J,MintCodeRetention!$C:$C,"CompanyExpense",MintCodeRetention!$D:$D,"MinorBugs",MintCodeRetention!$J:$J,"&lt;0")+SUMIFS(AlphaRaysFlagStar!$J:$J,AlphaRaysFlagStar!$C:$C,"CompanyExpense",AlphaRaysFlagStar!$D:$D,"MinorBugs",AlphaRaysFlagStar!$J:$J,"&lt;0")+SUMIFS(GloriousWise!$J:$J,GloriousWise!$C:$C,"CompanyExpense",GloriousWise!$D:$D,"MinorBugs",GloriousWise!$J:$J,"&lt;0")+SUMIFS(Counter!$J:$J,Counter!$C:$C,"CompanyExpense",Counter!$D:$D,"MinorBugs",Counter!$J:$J,"&lt;0")+SUMIFS(MinorBugsBAHLCurrent!$J:$J,MinorBugsBAHLCurrent!$C:$C,"CompanyExpense",MinorBugsBAHLCurrent!$D:$D,"MinorBugs",MinorBugsBAHLCurrent!$J:$J,"&lt;0")+SUMIFS(MinorBugsBAHLSaving!$J:$J,MinorBugsBAHLSaving!$C:$C,"CompanyExpense",MinorBugsBAHLSaving!$D:$D,"MinorBugs",MinorBugsBAHLSaving!$J:$J,"&lt;0")+SUMIFS(MinorBugsMeezanCurrent!$J:$J,MinorBugsMeezanCurrent!$C:$C,"CompanyExpense",MinorBugsMeezanCurrent!$D:$D,"MinorBugs",MinorBugsMeezanCurrent!$J:$J,"&lt;0")+SUMIFS(MintCodeCurrent!$J:$J,MintCodeCurrent!$C:$C,"CompanyExpense",MintCodeCurrent!$D:$D,"MinorBugs",MintCodeCurrent!$J:$J,"&lt;0")+SUMIFS(GamesGeeksBAHL!$J:$J,GamesGeeksBAHL!$C:$C,"CompanyExpense",GamesGeeksBAHL!$D:$D,"MinorBugs",GamesGeeksBAHL!$J:$J,"&lt;0")+SUMIFS(GamingUniverse!$J:$J,GamingUniverse!$C:$C,"CompanyExpense",GamingUniverse!$D:$D,"MinorBugs",GamingUniverse!$J:$J,"&lt;0")+SUMIFS(KashifMeezan!$J:$J,KashifMeezan!$C:$C,"CompanyExpense",KashifMeezan!$D:$D,"MinorBugs",KashifMeezan!$J:$J,"&lt;0")+SUMIFS(SaadMeezan!$J:$J,SaadMeezan!$C:$C,"CompanyExpense",SaadMeezan!$D:$D,"MinorBugs",SaadMeezan!$J:$J,"&lt;0")+SUMIFS(GameHippoMeezan!$J:$J,GameHippoMeezan!$C:$C,"CompanyExpense",GameHippoMeezan!$D:$D,"MinorBugs",GameHippoMeezan!$J:$J,"&lt;0")+SUMIFS(AbdullahMeezan!$J:$J,AbdullahMeezan!$C:$C,"CompanyExpense",AbdullahMeezan!$D:$D,"MinorBugs",AbdullahMeezan!$J:$J,"&lt;0")+SUMIFS(GameSol!$J:$J,GameSol!$C:$C,"CompanyExpense",GameSol!$D:$D,"MinorBugs",GameSol!$J:$J,"&lt;0")+SUMIFS(CipherWaveWise!$J:$J,CipherWaveWise!$C:$C,"CompanyExpense",CipherWaveWise!$D:$D,"MinorBugs",CipherWaveWise!$J:$J,"&lt;0")+SUMIFS(AstroVerse!$J:$J,AstroVerse!$C:$C,"CompanyExpense",AstroVerse!$D:$D,"MinorBugs",AstroVerse!$J:$J,"&lt;0"))</f>
        <v>2956.17</v>
      </c>
      <c r="C7" s="1">
        <f>-(SUMIFS(MinorBugsRetention!$J:$J,MinorBugsRetention!$C:$C,"CompanyExpense",MinorBugsRetention!$D:$D,"BraveJackals",MinorBugsRetention!$J:$J,"&lt;0")+SUMIFS(MintCodeRetention!$J:$J,MintCodeRetention!$C:$C,"CompanyExpense",MintCodeRetention!$D:$D,"BraveJackals",MintCodeRetention!$J:$J,"&lt;0")+SUMIFS(AlphaRaysFlagStar!$J:$J,AlphaRaysFlagStar!$C:$C,"CompanyExpense",AlphaRaysFlagStar!$D:$D,"BraveJackals",AlphaRaysFlagStar!$J:$J,"&lt;0")+SUMIFS(GloriousWise!$J:$J,GloriousWise!$C:$C,"CompanyExpense",GloriousWise!$D:$D,"BraveJackals",GloriousWise!$J:$J,"&lt;0")+SUMIFS(Counter!$J:$J,Counter!$C:$C,"CompanyExpense",Counter!$D:$D,"BraveJackals",Counter!$J:$J,"&lt;0")+SUMIFS(MinorBugsBAHLCurrent!$J:$J,MinorBugsBAHLCurrent!$C:$C,"CompanyExpense",MinorBugsBAHLCurrent!$D:$D,"BraveJackals",MinorBugsBAHLCurrent!$J:$J,"&lt;0")+SUMIFS(MinorBugsBAHLSaving!$J:$J,MinorBugsBAHLSaving!$C:$C,"CompanyExpense",MinorBugsBAHLSaving!$D:$D,"BraveJackals",MinorBugsBAHLSaving!$J:$J,"&lt;0")+SUMIFS(MinorBugsMeezanCurrent!$J:$J,MinorBugsMeezanCurrent!$C:$C,"CompanyExpense",MinorBugsMeezanCurrent!$D:$D,"BraveJackals",MinorBugsMeezanCurrent!$J:$J,"&lt;0")+SUMIFS(MintCodeCurrent!$J:$J,MintCodeCurrent!$C:$C,"CompanyExpense",MintCodeCurrent!$D:$D,"BraveJackals",MintCodeCurrent!$J:$J,"&lt;0")+SUMIFS(GamesGeeksBAHL!$J:$J,GamesGeeksBAHL!$C:$C,"CompanyExpense",GamesGeeksBAHL!$D:$D,"BraveJackals",GamesGeeksBAHL!$J:$J,"&lt;0")+SUMIFS(GamingUniverse!$J:$J,GamingUniverse!$C:$C,"CompanyExpense",GamingUniverse!$D:$D,"BraveJackals",GamingUniverse!$J:$J,"&lt;0")+SUMIFS(KashifMeezan!$J:$J,KashifMeezan!$C:$C,"CompanyExpense",KashifMeezan!$D:$D,"BraveJackals",KashifMeezan!$J:$J,"&lt;0")+SUMIFS(SaadMeezan!$J:$J,SaadMeezan!$C:$C,"CompanyExpense",SaadMeezan!$D:$D,"BraveJackals",SaadMeezan!$J:$J,"&lt;0")+SUMIFS(GameHippoMeezan!$J:$J,GameHippoMeezan!$C:$C,"CompanyExpense",GameHippoMeezan!$D:$D,"BraveJackals",GameHippoMeezan!$J:$J,"&lt;0")+SUMIFS(AbdullahMeezan!$J:$J,AbdullahMeezan!$C:$C,"CompanyExpense",AbdullahMeezan!$D:$D,"BraveJackals",AbdullahMeezan!$J:$J,"&lt;0")+SUMIFS(GameSol!$J:$J,GameSol!$C:$C,"CompanyExpense",GameSol!$D:$D,"BraveJackals",GameSol!$J:$J,"&lt;0")+SUMIFS(CipherWaveWise!$J:$J,CipherWaveWise!$C:$C,"CompanyExpense",CipherWaveWise!$D:$D,"BraveJackals",CipherWaveWise!$J:$J,"&lt;0")+SUMIFS(AstroVerse!$J:$J,AstroVerse!$C:$C,"CompanyExpense",AstroVerse!$D:$D,"BraveJackals",AstroVerse!$J:$J,"&lt;0"))</f>
        <v>0</v>
      </c>
      <c r="D7" s="1">
        <f>-(SUMIFS(MinorBugsRetention!$J:$J,MinorBugsRetention!$C:$C,"CompanyExpense",MinorBugsRetention!$D:$D,"GoJins",MinorBugsRetention!$J:$J,"&lt;0")+SUMIFS(MintCodeRetention!$J:$J,MintCodeRetention!$C:$C,"CompanyExpense",MintCodeRetention!$D:$D,"GoJins",MintCodeRetention!$J:$J,"&lt;0")+SUMIFS(AlphaRaysFlagStar!$J:$J,AlphaRaysFlagStar!$C:$C,"CompanyExpense",AlphaRaysFlagStar!$D:$D,"GoJins",AlphaRaysFlagStar!$J:$J,"&lt;0")+SUMIFS(GloriousWise!$J:$J,GloriousWise!$C:$C,"CompanyExpense",GloriousWise!$D:$D,"GoJins",GloriousWise!$J:$J,"&lt;0")+SUMIFS(Counter!$J:$J,Counter!$C:$C,"CompanyExpense",Counter!$D:$D,"GoJins",Counter!$J:$J,"&lt;0")+SUMIFS(MinorBugsBAHLCurrent!$J:$J,MinorBugsBAHLCurrent!$C:$C,"CompanyExpense",MinorBugsBAHLCurrent!$D:$D,"GoJins",MinorBugsBAHLCurrent!$J:$J,"&lt;0")+SUMIFS(MinorBugsBAHLSaving!$J:$J,MinorBugsBAHLSaving!$C:$C,"CompanyExpense",MinorBugsBAHLSaving!$D:$D,"GoJins",MinorBugsBAHLSaving!$J:$J,"&lt;0")+SUMIFS(MinorBugsMeezanCurrent!$J:$J,MinorBugsMeezanCurrent!$C:$C,"CompanyExpense",MinorBugsMeezanCurrent!$D:$D,"GoJins",MinorBugsMeezanCurrent!$J:$J,"&lt;0")+SUMIFS(MintCodeCurrent!$J:$J,MintCodeCurrent!$C:$C,"CompanyExpense",MintCodeCurrent!$D:$D,"GoJins",MintCodeCurrent!$J:$J,"&lt;0")+SUMIFS(GamesGeeksBAHL!$J:$J,GamesGeeksBAHL!$C:$C,"CompanyExpense",GamesGeeksBAHL!$D:$D,"GoJins",GamesGeeksBAHL!$J:$J,"&lt;0")+SUMIFS(GamingUniverse!$J:$J,GamingUniverse!$C:$C,"CompanyExpense",GamingUniverse!$D:$D,"GoJins",GamingUniverse!$J:$J,"&lt;0")+SUMIFS(KashifMeezan!$J:$J,KashifMeezan!$C:$C,"CompanyExpense",KashifMeezan!$D:$D,"GoJins",KashifMeezan!$J:$J,"&lt;0")+SUMIFS(SaadMeezan!$J:$J,SaadMeezan!$C:$C,"CompanyExpense",SaadMeezan!$D:$D,"GoJins",SaadMeezan!$J:$J,"&lt;0")+SUMIFS(GameHippoMeezan!$J:$J,GameHippoMeezan!$C:$C,"CompanyExpense",GameHippoMeezan!$D:$D,"GoJins",GameHippoMeezan!$J:$J,"&lt;0")+SUMIFS(AbdullahMeezan!$J:$J,AbdullahMeezan!$C:$C,"CompanyExpense",AbdullahMeezan!$D:$D,"GoJins",AbdullahMeezan!$J:$J,"&lt;0")+SUMIFS(GameSol!$J:$J,GameSol!$C:$C,"CompanyExpense",GameSol!$D:$D,"GoJins",GameSol!$J:$J,"&lt;0")+SUMIFS(CipherWaveWise!$J:$J,CipherWaveWise!$C:$C,"CompanyExpense",CipherWaveWise!$D:$D,"GoJins",CipherWaveWise!$J:$J,"&lt;0")+SUMIFS(AstroVerse!$J:$J,AstroVerse!$C:$C,"CompanyExpense",AstroVerse!$D:$D,"GoJins",AstroVerse!$J:$J,"&lt;0"))</f>
        <v>0</v>
      </c>
      <c r="E7" s="1">
        <f>-(SUMIFS(MinorBugsRetention!$J:$J,MinorBugsRetention!$C:$C,"CompanyExpense",MinorBugsRetention!$D:$D,"BuggiesKids",MinorBugsRetention!$J:$J,"&lt;0")+SUMIFS(MintCodeRetention!$J:$J,MintCodeRetention!$C:$C,"CompanyExpense",MintCodeRetention!$D:$D,"BuggiesKids",MintCodeRetention!$J:$J,"&lt;0")+SUMIFS(AlphaRaysFlagStar!$J:$J,AlphaRaysFlagStar!$C:$C,"CompanyExpense",AlphaRaysFlagStar!$D:$D,"BuggiesKids",AlphaRaysFlagStar!$J:$J,"&lt;0")+SUMIFS(GloriousWise!$J:$J,GloriousWise!$C:$C,"CompanyExpense",GloriousWise!$D:$D,"BuggiesKids",GloriousWise!$J:$J,"&lt;0")+SUMIFS(Counter!$J:$J,Counter!$C:$C,"CompanyExpense",Counter!$D:$D,"BuggiesKids",Counter!$J:$J,"&lt;0")+SUMIFS(MinorBugsBAHLCurrent!$J:$J,MinorBugsBAHLCurrent!$C:$C,"CompanyExpense",MinorBugsBAHLCurrent!$D:$D,"BuggiesKids",MinorBugsBAHLCurrent!$J:$J,"&lt;0")+SUMIFS(MinorBugsBAHLSaving!$J:$J,MinorBugsBAHLSaving!$C:$C,"CompanyExpense",MinorBugsBAHLSaving!$D:$D,"BuggiesKids",MinorBugsBAHLSaving!$J:$J,"&lt;0")+SUMIFS(MinorBugsMeezanCurrent!$J:$J,MinorBugsMeezanCurrent!$C:$C,"CompanyExpense",MinorBugsMeezanCurrent!$D:$D,"BuggiesKids",MinorBugsMeezanCurrent!$J:$J,"&lt;0")+SUMIFS(MintCodeCurrent!$J:$J,MintCodeCurrent!$C:$C,"CompanyExpense",MintCodeCurrent!$D:$D,"BuggiesKids",MintCodeCurrent!$J:$J,"&lt;0")+SUMIFS(GamesGeeksBAHL!$J:$J,GamesGeeksBAHL!$C:$C,"CompanyExpense",GamesGeeksBAHL!$D:$D,"BuggiesKids",GamesGeeksBAHL!$J:$J,"&lt;0")+SUMIFS(GamingUniverse!$J:$J,GamingUniverse!$C:$C,"CompanyExpense",GamingUniverse!$D:$D,"BuggiesKids",GamingUniverse!$J:$J,"&lt;0")+SUMIFS(KashifMeezan!$J:$J,KashifMeezan!$C:$C,"CompanyExpense",KashifMeezan!$D:$D,"BuggiesKids",KashifMeezan!$J:$J,"&lt;0")+SUMIFS(SaadMeezan!$J:$J,SaadMeezan!$C:$C,"CompanyExpense",SaadMeezan!$D:$D,"BuggiesKids",SaadMeezan!$J:$J,"&lt;0")+SUMIFS(GameHippoMeezan!$J:$J,GameHippoMeezan!$C:$C,"CompanyExpense",GameHippoMeezan!$D:$D,"BuggiesKids",GameHippoMeezan!$J:$J,"&lt;0")+SUMIFS(AbdullahMeezan!$J:$J,AbdullahMeezan!$C:$C,"CompanyExpense",AbdullahMeezan!$D:$D,"BuggiesKids",AbdullahMeezan!$J:$J,"&lt;0")+SUMIFS(GameSol!$J:$J,GameSol!$C:$C,"CompanyExpense",GameSol!$D:$D,"BuggiesKids",GameSol!$J:$J,"&lt;0")+SUMIFS(CipherWaveWise!$J:$J,CipherWaveWise!$C:$C,"CompanyExpense",CipherWaveWise!$D:$D,"BuggiesKids",CipherWaveWise!$J:$J,"&lt;0")+SUMIFS(AstroVerse!$J:$J,AstroVerse!$C:$C,"CompanyExpense",AstroVerse!$D:$D,"BuggiesKids",AstroVerse!$J:$J,"&lt;0"))</f>
        <v>0</v>
      </c>
      <c r="F7" s="1">
        <f>-(SUMIFS(MinorBugsRetention!$J:$J,MinorBugsRetention!$C:$C,"CompanyExpense",MinorBugsRetention!$D:$D,"GameHippo",MinorBugsRetention!$J:$J,"&lt;0")+SUMIFS(MintCodeRetention!$J:$J,MintCodeRetention!$C:$C,"CompanyExpense",MintCodeRetention!$D:$D,"GameHippo",MintCodeRetention!$J:$J,"&lt;0")+SUMIFS(AlphaRaysFlagStar!$J:$J,AlphaRaysFlagStar!$C:$C,"CompanyExpense",AlphaRaysFlagStar!$D:$D,"GameHippo",AlphaRaysFlagStar!$J:$J,"&lt;0")+SUMIFS(GloriousWise!$J:$J,GloriousWise!$C:$C,"CompanyExpense",GloriousWise!$D:$D,"GameHippo",GloriousWise!$J:$J,"&lt;0")+SUMIFS(Counter!$J:$J,Counter!$C:$C,"CompanyExpense",Counter!$D:$D,"GameHippo",Counter!$J:$J,"&lt;0")+SUMIFS(MinorBugsBAHLCurrent!$J:$J,MinorBugsBAHLCurrent!$C:$C,"CompanyExpense",MinorBugsBAHLCurrent!$D:$D,"GameHippo",MinorBugsBAHLCurrent!$J:$J,"&lt;0")+SUMIFS(MinorBugsBAHLSaving!$J:$J,MinorBugsBAHLSaving!$C:$C,"CompanyExpense",MinorBugsBAHLSaving!$D:$D,"GameHippo",MinorBugsBAHLSaving!$J:$J,"&lt;0")+SUMIFS(MinorBugsMeezanCurrent!$J:$J,MinorBugsMeezanCurrent!$C:$C,"CompanyExpense",MinorBugsMeezanCurrent!$D:$D,"GameHippo",MinorBugsMeezanCurrent!$J:$J,"&lt;0")+SUMIFS(MintCodeCurrent!$J:$J,MintCodeCurrent!$C:$C,"CompanyExpense",MintCodeCurrent!$D:$D,"GameHippo",MintCodeCurrent!$J:$J,"&lt;0")+SUMIFS(GamesGeeksBAHL!$J:$J,GamesGeeksBAHL!$C:$C,"CompanyExpense",GamesGeeksBAHL!$D:$D,"GameHippo",GamesGeeksBAHL!$J:$J,"&lt;0")+SUMIFS(GamingUniverse!$J:$J,GamingUniverse!$C:$C,"CompanyExpense",GamingUniverse!$D:$D,"GameHippo",GamingUniverse!$J:$J,"&lt;0")+SUMIFS(KashifMeezan!$J:$J,KashifMeezan!$C:$C,"CompanyExpense",KashifMeezan!$D:$D,"GameHippo",KashifMeezan!$J:$J,"&lt;0")+SUMIFS(SaadMeezan!$J:$J,SaadMeezan!$C:$C,"CompanyExpense",SaadMeezan!$D:$D,"GameHippo",SaadMeezan!$J:$J,"&lt;0")+SUMIFS(GameHippoMeezan!$J:$J,GameHippoMeezan!$C:$C,"CompanyExpense",GameHippoMeezan!$D:$D,"GameHippo",GameHippoMeezan!$J:$J,"&lt;0")+SUMIFS(AbdullahMeezan!$J:$J,AbdullahMeezan!$C:$C,"CompanyExpense",AbdullahMeezan!$D:$D,"GameHippo",AbdullahMeezan!$J:$J,"&lt;0")+SUMIFS(GameSol!$J:$J,GameSol!$C:$C,"CompanyExpense",GameSol!$D:$D,"GameHippo",GameSol!$J:$J,"&lt;0")+SUMIFS(CipherWaveWise!$J:$J,CipherWaveWise!$C:$C,"CompanyExpense",CipherWaveWise!$D:$D,"GameHippo",CipherWaveWise!$J:$J,"&lt;0")+SUMIFS(AstroVerse!$J:$J,AstroVerse!$C:$C,"CompanyExpense",AstroVerse!$D:$D,"GameHippo",AstroVerse!$J:$J,"&lt;0"))</f>
        <v>0</v>
      </c>
      <c r="G7" s="1">
        <f>-(SUMIFS(MinorBugsRetention!$J:$J,MinorBugsRetention!$C:$C,"CompanyExpense",MinorBugsRetention!$D:$D,"Frentech",MinorBugsRetention!$J:$J,"&lt;0")+SUMIFS(MintCodeRetention!$J:$J,MintCodeRetention!$C:$C,"CompanyExpense",MintCodeRetention!$D:$D,"Frentech",MintCodeRetention!$J:$J,"&lt;0")+SUMIFS(AlphaRaysFlagStar!$J:$J,AlphaRaysFlagStar!$C:$C,"CompanyExpense",AlphaRaysFlagStar!$D:$D,"Frentech",AlphaRaysFlagStar!$J:$J,"&lt;0")+SUMIFS(GloriousWise!$J:$J,GloriousWise!$C:$C,"CompanyExpense",GloriousWise!$D:$D,"Frentech",GloriousWise!$J:$J,"&lt;0")+SUMIFS(Counter!$J:$J,Counter!$C:$C,"CompanyExpense",Counter!$D:$D,"Frentech",Counter!$J:$J,"&lt;0")+SUMIFS(MinorBugsBAHLCurrent!$J:$J,MinorBugsBAHLCurrent!$C:$C,"CompanyExpense",MinorBugsBAHLCurrent!$D:$D,"Frentech",MinorBugsBAHLCurrent!$J:$J,"&lt;0")+SUMIFS(MinorBugsBAHLSaving!$J:$J,MinorBugsBAHLSaving!$C:$C,"CompanyExpense",MinorBugsBAHLSaving!$D:$D,"Frentech",MinorBugsBAHLSaving!$J:$J,"&lt;0")+SUMIFS(MinorBugsMeezanCurrent!$J:$J,MinorBugsMeezanCurrent!$C:$C,"CompanyExpense",MinorBugsMeezanCurrent!$D:$D,"Frentech",MinorBugsMeezanCurrent!$J:$J,"&lt;0")+SUMIFS(MintCodeCurrent!$J:$J,MintCodeCurrent!$C:$C,"CompanyExpense",MintCodeCurrent!$D:$D,"Frentech",MintCodeCurrent!$J:$J,"&lt;0")+SUMIFS(GamesGeeksBAHL!$J:$J,GamesGeeksBAHL!$C:$C,"CompanyExpense",GamesGeeksBAHL!$D:$D,"Frentech",GamesGeeksBAHL!$J:$J,"&lt;0")+SUMIFS(GamingUniverse!$J:$J,GamingUniverse!$C:$C,"CompanyExpense",GamingUniverse!$D:$D,"Frentech",GamingUniverse!$J:$J,"&lt;0")+SUMIFS(KashifMeezan!$J:$J,KashifMeezan!$C:$C,"CompanyExpense",KashifMeezan!$D:$D,"Frentech",KashifMeezan!$J:$J,"&lt;0")+SUMIFS(SaadMeezan!$J:$J,SaadMeezan!$C:$C,"CompanyExpense",SaadMeezan!$D:$D,"Frentech",SaadMeezan!$J:$J,"&lt;0")+SUMIFS(GameHippoMeezan!$J:$J,GameHippoMeezan!$C:$C,"CompanyExpense",GameHippoMeezan!$D:$D,"Frentech",GameHippoMeezan!$J:$J,"&lt;0")+SUMIFS(AbdullahMeezan!$J:$J,AbdullahMeezan!$C:$C,"CompanyExpense",AbdullahMeezan!$D:$D,"Frentech",AbdullahMeezan!$J:$J,"&lt;0")+SUMIFS(GameSol!$J:$J,GameSol!$C:$C,"CompanyExpense",GameSol!$D:$D,"Frentech",GameSol!$J:$J,"&lt;0")+SUMIFS(CipherWaveWise!$J:$J,CipherWaveWise!$C:$C,"CompanyExpense",CipherWaveWise!$D:$D,"Frentech",CipherWaveWise!$J:$J,"&lt;0")+SUMIFS(AstroVerse!$J:$J,AstroVerse!$C:$C,"CompanyExpense",AstroVerse!$D:$D,"Frentech",AstroVerse!$J:$J,"&lt;0"))</f>
        <v>0</v>
      </c>
      <c r="H7" s="1">
        <f>-(SUMIFS(MinorBugsRetention!$J:$J,MinorBugsRetention!$C:$C,"CompanyExpense",MinorBugsRetention!$D:$D,"DevBoat",MinorBugsRetention!$J:$J,"&lt;0")+SUMIFS(MintCodeRetention!$J:$J,MintCodeRetention!$C:$C,"CompanyExpense",MintCodeRetention!$D:$D,"DevBoat",MintCodeRetention!$J:$J,"&lt;0")+SUMIFS(AlphaRaysFlagStar!$J:$J,AlphaRaysFlagStar!$C:$C,"CompanyExpense",AlphaRaysFlagStar!$D:$D,"DevBoat",AlphaRaysFlagStar!$J:$J,"&lt;0")+SUMIFS(GloriousWise!$J:$J,GloriousWise!$C:$C,"CompanyExpense",GloriousWise!$D:$D,"DevBoat",GloriousWise!$J:$J,"&lt;0")+SUMIFS(Counter!$J:$J,Counter!$C:$C,"CompanyExpense",Counter!$D:$D,"DevBoat",Counter!$J:$J,"&lt;0")+SUMIFS(MinorBugsBAHLCurrent!$J:$J,MinorBugsBAHLCurrent!$C:$C,"CompanyExpense",MinorBugsBAHLCurrent!$D:$D,"DevBoat",MinorBugsBAHLCurrent!$J:$J,"&lt;0")+SUMIFS(MinorBugsBAHLSaving!$J:$J,MinorBugsBAHLSaving!$C:$C,"CompanyExpense",MinorBugsBAHLSaving!$D:$D,"DevBoat",MinorBugsBAHLSaving!$J:$J,"&lt;0")+SUMIFS(MinorBugsMeezanCurrent!$J:$J,MinorBugsMeezanCurrent!$C:$C,"CompanyExpense",MinorBugsMeezanCurrent!$D:$D,"DevBoat",MinorBugsMeezanCurrent!$J:$J,"&lt;0")+SUMIFS(MintCodeCurrent!$J:$J,MintCodeCurrent!$C:$C,"CompanyExpense",MintCodeCurrent!$D:$D,"DevBoat",MintCodeCurrent!$J:$J,"&lt;0")+SUMIFS(GamesGeeksBAHL!$J:$J,GamesGeeksBAHL!$C:$C,"CompanyExpense",GamesGeeksBAHL!$D:$D,"DevBoat",GamesGeeksBAHL!$J:$J,"&lt;0")+SUMIFS(GamingUniverse!$J:$J,GamingUniverse!$C:$C,"CompanyExpense",GamingUniverse!$D:$D,"DevBoat",GamingUniverse!$J:$J,"&lt;0")+SUMIFS(KashifMeezan!$J:$J,KashifMeezan!$C:$C,"CompanyExpense",KashifMeezan!$D:$D,"DevBoat",KashifMeezan!$J:$J,"&lt;0")+SUMIFS(SaadMeezan!$J:$J,SaadMeezan!$C:$C,"CompanyExpense",SaadMeezan!$D:$D,"DevBoat",SaadMeezan!$J:$J,"&lt;0")+SUMIFS(GameHippoMeezan!$J:$J,GameHippoMeezan!$C:$C,"CompanyExpense",GameHippoMeezan!$D:$D,"DevBoat",GameHippoMeezan!$J:$J,"&lt;0")+SUMIFS(AbdullahMeezan!$J:$J,AbdullahMeezan!$C:$C,"CompanyExpense",AbdullahMeezan!$D:$D,"DevBoat",AbdullahMeezan!$J:$J,"&lt;0")+SUMIFS(GameSol!$J:$J,GameSol!$C:$C,"CompanyExpense",GameSol!$D:$D,"DevBoat",GameSol!$J:$J,"&lt;0")+SUMIFS(CipherWaveWise!$J:$J,CipherWaveWise!$C:$C,"CompanyExpense",CipherWaveWise!$D:$D,"DevBoat",CipherWaveWise!$J:$J,"&lt;0")+SUMIFS(AstroVerse!$J:$J,AstroVerse!$C:$C,"CompanyExpense",AstroVerse!$D:$D,"DevBoat",AstroVerse!$J:$J,"&lt;0"))</f>
        <v>0</v>
      </c>
      <c r="I7" s="1">
        <f t="shared" si="0"/>
        <v>2956.17</v>
      </c>
    </row>
    <row r="8" spans="1:9">
      <c r="A8" t="s">
        <v>11</v>
      </c>
      <c r="B8" s="1">
        <f>-(SUMIFS(MinorBugsRetention!$J:$J,MinorBugsRetention!$C:$C,"Donation",MinorBugsRetention!$D:$D,"MinorBugs",MinorBugsRetention!$J:$J,"&lt;0")+SUMIFS(MintCodeRetention!$J:$J,MintCodeRetention!$C:$C,"Donation",MintCodeRetention!$D:$D,"MinorBugs",MintCodeRetention!$J:$J,"&lt;0")+SUMIFS(AlphaRaysFlagStar!$J:$J,AlphaRaysFlagStar!$C:$C,"Donation",AlphaRaysFlagStar!$D:$D,"MinorBugs",AlphaRaysFlagStar!$J:$J,"&lt;0")+SUMIFS(GloriousWise!$J:$J,GloriousWise!$C:$C,"Donation",GloriousWise!$D:$D,"MinorBugs",GloriousWise!$J:$J,"&lt;0")+SUMIFS(Counter!$J:$J,Counter!$C:$C,"Donation",Counter!$D:$D,"MinorBugs",Counter!$J:$J,"&lt;0")+SUMIFS(MinorBugsBAHLCurrent!$J:$J,MinorBugsBAHLCurrent!$C:$C,"Donation",MinorBugsBAHLCurrent!$D:$D,"MinorBugs",MinorBugsBAHLCurrent!$J:$J,"&lt;0")+SUMIFS(MinorBugsBAHLSaving!$J:$J,MinorBugsBAHLSaving!$C:$C,"Donation",MinorBugsBAHLSaving!$D:$D,"MinorBugs",MinorBugsBAHLSaving!$J:$J,"&lt;0")+SUMIFS(MinorBugsMeezanCurrent!$J:$J,MinorBugsMeezanCurrent!$C:$C,"Donation",MinorBugsMeezanCurrent!$D:$D,"MinorBugs",MinorBugsMeezanCurrent!$J:$J,"&lt;0")+SUMIFS(MintCodeCurrent!$J:$J,MintCodeCurrent!$C:$C,"Donation",MintCodeCurrent!$D:$D,"MinorBugs",MintCodeCurrent!$J:$J,"&lt;0")+SUMIFS(GamesGeeksBAHL!$J:$J,GamesGeeksBAHL!$C:$C,"Donation",GamesGeeksBAHL!$D:$D,"MinorBugs",GamesGeeksBAHL!$J:$J,"&lt;0")+SUMIFS(GamingUniverse!$J:$J,GamingUniverse!$C:$C,"Donation",GamingUniverse!$D:$D,"MinorBugs",GamingUniverse!$J:$J,"&lt;0")+SUMIFS(KashifMeezan!$J:$J,KashifMeezan!$C:$C,"Donation",KashifMeezan!$D:$D,"MinorBugs",KashifMeezan!$J:$J,"&lt;0")+SUMIFS(SaadMeezan!$J:$J,SaadMeezan!$C:$C,"Donation",SaadMeezan!$D:$D,"MinorBugs",SaadMeezan!$J:$J,"&lt;0")+SUMIFS(GameHippoMeezan!$J:$J,GameHippoMeezan!$C:$C,"Donation",GameHippoMeezan!$D:$D,"MinorBugs",GameHippoMeezan!$J:$J,"&lt;0")+SUMIFS(AbdullahMeezan!$J:$J,AbdullahMeezan!$C:$C,"Donation",AbdullahMeezan!$D:$D,"MinorBugs",AbdullahMeezan!$J:$J,"&lt;0")+SUMIFS(GameSol!$J:$J,GameSol!$C:$C,"Donation",GameSol!$D:$D,"MinorBugs",GameSol!$J:$J,"&lt;0")+SUMIFS(CipherWaveWise!$J:$J,CipherWaveWise!$C:$C,"Donation",CipherWaveWise!$D:$D,"MinorBugs",CipherWaveWise!$J:$J,"&lt;0")+SUMIFS(AstroVerse!$J:$J,AstroVerse!$C:$C,"Donation",AstroVerse!$D:$D,"MinorBugs",AstroVerse!$J:$J,"&lt;0"))</f>
        <v>65065</v>
      </c>
      <c r="C8" s="1">
        <f>-(SUMIFS(MinorBugsRetention!$J:$J,MinorBugsRetention!$C:$C,"Donation",MinorBugsRetention!$D:$D,"BraveJackals",MinorBugsRetention!$J:$J,"&lt;0")+SUMIFS(MintCodeRetention!$J:$J,MintCodeRetention!$C:$C,"Donation",MintCodeRetention!$D:$D,"BraveJackals",MintCodeRetention!$J:$J,"&lt;0")+SUMIFS(AlphaRaysFlagStar!$J:$J,AlphaRaysFlagStar!$C:$C,"Donation",AlphaRaysFlagStar!$D:$D,"BraveJackals",AlphaRaysFlagStar!$J:$J,"&lt;0")+SUMIFS(GloriousWise!$J:$J,GloriousWise!$C:$C,"Donation",GloriousWise!$D:$D,"BraveJackals",GloriousWise!$J:$J,"&lt;0")+SUMIFS(Counter!$J:$J,Counter!$C:$C,"Donation",Counter!$D:$D,"BraveJackals",Counter!$J:$J,"&lt;0")+SUMIFS(MinorBugsBAHLCurrent!$J:$J,MinorBugsBAHLCurrent!$C:$C,"Donation",MinorBugsBAHLCurrent!$D:$D,"BraveJackals",MinorBugsBAHLCurrent!$J:$J,"&lt;0")+SUMIFS(MinorBugsBAHLSaving!$J:$J,MinorBugsBAHLSaving!$C:$C,"Donation",MinorBugsBAHLSaving!$D:$D,"BraveJackals",MinorBugsBAHLSaving!$J:$J,"&lt;0")+SUMIFS(MinorBugsMeezanCurrent!$J:$J,MinorBugsMeezanCurrent!$C:$C,"Donation",MinorBugsMeezanCurrent!$D:$D,"BraveJackals",MinorBugsMeezanCurrent!$J:$J,"&lt;0")+SUMIFS(MintCodeCurrent!$J:$J,MintCodeCurrent!$C:$C,"Donation",MintCodeCurrent!$D:$D,"BraveJackals",MintCodeCurrent!$J:$J,"&lt;0")+SUMIFS(GamesGeeksBAHL!$J:$J,GamesGeeksBAHL!$C:$C,"Donation",GamesGeeksBAHL!$D:$D,"BraveJackals",GamesGeeksBAHL!$J:$J,"&lt;0")+SUMIFS(GamingUniverse!$J:$J,GamingUniverse!$C:$C,"Donation",GamingUniverse!$D:$D,"BraveJackals",GamingUniverse!$J:$J,"&lt;0")+SUMIFS(KashifMeezan!$J:$J,KashifMeezan!$C:$C,"Donation",KashifMeezan!$D:$D,"BraveJackals",KashifMeezan!$J:$J,"&lt;0")+SUMIFS(SaadMeezan!$J:$J,SaadMeezan!$C:$C,"Donation",SaadMeezan!$D:$D,"BraveJackals",SaadMeezan!$J:$J,"&lt;0")+SUMIFS(GameHippoMeezan!$J:$J,GameHippoMeezan!$C:$C,"Donation",GameHippoMeezan!$D:$D,"BraveJackals",GameHippoMeezan!$J:$J,"&lt;0")+SUMIFS(AbdullahMeezan!$J:$J,AbdullahMeezan!$C:$C,"Donation",AbdullahMeezan!$D:$D,"BraveJackals",AbdullahMeezan!$J:$J,"&lt;0")+SUMIFS(GameSol!$J:$J,GameSol!$C:$C,"Donation",GameSol!$D:$D,"BraveJackals",GameSol!$J:$J,"&lt;0")+SUMIFS(CipherWaveWise!$J:$J,CipherWaveWise!$C:$C,"Donation",CipherWaveWise!$D:$D,"BraveJackals",CipherWaveWise!$J:$J,"&lt;0")+SUMIFS(AstroVerse!$J:$J,AstroVerse!$C:$C,"Donation",AstroVerse!$D:$D,"BraveJackals",AstroVerse!$J:$J,"&lt;0"))</f>
        <v>0</v>
      </c>
      <c r="D8" s="1">
        <f>-(SUMIFS(MinorBugsRetention!$J:$J,MinorBugsRetention!$C:$C,"Donation",MinorBugsRetention!$D:$D,"GoJins",MinorBugsRetention!$J:$J,"&lt;0")+SUMIFS(MintCodeRetention!$J:$J,MintCodeRetention!$C:$C,"Donation",MintCodeRetention!$D:$D,"GoJins",MintCodeRetention!$J:$J,"&lt;0")+SUMIFS(AlphaRaysFlagStar!$J:$J,AlphaRaysFlagStar!$C:$C,"Donation",AlphaRaysFlagStar!$D:$D,"GoJins",AlphaRaysFlagStar!$J:$J,"&lt;0")+SUMIFS(GloriousWise!$J:$J,GloriousWise!$C:$C,"Donation",GloriousWise!$D:$D,"GoJins",GloriousWise!$J:$J,"&lt;0")+SUMIFS(Counter!$J:$J,Counter!$C:$C,"Donation",Counter!$D:$D,"GoJins",Counter!$J:$J,"&lt;0")+SUMIFS(MinorBugsBAHLCurrent!$J:$J,MinorBugsBAHLCurrent!$C:$C,"Donation",MinorBugsBAHLCurrent!$D:$D,"GoJins",MinorBugsBAHLCurrent!$J:$J,"&lt;0")+SUMIFS(MinorBugsBAHLSaving!$J:$J,MinorBugsBAHLSaving!$C:$C,"Donation",MinorBugsBAHLSaving!$D:$D,"GoJins",MinorBugsBAHLSaving!$J:$J,"&lt;0")+SUMIFS(MinorBugsMeezanCurrent!$J:$J,MinorBugsMeezanCurrent!$C:$C,"Donation",MinorBugsMeezanCurrent!$D:$D,"GoJins",MinorBugsMeezanCurrent!$J:$J,"&lt;0")+SUMIFS(MintCodeCurrent!$J:$J,MintCodeCurrent!$C:$C,"Donation",MintCodeCurrent!$D:$D,"GoJins",MintCodeCurrent!$J:$J,"&lt;0")+SUMIFS(GamesGeeksBAHL!$J:$J,GamesGeeksBAHL!$C:$C,"Donation",GamesGeeksBAHL!$D:$D,"GoJins",GamesGeeksBAHL!$J:$J,"&lt;0")+SUMIFS(GamingUniverse!$J:$J,GamingUniverse!$C:$C,"Donation",GamingUniverse!$D:$D,"GoJins",GamingUniverse!$J:$J,"&lt;0")+SUMIFS(KashifMeezan!$J:$J,KashifMeezan!$C:$C,"Donation",KashifMeezan!$D:$D,"GoJins",KashifMeezan!$J:$J,"&lt;0")+SUMIFS(SaadMeezan!$J:$J,SaadMeezan!$C:$C,"Donation",SaadMeezan!$D:$D,"GoJins",SaadMeezan!$J:$J,"&lt;0")+SUMIFS(GameHippoMeezan!$J:$J,GameHippoMeezan!$C:$C,"Donation",GameHippoMeezan!$D:$D,"GoJins",GameHippoMeezan!$J:$J,"&lt;0")+SUMIFS(AbdullahMeezan!$J:$J,AbdullahMeezan!$C:$C,"Donation",AbdullahMeezan!$D:$D,"GoJins",AbdullahMeezan!$J:$J,"&lt;0")+SUMIFS(GameSol!$J:$J,GameSol!$C:$C,"Donation",GameSol!$D:$D,"GoJins",GameSol!$J:$J,"&lt;0")+SUMIFS(CipherWaveWise!$J:$J,CipherWaveWise!$C:$C,"Donation",CipherWaveWise!$D:$D,"GoJins",CipherWaveWise!$J:$J,"&lt;0")+SUMIFS(AstroVerse!$J:$J,AstroVerse!$C:$C,"Donation",AstroVerse!$D:$D,"GoJins",AstroVerse!$J:$J,"&lt;0"))</f>
        <v>0</v>
      </c>
      <c r="E8" s="1">
        <f>-(SUMIFS(MinorBugsRetention!$J:$J,MinorBugsRetention!$C:$C,"Donation",MinorBugsRetention!$D:$D,"BuggiesKids",MinorBugsRetention!$J:$J,"&lt;0")+SUMIFS(MintCodeRetention!$J:$J,MintCodeRetention!$C:$C,"Donation",MintCodeRetention!$D:$D,"BuggiesKids",MintCodeRetention!$J:$J,"&lt;0")+SUMIFS(AlphaRaysFlagStar!$J:$J,AlphaRaysFlagStar!$C:$C,"Donation",AlphaRaysFlagStar!$D:$D,"BuggiesKids",AlphaRaysFlagStar!$J:$J,"&lt;0")+SUMIFS(GloriousWise!$J:$J,GloriousWise!$C:$C,"Donation",GloriousWise!$D:$D,"BuggiesKids",GloriousWise!$J:$J,"&lt;0")+SUMIFS(Counter!$J:$J,Counter!$C:$C,"Donation",Counter!$D:$D,"BuggiesKids",Counter!$J:$J,"&lt;0")+SUMIFS(MinorBugsBAHLCurrent!$J:$J,MinorBugsBAHLCurrent!$C:$C,"Donation",MinorBugsBAHLCurrent!$D:$D,"BuggiesKids",MinorBugsBAHLCurrent!$J:$J,"&lt;0")+SUMIFS(MinorBugsBAHLSaving!$J:$J,MinorBugsBAHLSaving!$C:$C,"Donation",MinorBugsBAHLSaving!$D:$D,"BuggiesKids",MinorBugsBAHLSaving!$J:$J,"&lt;0")+SUMIFS(MinorBugsMeezanCurrent!$J:$J,MinorBugsMeezanCurrent!$C:$C,"Donation",MinorBugsMeezanCurrent!$D:$D,"BuggiesKids",MinorBugsMeezanCurrent!$J:$J,"&lt;0")+SUMIFS(MintCodeCurrent!$J:$J,MintCodeCurrent!$C:$C,"Donation",MintCodeCurrent!$D:$D,"BuggiesKids",MintCodeCurrent!$J:$J,"&lt;0")+SUMIFS(GamesGeeksBAHL!$J:$J,GamesGeeksBAHL!$C:$C,"Donation",GamesGeeksBAHL!$D:$D,"BuggiesKids",GamesGeeksBAHL!$J:$J,"&lt;0")+SUMIFS(GamingUniverse!$J:$J,GamingUniverse!$C:$C,"Donation",GamingUniverse!$D:$D,"BuggiesKids",GamingUniverse!$J:$J,"&lt;0")+SUMIFS(KashifMeezan!$J:$J,KashifMeezan!$C:$C,"Donation",KashifMeezan!$D:$D,"BuggiesKids",KashifMeezan!$J:$J,"&lt;0")+SUMIFS(SaadMeezan!$J:$J,SaadMeezan!$C:$C,"Donation",SaadMeezan!$D:$D,"BuggiesKids",SaadMeezan!$J:$J,"&lt;0")+SUMIFS(GameHippoMeezan!$J:$J,GameHippoMeezan!$C:$C,"Donation",GameHippoMeezan!$D:$D,"BuggiesKids",GameHippoMeezan!$J:$J,"&lt;0")+SUMIFS(AbdullahMeezan!$J:$J,AbdullahMeezan!$C:$C,"Donation",AbdullahMeezan!$D:$D,"BuggiesKids",AbdullahMeezan!$J:$J,"&lt;0")+SUMIFS(GameSol!$J:$J,GameSol!$C:$C,"Donation",GameSol!$D:$D,"BuggiesKids",GameSol!$J:$J,"&lt;0")+SUMIFS(CipherWaveWise!$J:$J,CipherWaveWise!$C:$C,"Donation",CipherWaveWise!$D:$D,"BuggiesKids",CipherWaveWise!$J:$J,"&lt;0")+SUMIFS(AstroVerse!$J:$J,AstroVerse!$C:$C,"Donation",AstroVerse!$D:$D,"BuggiesKids",AstroVerse!$J:$J,"&lt;0"))</f>
        <v>0</v>
      </c>
      <c r="F8" s="1">
        <f>-(SUMIFS(MinorBugsRetention!$J:$J,MinorBugsRetention!$C:$C,"Donation",MinorBugsRetention!$D:$D,"GameHippo",MinorBugsRetention!$J:$J,"&lt;0")+SUMIFS(MintCodeRetention!$J:$J,MintCodeRetention!$C:$C,"Donation",MintCodeRetention!$D:$D,"GameHippo",MintCodeRetention!$J:$J,"&lt;0")+SUMIFS(AlphaRaysFlagStar!$J:$J,AlphaRaysFlagStar!$C:$C,"Donation",AlphaRaysFlagStar!$D:$D,"GameHippo",AlphaRaysFlagStar!$J:$J,"&lt;0")+SUMIFS(GloriousWise!$J:$J,GloriousWise!$C:$C,"Donation",GloriousWise!$D:$D,"GameHippo",GloriousWise!$J:$J,"&lt;0")+SUMIFS(Counter!$J:$J,Counter!$C:$C,"Donation",Counter!$D:$D,"GameHippo",Counter!$J:$J,"&lt;0")+SUMIFS(MinorBugsBAHLCurrent!$J:$J,MinorBugsBAHLCurrent!$C:$C,"Donation",MinorBugsBAHLCurrent!$D:$D,"GameHippo",MinorBugsBAHLCurrent!$J:$J,"&lt;0")+SUMIFS(MinorBugsBAHLSaving!$J:$J,MinorBugsBAHLSaving!$C:$C,"Donation",MinorBugsBAHLSaving!$D:$D,"GameHippo",MinorBugsBAHLSaving!$J:$J,"&lt;0")+SUMIFS(MinorBugsMeezanCurrent!$J:$J,MinorBugsMeezanCurrent!$C:$C,"Donation",MinorBugsMeezanCurrent!$D:$D,"GameHippo",MinorBugsMeezanCurrent!$J:$J,"&lt;0")+SUMIFS(MintCodeCurrent!$J:$J,MintCodeCurrent!$C:$C,"Donation",MintCodeCurrent!$D:$D,"GameHippo",MintCodeCurrent!$J:$J,"&lt;0")+SUMIFS(GamesGeeksBAHL!$J:$J,GamesGeeksBAHL!$C:$C,"Donation",GamesGeeksBAHL!$D:$D,"GameHippo",GamesGeeksBAHL!$J:$J,"&lt;0")+SUMIFS(GamingUniverse!$J:$J,GamingUniverse!$C:$C,"Donation",GamingUniverse!$D:$D,"GameHippo",GamingUniverse!$J:$J,"&lt;0")+SUMIFS(KashifMeezan!$J:$J,KashifMeezan!$C:$C,"Donation",KashifMeezan!$D:$D,"GameHippo",KashifMeezan!$J:$J,"&lt;0")+SUMIFS(SaadMeezan!$J:$J,SaadMeezan!$C:$C,"Donation",SaadMeezan!$D:$D,"GameHippo",SaadMeezan!$J:$J,"&lt;0")+SUMIFS(GameHippoMeezan!$J:$J,GameHippoMeezan!$C:$C,"Donation",GameHippoMeezan!$D:$D,"GameHippo",GameHippoMeezan!$J:$J,"&lt;0")+SUMIFS(AbdullahMeezan!$J:$J,AbdullahMeezan!$C:$C,"Donation",AbdullahMeezan!$D:$D,"GameHippo",AbdullahMeezan!$J:$J,"&lt;0")+SUMIFS(GameSol!$J:$J,GameSol!$C:$C,"Donation",GameSol!$D:$D,"GameHippo",GameSol!$J:$J,"&lt;0")+SUMIFS(CipherWaveWise!$J:$J,CipherWaveWise!$C:$C,"Donation",CipherWaveWise!$D:$D,"GameHippo",CipherWaveWise!$J:$J,"&lt;0")+SUMIFS(AstroVerse!$J:$J,AstroVerse!$C:$C,"Donation",AstroVerse!$D:$D,"GameHippo",AstroVerse!$J:$J,"&lt;0"))</f>
        <v>0</v>
      </c>
      <c r="G8" s="1">
        <f>-(SUMIFS(MinorBugsRetention!$J:$J,MinorBugsRetention!$C:$C,"Donation",MinorBugsRetention!$D:$D,"Frentech",MinorBugsRetention!$J:$J,"&lt;0")+SUMIFS(MintCodeRetention!$J:$J,MintCodeRetention!$C:$C,"Donation",MintCodeRetention!$D:$D,"Frentech",MintCodeRetention!$J:$J,"&lt;0")+SUMIFS(AlphaRaysFlagStar!$J:$J,AlphaRaysFlagStar!$C:$C,"Donation",AlphaRaysFlagStar!$D:$D,"Frentech",AlphaRaysFlagStar!$J:$J,"&lt;0")+SUMIFS(GloriousWise!$J:$J,GloriousWise!$C:$C,"Donation",GloriousWise!$D:$D,"Frentech",GloriousWise!$J:$J,"&lt;0")+SUMIFS(Counter!$J:$J,Counter!$C:$C,"Donation",Counter!$D:$D,"Frentech",Counter!$J:$J,"&lt;0")+SUMIFS(MinorBugsBAHLCurrent!$J:$J,MinorBugsBAHLCurrent!$C:$C,"Donation",MinorBugsBAHLCurrent!$D:$D,"Frentech",MinorBugsBAHLCurrent!$J:$J,"&lt;0")+SUMIFS(MinorBugsBAHLSaving!$J:$J,MinorBugsBAHLSaving!$C:$C,"Donation",MinorBugsBAHLSaving!$D:$D,"Frentech",MinorBugsBAHLSaving!$J:$J,"&lt;0")+SUMIFS(MinorBugsMeezanCurrent!$J:$J,MinorBugsMeezanCurrent!$C:$C,"Donation",MinorBugsMeezanCurrent!$D:$D,"Frentech",MinorBugsMeezanCurrent!$J:$J,"&lt;0")+SUMIFS(MintCodeCurrent!$J:$J,MintCodeCurrent!$C:$C,"Donation",MintCodeCurrent!$D:$D,"Frentech",MintCodeCurrent!$J:$J,"&lt;0")+SUMIFS(GamesGeeksBAHL!$J:$J,GamesGeeksBAHL!$C:$C,"Donation",GamesGeeksBAHL!$D:$D,"Frentech",GamesGeeksBAHL!$J:$J,"&lt;0")+SUMIFS(GamingUniverse!$J:$J,GamingUniverse!$C:$C,"Donation",GamingUniverse!$D:$D,"Frentech",GamingUniverse!$J:$J,"&lt;0")+SUMIFS(KashifMeezan!$J:$J,KashifMeezan!$C:$C,"Donation",KashifMeezan!$D:$D,"Frentech",KashifMeezan!$J:$J,"&lt;0")+SUMIFS(SaadMeezan!$J:$J,SaadMeezan!$C:$C,"Donation",SaadMeezan!$D:$D,"Frentech",SaadMeezan!$J:$J,"&lt;0")+SUMIFS(GameHippoMeezan!$J:$J,GameHippoMeezan!$C:$C,"Donation",GameHippoMeezan!$D:$D,"Frentech",GameHippoMeezan!$J:$J,"&lt;0")+SUMIFS(AbdullahMeezan!$J:$J,AbdullahMeezan!$C:$C,"Donation",AbdullahMeezan!$D:$D,"Frentech",AbdullahMeezan!$J:$J,"&lt;0")+SUMIFS(GameSol!$J:$J,GameSol!$C:$C,"Donation",GameSol!$D:$D,"Frentech",GameSol!$J:$J,"&lt;0")+SUMIFS(CipherWaveWise!$J:$J,CipherWaveWise!$C:$C,"Donation",CipherWaveWise!$D:$D,"Frentech",CipherWaveWise!$J:$J,"&lt;0")+SUMIFS(AstroVerse!$J:$J,AstroVerse!$C:$C,"Donation",AstroVerse!$D:$D,"Frentech",AstroVerse!$J:$J,"&lt;0"))</f>
        <v>0</v>
      </c>
      <c r="H8" s="1">
        <f>-(SUMIFS(MinorBugsRetention!$J:$J,MinorBugsRetention!$C:$C,"Donation",MinorBugsRetention!$D:$D,"DevBoat",MinorBugsRetention!$J:$J,"&lt;0")+SUMIFS(MintCodeRetention!$J:$J,MintCodeRetention!$C:$C,"Donation",MintCodeRetention!$D:$D,"DevBoat",MintCodeRetention!$J:$J,"&lt;0")+SUMIFS(AlphaRaysFlagStar!$J:$J,AlphaRaysFlagStar!$C:$C,"Donation",AlphaRaysFlagStar!$D:$D,"DevBoat",AlphaRaysFlagStar!$J:$J,"&lt;0")+SUMIFS(GloriousWise!$J:$J,GloriousWise!$C:$C,"Donation",GloriousWise!$D:$D,"DevBoat",GloriousWise!$J:$J,"&lt;0")+SUMIFS(Counter!$J:$J,Counter!$C:$C,"Donation",Counter!$D:$D,"DevBoat",Counter!$J:$J,"&lt;0")+SUMIFS(MinorBugsBAHLCurrent!$J:$J,MinorBugsBAHLCurrent!$C:$C,"Donation",MinorBugsBAHLCurrent!$D:$D,"DevBoat",MinorBugsBAHLCurrent!$J:$J,"&lt;0")+SUMIFS(MinorBugsBAHLSaving!$J:$J,MinorBugsBAHLSaving!$C:$C,"Donation",MinorBugsBAHLSaving!$D:$D,"DevBoat",MinorBugsBAHLSaving!$J:$J,"&lt;0")+SUMIFS(MinorBugsMeezanCurrent!$J:$J,MinorBugsMeezanCurrent!$C:$C,"Donation",MinorBugsMeezanCurrent!$D:$D,"DevBoat",MinorBugsMeezanCurrent!$J:$J,"&lt;0")+SUMIFS(MintCodeCurrent!$J:$J,MintCodeCurrent!$C:$C,"Donation",MintCodeCurrent!$D:$D,"DevBoat",MintCodeCurrent!$J:$J,"&lt;0")+SUMIFS(GamesGeeksBAHL!$J:$J,GamesGeeksBAHL!$C:$C,"Donation",GamesGeeksBAHL!$D:$D,"DevBoat",GamesGeeksBAHL!$J:$J,"&lt;0")+SUMIFS(GamingUniverse!$J:$J,GamingUniverse!$C:$C,"Donation",GamingUniverse!$D:$D,"DevBoat",GamingUniverse!$J:$J,"&lt;0")+SUMIFS(KashifMeezan!$J:$J,KashifMeezan!$C:$C,"Donation",KashifMeezan!$D:$D,"DevBoat",KashifMeezan!$J:$J,"&lt;0")+SUMIFS(SaadMeezan!$J:$J,SaadMeezan!$C:$C,"Donation",SaadMeezan!$D:$D,"DevBoat",SaadMeezan!$J:$J,"&lt;0")+SUMIFS(GameHippoMeezan!$J:$J,GameHippoMeezan!$C:$C,"Donation",GameHippoMeezan!$D:$D,"DevBoat",GameHippoMeezan!$J:$J,"&lt;0")+SUMIFS(AbdullahMeezan!$J:$J,AbdullahMeezan!$C:$C,"Donation",AbdullahMeezan!$D:$D,"DevBoat",AbdullahMeezan!$J:$J,"&lt;0")+SUMIFS(GameSol!$J:$J,GameSol!$C:$C,"Donation",GameSol!$D:$D,"DevBoat",GameSol!$J:$J,"&lt;0")+SUMIFS(CipherWaveWise!$J:$J,CipherWaveWise!$C:$C,"Donation",CipherWaveWise!$D:$D,"DevBoat",CipherWaveWise!$J:$J,"&lt;0")+SUMIFS(AstroVerse!$J:$J,AstroVerse!$C:$C,"Donation",AstroVerse!$D:$D,"DevBoat",AstroVerse!$J:$J,"&lt;0"))</f>
        <v>0</v>
      </c>
      <c r="I8" s="1">
        <f t="shared" si="0"/>
        <v>65065</v>
      </c>
    </row>
    <row r="9" spans="1:9">
      <c r="A9" t="s">
        <v>164</v>
      </c>
      <c r="B9" s="1">
        <f>-(SUMIFS(MinorBugsRetention!$J:$J,MinorBugsRetention!$C:$C,"Marketing",MinorBugsRetention!$D:$D,"MinorBugs",MinorBugsRetention!$J:$J,"&lt;0")+SUMIFS(MintCodeRetention!$J:$J,MintCodeRetention!$C:$C,"Marketing",MintCodeRetention!$D:$D,"MinorBugs",MintCodeRetention!$J:$J,"&lt;0")+SUMIFS(AlphaRaysFlagStar!$J:$J,AlphaRaysFlagStar!$C:$C,"Marketing",AlphaRaysFlagStar!$D:$D,"MinorBugs",AlphaRaysFlagStar!$J:$J,"&lt;0")+SUMIFS(GloriousWise!$J:$J,GloriousWise!$C:$C,"Marketing",GloriousWise!$D:$D,"MinorBugs",GloriousWise!$J:$J,"&lt;0")+SUMIFS(Counter!$J:$J,Counter!$C:$C,"Marketing",Counter!$D:$D,"MinorBugs",Counter!$J:$J,"&lt;0")+SUMIFS(MinorBugsBAHLCurrent!$J:$J,MinorBugsBAHLCurrent!$C:$C,"Marketing",MinorBugsBAHLCurrent!$D:$D,"MinorBugs",MinorBugsBAHLCurrent!$J:$J,"&lt;0")+SUMIFS(MinorBugsBAHLSaving!$J:$J,MinorBugsBAHLSaving!$C:$C,"Marketing",MinorBugsBAHLSaving!$D:$D,"MinorBugs",MinorBugsBAHLSaving!$J:$J,"&lt;0")+SUMIFS(MinorBugsMeezanCurrent!$J:$J,MinorBugsMeezanCurrent!$C:$C,"Marketing",MinorBugsMeezanCurrent!$D:$D,"MinorBugs",MinorBugsMeezanCurrent!$J:$J,"&lt;0")+SUMIFS(MintCodeCurrent!$J:$J,MintCodeCurrent!$C:$C,"Marketing",MintCodeCurrent!$D:$D,"MinorBugs",MintCodeCurrent!$J:$J,"&lt;0")+SUMIFS(GamesGeeksBAHL!$J:$J,GamesGeeksBAHL!$C:$C,"Marketing",GamesGeeksBAHL!$D:$D,"MinorBugs",GamesGeeksBAHL!$J:$J,"&lt;0")+SUMIFS(GamingUniverse!$J:$J,GamingUniverse!$C:$C,"Marketing",GamingUniverse!$D:$D,"MinorBugs",GamingUniverse!$J:$J,"&lt;0")+SUMIFS(KashifMeezan!$J:$J,KashifMeezan!$C:$C,"Marketing",KashifMeezan!$D:$D,"MinorBugs",KashifMeezan!$J:$J,"&lt;0")+SUMIFS(SaadMeezan!$J:$J,SaadMeezan!$C:$C,"Marketing",SaadMeezan!$D:$D,"MinorBugs",SaadMeezan!$J:$J,"&lt;0")+SUMIFS(GameHippoMeezan!$J:$J,GameHippoMeezan!$C:$C,"Marketing",GameHippoMeezan!$D:$D,"MinorBugs",GameHippoMeezan!$J:$J,"&lt;0")+SUMIFS(AbdullahMeezan!$J:$J,AbdullahMeezan!$C:$C,"Marketing",AbdullahMeezan!$D:$D,"MinorBugs",AbdullahMeezan!$J:$J,"&lt;0")+SUMIFS(GameSol!$J:$J,GameSol!$C:$C,"Marketing",GameSol!$D:$D,"MinorBugs",GameSol!$J:$J,"&lt;0")+SUMIFS(CipherWaveWise!$J:$J,CipherWaveWise!$C:$C,"Marketing",CipherWaveWise!$D:$D,"MinorBugs",CipherWaveWise!$J:$J,"&lt;0")+SUMIFS(AstroVerse!$J:$J,AstroVerse!$C:$C,"Marketing",AstroVerse!$D:$D,"MinorBugs",AstroVerse!$J:$J,"&lt;0"))</f>
        <v>2067590</v>
      </c>
      <c r="C9" s="1">
        <f>-(SUMIFS(MinorBugsRetention!$J:$J,MinorBugsRetention!$C:$C,"Marketing",MinorBugsRetention!$D:$D,"BraveJackals",MinorBugsRetention!$J:$J,"&lt;0")+SUMIFS(MintCodeRetention!$J:$J,MintCodeRetention!$C:$C,"Marketing",MintCodeRetention!$D:$D,"BraveJackals",MintCodeRetention!$J:$J,"&lt;0")+SUMIFS(AlphaRaysFlagStar!$J:$J,AlphaRaysFlagStar!$C:$C,"Marketing",AlphaRaysFlagStar!$D:$D,"BraveJackals",AlphaRaysFlagStar!$J:$J,"&lt;0")+SUMIFS(GloriousWise!$J:$J,GloriousWise!$C:$C,"Marketing",GloriousWise!$D:$D,"BraveJackals",GloriousWise!$J:$J,"&lt;0")+SUMIFS(Counter!$J:$J,Counter!$C:$C,"Marketing",Counter!$D:$D,"BraveJackals",Counter!$J:$J,"&lt;0")+SUMIFS(MinorBugsBAHLCurrent!$J:$J,MinorBugsBAHLCurrent!$C:$C,"Marketing",MinorBugsBAHLCurrent!$D:$D,"BraveJackals",MinorBugsBAHLCurrent!$J:$J,"&lt;0")+SUMIFS(MinorBugsBAHLSaving!$J:$J,MinorBugsBAHLSaving!$C:$C,"Marketing",MinorBugsBAHLSaving!$D:$D,"BraveJackals",MinorBugsBAHLSaving!$J:$J,"&lt;0")+SUMIFS(MinorBugsMeezanCurrent!$J:$J,MinorBugsMeezanCurrent!$C:$C,"Marketing",MinorBugsMeezanCurrent!$D:$D,"BraveJackals",MinorBugsMeezanCurrent!$J:$J,"&lt;0")+SUMIFS(MintCodeCurrent!$J:$J,MintCodeCurrent!$C:$C,"Marketing",MintCodeCurrent!$D:$D,"BraveJackals",MintCodeCurrent!$J:$J,"&lt;0")+SUMIFS(GamesGeeksBAHL!$J:$J,GamesGeeksBAHL!$C:$C,"Marketing",GamesGeeksBAHL!$D:$D,"BraveJackals",GamesGeeksBAHL!$J:$J,"&lt;0")+SUMIFS(GamingUniverse!$J:$J,GamingUniverse!$C:$C,"Marketing",GamingUniverse!$D:$D,"BraveJackals",GamingUniverse!$J:$J,"&lt;0")+SUMIFS(KashifMeezan!$J:$J,KashifMeezan!$C:$C,"Marketing",KashifMeezan!$D:$D,"BraveJackals",KashifMeezan!$J:$J,"&lt;0")+SUMIFS(SaadMeezan!$J:$J,SaadMeezan!$C:$C,"Marketing",SaadMeezan!$D:$D,"BraveJackals",SaadMeezan!$J:$J,"&lt;0")+SUMIFS(GameHippoMeezan!$J:$J,GameHippoMeezan!$C:$C,"Marketing",GameHippoMeezan!$D:$D,"BraveJackals",GameHippoMeezan!$J:$J,"&lt;0")+SUMIFS(AbdullahMeezan!$J:$J,AbdullahMeezan!$C:$C,"Marketing",AbdullahMeezan!$D:$D,"BraveJackals",AbdullahMeezan!$J:$J,"&lt;0")+SUMIFS(GameSol!$J:$J,GameSol!$C:$C,"Marketing",GameSol!$D:$D,"BraveJackals",GameSol!$J:$J,"&lt;0")+SUMIFS(CipherWaveWise!$J:$J,CipherWaveWise!$C:$C,"Marketing",CipherWaveWise!$D:$D,"BraveJackals",CipherWaveWise!$J:$J,"&lt;0")+SUMIFS(AstroVerse!$J:$J,AstroVerse!$C:$C,"Marketing",AstroVerse!$D:$D,"BraveJackals",AstroVerse!$J:$J,"&lt;0"))</f>
        <v>566</v>
      </c>
      <c r="D9" s="1">
        <f>-(SUMIFS(MinorBugsRetention!$J:$J,MinorBugsRetention!$C:$C,"Marketing",MinorBugsRetention!$D:$D,"GoJins",MinorBugsRetention!$J:$J,"&lt;0")+SUMIFS(MintCodeRetention!$J:$J,MintCodeRetention!$C:$C,"Marketing",MintCodeRetention!$D:$D,"GoJins",MintCodeRetention!$J:$J,"&lt;0")+SUMIFS(AlphaRaysFlagStar!$J:$J,AlphaRaysFlagStar!$C:$C,"Marketing",AlphaRaysFlagStar!$D:$D,"GoJins",AlphaRaysFlagStar!$J:$J,"&lt;0")+SUMIFS(GloriousWise!$J:$J,GloriousWise!$C:$C,"Marketing",GloriousWise!$D:$D,"GoJins",GloriousWise!$J:$J,"&lt;0")+SUMIFS(Counter!$J:$J,Counter!$C:$C,"Marketing",Counter!$D:$D,"GoJins",Counter!$J:$J,"&lt;0")+SUMIFS(MinorBugsBAHLCurrent!$J:$J,MinorBugsBAHLCurrent!$C:$C,"Marketing",MinorBugsBAHLCurrent!$D:$D,"GoJins",MinorBugsBAHLCurrent!$J:$J,"&lt;0")+SUMIFS(MinorBugsBAHLSaving!$J:$J,MinorBugsBAHLSaving!$C:$C,"Marketing",MinorBugsBAHLSaving!$D:$D,"GoJins",MinorBugsBAHLSaving!$J:$J,"&lt;0")+SUMIFS(MinorBugsMeezanCurrent!$J:$J,MinorBugsMeezanCurrent!$C:$C,"Marketing",MinorBugsMeezanCurrent!$D:$D,"GoJins",MinorBugsMeezanCurrent!$J:$J,"&lt;0")+SUMIFS(MintCodeCurrent!$J:$J,MintCodeCurrent!$C:$C,"Marketing",MintCodeCurrent!$D:$D,"GoJins",MintCodeCurrent!$J:$J,"&lt;0")+SUMIFS(GamesGeeksBAHL!$J:$J,GamesGeeksBAHL!$C:$C,"Marketing",GamesGeeksBAHL!$D:$D,"GoJins",GamesGeeksBAHL!$J:$J,"&lt;0")+SUMIFS(GamingUniverse!$J:$J,GamingUniverse!$C:$C,"Marketing",GamingUniverse!$D:$D,"GoJins",GamingUniverse!$J:$J,"&lt;0")+SUMIFS(KashifMeezan!$J:$J,KashifMeezan!$C:$C,"Marketing",KashifMeezan!$D:$D,"GoJins",KashifMeezan!$J:$J,"&lt;0")+SUMIFS(SaadMeezan!$J:$J,SaadMeezan!$C:$C,"Marketing",SaadMeezan!$D:$D,"GoJins",SaadMeezan!$J:$J,"&lt;0")+SUMIFS(GameHippoMeezan!$J:$J,GameHippoMeezan!$C:$C,"Marketing",GameHippoMeezan!$D:$D,"GoJins",GameHippoMeezan!$J:$J,"&lt;0")+SUMIFS(AbdullahMeezan!$J:$J,AbdullahMeezan!$C:$C,"Marketing",AbdullahMeezan!$D:$D,"GoJins",AbdullahMeezan!$J:$J,"&lt;0")+SUMIFS(GameSol!$J:$J,GameSol!$C:$C,"Marketing",GameSol!$D:$D,"GoJins",GameSol!$J:$J,"&lt;0")+SUMIFS(CipherWaveWise!$J:$J,CipherWaveWise!$C:$C,"Marketing",CipherWaveWise!$D:$D,"GoJins",CipherWaveWise!$J:$J,"&lt;0")+SUMIFS(AstroVerse!$J:$J,AstroVerse!$C:$C,"Marketing",AstroVerse!$D:$D,"GoJins",AstroVerse!$J:$J,"&lt;0"))</f>
        <v>0</v>
      </c>
      <c r="E9" s="1">
        <f>-(SUMIFS(MinorBugsRetention!$J:$J,MinorBugsRetention!$C:$C,"Marketing",MinorBugsRetention!$D:$D,"BuggiesKids",MinorBugsRetention!$J:$J,"&lt;0")+SUMIFS(MintCodeRetention!$J:$J,MintCodeRetention!$C:$C,"Marketing",MintCodeRetention!$D:$D,"BuggiesKids",MintCodeRetention!$J:$J,"&lt;0")+SUMIFS(AlphaRaysFlagStar!$J:$J,AlphaRaysFlagStar!$C:$C,"Marketing",AlphaRaysFlagStar!$D:$D,"BuggiesKids",AlphaRaysFlagStar!$J:$J,"&lt;0")+SUMIFS(GloriousWise!$J:$J,GloriousWise!$C:$C,"Marketing",GloriousWise!$D:$D,"BuggiesKids",GloriousWise!$J:$J,"&lt;0")+SUMIFS(Counter!$J:$J,Counter!$C:$C,"Marketing",Counter!$D:$D,"BuggiesKids",Counter!$J:$J,"&lt;0")+SUMIFS(MinorBugsBAHLCurrent!$J:$J,MinorBugsBAHLCurrent!$C:$C,"Marketing",MinorBugsBAHLCurrent!$D:$D,"BuggiesKids",MinorBugsBAHLCurrent!$J:$J,"&lt;0")+SUMIFS(MinorBugsBAHLSaving!$J:$J,MinorBugsBAHLSaving!$C:$C,"Marketing",MinorBugsBAHLSaving!$D:$D,"BuggiesKids",MinorBugsBAHLSaving!$J:$J,"&lt;0")+SUMIFS(MinorBugsMeezanCurrent!$J:$J,MinorBugsMeezanCurrent!$C:$C,"Marketing",MinorBugsMeezanCurrent!$D:$D,"BuggiesKids",MinorBugsMeezanCurrent!$J:$J,"&lt;0")+SUMIFS(MintCodeCurrent!$J:$J,MintCodeCurrent!$C:$C,"Marketing",MintCodeCurrent!$D:$D,"BuggiesKids",MintCodeCurrent!$J:$J,"&lt;0")+SUMIFS(GamesGeeksBAHL!$J:$J,GamesGeeksBAHL!$C:$C,"Marketing",GamesGeeksBAHL!$D:$D,"BuggiesKids",GamesGeeksBAHL!$J:$J,"&lt;0")+SUMIFS(GamingUniverse!$J:$J,GamingUniverse!$C:$C,"Marketing",GamingUniverse!$D:$D,"BuggiesKids",GamingUniverse!$J:$J,"&lt;0")+SUMIFS(KashifMeezan!$J:$J,KashifMeezan!$C:$C,"Marketing",KashifMeezan!$D:$D,"BuggiesKids",KashifMeezan!$J:$J,"&lt;0")+SUMIFS(SaadMeezan!$J:$J,SaadMeezan!$C:$C,"Marketing",SaadMeezan!$D:$D,"BuggiesKids",SaadMeezan!$J:$J,"&lt;0")+SUMIFS(GameHippoMeezan!$J:$J,GameHippoMeezan!$C:$C,"Marketing",GameHippoMeezan!$D:$D,"BuggiesKids",GameHippoMeezan!$J:$J,"&lt;0")+SUMIFS(AbdullahMeezan!$J:$J,AbdullahMeezan!$C:$C,"Marketing",AbdullahMeezan!$D:$D,"BuggiesKids",AbdullahMeezan!$J:$J,"&lt;0")+SUMIFS(GameSol!$J:$J,GameSol!$C:$C,"Marketing",GameSol!$D:$D,"BuggiesKids",GameSol!$J:$J,"&lt;0")+SUMIFS(CipherWaveWise!$J:$J,CipherWaveWise!$C:$C,"Marketing",CipherWaveWise!$D:$D,"BuggiesKids",CipherWaveWise!$J:$J,"&lt;0")+SUMIFS(AstroVerse!$J:$J,AstroVerse!$C:$C,"Marketing",AstroVerse!$D:$D,"BuggiesKids",AstroVerse!$J:$J,"&lt;0"))</f>
        <v>0</v>
      </c>
      <c r="F9" s="1">
        <f>-(SUMIFS(MinorBugsRetention!$J:$J,MinorBugsRetention!$C:$C,"Marketing",MinorBugsRetention!$D:$D,"GameHippo",MinorBugsRetention!$J:$J,"&lt;0")+SUMIFS(MintCodeRetention!$J:$J,MintCodeRetention!$C:$C,"Marketing",MintCodeRetention!$D:$D,"GameHippo",MintCodeRetention!$J:$J,"&lt;0")+SUMIFS(AlphaRaysFlagStar!$J:$J,AlphaRaysFlagStar!$C:$C,"Marketing",AlphaRaysFlagStar!$D:$D,"GameHippo",AlphaRaysFlagStar!$J:$J,"&lt;0")+SUMIFS(GloriousWise!$J:$J,GloriousWise!$C:$C,"Marketing",GloriousWise!$D:$D,"GameHippo",GloriousWise!$J:$J,"&lt;0")+SUMIFS(Counter!$J:$J,Counter!$C:$C,"Marketing",Counter!$D:$D,"GameHippo",Counter!$J:$J,"&lt;0")+SUMIFS(MinorBugsBAHLCurrent!$J:$J,MinorBugsBAHLCurrent!$C:$C,"Marketing",MinorBugsBAHLCurrent!$D:$D,"GameHippo",MinorBugsBAHLCurrent!$J:$J,"&lt;0")+SUMIFS(MinorBugsBAHLSaving!$J:$J,MinorBugsBAHLSaving!$C:$C,"Marketing",MinorBugsBAHLSaving!$D:$D,"GameHippo",MinorBugsBAHLSaving!$J:$J,"&lt;0")+SUMIFS(MinorBugsMeezanCurrent!$J:$J,MinorBugsMeezanCurrent!$C:$C,"Marketing",MinorBugsMeezanCurrent!$D:$D,"GameHippo",MinorBugsMeezanCurrent!$J:$J,"&lt;0")+SUMIFS(MintCodeCurrent!$J:$J,MintCodeCurrent!$C:$C,"Marketing",MintCodeCurrent!$D:$D,"GameHippo",MintCodeCurrent!$J:$J,"&lt;0")+SUMIFS(GamesGeeksBAHL!$J:$J,GamesGeeksBAHL!$C:$C,"Marketing",GamesGeeksBAHL!$D:$D,"GameHippo",GamesGeeksBAHL!$J:$J,"&lt;0")+SUMIFS(GamingUniverse!$J:$J,GamingUniverse!$C:$C,"Marketing",GamingUniverse!$D:$D,"GameHippo",GamingUniverse!$J:$J,"&lt;0")+SUMIFS(KashifMeezan!$J:$J,KashifMeezan!$C:$C,"Marketing",KashifMeezan!$D:$D,"GameHippo",KashifMeezan!$J:$J,"&lt;0")+SUMIFS(SaadMeezan!$J:$J,SaadMeezan!$C:$C,"Marketing",SaadMeezan!$D:$D,"GameHippo",SaadMeezan!$J:$J,"&lt;0")+SUMIFS(GameHippoMeezan!$J:$J,GameHippoMeezan!$C:$C,"Marketing",GameHippoMeezan!$D:$D,"GameHippo",GameHippoMeezan!$J:$J,"&lt;0")+SUMIFS(AbdullahMeezan!$J:$J,AbdullahMeezan!$C:$C,"Marketing",AbdullahMeezan!$D:$D,"GameHippo",AbdullahMeezan!$J:$J,"&lt;0")+SUMIFS(GameSol!$J:$J,GameSol!$C:$C,"Marketing",GameSol!$D:$D,"GameHippo",GameSol!$J:$J,"&lt;0")+SUMIFS(CipherWaveWise!$J:$J,CipherWaveWise!$C:$C,"Marketing",CipherWaveWise!$D:$D,"GameHippo",CipherWaveWise!$J:$J,"&lt;0")+SUMIFS(AstroVerse!$J:$J,AstroVerse!$C:$C,"Marketing",AstroVerse!$D:$D,"GameHippo",AstroVerse!$J:$J,"&lt;0"))</f>
        <v>0</v>
      </c>
      <c r="G9" s="1">
        <f>-(SUMIFS(MinorBugsRetention!$J:$J,MinorBugsRetention!$C:$C,"Marketing",MinorBugsRetention!$D:$D,"Frentech",MinorBugsRetention!$J:$J,"&lt;0")+SUMIFS(MintCodeRetention!$J:$J,MintCodeRetention!$C:$C,"Marketing",MintCodeRetention!$D:$D,"Frentech",MintCodeRetention!$J:$J,"&lt;0")+SUMIFS(AlphaRaysFlagStar!$J:$J,AlphaRaysFlagStar!$C:$C,"Marketing",AlphaRaysFlagStar!$D:$D,"Frentech",AlphaRaysFlagStar!$J:$J,"&lt;0")+SUMIFS(GloriousWise!$J:$J,GloriousWise!$C:$C,"Marketing",GloriousWise!$D:$D,"Frentech",GloriousWise!$J:$J,"&lt;0")+SUMIFS(Counter!$J:$J,Counter!$C:$C,"Marketing",Counter!$D:$D,"Frentech",Counter!$J:$J,"&lt;0")+SUMIFS(MinorBugsBAHLCurrent!$J:$J,MinorBugsBAHLCurrent!$C:$C,"Marketing",MinorBugsBAHLCurrent!$D:$D,"Frentech",MinorBugsBAHLCurrent!$J:$J,"&lt;0")+SUMIFS(MinorBugsBAHLSaving!$J:$J,MinorBugsBAHLSaving!$C:$C,"Marketing",MinorBugsBAHLSaving!$D:$D,"Frentech",MinorBugsBAHLSaving!$J:$J,"&lt;0")+SUMIFS(MinorBugsMeezanCurrent!$J:$J,MinorBugsMeezanCurrent!$C:$C,"Marketing",MinorBugsMeezanCurrent!$D:$D,"Frentech",MinorBugsMeezanCurrent!$J:$J,"&lt;0")+SUMIFS(MintCodeCurrent!$J:$J,MintCodeCurrent!$C:$C,"Marketing",MintCodeCurrent!$D:$D,"Frentech",MintCodeCurrent!$J:$J,"&lt;0")+SUMIFS(GamesGeeksBAHL!$J:$J,GamesGeeksBAHL!$C:$C,"Marketing",GamesGeeksBAHL!$D:$D,"Frentech",GamesGeeksBAHL!$J:$J,"&lt;0")+SUMIFS(GamingUniverse!$J:$J,GamingUniverse!$C:$C,"Marketing",GamingUniverse!$D:$D,"Frentech",GamingUniverse!$J:$J,"&lt;0")+SUMIFS(KashifMeezan!$J:$J,KashifMeezan!$C:$C,"Marketing",KashifMeezan!$D:$D,"Frentech",KashifMeezan!$J:$J,"&lt;0")+SUMIFS(SaadMeezan!$J:$J,SaadMeezan!$C:$C,"Marketing",SaadMeezan!$D:$D,"Frentech",SaadMeezan!$J:$J,"&lt;0")+SUMIFS(GameHippoMeezan!$J:$J,GameHippoMeezan!$C:$C,"Marketing",GameHippoMeezan!$D:$D,"Frentech",GameHippoMeezan!$J:$J,"&lt;0")+SUMIFS(AbdullahMeezan!$J:$J,AbdullahMeezan!$C:$C,"Marketing",AbdullahMeezan!$D:$D,"Frentech",AbdullahMeezan!$J:$J,"&lt;0")+SUMIFS(GameSol!$J:$J,GameSol!$C:$C,"Marketing",GameSol!$D:$D,"Frentech",GameSol!$J:$J,"&lt;0")+SUMIFS(CipherWaveWise!$J:$J,CipherWaveWise!$C:$C,"Marketing",CipherWaveWise!$D:$D,"Frentech",CipherWaveWise!$J:$J,"&lt;0")+SUMIFS(AstroVerse!$J:$J,AstroVerse!$C:$C,"Marketing",AstroVerse!$D:$D,"Frentech",AstroVerse!$J:$J,"&lt;0"))</f>
        <v>0</v>
      </c>
      <c r="H9" s="1">
        <f>-(SUMIFS(MinorBugsRetention!$J:$J,MinorBugsRetention!$C:$C,"Marketing",MinorBugsRetention!$D:$D,"DevBoat",MinorBugsRetention!$J:$J,"&lt;0")+SUMIFS(MintCodeRetention!$J:$J,MintCodeRetention!$C:$C,"Marketing",MintCodeRetention!$D:$D,"DevBoat",MintCodeRetention!$J:$J,"&lt;0")+SUMIFS(AlphaRaysFlagStar!$J:$J,AlphaRaysFlagStar!$C:$C,"Marketing",AlphaRaysFlagStar!$D:$D,"DevBoat",AlphaRaysFlagStar!$J:$J,"&lt;0")+SUMIFS(GloriousWise!$J:$J,GloriousWise!$C:$C,"Marketing",GloriousWise!$D:$D,"DevBoat",GloriousWise!$J:$J,"&lt;0")+SUMIFS(Counter!$J:$J,Counter!$C:$C,"Marketing",Counter!$D:$D,"DevBoat",Counter!$J:$J,"&lt;0")+SUMIFS(MinorBugsBAHLCurrent!$J:$J,MinorBugsBAHLCurrent!$C:$C,"Marketing",MinorBugsBAHLCurrent!$D:$D,"DevBoat",MinorBugsBAHLCurrent!$J:$J,"&lt;0")+SUMIFS(MinorBugsBAHLSaving!$J:$J,MinorBugsBAHLSaving!$C:$C,"Marketing",MinorBugsBAHLSaving!$D:$D,"DevBoat",MinorBugsBAHLSaving!$J:$J,"&lt;0")+SUMIFS(MinorBugsMeezanCurrent!$J:$J,MinorBugsMeezanCurrent!$C:$C,"Marketing",MinorBugsMeezanCurrent!$D:$D,"DevBoat",MinorBugsMeezanCurrent!$J:$J,"&lt;0")+SUMIFS(MintCodeCurrent!$J:$J,MintCodeCurrent!$C:$C,"Marketing",MintCodeCurrent!$D:$D,"DevBoat",MintCodeCurrent!$J:$J,"&lt;0")+SUMIFS(GamesGeeksBAHL!$J:$J,GamesGeeksBAHL!$C:$C,"Marketing",GamesGeeksBAHL!$D:$D,"DevBoat",GamesGeeksBAHL!$J:$J,"&lt;0")+SUMIFS(GamingUniverse!$J:$J,GamingUniverse!$C:$C,"Marketing",GamingUniverse!$D:$D,"DevBoat",GamingUniverse!$J:$J,"&lt;0")+SUMIFS(KashifMeezan!$J:$J,KashifMeezan!$C:$C,"Marketing",KashifMeezan!$D:$D,"DevBoat",KashifMeezan!$J:$J,"&lt;0")+SUMIFS(SaadMeezan!$J:$J,SaadMeezan!$C:$C,"Marketing",SaadMeezan!$D:$D,"DevBoat",SaadMeezan!$J:$J,"&lt;0")+SUMIFS(GameHippoMeezan!$J:$J,GameHippoMeezan!$C:$C,"Marketing",GameHippoMeezan!$D:$D,"DevBoat",GameHippoMeezan!$J:$J,"&lt;0")+SUMIFS(AbdullahMeezan!$J:$J,AbdullahMeezan!$C:$C,"Marketing",AbdullahMeezan!$D:$D,"DevBoat",AbdullahMeezan!$J:$J,"&lt;0")+SUMIFS(GameSol!$J:$J,GameSol!$C:$C,"Marketing",GameSol!$D:$D,"DevBoat",GameSol!$J:$J,"&lt;0")+SUMIFS(CipherWaveWise!$J:$J,CipherWaveWise!$C:$C,"Marketing",CipherWaveWise!$D:$D,"DevBoat",CipherWaveWise!$J:$J,"&lt;0")+SUMIFS(AstroVerse!$J:$J,AstroVerse!$C:$C,"Marketing",AstroVerse!$D:$D,"DevBoat",AstroVerse!$J:$J,"&lt;0"))</f>
        <v>0</v>
      </c>
      <c r="I9" s="1">
        <f t="shared" si="0"/>
        <v>2068156</v>
      </c>
    </row>
    <row r="10" spans="1:9">
      <c r="A10" t="s">
        <v>13</v>
      </c>
      <c r="B10" s="1">
        <f>-(SUMIFS(MinorBugsRetention!$J:$J,MinorBugsRetention!$C:$C,"HomeExpense",MinorBugsRetention!$D:$D,"MinorBugs",MinorBugsRetention!$J:$J,"&lt;0")+SUMIFS(MintCodeRetention!$J:$J,MintCodeRetention!$C:$C,"HomeExpense",MintCodeRetention!$D:$D,"MinorBugs",MintCodeRetention!$J:$J,"&lt;0")+SUMIFS(AlphaRaysFlagStar!$J:$J,AlphaRaysFlagStar!$C:$C,"HomeExpense",AlphaRaysFlagStar!$D:$D,"MinorBugs",AlphaRaysFlagStar!$J:$J,"&lt;0")+SUMIFS(GloriousWise!$J:$J,GloriousWise!$C:$C,"HomeExpense",GloriousWise!$D:$D,"MinorBugs",GloriousWise!$J:$J,"&lt;0")+SUMIFS(Counter!$J:$J,Counter!$C:$C,"HomeExpense",Counter!$D:$D,"MinorBugs",Counter!$J:$J,"&lt;0")+SUMIFS(MinorBugsBAHLCurrent!$J:$J,MinorBugsBAHLCurrent!$C:$C,"HomeExpense",MinorBugsBAHLCurrent!$D:$D,"MinorBugs",MinorBugsBAHLCurrent!$J:$J,"&lt;0")+SUMIFS(MinorBugsBAHLSaving!$J:$J,MinorBugsBAHLSaving!$C:$C,"HomeExpense",MinorBugsBAHLSaving!$D:$D,"MinorBugs",MinorBugsBAHLSaving!$J:$J,"&lt;0")+SUMIFS(MinorBugsMeezanCurrent!$J:$J,MinorBugsMeezanCurrent!$C:$C,"HomeExpense",MinorBugsMeezanCurrent!$D:$D,"MinorBugs",MinorBugsMeezanCurrent!$J:$J,"&lt;0")+SUMIFS(MintCodeCurrent!$J:$J,MintCodeCurrent!$C:$C,"HomeExpense",MintCodeCurrent!$D:$D,"MinorBugs",MintCodeCurrent!$J:$J,"&lt;0")+SUMIFS(GamesGeeksBAHL!$J:$J,GamesGeeksBAHL!$C:$C,"HomeExpense",GamesGeeksBAHL!$D:$D,"MinorBugs",GamesGeeksBAHL!$J:$J,"&lt;0")+SUMIFS(GamingUniverse!$J:$J,GamingUniverse!$C:$C,"HomeExpense",GamingUniverse!$D:$D,"MinorBugs",GamingUniverse!$J:$J,"&lt;0")+SUMIFS(KashifMeezan!$J:$J,KashifMeezan!$C:$C,"HomeExpense",KashifMeezan!$D:$D,"MinorBugs",KashifMeezan!$J:$J,"&lt;0")+SUMIFS(SaadMeezan!$J:$J,SaadMeezan!$C:$C,"HomeExpense",SaadMeezan!$D:$D,"MinorBugs",SaadMeezan!$J:$J,"&lt;0")+SUMIFS(GameHippoMeezan!$J:$J,GameHippoMeezan!$C:$C,"HomeExpense",GameHippoMeezan!$D:$D,"MinorBugs",GameHippoMeezan!$J:$J,"&lt;0")+SUMIFS(AbdullahMeezan!$J:$J,AbdullahMeezan!$C:$C,"HomeExpense",AbdullahMeezan!$D:$D,"MinorBugs",AbdullahMeezan!$J:$J,"&lt;0")+SUMIFS(GameSol!$J:$J,GameSol!$C:$C,"HomeExpense",GameSol!$D:$D,"MinorBugs",GameSol!$J:$J,"&lt;0")+SUMIFS(CipherWaveWise!$J:$J,CipherWaveWise!$C:$C,"HomeExpense",CipherWaveWise!$D:$D,"MinorBugs",CipherWaveWise!$J:$J,"&lt;0")+SUMIFS(AstroVerse!$J:$J,AstroVerse!$C:$C,"HomeExpense",AstroVerse!$D:$D,"MinorBugs",AstroVerse!$J:$J,"&lt;0"))</f>
        <v>1078</v>
      </c>
      <c r="C10" s="1">
        <f>-(SUMIFS(MinorBugsRetention!$J:$J,MinorBugsRetention!$C:$C,"HomeExpense",MinorBugsRetention!$D:$D,"BraveJackals",MinorBugsRetention!$J:$J,"&lt;0")+SUMIFS(MintCodeRetention!$J:$J,MintCodeRetention!$C:$C,"HomeExpense",MintCodeRetention!$D:$D,"BraveJackals",MintCodeRetention!$J:$J,"&lt;0")+SUMIFS(AlphaRaysFlagStar!$J:$J,AlphaRaysFlagStar!$C:$C,"HomeExpense",AlphaRaysFlagStar!$D:$D,"BraveJackals",AlphaRaysFlagStar!$J:$J,"&lt;0")+SUMIFS(GloriousWise!$J:$J,GloriousWise!$C:$C,"HomeExpense",GloriousWise!$D:$D,"BraveJackals",GloriousWise!$J:$J,"&lt;0")+SUMIFS(Counter!$J:$J,Counter!$C:$C,"HomeExpense",Counter!$D:$D,"BraveJackals",Counter!$J:$J,"&lt;0")+SUMIFS(MinorBugsBAHLCurrent!$J:$J,MinorBugsBAHLCurrent!$C:$C,"HomeExpense",MinorBugsBAHLCurrent!$D:$D,"BraveJackals",MinorBugsBAHLCurrent!$J:$J,"&lt;0")+SUMIFS(MinorBugsBAHLSaving!$J:$J,MinorBugsBAHLSaving!$C:$C,"HomeExpense",MinorBugsBAHLSaving!$D:$D,"BraveJackals",MinorBugsBAHLSaving!$J:$J,"&lt;0")+SUMIFS(MinorBugsMeezanCurrent!$J:$J,MinorBugsMeezanCurrent!$C:$C,"HomeExpense",MinorBugsMeezanCurrent!$D:$D,"BraveJackals",MinorBugsMeezanCurrent!$J:$J,"&lt;0")+SUMIFS(MintCodeCurrent!$J:$J,MintCodeCurrent!$C:$C,"HomeExpense",MintCodeCurrent!$D:$D,"BraveJackals",MintCodeCurrent!$J:$J,"&lt;0")+SUMIFS(GamesGeeksBAHL!$J:$J,GamesGeeksBAHL!$C:$C,"HomeExpense",GamesGeeksBAHL!$D:$D,"BraveJackals",GamesGeeksBAHL!$J:$J,"&lt;0")+SUMIFS(GamingUniverse!$J:$J,GamingUniverse!$C:$C,"HomeExpense",GamingUniverse!$D:$D,"BraveJackals",GamingUniverse!$J:$J,"&lt;0")+SUMIFS(KashifMeezan!$J:$J,KashifMeezan!$C:$C,"HomeExpense",KashifMeezan!$D:$D,"BraveJackals",KashifMeezan!$J:$J,"&lt;0")+SUMIFS(SaadMeezan!$J:$J,SaadMeezan!$C:$C,"HomeExpense",SaadMeezan!$D:$D,"BraveJackals",SaadMeezan!$J:$J,"&lt;0")+SUMIFS(GameHippoMeezan!$J:$J,GameHippoMeezan!$C:$C,"HomeExpense",GameHippoMeezan!$D:$D,"BraveJackals",GameHippoMeezan!$J:$J,"&lt;0")+SUMIFS(AbdullahMeezan!$J:$J,AbdullahMeezan!$C:$C,"HomeExpense",AbdullahMeezan!$D:$D,"BraveJackals",AbdullahMeezan!$J:$J,"&lt;0")+SUMIFS(GameSol!$J:$J,GameSol!$C:$C,"HomeExpense",GameSol!$D:$D,"BraveJackals",GameSol!$J:$J,"&lt;0")+SUMIFS(CipherWaveWise!$J:$J,CipherWaveWise!$C:$C,"HomeExpense",CipherWaveWise!$D:$D,"BraveJackals",CipherWaveWise!$J:$J,"&lt;0")+SUMIFS(AstroVerse!$J:$J,AstroVerse!$C:$C,"HomeExpense",AstroVerse!$D:$D,"BraveJackals",AstroVerse!$J:$J,"&lt;0"))</f>
        <v>0</v>
      </c>
      <c r="D10" s="1">
        <f>-(SUMIFS(MinorBugsRetention!$J:$J,MinorBugsRetention!$C:$C,"HomeExpense",MinorBugsRetention!$D:$D,"GoJins",MinorBugsRetention!$J:$J,"&lt;0")+SUMIFS(MintCodeRetention!$J:$J,MintCodeRetention!$C:$C,"HomeExpense",MintCodeRetention!$D:$D,"GoJins",MintCodeRetention!$J:$J,"&lt;0")+SUMIFS(AlphaRaysFlagStar!$J:$J,AlphaRaysFlagStar!$C:$C,"HomeExpense",AlphaRaysFlagStar!$D:$D,"GoJins",AlphaRaysFlagStar!$J:$J,"&lt;0")+SUMIFS(GloriousWise!$J:$J,GloriousWise!$C:$C,"HomeExpense",GloriousWise!$D:$D,"GoJins",GloriousWise!$J:$J,"&lt;0")+SUMIFS(Counter!$J:$J,Counter!$C:$C,"HomeExpense",Counter!$D:$D,"GoJins",Counter!$J:$J,"&lt;0")+SUMIFS(MinorBugsBAHLCurrent!$J:$J,MinorBugsBAHLCurrent!$C:$C,"HomeExpense",MinorBugsBAHLCurrent!$D:$D,"GoJins",MinorBugsBAHLCurrent!$J:$J,"&lt;0")+SUMIFS(MinorBugsBAHLSaving!$J:$J,MinorBugsBAHLSaving!$C:$C,"HomeExpense",MinorBugsBAHLSaving!$D:$D,"GoJins",MinorBugsBAHLSaving!$J:$J,"&lt;0")+SUMIFS(MinorBugsMeezanCurrent!$J:$J,MinorBugsMeezanCurrent!$C:$C,"HomeExpense",MinorBugsMeezanCurrent!$D:$D,"GoJins",MinorBugsMeezanCurrent!$J:$J,"&lt;0")+SUMIFS(MintCodeCurrent!$J:$J,MintCodeCurrent!$C:$C,"HomeExpense",MintCodeCurrent!$D:$D,"GoJins",MintCodeCurrent!$J:$J,"&lt;0")+SUMIFS(GamesGeeksBAHL!$J:$J,GamesGeeksBAHL!$C:$C,"HomeExpense",GamesGeeksBAHL!$D:$D,"GoJins",GamesGeeksBAHL!$J:$J,"&lt;0")+SUMIFS(GamingUniverse!$J:$J,GamingUniverse!$C:$C,"HomeExpense",GamingUniverse!$D:$D,"GoJins",GamingUniverse!$J:$J,"&lt;0")+SUMIFS(KashifMeezan!$J:$J,KashifMeezan!$C:$C,"HomeExpense",KashifMeezan!$D:$D,"GoJins",KashifMeezan!$J:$J,"&lt;0")+SUMIFS(SaadMeezan!$J:$J,SaadMeezan!$C:$C,"HomeExpense",SaadMeezan!$D:$D,"GoJins",SaadMeezan!$J:$J,"&lt;0")+SUMIFS(GameHippoMeezan!$J:$J,GameHippoMeezan!$C:$C,"HomeExpense",GameHippoMeezan!$D:$D,"GoJins",GameHippoMeezan!$J:$J,"&lt;0")+SUMIFS(AbdullahMeezan!$J:$J,AbdullahMeezan!$C:$C,"HomeExpense",AbdullahMeezan!$D:$D,"GoJins",AbdullahMeezan!$J:$J,"&lt;0")+SUMIFS(GameSol!$J:$J,GameSol!$C:$C,"HomeExpense",GameSol!$D:$D,"GoJins",GameSol!$J:$J,"&lt;0")+SUMIFS(CipherWaveWise!$J:$J,CipherWaveWise!$C:$C,"HomeExpense",CipherWaveWise!$D:$D,"GoJins",CipherWaveWise!$J:$J,"&lt;0")+SUMIFS(AstroVerse!$J:$J,AstroVerse!$C:$C,"HomeExpense",AstroVerse!$D:$D,"GoJins",AstroVerse!$J:$J,"&lt;0"))</f>
        <v>0</v>
      </c>
      <c r="E10" s="1">
        <f>-(SUMIFS(MinorBugsRetention!$J:$J,MinorBugsRetention!$C:$C,"HomeExpense",MinorBugsRetention!$D:$D,"BuggiesKids",MinorBugsRetention!$J:$J,"&lt;0")+SUMIFS(MintCodeRetention!$J:$J,MintCodeRetention!$C:$C,"HomeExpense",MintCodeRetention!$D:$D,"BuggiesKids",MintCodeRetention!$J:$J,"&lt;0")+SUMIFS(AlphaRaysFlagStar!$J:$J,AlphaRaysFlagStar!$C:$C,"HomeExpense",AlphaRaysFlagStar!$D:$D,"BuggiesKids",AlphaRaysFlagStar!$J:$J,"&lt;0")+SUMIFS(GloriousWise!$J:$J,GloriousWise!$C:$C,"HomeExpense",GloriousWise!$D:$D,"BuggiesKids",GloriousWise!$J:$J,"&lt;0")+SUMIFS(Counter!$J:$J,Counter!$C:$C,"HomeExpense",Counter!$D:$D,"BuggiesKids",Counter!$J:$J,"&lt;0")+SUMIFS(MinorBugsBAHLCurrent!$J:$J,MinorBugsBAHLCurrent!$C:$C,"HomeExpense",MinorBugsBAHLCurrent!$D:$D,"BuggiesKids",MinorBugsBAHLCurrent!$J:$J,"&lt;0")+SUMIFS(MinorBugsBAHLSaving!$J:$J,MinorBugsBAHLSaving!$C:$C,"HomeExpense",MinorBugsBAHLSaving!$D:$D,"BuggiesKids",MinorBugsBAHLSaving!$J:$J,"&lt;0")+SUMIFS(MinorBugsMeezanCurrent!$J:$J,MinorBugsMeezanCurrent!$C:$C,"HomeExpense",MinorBugsMeezanCurrent!$D:$D,"BuggiesKids",MinorBugsMeezanCurrent!$J:$J,"&lt;0")+SUMIFS(MintCodeCurrent!$J:$J,MintCodeCurrent!$C:$C,"HomeExpense",MintCodeCurrent!$D:$D,"BuggiesKids",MintCodeCurrent!$J:$J,"&lt;0")+SUMIFS(GamesGeeksBAHL!$J:$J,GamesGeeksBAHL!$C:$C,"HomeExpense",GamesGeeksBAHL!$D:$D,"BuggiesKids",GamesGeeksBAHL!$J:$J,"&lt;0")+SUMIFS(GamingUniverse!$J:$J,GamingUniverse!$C:$C,"HomeExpense",GamingUniverse!$D:$D,"BuggiesKids",GamingUniverse!$J:$J,"&lt;0")+SUMIFS(KashifMeezan!$J:$J,KashifMeezan!$C:$C,"HomeExpense",KashifMeezan!$D:$D,"BuggiesKids",KashifMeezan!$J:$J,"&lt;0")+SUMIFS(SaadMeezan!$J:$J,SaadMeezan!$C:$C,"HomeExpense",SaadMeezan!$D:$D,"BuggiesKids",SaadMeezan!$J:$J,"&lt;0")+SUMIFS(GameHippoMeezan!$J:$J,GameHippoMeezan!$C:$C,"HomeExpense",GameHippoMeezan!$D:$D,"BuggiesKids",GameHippoMeezan!$J:$J,"&lt;0")+SUMIFS(AbdullahMeezan!$J:$J,AbdullahMeezan!$C:$C,"HomeExpense",AbdullahMeezan!$D:$D,"BuggiesKids",AbdullahMeezan!$J:$J,"&lt;0")+SUMIFS(GameSol!$J:$J,GameSol!$C:$C,"HomeExpense",GameSol!$D:$D,"BuggiesKids",GameSol!$J:$J,"&lt;0")+SUMIFS(CipherWaveWise!$J:$J,CipherWaveWise!$C:$C,"HomeExpense",CipherWaveWise!$D:$D,"BuggiesKids",CipherWaveWise!$J:$J,"&lt;0")+SUMIFS(AstroVerse!$J:$J,AstroVerse!$C:$C,"HomeExpense",AstroVerse!$D:$D,"BuggiesKids",AstroVerse!$J:$J,"&lt;0"))</f>
        <v>0</v>
      </c>
      <c r="F10" s="1">
        <f>-(SUMIFS(MinorBugsRetention!$J:$J,MinorBugsRetention!$C:$C,"HomeExpense",MinorBugsRetention!$D:$D,"GameHippo",MinorBugsRetention!$J:$J,"&lt;0")+SUMIFS(MintCodeRetention!$J:$J,MintCodeRetention!$C:$C,"HomeExpense",MintCodeRetention!$D:$D,"GameHippo",MintCodeRetention!$J:$J,"&lt;0")+SUMIFS(AlphaRaysFlagStar!$J:$J,AlphaRaysFlagStar!$C:$C,"HomeExpense",AlphaRaysFlagStar!$D:$D,"GameHippo",AlphaRaysFlagStar!$J:$J,"&lt;0")+SUMIFS(GloriousWise!$J:$J,GloriousWise!$C:$C,"HomeExpense",GloriousWise!$D:$D,"GameHippo",GloriousWise!$J:$J,"&lt;0")+SUMIFS(Counter!$J:$J,Counter!$C:$C,"HomeExpense",Counter!$D:$D,"GameHippo",Counter!$J:$J,"&lt;0")+SUMIFS(MinorBugsBAHLCurrent!$J:$J,MinorBugsBAHLCurrent!$C:$C,"HomeExpense",MinorBugsBAHLCurrent!$D:$D,"GameHippo",MinorBugsBAHLCurrent!$J:$J,"&lt;0")+SUMIFS(MinorBugsBAHLSaving!$J:$J,MinorBugsBAHLSaving!$C:$C,"HomeExpense",MinorBugsBAHLSaving!$D:$D,"GameHippo",MinorBugsBAHLSaving!$J:$J,"&lt;0")+SUMIFS(MinorBugsMeezanCurrent!$J:$J,MinorBugsMeezanCurrent!$C:$C,"HomeExpense",MinorBugsMeezanCurrent!$D:$D,"GameHippo",MinorBugsMeezanCurrent!$J:$J,"&lt;0")+SUMIFS(MintCodeCurrent!$J:$J,MintCodeCurrent!$C:$C,"HomeExpense",MintCodeCurrent!$D:$D,"GameHippo",MintCodeCurrent!$J:$J,"&lt;0")+SUMIFS(GamesGeeksBAHL!$J:$J,GamesGeeksBAHL!$C:$C,"HomeExpense",GamesGeeksBAHL!$D:$D,"GameHippo",GamesGeeksBAHL!$J:$J,"&lt;0")+SUMIFS(GamingUniverse!$J:$J,GamingUniverse!$C:$C,"HomeExpense",GamingUniverse!$D:$D,"GameHippo",GamingUniverse!$J:$J,"&lt;0")+SUMIFS(KashifMeezan!$J:$J,KashifMeezan!$C:$C,"HomeExpense",KashifMeezan!$D:$D,"GameHippo",KashifMeezan!$J:$J,"&lt;0")+SUMIFS(SaadMeezan!$J:$J,SaadMeezan!$C:$C,"HomeExpense",SaadMeezan!$D:$D,"GameHippo",SaadMeezan!$J:$J,"&lt;0")+SUMIFS(GameHippoMeezan!$J:$J,GameHippoMeezan!$C:$C,"HomeExpense",GameHippoMeezan!$D:$D,"GameHippo",GameHippoMeezan!$J:$J,"&lt;0")+SUMIFS(AbdullahMeezan!$J:$J,AbdullahMeezan!$C:$C,"HomeExpense",AbdullahMeezan!$D:$D,"GameHippo",AbdullahMeezan!$J:$J,"&lt;0")+SUMIFS(GameSol!$J:$J,GameSol!$C:$C,"HomeExpense",GameSol!$D:$D,"GameHippo",GameSol!$J:$J,"&lt;0")+SUMIFS(CipherWaveWise!$J:$J,CipherWaveWise!$C:$C,"HomeExpense",CipherWaveWise!$D:$D,"GameHippo",CipherWaveWise!$J:$J,"&lt;0")+SUMIFS(AstroVerse!$J:$J,AstroVerse!$C:$C,"HomeExpense",AstroVerse!$D:$D,"GameHippo",AstroVerse!$J:$J,"&lt;0"))</f>
        <v>0</v>
      </c>
      <c r="G10" s="1">
        <f>-(SUMIFS(MinorBugsRetention!$J:$J,MinorBugsRetention!$C:$C,"HomeExpense",MinorBugsRetention!$D:$D,"Frentech",MinorBugsRetention!$J:$J,"&lt;0")+SUMIFS(MintCodeRetention!$J:$J,MintCodeRetention!$C:$C,"HomeExpense",MintCodeRetention!$D:$D,"Frentech",MintCodeRetention!$J:$J,"&lt;0")+SUMIFS(AlphaRaysFlagStar!$J:$J,AlphaRaysFlagStar!$C:$C,"HomeExpense",AlphaRaysFlagStar!$D:$D,"Frentech",AlphaRaysFlagStar!$J:$J,"&lt;0")+SUMIFS(GloriousWise!$J:$J,GloriousWise!$C:$C,"HomeExpense",GloriousWise!$D:$D,"Frentech",GloriousWise!$J:$J,"&lt;0")+SUMIFS(Counter!$J:$J,Counter!$C:$C,"HomeExpense",Counter!$D:$D,"Frentech",Counter!$J:$J,"&lt;0")+SUMIFS(MinorBugsBAHLCurrent!$J:$J,MinorBugsBAHLCurrent!$C:$C,"HomeExpense",MinorBugsBAHLCurrent!$D:$D,"Frentech",MinorBugsBAHLCurrent!$J:$J,"&lt;0")+SUMIFS(MinorBugsBAHLSaving!$J:$J,MinorBugsBAHLSaving!$C:$C,"HomeExpense",MinorBugsBAHLSaving!$D:$D,"Frentech",MinorBugsBAHLSaving!$J:$J,"&lt;0")+SUMIFS(MinorBugsMeezanCurrent!$J:$J,MinorBugsMeezanCurrent!$C:$C,"HomeExpense",MinorBugsMeezanCurrent!$D:$D,"Frentech",MinorBugsMeezanCurrent!$J:$J,"&lt;0")+SUMIFS(MintCodeCurrent!$J:$J,MintCodeCurrent!$C:$C,"HomeExpense",MintCodeCurrent!$D:$D,"Frentech",MintCodeCurrent!$J:$J,"&lt;0")+SUMIFS(GamesGeeksBAHL!$J:$J,GamesGeeksBAHL!$C:$C,"HomeExpense",GamesGeeksBAHL!$D:$D,"Frentech",GamesGeeksBAHL!$J:$J,"&lt;0")+SUMIFS(GamingUniverse!$J:$J,GamingUniverse!$C:$C,"HomeExpense",GamingUniverse!$D:$D,"Frentech",GamingUniverse!$J:$J,"&lt;0")+SUMIFS(KashifMeezan!$J:$J,KashifMeezan!$C:$C,"HomeExpense",KashifMeezan!$D:$D,"Frentech",KashifMeezan!$J:$J,"&lt;0")+SUMIFS(SaadMeezan!$J:$J,SaadMeezan!$C:$C,"HomeExpense",SaadMeezan!$D:$D,"Frentech",SaadMeezan!$J:$J,"&lt;0")+SUMIFS(GameHippoMeezan!$J:$J,GameHippoMeezan!$C:$C,"HomeExpense",GameHippoMeezan!$D:$D,"Frentech",GameHippoMeezan!$J:$J,"&lt;0")+SUMIFS(AbdullahMeezan!$J:$J,AbdullahMeezan!$C:$C,"HomeExpense",AbdullahMeezan!$D:$D,"Frentech",AbdullahMeezan!$J:$J,"&lt;0")+SUMIFS(GameSol!$J:$J,GameSol!$C:$C,"HomeExpense",GameSol!$D:$D,"Frentech",GameSol!$J:$J,"&lt;0")+SUMIFS(CipherWaveWise!$J:$J,CipherWaveWise!$C:$C,"HomeExpense",CipherWaveWise!$D:$D,"Frentech",CipherWaveWise!$J:$J,"&lt;0")+SUMIFS(AstroVerse!$J:$J,AstroVerse!$C:$C,"HomeExpense",AstroVerse!$D:$D,"Frentech",AstroVerse!$J:$J,"&lt;0"))</f>
        <v>0</v>
      </c>
      <c r="H10" s="1">
        <f>-(SUMIFS(MinorBugsRetention!$J:$J,MinorBugsRetention!$C:$C,"HomeExpense",MinorBugsRetention!$D:$D,"DevBoat",MinorBugsRetention!$J:$J,"&lt;0")+SUMIFS(MintCodeRetention!$J:$J,MintCodeRetention!$C:$C,"HomeExpense",MintCodeRetention!$D:$D,"DevBoat",MintCodeRetention!$J:$J,"&lt;0")+SUMIFS(AlphaRaysFlagStar!$J:$J,AlphaRaysFlagStar!$C:$C,"HomeExpense",AlphaRaysFlagStar!$D:$D,"DevBoat",AlphaRaysFlagStar!$J:$J,"&lt;0")+SUMIFS(GloriousWise!$J:$J,GloriousWise!$C:$C,"HomeExpense",GloriousWise!$D:$D,"DevBoat",GloriousWise!$J:$J,"&lt;0")+SUMIFS(Counter!$J:$J,Counter!$C:$C,"HomeExpense",Counter!$D:$D,"DevBoat",Counter!$J:$J,"&lt;0")+SUMIFS(MinorBugsBAHLCurrent!$J:$J,MinorBugsBAHLCurrent!$C:$C,"HomeExpense",MinorBugsBAHLCurrent!$D:$D,"DevBoat",MinorBugsBAHLCurrent!$J:$J,"&lt;0")+SUMIFS(MinorBugsBAHLSaving!$J:$J,MinorBugsBAHLSaving!$C:$C,"HomeExpense",MinorBugsBAHLSaving!$D:$D,"DevBoat",MinorBugsBAHLSaving!$J:$J,"&lt;0")+SUMIFS(MinorBugsMeezanCurrent!$J:$J,MinorBugsMeezanCurrent!$C:$C,"HomeExpense",MinorBugsMeezanCurrent!$D:$D,"DevBoat",MinorBugsMeezanCurrent!$J:$J,"&lt;0")+SUMIFS(MintCodeCurrent!$J:$J,MintCodeCurrent!$C:$C,"HomeExpense",MintCodeCurrent!$D:$D,"DevBoat",MintCodeCurrent!$J:$J,"&lt;0")+SUMIFS(GamesGeeksBAHL!$J:$J,GamesGeeksBAHL!$C:$C,"HomeExpense",GamesGeeksBAHL!$D:$D,"DevBoat",GamesGeeksBAHL!$J:$J,"&lt;0")+SUMIFS(GamingUniverse!$J:$J,GamingUniverse!$C:$C,"HomeExpense",GamingUniverse!$D:$D,"DevBoat",GamingUniverse!$J:$J,"&lt;0")+SUMIFS(KashifMeezan!$J:$J,KashifMeezan!$C:$C,"HomeExpense",KashifMeezan!$D:$D,"DevBoat",KashifMeezan!$J:$J,"&lt;0")+SUMIFS(SaadMeezan!$J:$J,SaadMeezan!$C:$C,"HomeExpense",SaadMeezan!$D:$D,"DevBoat",SaadMeezan!$J:$J,"&lt;0")+SUMIFS(GameHippoMeezan!$J:$J,GameHippoMeezan!$C:$C,"HomeExpense",GameHippoMeezan!$D:$D,"DevBoat",GameHippoMeezan!$J:$J,"&lt;0")+SUMIFS(AbdullahMeezan!$J:$J,AbdullahMeezan!$C:$C,"HomeExpense",AbdullahMeezan!$D:$D,"DevBoat",AbdullahMeezan!$J:$J,"&lt;0")+SUMIFS(GameSol!$J:$J,GameSol!$C:$C,"HomeExpense",GameSol!$D:$D,"DevBoat",GameSol!$J:$J,"&lt;0")+SUMIFS(CipherWaveWise!$J:$J,CipherWaveWise!$C:$C,"HomeExpense",CipherWaveWise!$D:$D,"DevBoat",CipherWaveWise!$J:$J,"&lt;0")+SUMIFS(AstroVerse!$J:$J,AstroVerse!$C:$C,"HomeExpense",AstroVerse!$D:$D,"DevBoat",AstroVerse!$J:$J,"&lt;0"))</f>
        <v>0</v>
      </c>
      <c r="I10" s="1">
        <f t="shared" si="0"/>
        <v>1078</v>
      </c>
    </row>
    <row r="11" spans="1:9">
      <c r="A11" t="s">
        <v>14</v>
      </c>
      <c r="B11" s="1">
        <f>-(SUMIFS(MinorBugsRetention!$J:$J,MinorBugsRetention!$C:$C,"Investments",MinorBugsRetention!$D:$D,"MinorBugs",MinorBugsRetention!$J:$J,"&lt;0")+SUMIFS(MintCodeRetention!$J:$J,MintCodeRetention!$C:$C,"Investments",MintCodeRetention!$D:$D,"MinorBugs",MintCodeRetention!$J:$J,"&lt;0")+SUMIFS(AlphaRaysFlagStar!$J:$J,AlphaRaysFlagStar!$C:$C,"Investments",AlphaRaysFlagStar!$D:$D,"MinorBugs",AlphaRaysFlagStar!$J:$J,"&lt;0")+SUMIFS(GloriousWise!$J:$J,GloriousWise!$C:$C,"Investments",GloriousWise!$D:$D,"MinorBugs",GloriousWise!$J:$J,"&lt;0")+SUMIFS(Counter!$J:$J,Counter!$C:$C,"Investments",Counter!$D:$D,"MinorBugs",Counter!$J:$J,"&lt;0")+SUMIFS(MinorBugsBAHLCurrent!$J:$J,MinorBugsBAHLCurrent!$C:$C,"Investments",MinorBugsBAHLCurrent!$D:$D,"MinorBugs",MinorBugsBAHLCurrent!$J:$J,"&lt;0")+SUMIFS(MinorBugsBAHLSaving!$J:$J,MinorBugsBAHLSaving!$C:$C,"Investments",MinorBugsBAHLSaving!$D:$D,"MinorBugs",MinorBugsBAHLSaving!$J:$J,"&lt;0")+SUMIFS(MinorBugsMeezanCurrent!$J:$J,MinorBugsMeezanCurrent!$C:$C,"Investments",MinorBugsMeezanCurrent!$D:$D,"MinorBugs",MinorBugsMeezanCurrent!$J:$J,"&lt;0")+SUMIFS(MintCodeCurrent!$J:$J,MintCodeCurrent!$C:$C,"Investments",MintCodeCurrent!$D:$D,"MinorBugs",MintCodeCurrent!$J:$J,"&lt;0")+SUMIFS(GamesGeeksBAHL!$J:$J,GamesGeeksBAHL!$C:$C,"Investments",GamesGeeksBAHL!$D:$D,"MinorBugs",GamesGeeksBAHL!$J:$J,"&lt;0")+SUMIFS(GamingUniverse!$J:$J,GamingUniverse!$C:$C,"Investments",GamingUniverse!$D:$D,"MinorBugs",GamingUniverse!$J:$J,"&lt;0")+SUMIFS(KashifMeezan!$J:$J,KashifMeezan!$C:$C,"Investments",KashifMeezan!$D:$D,"MinorBugs",KashifMeezan!$J:$J,"&lt;0")+SUMIFS(SaadMeezan!$J:$J,SaadMeezan!$C:$C,"Investments",SaadMeezan!$D:$D,"MinorBugs",SaadMeezan!$J:$J,"&lt;0")+SUMIFS(GameHippoMeezan!$J:$J,GameHippoMeezan!$C:$C,"Investments",GameHippoMeezan!$D:$D,"MinorBugs",GameHippoMeezan!$J:$J,"&lt;0")+SUMIFS(AbdullahMeezan!$J:$J,AbdullahMeezan!$C:$C,"Investments",AbdullahMeezan!$D:$D,"MinorBugs",AbdullahMeezan!$J:$J,"&lt;0")+SUMIFS(GameSol!$J:$J,GameSol!$C:$C,"Investments",GameSol!$D:$D,"MinorBugs",GameSol!$J:$J,"&lt;0")+SUMIFS(CipherWaveWise!$J:$J,CipherWaveWise!$C:$C,"Investments",CipherWaveWise!$D:$D,"MinorBugs",CipherWaveWise!$J:$J,"&lt;0")+SUMIFS(AstroVerse!$J:$J,AstroVerse!$C:$C,"Investments",AstroVerse!$D:$D,"MinorBugs",AstroVerse!$J:$J,"&lt;0"))</f>
        <v>0</v>
      </c>
      <c r="C11" s="1">
        <f>-(SUMIFS(MinorBugsRetention!$J:$J,MinorBugsRetention!$C:$C,"Investments",MinorBugsRetention!$D:$D,"BraveJackals",MinorBugsRetention!$J:$J,"&lt;0")+SUMIFS(MintCodeRetention!$J:$J,MintCodeRetention!$C:$C,"Investments",MintCodeRetention!$D:$D,"BraveJackals",MintCodeRetention!$J:$J,"&lt;0")+SUMIFS(AlphaRaysFlagStar!$J:$J,AlphaRaysFlagStar!$C:$C,"Investments",AlphaRaysFlagStar!$D:$D,"BraveJackals",AlphaRaysFlagStar!$J:$J,"&lt;0")+SUMIFS(GloriousWise!$J:$J,GloriousWise!$C:$C,"Investments",GloriousWise!$D:$D,"BraveJackals",GloriousWise!$J:$J,"&lt;0")+SUMIFS(Counter!$J:$J,Counter!$C:$C,"Investments",Counter!$D:$D,"BraveJackals",Counter!$J:$J,"&lt;0")+SUMIFS(MinorBugsBAHLCurrent!$J:$J,MinorBugsBAHLCurrent!$C:$C,"Investments",MinorBugsBAHLCurrent!$D:$D,"BraveJackals",MinorBugsBAHLCurrent!$J:$J,"&lt;0")+SUMIFS(MinorBugsBAHLSaving!$J:$J,MinorBugsBAHLSaving!$C:$C,"Investments",MinorBugsBAHLSaving!$D:$D,"BraveJackals",MinorBugsBAHLSaving!$J:$J,"&lt;0")+SUMIFS(MinorBugsMeezanCurrent!$J:$J,MinorBugsMeezanCurrent!$C:$C,"Investments",MinorBugsMeezanCurrent!$D:$D,"BraveJackals",MinorBugsMeezanCurrent!$J:$J,"&lt;0")+SUMIFS(MintCodeCurrent!$J:$J,MintCodeCurrent!$C:$C,"Investments",MintCodeCurrent!$D:$D,"BraveJackals",MintCodeCurrent!$J:$J,"&lt;0")+SUMIFS(GamesGeeksBAHL!$J:$J,GamesGeeksBAHL!$C:$C,"Investments",GamesGeeksBAHL!$D:$D,"BraveJackals",GamesGeeksBAHL!$J:$J,"&lt;0")+SUMIFS(GamingUniverse!$J:$J,GamingUniverse!$C:$C,"Investments",GamingUniverse!$D:$D,"BraveJackals",GamingUniverse!$J:$J,"&lt;0")+SUMIFS(KashifMeezan!$J:$J,KashifMeezan!$C:$C,"Investments",KashifMeezan!$D:$D,"BraveJackals",KashifMeezan!$J:$J,"&lt;0")+SUMIFS(SaadMeezan!$J:$J,SaadMeezan!$C:$C,"Investments",SaadMeezan!$D:$D,"BraveJackals",SaadMeezan!$J:$J,"&lt;0")+SUMIFS(GameHippoMeezan!$J:$J,GameHippoMeezan!$C:$C,"Investments",GameHippoMeezan!$D:$D,"BraveJackals",GameHippoMeezan!$J:$J,"&lt;0")+SUMIFS(AbdullahMeezan!$J:$J,AbdullahMeezan!$C:$C,"Investments",AbdullahMeezan!$D:$D,"BraveJackals",AbdullahMeezan!$J:$J,"&lt;0")+SUMIFS(GameSol!$J:$J,GameSol!$C:$C,"Investments",GameSol!$D:$D,"BraveJackals",GameSol!$J:$J,"&lt;0")+SUMIFS(CipherWaveWise!$J:$J,CipherWaveWise!$C:$C,"Investments",CipherWaveWise!$D:$D,"BraveJackals",CipherWaveWise!$J:$J,"&lt;0")+SUMIFS(AstroVerse!$J:$J,AstroVerse!$C:$C,"Investments",AstroVerse!$D:$D,"BraveJackals",AstroVerse!$J:$J,"&lt;0"))</f>
        <v>0</v>
      </c>
      <c r="D11" s="1">
        <f>-(SUMIFS(MinorBugsRetention!$J:$J,MinorBugsRetention!$C:$C,"Investments",MinorBugsRetention!$D:$D,"GoJins",MinorBugsRetention!$J:$J,"&lt;0")+SUMIFS(MintCodeRetention!$J:$J,MintCodeRetention!$C:$C,"Investments",MintCodeRetention!$D:$D,"GoJins",MintCodeRetention!$J:$J,"&lt;0")+SUMIFS(AlphaRaysFlagStar!$J:$J,AlphaRaysFlagStar!$C:$C,"Investments",AlphaRaysFlagStar!$D:$D,"GoJins",AlphaRaysFlagStar!$J:$J,"&lt;0")+SUMIFS(GloriousWise!$J:$J,GloriousWise!$C:$C,"Investments",GloriousWise!$D:$D,"GoJins",GloriousWise!$J:$J,"&lt;0")+SUMIFS(Counter!$J:$J,Counter!$C:$C,"Investments",Counter!$D:$D,"GoJins",Counter!$J:$J,"&lt;0")+SUMIFS(MinorBugsBAHLCurrent!$J:$J,MinorBugsBAHLCurrent!$C:$C,"Investments",MinorBugsBAHLCurrent!$D:$D,"GoJins",MinorBugsBAHLCurrent!$J:$J,"&lt;0")+SUMIFS(MinorBugsBAHLSaving!$J:$J,MinorBugsBAHLSaving!$C:$C,"Investments",MinorBugsBAHLSaving!$D:$D,"GoJins",MinorBugsBAHLSaving!$J:$J,"&lt;0")+SUMIFS(MinorBugsMeezanCurrent!$J:$J,MinorBugsMeezanCurrent!$C:$C,"Investments",MinorBugsMeezanCurrent!$D:$D,"GoJins",MinorBugsMeezanCurrent!$J:$J,"&lt;0")+SUMIFS(MintCodeCurrent!$J:$J,MintCodeCurrent!$C:$C,"Investments",MintCodeCurrent!$D:$D,"GoJins",MintCodeCurrent!$J:$J,"&lt;0")+SUMIFS(GamesGeeksBAHL!$J:$J,GamesGeeksBAHL!$C:$C,"Investments",GamesGeeksBAHL!$D:$D,"GoJins",GamesGeeksBAHL!$J:$J,"&lt;0")+SUMIFS(GamingUniverse!$J:$J,GamingUniverse!$C:$C,"Investments",GamingUniverse!$D:$D,"GoJins",GamingUniverse!$J:$J,"&lt;0")+SUMIFS(KashifMeezan!$J:$J,KashifMeezan!$C:$C,"Investments",KashifMeezan!$D:$D,"GoJins",KashifMeezan!$J:$J,"&lt;0")+SUMIFS(SaadMeezan!$J:$J,SaadMeezan!$C:$C,"Investments",SaadMeezan!$D:$D,"GoJins",SaadMeezan!$J:$J,"&lt;0")+SUMIFS(GameHippoMeezan!$J:$J,GameHippoMeezan!$C:$C,"Investments",GameHippoMeezan!$D:$D,"GoJins",GameHippoMeezan!$J:$J,"&lt;0")+SUMIFS(AbdullahMeezan!$J:$J,AbdullahMeezan!$C:$C,"Investments",AbdullahMeezan!$D:$D,"GoJins",AbdullahMeezan!$J:$J,"&lt;0")+SUMIFS(GameSol!$J:$J,GameSol!$C:$C,"Investments",GameSol!$D:$D,"GoJins",GameSol!$J:$J,"&lt;0")+SUMIFS(CipherWaveWise!$J:$J,CipherWaveWise!$C:$C,"Investments",CipherWaveWise!$D:$D,"GoJins",CipherWaveWise!$J:$J,"&lt;0")+SUMIFS(AstroVerse!$J:$J,AstroVerse!$C:$C,"Investments",AstroVerse!$D:$D,"GoJins",AstroVerse!$J:$J,"&lt;0"))</f>
        <v>0</v>
      </c>
      <c r="E11" s="1">
        <f>-(SUMIFS(MinorBugsRetention!$J:$J,MinorBugsRetention!$C:$C,"Investments",MinorBugsRetention!$D:$D,"BuggiesKids",MinorBugsRetention!$J:$J,"&lt;0")+SUMIFS(MintCodeRetention!$J:$J,MintCodeRetention!$C:$C,"Investments",MintCodeRetention!$D:$D,"BuggiesKids",MintCodeRetention!$J:$J,"&lt;0")+SUMIFS(AlphaRaysFlagStar!$J:$J,AlphaRaysFlagStar!$C:$C,"Investments",AlphaRaysFlagStar!$D:$D,"BuggiesKids",AlphaRaysFlagStar!$J:$J,"&lt;0")+SUMIFS(GloriousWise!$J:$J,GloriousWise!$C:$C,"Investments",GloriousWise!$D:$D,"BuggiesKids",GloriousWise!$J:$J,"&lt;0")+SUMIFS(Counter!$J:$J,Counter!$C:$C,"Investments",Counter!$D:$D,"BuggiesKids",Counter!$J:$J,"&lt;0")+SUMIFS(MinorBugsBAHLCurrent!$J:$J,MinorBugsBAHLCurrent!$C:$C,"Investments",MinorBugsBAHLCurrent!$D:$D,"BuggiesKids",MinorBugsBAHLCurrent!$J:$J,"&lt;0")+SUMIFS(MinorBugsBAHLSaving!$J:$J,MinorBugsBAHLSaving!$C:$C,"Investments",MinorBugsBAHLSaving!$D:$D,"BuggiesKids",MinorBugsBAHLSaving!$J:$J,"&lt;0")+SUMIFS(MinorBugsMeezanCurrent!$J:$J,MinorBugsMeezanCurrent!$C:$C,"Investments",MinorBugsMeezanCurrent!$D:$D,"BuggiesKids",MinorBugsMeezanCurrent!$J:$J,"&lt;0")+SUMIFS(MintCodeCurrent!$J:$J,MintCodeCurrent!$C:$C,"Investments",MintCodeCurrent!$D:$D,"BuggiesKids",MintCodeCurrent!$J:$J,"&lt;0")+SUMIFS(GamesGeeksBAHL!$J:$J,GamesGeeksBAHL!$C:$C,"Investments",GamesGeeksBAHL!$D:$D,"BuggiesKids",GamesGeeksBAHL!$J:$J,"&lt;0")+SUMIFS(GamingUniverse!$J:$J,GamingUniverse!$C:$C,"Investments",GamingUniverse!$D:$D,"BuggiesKids",GamingUniverse!$J:$J,"&lt;0")+SUMIFS(KashifMeezan!$J:$J,KashifMeezan!$C:$C,"Investments",KashifMeezan!$D:$D,"BuggiesKids",KashifMeezan!$J:$J,"&lt;0")+SUMIFS(SaadMeezan!$J:$J,SaadMeezan!$C:$C,"Investments",SaadMeezan!$D:$D,"BuggiesKids",SaadMeezan!$J:$J,"&lt;0")+SUMIFS(GameHippoMeezan!$J:$J,GameHippoMeezan!$C:$C,"Investments",GameHippoMeezan!$D:$D,"BuggiesKids",GameHippoMeezan!$J:$J,"&lt;0")+SUMIFS(AbdullahMeezan!$J:$J,AbdullahMeezan!$C:$C,"Investments",AbdullahMeezan!$D:$D,"BuggiesKids",AbdullahMeezan!$J:$J,"&lt;0")+SUMIFS(GameSol!$J:$J,GameSol!$C:$C,"Investments",GameSol!$D:$D,"BuggiesKids",GameSol!$J:$J,"&lt;0")+SUMIFS(CipherWaveWise!$J:$J,CipherWaveWise!$C:$C,"Investments",CipherWaveWise!$D:$D,"BuggiesKids",CipherWaveWise!$J:$J,"&lt;0")+SUMIFS(AstroVerse!$J:$J,AstroVerse!$C:$C,"Investments",AstroVerse!$D:$D,"BuggiesKids",AstroVerse!$J:$J,"&lt;0"))</f>
        <v>0</v>
      </c>
      <c r="F11" s="1">
        <f>-(SUMIFS(MinorBugsRetention!$J:$J,MinorBugsRetention!$C:$C,"Investments",MinorBugsRetention!$D:$D,"GameHippo",MinorBugsRetention!$J:$J,"&lt;0")+SUMIFS(MintCodeRetention!$J:$J,MintCodeRetention!$C:$C,"Investments",MintCodeRetention!$D:$D,"GameHippo",MintCodeRetention!$J:$J,"&lt;0")+SUMIFS(AlphaRaysFlagStar!$J:$J,AlphaRaysFlagStar!$C:$C,"Investments",AlphaRaysFlagStar!$D:$D,"GameHippo",AlphaRaysFlagStar!$J:$J,"&lt;0")+SUMIFS(GloriousWise!$J:$J,GloriousWise!$C:$C,"Investments",GloriousWise!$D:$D,"GameHippo",GloriousWise!$J:$J,"&lt;0")+SUMIFS(Counter!$J:$J,Counter!$C:$C,"Investments",Counter!$D:$D,"GameHippo",Counter!$J:$J,"&lt;0")+SUMIFS(MinorBugsBAHLCurrent!$J:$J,MinorBugsBAHLCurrent!$C:$C,"Investments",MinorBugsBAHLCurrent!$D:$D,"GameHippo",MinorBugsBAHLCurrent!$J:$J,"&lt;0")+SUMIFS(MinorBugsBAHLSaving!$J:$J,MinorBugsBAHLSaving!$C:$C,"Investments",MinorBugsBAHLSaving!$D:$D,"GameHippo",MinorBugsBAHLSaving!$J:$J,"&lt;0")+SUMIFS(MinorBugsMeezanCurrent!$J:$J,MinorBugsMeezanCurrent!$C:$C,"Investments",MinorBugsMeezanCurrent!$D:$D,"GameHippo",MinorBugsMeezanCurrent!$J:$J,"&lt;0")+SUMIFS(MintCodeCurrent!$J:$J,MintCodeCurrent!$C:$C,"Investments",MintCodeCurrent!$D:$D,"GameHippo",MintCodeCurrent!$J:$J,"&lt;0")+SUMIFS(GamesGeeksBAHL!$J:$J,GamesGeeksBAHL!$C:$C,"Investments",GamesGeeksBAHL!$D:$D,"GameHippo",GamesGeeksBAHL!$J:$J,"&lt;0")+SUMIFS(GamingUniverse!$J:$J,GamingUniverse!$C:$C,"Investments",GamingUniverse!$D:$D,"GameHippo",GamingUniverse!$J:$J,"&lt;0")+SUMIFS(KashifMeezan!$J:$J,KashifMeezan!$C:$C,"Investments",KashifMeezan!$D:$D,"GameHippo",KashifMeezan!$J:$J,"&lt;0")+SUMIFS(SaadMeezan!$J:$J,SaadMeezan!$C:$C,"Investments",SaadMeezan!$D:$D,"GameHippo",SaadMeezan!$J:$J,"&lt;0")+SUMIFS(GameHippoMeezan!$J:$J,GameHippoMeezan!$C:$C,"Investments",GameHippoMeezan!$D:$D,"GameHippo",GameHippoMeezan!$J:$J,"&lt;0")+SUMIFS(AbdullahMeezan!$J:$J,AbdullahMeezan!$C:$C,"Investments",AbdullahMeezan!$D:$D,"GameHippo",AbdullahMeezan!$J:$J,"&lt;0")+SUMIFS(GameSol!$J:$J,GameSol!$C:$C,"Investments",GameSol!$D:$D,"GameHippo",GameSol!$J:$J,"&lt;0")+SUMIFS(CipherWaveWise!$J:$J,CipherWaveWise!$C:$C,"Investments",CipherWaveWise!$D:$D,"GameHippo",CipherWaveWise!$J:$J,"&lt;0")+SUMIFS(AstroVerse!$J:$J,AstroVerse!$C:$C,"Investments",AstroVerse!$D:$D,"GameHippo",AstroVerse!$J:$J,"&lt;0"))</f>
        <v>0</v>
      </c>
      <c r="G11" s="1">
        <f>-(SUMIFS(MinorBugsRetention!$J:$J,MinorBugsRetention!$C:$C,"Investments",MinorBugsRetention!$D:$D,"Frentech",MinorBugsRetention!$J:$J,"&lt;0")+SUMIFS(MintCodeRetention!$J:$J,MintCodeRetention!$C:$C,"Investments",MintCodeRetention!$D:$D,"Frentech",MintCodeRetention!$J:$J,"&lt;0")+SUMIFS(AlphaRaysFlagStar!$J:$J,AlphaRaysFlagStar!$C:$C,"Investments",AlphaRaysFlagStar!$D:$D,"Frentech",AlphaRaysFlagStar!$J:$J,"&lt;0")+SUMIFS(GloriousWise!$J:$J,GloriousWise!$C:$C,"Investments",GloriousWise!$D:$D,"Frentech",GloriousWise!$J:$J,"&lt;0")+SUMIFS(Counter!$J:$J,Counter!$C:$C,"Investments",Counter!$D:$D,"Frentech",Counter!$J:$J,"&lt;0")+SUMIFS(MinorBugsBAHLCurrent!$J:$J,MinorBugsBAHLCurrent!$C:$C,"Investments",MinorBugsBAHLCurrent!$D:$D,"Frentech",MinorBugsBAHLCurrent!$J:$J,"&lt;0")+SUMIFS(MinorBugsBAHLSaving!$J:$J,MinorBugsBAHLSaving!$C:$C,"Investments",MinorBugsBAHLSaving!$D:$D,"Frentech",MinorBugsBAHLSaving!$J:$J,"&lt;0")+SUMIFS(MinorBugsMeezanCurrent!$J:$J,MinorBugsMeezanCurrent!$C:$C,"Investments",MinorBugsMeezanCurrent!$D:$D,"Frentech",MinorBugsMeezanCurrent!$J:$J,"&lt;0")+SUMIFS(MintCodeCurrent!$J:$J,MintCodeCurrent!$C:$C,"Investments",MintCodeCurrent!$D:$D,"Frentech",MintCodeCurrent!$J:$J,"&lt;0")+SUMIFS(GamesGeeksBAHL!$J:$J,GamesGeeksBAHL!$C:$C,"Investments",GamesGeeksBAHL!$D:$D,"Frentech",GamesGeeksBAHL!$J:$J,"&lt;0")+SUMIFS(GamingUniverse!$J:$J,GamingUniverse!$C:$C,"Investments",GamingUniverse!$D:$D,"Frentech",GamingUniverse!$J:$J,"&lt;0")+SUMIFS(KashifMeezan!$J:$J,KashifMeezan!$C:$C,"Investments",KashifMeezan!$D:$D,"Frentech",KashifMeezan!$J:$J,"&lt;0")+SUMIFS(SaadMeezan!$J:$J,SaadMeezan!$C:$C,"Investments",SaadMeezan!$D:$D,"Frentech",SaadMeezan!$J:$J,"&lt;0")+SUMIFS(GameHippoMeezan!$J:$J,GameHippoMeezan!$C:$C,"Investments",GameHippoMeezan!$D:$D,"Frentech",GameHippoMeezan!$J:$J,"&lt;0")+SUMIFS(AbdullahMeezan!$J:$J,AbdullahMeezan!$C:$C,"Investments",AbdullahMeezan!$D:$D,"Frentech",AbdullahMeezan!$J:$J,"&lt;0")+SUMIFS(GameSol!$J:$J,GameSol!$C:$C,"Investments",GameSol!$D:$D,"Frentech",GameSol!$J:$J,"&lt;0")+SUMIFS(CipherWaveWise!$J:$J,CipherWaveWise!$C:$C,"Investments",CipherWaveWise!$D:$D,"Frentech",CipherWaveWise!$J:$J,"&lt;0")+SUMIFS(AstroVerse!$J:$J,AstroVerse!$C:$C,"Investments",AstroVerse!$D:$D,"Frentech",AstroVerse!$J:$J,"&lt;0"))</f>
        <v>0</v>
      </c>
      <c r="H11" s="1">
        <f>-(SUMIFS(MinorBugsRetention!$J:$J,MinorBugsRetention!$C:$C,"Investments",MinorBugsRetention!$D:$D,"DevBoat",MinorBugsRetention!$J:$J,"&lt;0")+SUMIFS(MintCodeRetention!$J:$J,MintCodeRetention!$C:$C,"Investments",MintCodeRetention!$D:$D,"DevBoat",MintCodeRetention!$J:$J,"&lt;0")+SUMIFS(AlphaRaysFlagStar!$J:$J,AlphaRaysFlagStar!$C:$C,"Investments",AlphaRaysFlagStar!$D:$D,"DevBoat",AlphaRaysFlagStar!$J:$J,"&lt;0")+SUMIFS(GloriousWise!$J:$J,GloriousWise!$C:$C,"Investments",GloriousWise!$D:$D,"DevBoat",GloriousWise!$J:$J,"&lt;0")+SUMIFS(Counter!$J:$J,Counter!$C:$C,"Investments",Counter!$D:$D,"DevBoat",Counter!$J:$J,"&lt;0")+SUMIFS(MinorBugsBAHLCurrent!$J:$J,MinorBugsBAHLCurrent!$C:$C,"Investments",MinorBugsBAHLCurrent!$D:$D,"DevBoat",MinorBugsBAHLCurrent!$J:$J,"&lt;0")+SUMIFS(MinorBugsBAHLSaving!$J:$J,MinorBugsBAHLSaving!$C:$C,"Investments",MinorBugsBAHLSaving!$D:$D,"DevBoat",MinorBugsBAHLSaving!$J:$J,"&lt;0")+SUMIFS(MinorBugsMeezanCurrent!$J:$J,MinorBugsMeezanCurrent!$C:$C,"Investments",MinorBugsMeezanCurrent!$D:$D,"DevBoat",MinorBugsMeezanCurrent!$J:$J,"&lt;0")+SUMIFS(MintCodeCurrent!$J:$J,MintCodeCurrent!$C:$C,"Investments",MintCodeCurrent!$D:$D,"DevBoat",MintCodeCurrent!$J:$J,"&lt;0")+SUMIFS(GamesGeeksBAHL!$J:$J,GamesGeeksBAHL!$C:$C,"Investments",GamesGeeksBAHL!$D:$D,"DevBoat",GamesGeeksBAHL!$J:$J,"&lt;0")+SUMIFS(GamingUniverse!$J:$J,GamingUniverse!$C:$C,"Investments",GamingUniverse!$D:$D,"DevBoat",GamingUniverse!$J:$J,"&lt;0")+SUMIFS(KashifMeezan!$J:$J,KashifMeezan!$C:$C,"Investments",KashifMeezan!$D:$D,"DevBoat",KashifMeezan!$J:$J,"&lt;0")+SUMIFS(SaadMeezan!$J:$J,SaadMeezan!$C:$C,"Investments",SaadMeezan!$D:$D,"DevBoat",SaadMeezan!$J:$J,"&lt;0")+SUMIFS(GameHippoMeezan!$J:$J,GameHippoMeezan!$C:$C,"Investments",GameHippoMeezan!$D:$D,"DevBoat",GameHippoMeezan!$J:$J,"&lt;0")+SUMIFS(AbdullahMeezan!$J:$J,AbdullahMeezan!$C:$C,"Investments",AbdullahMeezan!$D:$D,"DevBoat",AbdullahMeezan!$J:$J,"&lt;0")+SUMIFS(GameSol!$J:$J,GameSol!$C:$C,"Investments",GameSol!$D:$D,"DevBoat",GameSol!$J:$J,"&lt;0")+SUMIFS(CipherWaveWise!$J:$J,CipherWaveWise!$C:$C,"Investments",CipherWaveWise!$D:$D,"DevBoat",CipherWaveWise!$J:$J,"&lt;0")+SUMIFS(AstroVerse!$J:$J,AstroVerse!$C:$C,"Investments",AstroVerse!$D:$D,"DevBoat",AstroVerse!$J:$J,"&lt;0"))</f>
        <v>0</v>
      </c>
      <c r="I11" s="1">
        <f t="shared" si="0"/>
        <v>0</v>
      </c>
    </row>
    <row r="12" spans="1:9">
      <c r="A12" t="s">
        <v>15</v>
      </c>
      <c r="B12" s="1">
        <f>-(SUMIFS(MinorBugsRetention!$J:$J,MinorBugsRetention!$C:$C,"Repairing",MinorBugsRetention!$D:$D,"MinorBugs",MinorBugsRetention!$J:$J,"&lt;0")+SUMIFS(MintCodeRetention!$J:$J,MintCodeRetention!$C:$C,"Repairing",MintCodeRetention!$D:$D,"MinorBugs",MintCodeRetention!$J:$J,"&lt;0")+SUMIFS(AlphaRaysFlagStar!$J:$J,AlphaRaysFlagStar!$C:$C,"Repairing",AlphaRaysFlagStar!$D:$D,"MinorBugs",AlphaRaysFlagStar!$J:$J,"&lt;0")+SUMIFS(GloriousWise!$J:$J,GloriousWise!$C:$C,"Repairing",GloriousWise!$D:$D,"MinorBugs",GloriousWise!$J:$J,"&lt;0")+SUMIFS(Counter!$J:$J,Counter!$C:$C,"Repairing",Counter!$D:$D,"MinorBugs",Counter!$J:$J,"&lt;0")+SUMIFS(MinorBugsBAHLCurrent!$J:$J,MinorBugsBAHLCurrent!$C:$C,"Repairing",MinorBugsBAHLCurrent!$D:$D,"MinorBugs",MinorBugsBAHLCurrent!$J:$J,"&lt;0")+SUMIFS(MinorBugsBAHLSaving!$J:$J,MinorBugsBAHLSaving!$C:$C,"Repairing",MinorBugsBAHLSaving!$D:$D,"MinorBugs",MinorBugsBAHLSaving!$J:$J,"&lt;0")+SUMIFS(MinorBugsMeezanCurrent!$J:$J,MinorBugsMeezanCurrent!$C:$C,"Repairing",MinorBugsMeezanCurrent!$D:$D,"MinorBugs",MinorBugsMeezanCurrent!$J:$J,"&lt;0")+SUMIFS(MintCodeCurrent!$J:$J,MintCodeCurrent!$C:$C,"Repairing",MintCodeCurrent!$D:$D,"MinorBugs",MintCodeCurrent!$J:$J,"&lt;0")+SUMIFS(GamesGeeksBAHL!$J:$J,GamesGeeksBAHL!$C:$C,"Repairing",GamesGeeksBAHL!$D:$D,"MinorBugs",GamesGeeksBAHL!$J:$J,"&lt;0")+SUMIFS(GamingUniverse!$J:$J,GamingUniverse!$C:$C,"Repairing",GamingUniverse!$D:$D,"MinorBugs",GamingUniverse!$J:$J,"&lt;0")+SUMIFS(KashifMeezan!$J:$J,KashifMeezan!$C:$C,"Repairing",KashifMeezan!$D:$D,"MinorBugs",KashifMeezan!$J:$J,"&lt;0")+SUMIFS(SaadMeezan!$J:$J,SaadMeezan!$C:$C,"Repairing",SaadMeezan!$D:$D,"MinorBugs",SaadMeezan!$J:$J,"&lt;0")+SUMIFS(GameHippoMeezan!$J:$J,GameHippoMeezan!$C:$C,"Repairing",GameHippoMeezan!$D:$D,"MinorBugs",GameHippoMeezan!$J:$J,"&lt;0")+SUMIFS(AbdullahMeezan!$J:$J,AbdullahMeezan!$C:$C,"Repairing",AbdullahMeezan!$D:$D,"MinorBugs",AbdullahMeezan!$J:$J,"&lt;0")+SUMIFS(GameSol!$J:$J,GameSol!$C:$C,"Repairing",GameSol!$D:$D,"MinorBugs",GameSol!$J:$J,"&lt;0")+SUMIFS(CipherWaveWise!$J:$J,CipherWaveWise!$C:$C,"Repairing",CipherWaveWise!$D:$D,"MinorBugs",CipherWaveWise!$J:$J,"&lt;0")+SUMIFS(AstroVerse!$J:$J,AstroVerse!$C:$C,"Repairing",AstroVerse!$D:$D,"MinorBugs",AstroVerse!$J:$J,"&lt;0"))</f>
        <v>0</v>
      </c>
      <c r="C12" s="1">
        <f>-(SUMIFS(MinorBugsRetention!$J:$J,MinorBugsRetention!$C:$C,"Repairing",MinorBugsRetention!$D:$D,"BraveJackals",MinorBugsRetention!$J:$J,"&lt;0")+SUMIFS(MintCodeRetention!$J:$J,MintCodeRetention!$C:$C,"Repairing",MintCodeRetention!$D:$D,"BraveJackals",MintCodeRetention!$J:$J,"&lt;0")+SUMIFS(AlphaRaysFlagStar!$J:$J,AlphaRaysFlagStar!$C:$C,"Repairing",AlphaRaysFlagStar!$D:$D,"BraveJackals",AlphaRaysFlagStar!$J:$J,"&lt;0")+SUMIFS(GloriousWise!$J:$J,GloriousWise!$C:$C,"Repairing",GloriousWise!$D:$D,"BraveJackals",GloriousWise!$J:$J,"&lt;0")+SUMIFS(Counter!$J:$J,Counter!$C:$C,"Repairing",Counter!$D:$D,"BraveJackals",Counter!$J:$J,"&lt;0")+SUMIFS(MinorBugsBAHLCurrent!$J:$J,MinorBugsBAHLCurrent!$C:$C,"Repairing",MinorBugsBAHLCurrent!$D:$D,"BraveJackals",MinorBugsBAHLCurrent!$J:$J,"&lt;0")+SUMIFS(MinorBugsBAHLSaving!$J:$J,MinorBugsBAHLSaving!$C:$C,"Repairing",MinorBugsBAHLSaving!$D:$D,"BraveJackals",MinorBugsBAHLSaving!$J:$J,"&lt;0")+SUMIFS(MinorBugsMeezanCurrent!$J:$J,MinorBugsMeezanCurrent!$C:$C,"Repairing",MinorBugsMeezanCurrent!$D:$D,"BraveJackals",MinorBugsMeezanCurrent!$J:$J,"&lt;0")+SUMIFS(MintCodeCurrent!$J:$J,MintCodeCurrent!$C:$C,"Repairing",MintCodeCurrent!$D:$D,"BraveJackals",MintCodeCurrent!$J:$J,"&lt;0")+SUMIFS(GamesGeeksBAHL!$J:$J,GamesGeeksBAHL!$C:$C,"Repairing",GamesGeeksBAHL!$D:$D,"BraveJackals",GamesGeeksBAHL!$J:$J,"&lt;0")+SUMIFS(GamingUniverse!$J:$J,GamingUniverse!$C:$C,"Repairing",GamingUniverse!$D:$D,"BraveJackals",GamingUniverse!$J:$J,"&lt;0")+SUMIFS(KashifMeezan!$J:$J,KashifMeezan!$C:$C,"Repairing",KashifMeezan!$D:$D,"BraveJackals",KashifMeezan!$J:$J,"&lt;0")+SUMIFS(SaadMeezan!$J:$J,SaadMeezan!$C:$C,"Repairing",SaadMeezan!$D:$D,"BraveJackals",SaadMeezan!$J:$J,"&lt;0")+SUMIFS(GameHippoMeezan!$J:$J,GameHippoMeezan!$C:$C,"Repairing",GameHippoMeezan!$D:$D,"BraveJackals",GameHippoMeezan!$J:$J,"&lt;0")+SUMIFS(AbdullahMeezan!$J:$J,AbdullahMeezan!$C:$C,"Repairing",AbdullahMeezan!$D:$D,"BraveJackals",AbdullahMeezan!$J:$J,"&lt;0")+SUMIFS(GameSol!$J:$J,GameSol!$C:$C,"Repairing",GameSol!$D:$D,"BraveJackals",GameSol!$J:$J,"&lt;0")+SUMIFS(CipherWaveWise!$J:$J,CipherWaveWise!$C:$C,"Repairing",CipherWaveWise!$D:$D,"BraveJackals",CipherWaveWise!$J:$J,"&lt;0")+SUMIFS(AstroVerse!$J:$J,AstroVerse!$C:$C,"Repairing",AstroVerse!$D:$D,"BraveJackals",AstroVerse!$J:$J,"&lt;0"))</f>
        <v>0</v>
      </c>
      <c r="D12" s="1">
        <f>-(SUMIFS(MinorBugsRetention!$J:$J,MinorBugsRetention!$C:$C,"Repairing",MinorBugsRetention!$D:$D,"GoJins",MinorBugsRetention!$J:$J,"&lt;0")+SUMIFS(MintCodeRetention!$J:$J,MintCodeRetention!$C:$C,"Repairing",MintCodeRetention!$D:$D,"GoJins",MintCodeRetention!$J:$J,"&lt;0")+SUMIFS(AlphaRaysFlagStar!$J:$J,AlphaRaysFlagStar!$C:$C,"Repairing",AlphaRaysFlagStar!$D:$D,"GoJins",AlphaRaysFlagStar!$J:$J,"&lt;0")+SUMIFS(GloriousWise!$J:$J,GloriousWise!$C:$C,"Repairing",GloriousWise!$D:$D,"GoJins",GloriousWise!$J:$J,"&lt;0")+SUMIFS(Counter!$J:$J,Counter!$C:$C,"Repairing",Counter!$D:$D,"GoJins",Counter!$J:$J,"&lt;0")+SUMIFS(MinorBugsBAHLCurrent!$J:$J,MinorBugsBAHLCurrent!$C:$C,"Repairing",MinorBugsBAHLCurrent!$D:$D,"GoJins",MinorBugsBAHLCurrent!$J:$J,"&lt;0")+SUMIFS(MinorBugsBAHLSaving!$J:$J,MinorBugsBAHLSaving!$C:$C,"Repairing",MinorBugsBAHLSaving!$D:$D,"GoJins",MinorBugsBAHLSaving!$J:$J,"&lt;0")+SUMIFS(MinorBugsMeezanCurrent!$J:$J,MinorBugsMeezanCurrent!$C:$C,"Repairing",MinorBugsMeezanCurrent!$D:$D,"GoJins",MinorBugsMeezanCurrent!$J:$J,"&lt;0")+SUMIFS(MintCodeCurrent!$J:$J,MintCodeCurrent!$C:$C,"Repairing",MintCodeCurrent!$D:$D,"GoJins",MintCodeCurrent!$J:$J,"&lt;0")+SUMIFS(GamesGeeksBAHL!$J:$J,GamesGeeksBAHL!$C:$C,"Repairing",GamesGeeksBAHL!$D:$D,"GoJins",GamesGeeksBAHL!$J:$J,"&lt;0")+SUMIFS(GamingUniverse!$J:$J,GamingUniverse!$C:$C,"Repairing",GamingUniverse!$D:$D,"GoJins",GamingUniverse!$J:$J,"&lt;0")+SUMIFS(KashifMeezan!$J:$J,KashifMeezan!$C:$C,"Repairing",KashifMeezan!$D:$D,"GoJins",KashifMeezan!$J:$J,"&lt;0")+SUMIFS(SaadMeezan!$J:$J,SaadMeezan!$C:$C,"Repairing",SaadMeezan!$D:$D,"GoJins",SaadMeezan!$J:$J,"&lt;0")+SUMIFS(GameHippoMeezan!$J:$J,GameHippoMeezan!$C:$C,"Repairing",GameHippoMeezan!$D:$D,"GoJins",GameHippoMeezan!$J:$J,"&lt;0")+SUMIFS(AbdullahMeezan!$J:$J,AbdullahMeezan!$C:$C,"Repairing",AbdullahMeezan!$D:$D,"GoJins",AbdullahMeezan!$J:$J,"&lt;0")+SUMIFS(GameSol!$J:$J,GameSol!$C:$C,"Repairing",GameSol!$D:$D,"GoJins",GameSol!$J:$J,"&lt;0")+SUMIFS(CipherWaveWise!$J:$J,CipherWaveWise!$C:$C,"Repairing",CipherWaveWise!$D:$D,"GoJins",CipherWaveWise!$J:$J,"&lt;0")+SUMIFS(AstroVerse!$J:$J,AstroVerse!$C:$C,"Repairing",AstroVerse!$D:$D,"GoJins",AstroVerse!$J:$J,"&lt;0"))</f>
        <v>0</v>
      </c>
      <c r="E12" s="1">
        <f>-(SUMIFS(MinorBugsRetention!$J:$J,MinorBugsRetention!$C:$C,"Repairing",MinorBugsRetention!$D:$D,"BuggiesKids",MinorBugsRetention!$J:$J,"&lt;0")+SUMIFS(MintCodeRetention!$J:$J,MintCodeRetention!$C:$C,"Repairing",MintCodeRetention!$D:$D,"BuggiesKids",MintCodeRetention!$J:$J,"&lt;0")+SUMIFS(AlphaRaysFlagStar!$J:$J,AlphaRaysFlagStar!$C:$C,"Repairing",AlphaRaysFlagStar!$D:$D,"BuggiesKids",AlphaRaysFlagStar!$J:$J,"&lt;0")+SUMIFS(GloriousWise!$J:$J,GloriousWise!$C:$C,"Repairing",GloriousWise!$D:$D,"BuggiesKids",GloriousWise!$J:$J,"&lt;0")+SUMIFS(Counter!$J:$J,Counter!$C:$C,"Repairing",Counter!$D:$D,"BuggiesKids",Counter!$J:$J,"&lt;0")+SUMIFS(MinorBugsBAHLCurrent!$J:$J,MinorBugsBAHLCurrent!$C:$C,"Repairing",MinorBugsBAHLCurrent!$D:$D,"BuggiesKids",MinorBugsBAHLCurrent!$J:$J,"&lt;0")+SUMIFS(MinorBugsBAHLSaving!$J:$J,MinorBugsBAHLSaving!$C:$C,"Repairing",MinorBugsBAHLSaving!$D:$D,"BuggiesKids",MinorBugsBAHLSaving!$J:$J,"&lt;0")+SUMIFS(MinorBugsMeezanCurrent!$J:$J,MinorBugsMeezanCurrent!$C:$C,"Repairing",MinorBugsMeezanCurrent!$D:$D,"BuggiesKids",MinorBugsMeezanCurrent!$J:$J,"&lt;0")+SUMIFS(MintCodeCurrent!$J:$J,MintCodeCurrent!$C:$C,"Repairing",MintCodeCurrent!$D:$D,"BuggiesKids",MintCodeCurrent!$J:$J,"&lt;0")+SUMIFS(GamesGeeksBAHL!$J:$J,GamesGeeksBAHL!$C:$C,"Repairing",GamesGeeksBAHL!$D:$D,"BuggiesKids",GamesGeeksBAHL!$J:$J,"&lt;0")+SUMIFS(GamingUniverse!$J:$J,GamingUniverse!$C:$C,"Repairing",GamingUniverse!$D:$D,"BuggiesKids",GamingUniverse!$J:$J,"&lt;0")+SUMIFS(KashifMeezan!$J:$J,KashifMeezan!$C:$C,"Repairing",KashifMeezan!$D:$D,"BuggiesKids",KashifMeezan!$J:$J,"&lt;0")+SUMIFS(SaadMeezan!$J:$J,SaadMeezan!$C:$C,"Repairing",SaadMeezan!$D:$D,"BuggiesKids",SaadMeezan!$J:$J,"&lt;0")+SUMIFS(GameHippoMeezan!$J:$J,GameHippoMeezan!$C:$C,"Repairing",GameHippoMeezan!$D:$D,"BuggiesKids",GameHippoMeezan!$J:$J,"&lt;0")+SUMIFS(AbdullahMeezan!$J:$J,AbdullahMeezan!$C:$C,"Repairing",AbdullahMeezan!$D:$D,"BuggiesKids",AbdullahMeezan!$J:$J,"&lt;0")+SUMIFS(GameSol!$J:$J,GameSol!$C:$C,"Repairing",GameSol!$D:$D,"BuggiesKids",GameSol!$J:$J,"&lt;0")+SUMIFS(CipherWaveWise!$J:$J,CipherWaveWise!$C:$C,"Repairing",CipherWaveWise!$D:$D,"BuggiesKids",CipherWaveWise!$J:$J,"&lt;0")+SUMIFS(AstroVerse!$J:$J,AstroVerse!$C:$C,"Repairing",AstroVerse!$D:$D,"BuggiesKids",AstroVerse!$J:$J,"&lt;0"))</f>
        <v>0</v>
      </c>
      <c r="F12" s="1">
        <f>-(SUMIFS(MinorBugsRetention!$J:$J,MinorBugsRetention!$C:$C,"Repairing",MinorBugsRetention!$D:$D,"GameHippo",MinorBugsRetention!$J:$J,"&lt;0")+SUMIFS(MintCodeRetention!$J:$J,MintCodeRetention!$C:$C,"Repairing",MintCodeRetention!$D:$D,"GameHippo",MintCodeRetention!$J:$J,"&lt;0")+SUMIFS(AlphaRaysFlagStar!$J:$J,AlphaRaysFlagStar!$C:$C,"Repairing",AlphaRaysFlagStar!$D:$D,"GameHippo",AlphaRaysFlagStar!$J:$J,"&lt;0")+SUMIFS(GloriousWise!$J:$J,GloriousWise!$C:$C,"Repairing",GloriousWise!$D:$D,"GameHippo",GloriousWise!$J:$J,"&lt;0")+SUMIFS(Counter!$J:$J,Counter!$C:$C,"Repairing",Counter!$D:$D,"GameHippo",Counter!$J:$J,"&lt;0")+SUMIFS(MinorBugsBAHLCurrent!$J:$J,MinorBugsBAHLCurrent!$C:$C,"Repairing",MinorBugsBAHLCurrent!$D:$D,"GameHippo",MinorBugsBAHLCurrent!$J:$J,"&lt;0")+SUMIFS(MinorBugsBAHLSaving!$J:$J,MinorBugsBAHLSaving!$C:$C,"Repairing",MinorBugsBAHLSaving!$D:$D,"GameHippo",MinorBugsBAHLSaving!$J:$J,"&lt;0")+SUMIFS(MinorBugsMeezanCurrent!$J:$J,MinorBugsMeezanCurrent!$C:$C,"Repairing",MinorBugsMeezanCurrent!$D:$D,"GameHippo",MinorBugsMeezanCurrent!$J:$J,"&lt;0")+SUMIFS(MintCodeCurrent!$J:$J,MintCodeCurrent!$C:$C,"Repairing",MintCodeCurrent!$D:$D,"GameHippo",MintCodeCurrent!$J:$J,"&lt;0")+SUMIFS(GamesGeeksBAHL!$J:$J,GamesGeeksBAHL!$C:$C,"Repairing",GamesGeeksBAHL!$D:$D,"GameHippo",GamesGeeksBAHL!$J:$J,"&lt;0")+SUMIFS(GamingUniverse!$J:$J,GamingUniverse!$C:$C,"Repairing",GamingUniverse!$D:$D,"GameHippo",GamingUniverse!$J:$J,"&lt;0")+SUMIFS(KashifMeezan!$J:$J,KashifMeezan!$C:$C,"Repairing",KashifMeezan!$D:$D,"GameHippo",KashifMeezan!$J:$J,"&lt;0")+SUMIFS(SaadMeezan!$J:$J,SaadMeezan!$C:$C,"Repairing",SaadMeezan!$D:$D,"GameHippo",SaadMeezan!$J:$J,"&lt;0")+SUMIFS(GameHippoMeezan!$J:$J,GameHippoMeezan!$C:$C,"Repairing",GameHippoMeezan!$D:$D,"GameHippo",GameHippoMeezan!$J:$J,"&lt;0")+SUMIFS(AbdullahMeezan!$J:$J,AbdullahMeezan!$C:$C,"Repairing",AbdullahMeezan!$D:$D,"GameHippo",AbdullahMeezan!$J:$J,"&lt;0")+SUMIFS(GameSol!$J:$J,GameSol!$C:$C,"Repairing",GameSol!$D:$D,"GameHippo",GameSol!$J:$J,"&lt;0")+SUMIFS(CipherWaveWise!$J:$J,CipherWaveWise!$C:$C,"Repairing",CipherWaveWise!$D:$D,"GameHippo",CipherWaveWise!$J:$J,"&lt;0")+SUMIFS(AstroVerse!$J:$J,AstroVerse!$C:$C,"Repairing",AstroVerse!$D:$D,"GameHippo",AstroVerse!$J:$J,"&lt;0"))</f>
        <v>0</v>
      </c>
      <c r="G12" s="1">
        <f>-(SUMIFS(MinorBugsRetention!$J:$J,MinorBugsRetention!$C:$C,"Repairing",MinorBugsRetention!$D:$D,"Frentech",MinorBugsRetention!$J:$J,"&lt;0")+SUMIFS(MintCodeRetention!$J:$J,MintCodeRetention!$C:$C,"Repairing",MintCodeRetention!$D:$D,"Frentech",MintCodeRetention!$J:$J,"&lt;0")+SUMIFS(AlphaRaysFlagStar!$J:$J,AlphaRaysFlagStar!$C:$C,"Repairing",AlphaRaysFlagStar!$D:$D,"Frentech",AlphaRaysFlagStar!$J:$J,"&lt;0")+SUMIFS(GloriousWise!$J:$J,GloriousWise!$C:$C,"Repairing",GloriousWise!$D:$D,"Frentech",GloriousWise!$J:$J,"&lt;0")+SUMIFS(Counter!$J:$J,Counter!$C:$C,"Repairing",Counter!$D:$D,"Frentech",Counter!$J:$J,"&lt;0")+SUMIFS(MinorBugsBAHLCurrent!$J:$J,MinorBugsBAHLCurrent!$C:$C,"Repairing",MinorBugsBAHLCurrent!$D:$D,"Frentech",MinorBugsBAHLCurrent!$J:$J,"&lt;0")+SUMIFS(MinorBugsBAHLSaving!$J:$J,MinorBugsBAHLSaving!$C:$C,"Repairing",MinorBugsBAHLSaving!$D:$D,"Frentech",MinorBugsBAHLSaving!$J:$J,"&lt;0")+SUMIFS(MinorBugsMeezanCurrent!$J:$J,MinorBugsMeezanCurrent!$C:$C,"Repairing",MinorBugsMeezanCurrent!$D:$D,"Frentech",MinorBugsMeezanCurrent!$J:$J,"&lt;0")+SUMIFS(MintCodeCurrent!$J:$J,MintCodeCurrent!$C:$C,"Repairing",MintCodeCurrent!$D:$D,"Frentech",MintCodeCurrent!$J:$J,"&lt;0")+SUMIFS(GamesGeeksBAHL!$J:$J,GamesGeeksBAHL!$C:$C,"Repairing",GamesGeeksBAHL!$D:$D,"Frentech",GamesGeeksBAHL!$J:$J,"&lt;0")+SUMIFS(GamingUniverse!$J:$J,GamingUniverse!$C:$C,"Repairing",GamingUniverse!$D:$D,"Frentech",GamingUniverse!$J:$J,"&lt;0")+SUMIFS(KashifMeezan!$J:$J,KashifMeezan!$C:$C,"Repairing",KashifMeezan!$D:$D,"Frentech",KashifMeezan!$J:$J,"&lt;0")+SUMIFS(SaadMeezan!$J:$J,SaadMeezan!$C:$C,"Repairing",SaadMeezan!$D:$D,"Frentech",SaadMeezan!$J:$J,"&lt;0")+SUMIFS(GameHippoMeezan!$J:$J,GameHippoMeezan!$C:$C,"Repairing",GameHippoMeezan!$D:$D,"Frentech",GameHippoMeezan!$J:$J,"&lt;0")+SUMIFS(AbdullahMeezan!$J:$J,AbdullahMeezan!$C:$C,"Repairing",AbdullahMeezan!$D:$D,"Frentech",AbdullahMeezan!$J:$J,"&lt;0")+SUMIFS(GameSol!$J:$J,GameSol!$C:$C,"Repairing",GameSol!$D:$D,"Frentech",GameSol!$J:$J,"&lt;0")+SUMIFS(CipherWaveWise!$J:$J,CipherWaveWise!$C:$C,"Repairing",CipherWaveWise!$D:$D,"Frentech",CipherWaveWise!$J:$J,"&lt;0")+SUMIFS(AstroVerse!$J:$J,AstroVerse!$C:$C,"Repairing",AstroVerse!$D:$D,"Frentech",AstroVerse!$J:$J,"&lt;0"))</f>
        <v>0</v>
      </c>
      <c r="H12" s="1">
        <f>-(SUMIFS(MinorBugsRetention!$J:$J,MinorBugsRetention!$C:$C,"Repairing",MinorBugsRetention!$D:$D,"DevBoat",MinorBugsRetention!$J:$J,"&lt;0")+SUMIFS(MintCodeRetention!$J:$J,MintCodeRetention!$C:$C,"Repairing",MintCodeRetention!$D:$D,"DevBoat",MintCodeRetention!$J:$J,"&lt;0")+SUMIFS(AlphaRaysFlagStar!$J:$J,AlphaRaysFlagStar!$C:$C,"Repairing",AlphaRaysFlagStar!$D:$D,"DevBoat",AlphaRaysFlagStar!$J:$J,"&lt;0")+SUMIFS(GloriousWise!$J:$J,GloriousWise!$C:$C,"Repairing",GloriousWise!$D:$D,"DevBoat",GloriousWise!$J:$J,"&lt;0")+SUMIFS(Counter!$J:$J,Counter!$C:$C,"Repairing",Counter!$D:$D,"DevBoat",Counter!$J:$J,"&lt;0")+SUMIFS(MinorBugsBAHLCurrent!$J:$J,MinorBugsBAHLCurrent!$C:$C,"Repairing",MinorBugsBAHLCurrent!$D:$D,"DevBoat",MinorBugsBAHLCurrent!$J:$J,"&lt;0")+SUMIFS(MinorBugsBAHLSaving!$J:$J,MinorBugsBAHLSaving!$C:$C,"Repairing",MinorBugsBAHLSaving!$D:$D,"DevBoat",MinorBugsBAHLSaving!$J:$J,"&lt;0")+SUMIFS(MinorBugsMeezanCurrent!$J:$J,MinorBugsMeezanCurrent!$C:$C,"Repairing",MinorBugsMeezanCurrent!$D:$D,"DevBoat",MinorBugsMeezanCurrent!$J:$J,"&lt;0")+SUMIFS(MintCodeCurrent!$J:$J,MintCodeCurrent!$C:$C,"Repairing",MintCodeCurrent!$D:$D,"DevBoat",MintCodeCurrent!$J:$J,"&lt;0")+SUMIFS(GamesGeeksBAHL!$J:$J,GamesGeeksBAHL!$C:$C,"Repairing",GamesGeeksBAHL!$D:$D,"DevBoat",GamesGeeksBAHL!$J:$J,"&lt;0")+SUMIFS(GamingUniverse!$J:$J,GamingUniverse!$C:$C,"Repairing",GamingUniverse!$D:$D,"DevBoat",GamingUniverse!$J:$J,"&lt;0")+SUMIFS(KashifMeezan!$J:$J,KashifMeezan!$C:$C,"Repairing",KashifMeezan!$D:$D,"DevBoat",KashifMeezan!$J:$J,"&lt;0")+SUMIFS(SaadMeezan!$J:$J,SaadMeezan!$C:$C,"Repairing",SaadMeezan!$D:$D,"DevBoat",SaadMeezan!$J:$J,"&lt;0")+SUMIFS(GameHippoMeezan!$J:$J,GameHippoMeezan!$C:$C,"Repairing",GameHippoMeezan!$D:$D,"DevBoat",GameHippoMeezan!$J:$J,"&lt;0")+SUMIFS(AbdullahMeezan!$J:$J,AbdullahMeezan!$C:$C,"Repairing",AbdullahMeezan!$D:$D,"DevBoat",AbdullahMeezan!$J:$J,"&lt;0")+SUMIFS(GameSol!$J:$J,GameSol!$C:$C,"Repairing",GameSol!$D:$D,"DevBoat",GameSol!$J:$J,"&lt;0")+SUMIFS(CipherWaveWise!$J:$J,CipherWaveWise!$C:$C,"Repairing",CipherWaveWise!$D:$D,"DevBoat",CipherWaveWise!$J:$J,"&lt;0")+SUMIFS(AstroVerse!$J:$J,AstroVerse!$C:$C,"Repairing",AstroVerse!$D:$D,"DevBoat",AstroVerse!$J:$J,"&lt;0"))</f>
        <v>0</v>
      </c>
      <c r="I12" s="1">
        <f t="shared" si="0"/>
        <v>0</v>
      </c>
    </row>
    <row r="13" spans="1:9">
      <c r="A13" t="s">
        <v>16</v>
      </c>
      <c r="B13" s="1">
        <f>-(SUMIFS(MinorBugsRetention!$J:$J,MinorBugsRetention!$C:$C,"ProfitTax",MinorBugsRetention!$D:$D,"MinorBugs",MinorBugsRetention!$J:$J,"&lt;0")+SUMIFS(MintCodeRetention!$J:$J,MintCodeRetention!$C:$C,"ProfitTax",MintCodeRetention!$D:$D,"MinorBugs",MintCodeRetention!$J:$J,"&lt;0")+SUMIFS(AlphaRaysFlagStar!$J:$J,AlphaRaysFlagStar!$C:$C,"ProfitTax",AlphaRaysFlagStar!$D:$D,"MinorBugs",AlphaRaysFlagStar!$J:$J,"&lt;0")+SUMIFS(GloriousWise!$J:$J,GloriousWise!$C:$C,"ProfitTax",GloriousWise!$D:$D,"MinorBugs",GloriousWise!$J:$J,"&lt;0")+SUMIFS(Counter!$J:$J,Counter!$C:$C,"ProfitTax",Counter!$D:$D,"MinorBugs",Counter!$J:$J,"&lt;0")+SUMIFS(MinorBugsBAHLCurrent!$J:$J,MinorBugsBAHLCurrent!$C:$C,"ProfitTax",MinorBugsBAHLCurrent!$D:$D,"MinorBugs",MinorBugsBAHLCurrent!$J:$J,"&lt;0")+SUMIFS(MinorBugsBAHLSaving!$J:$J,MinorBugsBAHLSaving!$C:$C,"ProfitTax",MinorBugsBAHLSaving!$D:$D,"MinorBugs",MinorBugsBAHLSaving!$J:$J,"&lt;0")+SUMIFS(MinorBugsMeezanCurrent!$J:$J,MinorBugsMeezanCurrent!$C:$C,"ProfitTax",MinorBugsMeezanCurrent!$D:$D,"MinorBugs",MinorBugsMeezanCurrent!$J:$J,"&lt;0")+SUMIFS(MintCodeCurrent!$J:$J,MintCodeCurrent!$C:$C,"ProfitTax",MintCodeCurrent!$D:$D,"MinorBugs",MintCodeCurrent!$J:$J,"&lt;0")+SUMIFS(GamesGeeksBAHL!$J:$J,GamesGeeksBAHL!$C:$C,"ProfitTax",GamesGeeksBAHL!$D:$D,"MinorBugs",GamesGeeksBAHL!$J:$J,"&lt;0")+SUMIFS(GamingUniverse!$J:$J,GamingUniverse!$C:$C,"ProfitTax",GamingUniverse!$D:$D,"MinorBugs",GamingUniverse!$J:$J,"&lt;0")+SUMIFS(KashifMeezan!$J:$J,KashifMeezan!$C:$C,"ProfitTax",KashifMeezan!$D:$D,"MinorBugs",KashifMeezan!$J:$J,"&lt;0")+SUMIFS(SaadMeezan!$J:$J,SaadMeezan!$C:$C,"ProfitTax",SaadMeezan!$D:$D,"MinorBugs",SaadMeezan!$J:$J,"&lt;0")+SUMIFS(GameHippoMeezan!$J:$J,GameHippoMeezan!$C:$C,"ProfitTax",GameHippoMeezan!$D:$D,"MinorBugs",GameHippoMeezan!$J:$J,"&lt;0")+SUMIFS(AbdullahMeezan!$J:$J,AbdullahMeezan!$C:$C,"ProfitTax",AbdullahMeezan!$D:$D,"MinorBugs",AbdullahMeezan!$J:$J,"&lt;0")+SUMIFS(GameSol!$J:$J,GameSol!$C:$C,"ProfitTax",GameSol!$D:$D,"MinorBugs",GameSol!$J:$J,"&lt;0")+SUMIFS(CipherWaveWise!$J:$J,CipherWaveWise!$C:$C,"ProfitTax",CipherWaveWise!$D:$D,"MinorBugs",CipherWaveWise!$J:$J,"&lt;0")+SUMIFS(AstroVerse!$J:$J,AstroVerse!$C:$C,"ProfitTax",AstroVerse!$D:$D,"MinorBugs",AstroVerse!$J:$J,"&lt;0"))</f>
        <v>24786</v>
      </c>
      <c r="C13" s="1">
        <f>-(SUMIFS(MinorBugsRetention!$J:$J,MinorBugsRetention!$C:$C,"ProfitTax",MinorBugsRetention!$D:$D,"BraveJackals",MinorBugsRetention!$J:$J,"&lt;0")+SUMIFS(MintCodeRetention!$J:$J,MintCodeRetention!$C:$C,"ProfitTax",MintCodeRetention!$D:$D,"BraveJackals",MintCodeRetention!$J:$J,"&lt;0")+SUMIFS(AlphaRaysFlagStar!$J:$J,AlphaRaysFlagStar!$C:$C,"ProfitTax",AlphaRaysFlagStar!$D:$D,"BraveJackals",AlphaRaysFlagStar!$J:$J,"&lt;0")+SUMIFS(GloriousWise!$J:$J,GloriousWise!$C:$C,"ProfitTax",GloriousWise!$D:$D,"BraveJackals",GloriousWise!$J:$J,"&lt;0")+SUMIFS(Counter!$J:$J,Counter!$C:$C,"ProfitTax",Counter!$D:$D,"BraveJackals",Counter!$J:$J,"&lt;0")+SUMIFS(MinorBugsBAHLCurrent!$J:$J,MinorBugsBAHLCurrent!$C:$C,"ProfitTax",MinorBugsBAHLCurrent!$D:$D,"BraveJackals",MinorBugsBAHLCurrent!$J:$J,"&lt;0")+SUMIFS(MinorBugsBAHLSaving!$J:$J,MinorBugsBAHLSaving!$C:$C,"ProfitTax",MinorBugsBAHLSaving!$D:$D,"BraveJackals",MinorBugsBAHLSaving!$J:$J,"&lt;0")+SUMIFS(MinorBugsMeezanCurrent!$J:$J,MinorBugsMeezanCurrent!$C:$C,"ProfitTax",MinorBugsMeezanCurrent!$D:$D,"BraveJackals",MinorBugsMeezanCurrent!$J:$J,"&lt;0")+SUMIFS(MintCodeCurrent!$J:$J,MintCodeCurrent!$C:$C,"ProfitTax",MintCodeCurrent!$D:$D,"BraveJackals",MintCodeCurrent!$J:$J,"&lt;0")+SUMIFS(GamesGeeksBAHL!$J:$J,GamesGeeksBAHL!$C:$C,"ProfitTax",GamesGeeksBAHL!$D:$D,"BraveJackals",GamesGeeksBAHL!$J:$J,"&lt;0")+SUMIFS(GamingUniverse!$J:$J,GamingUniverse!$C:$C,"ProfitTax",GamingUniverse!$D:$D,"BraveJackals",GamingUniverse!$J:$J,"&lt;0")+SUMIFS(KashifMeezan!$J:$J,KashifMeezan!$C:$C,"ProfitTax",KashifMeezan!$D:$D,"BraveJackals",KashifMeezan!$J:$J,"&lt;0")+SUMIFS(SaadMeezan!$J:$J,SaadMeezan!$C:$C,"ProfitTax",SaadMeezan!$D:$D,"BraveJackals",SaadMeezan!$J:$J,"&lt;0")+SUMIFS(GameHippoMeezan!$J:$J,GameHippoMeezan!$C:$C,"ProfitTax",GameHippoMeezan!$D:$D,"BraveJackals",GameHippoMeezan!$J:$J,"&lt;0")+SUMIFS(AbdullahMeezan!$J:$J,AbdullahMeezan!$C:$C,"ProfitTax",AbdullahMeezan!$D:$D,"BraveJackals",AbdullahMeezan!$J:$J,"&lt;0")+SUMIFS(GameSol!$J:$J,GameSol!$C:$C,"ProfitTax",GameSol!$D:$D,"BraveJackals",GameSol!$J:$J,"&lt;0")+SUMIFS(CipherWaveWise!$J:$J,CipherWaveWise!$C:$C,"ProfitTax",CipherWaveWise!$D:$D,"BraveJackals",CipherWaveWise!$J:$J,"&lt;0")+SUMIFS(AstroVerse!$J:$J,AstroVerse!$C:$C,"ProfitTax",AstroVerse!$D:$D,"BraveJackals",AstroVerse!$J:$J,"&lt;0"))</f>
        <v>0</v>
      </c>
      <c r="D13" s="1">
        <f>-(SUMIFS(MinorBugsRetention!$J:$J,MinorBugsRetention!$C:$C,"ProfitTax",MinorBugsRetention!$D:$D,"GoJins",MinorBugsRetention!$J:$J,"&lt;0")+SUMIFS(MintCodeRetention!$J:$J,MintCodeRetention!$C:$C,"ProfitTax",MintCodeRetention!$D:$D,"GoJins",MintCodeRetention!$J:$J,"&lt;0")+SUMIFS(AlphaRaysFlagStar!$J:$J,AlphaRaysFlagStar!$C:$C,"ProfitTax",AlphaRaysFlagStar!$D:$D,"GoJins",AlphaRaysFlagStar!$J:$J,"&lt;0")+SUMIFS(GloriousWise!$J:$J,GloriousWise!$C:$C,"ProfitTax",GloriousWise!$D:$D,"GoJins",GloriousWise!$J:$J,"&lt;0")+SUMIFS(Counter!$J:$J,Counter!$C:$C,"ProfitTax",Counter!$D:$D,"GoJins",Counter!$J:$J,"&lt;0")+SUMIFS(MinorBugsBAHLCurrent!$J:$J,MinorBugsBAHLCurrent!$C:$C,"ProfitTax",MinorBugsBAHLCurrent!$D:$D,"GoJins",MinorBugsBAHLCurrent!$J:$J,"&lt;0")+SUMIFS(MinorBugsBAHLSaving!$J:$J,MinorBugsBAHLSaving!$C:$C,"ProfitTax",MinorBugsBAHLSaving!$D:$D,"GoJins",MinorBugsBAHLSaving!$J:$J,"&lt;0")+SUMIFS(MinorBugsMeezanCurrent!$J:$J,MinorBugsMeezanCurrent!$C:$C,"ProfitTax",MinorBugsMeezanCurrent!$D:$D,"GoJins",MinorBugsMeezanCurrent!$J:$J,"&lt;0")+SUMIFS(MintCodeCurrent!$J:$J,MintCodeCurrent!$C:$C,"ProfitTax",MintCodeCurrent!$D:$D,"GoJins",MintCodeCurrent!$J:$J,"&lt;0")+SUMIFS(GamesGeeksBAHL!$J:$J,GamesGeeksBAHL!$C:$C,"ProfitTax",GamesGeeksBAHL!$D:$D,"GoJins",GamesGeeksBAHL!$J:$J,"&lt;0")+SUMIFS(GamingUniverse!$J:$J,GamingUniverse!$C:$C,"ProfitTax",GamingUniverse!$D:$D,"GoJins",GamingUniverse!$J:$J,"&lt;0")+SUMIFS(KashifMeezan!$J:$J,KashifMeezan!$C:$C,"ProfitTax",KashifMeezan!$D:$D,"GoJins",KashifMeezan!$J:$J,"&lt;0")+SUMIFS(SaadMeezan!$J:$J,SaadMeezan!$C:$C,"ProfitTax",SaadMeezan!$D:$D,"GoJins",SaadMeezan!$J:$J,"&lt;0")+SUMIFS(GameHippoMeezan!$J:$J,GameHippoMeezan!$C:$C,"ProfitTax",GameHippoMeezan!$D:$D,"GoJins",GameHippoMeezan!$J:$J,"&lt;0")+SUMIFS(AbdullahMeezan!$J:$J,AbdullahMeezan!$C:$C,"ProfitTax",AbdullahMeezan!$D:$D,"GoJins",AbdullahMeezan!$J:$J,"&lt;0")+SUMIFS(GameSol!$J:$J,GameSol!$C:$C,"ProfitTax",GameSol!$D:$D,"GoJins",GameSol!$J:$J,"&lt;0")+SUMIFS(CipherWaveWise!$J:$J,CipherWaveWise!$C:$C,"ProfitTax",CipherWaveWise!$D:$D,"GoJins",CipherWaveWise!$J:$J,"&lt;0")+SUMIFS(AstroVerse!$J:$J,AstroVerse!$C:$C,"ProfitTax",AstroVerse!$D:$D,"GoJins",AstroVerse!$J:$J,"&lt;0"))</f>
        <v>0</v>
      </c>
      <c r="E13" s="1">
        <f>-(SUMIFS(MinorBugsRetention!$J:$J,MinorBugsRetention!$C:$C,"ProfitTax",MinorBugsRetention!$D:$D,"BuggiesKids",MinorBugsRetention!$J:$J,"&lt;0")+SUMIFS(MintCodeRetention!$J:$J,MintCodeRetention!$C:$C,"ProfitTax",MintCodeRetention!$D:$D,"BuggiesKids",MintCodeRetention!$J:$J,"&lt;0")+SUMIFS(AlphaRaysFlagStar!$J:$J,AlphaRaysFlagStar!$C:$C,"ProfitTax",AlphaRaysFlagStar!$D:$D,"BuggiesKids",AlphaRaysFlagStar!$J:$J,"&lt;0")+SUMIFS(GloriousWise!$J:$J,GloriousWise!$C:$C,"ProfitTax",GloriousWise!$D:$D,"BuggiesKids",GloriousWise!$J:$J,"&lt;0")+SUMIFS(Counter!$J:$J,Counter!$C:$C,"ProfitTax",Counter!$D:$D,"BuggiesKids",Counter!$J:$J,"&lt;0")+SUMIFS(MinorBugsBAHLCurrent!$J:$J,MinorBugsBAHLCurrent!$C:$C,"ProfitTax",MinorBugsBAHLCurrent!$D:$D,"BuggiesKids",MinorBugsBAHLCurrent!$J:$J,"&lt;0")+SUMIFS(MinorBugsBAHLSaving!$J:$J,MinorBugsBAHLSaving!$C:$C,"ProfitTax",MinorBugsBAHLSaving!$D:$D,"BuggiesKids",MinorBugsBAHLSaving!$J:$J,"&lt;0")+SUMIFS(MinorBugsMeezanCurrent!$J:$J,MinorBugsMeezanCurrent!$C:$C,"ProfitTax",MinorBugsMeezanCurrent!$D:$D,"BuggiesKids",MinorBugsMeezanCurrent!$J:$J,"&lt;0")+SUMIFS(MintCodeCurrent!$J:$J,MintCodeCurrent!$C:$C,"ProfitTax",MintCodeCurrent!$D:$D,"BuggiesKids",MintCodeCurrent!$J:$J,"&lt;0")+SUMIFS(GamesGeeksBAHL!$J:$J,GamesGeeksBAHL!$C:$C,"ProfitTax",GamesGeeksBAHL!$D:$D,"BuggiesKids",GamesGeeksBAHL!$J:$J,"&lt;0")+SUMIFS(GamingUniverse!$J:$J,GamingUniverse!$C:$C,"ProfitTax",GamingUniverse!$D:$D,"BuggiesKids",GamingUniverse!$J:$J,"&lt;0")+SUMIFS(KashifMeezan!$J:$J,KashifMeezan!$C:$C,"ProfitTax",KashifMeezan!$D:$D,"BuggiesKids",KashifMeezan!$J:$J,"&lt;0")+SUMIFS(SaadMeezan!$J:$J,SaadMeezan!$C:$C,"ProfitTax",SaadMeezan!$D:$D,"BuggiesKids",SaadMeezan!$J:$J,"&lt;0")+SUMIFS(GameHippoMeezan!$J:$J,GameHippoMeezan!$C:$C,"ProfitTax",GameHippoMeezan!$D:$D,"BuggiesKids",GameHippoMeezan!$J:$J,"&lt;0")+SUMIFS(AbdullahMeezan!$J:$J,AbdullahMeezan!$C:$C,"ProfitTax",AbdullahMeezan!$D:$D,"BuggiesKids",AbdullahMeezan!$J:$J,"&lt;0")+SUMIFS(GameSol!$J:$J,GameSol!$C:$C,"ProfitTax",GameSol!$D:$D,"BuggiesKids",GameSol!$J:$J,"&lt;0")+SUMIFS(CipherWaveWise!$J:$J,CipherWaveWise!$C:$C,"ProfitTax",CipherWaveWise!$D:$D,"BuggiesKids",CipherWaveWise!$J:$J,"&lt;0")+SUMIFS(AstroVerse!$J:$J,AstroVerse!$C:$C,"ProfitTax",AstroVerse!$D:$D,"BuggiesKids",AstroVerse!$J:$J,"&lt;0"))</f>
        <v>10367</v>
      </c>
      <c r="F13" s="1">
        <f>-(SUMIFS(MinorBugsRetention!$J:$J,MinorBugsRetention!$C:$C,"ProfitTax",MinorBugsRetention!$D:$D,"GameHippo",MinorBugsRetention!$J:$J,"&lt;0")+SUMIFS(MintCodeRetention!$J:$J,MintCodeRetention!$C:$C,"ProfitTax",MintCodeRetention!$D:$D,"GameHippo",MintCodeRetention!$J:$J,"&lt;0")+SUMIFS(AlphaRaysFlagStar!$J:$J,AlphaRaysFlagStar!$C:$C,"ProfitTax",AlphaRaysFlagStar!$D:$D,"GameHippo",AlphaRaysFlagStar!$J:$J,"&lt;0")+SUMIFS(GloriousWise!$J:$J,GloriousWise!$C:$C,"ProfitTax",GloriousWise!$D:$D,"GameHippo",GloriousWise!$J:$J,"&lt;0")+SUMIFS(Counter!$J:$J,Counter!$C:$C,"ProfitTax",Counter!$D:$D,"GameHippo",Counter!$J:$J,"&lt;0")+SUMIFS(MinorBugsBAHLCurrent!$J:$J,MinorBugsBAHLCurrent!$C:$C,"ProfitTax",MinorBugsBAHLCurrent!$D:$D,"GameHippo",MinorBugsBAHLCurrent!$J:$J,"&lt;0")+SUMIFS(MinorBugsBAHLSaving!$J:$J,MinorBugsBAHLSaving!$C:$C,"ProfitTax",MinorBugsBAHLSaving!$D:$D,"GameHippo",MinorBugsBAHLSaving!$J:$J,"&lt;0")+SUMIFS(MinorBugsMeezanCurrent!$J:$J,MinorBugsMeezanCurrent!$C:$C,"ProfitTax",MinorBugsMeezanCurrent!$D:$D,"GameHippo",MinorBugsMeezanCurrent!$J:$J,"&lt;0")+SUMIFS(MintCodeCurrent!$J:$J,MintCodeCurrent!$C:$C,"ProfitTax",MintCodeCurrent!$D:$D,"GameHippo",MintCodeCurrent!$J:$J,"&lt;0")+SUMIFS(GamesGeeksBAHL!$J:$J,GamesGeeksBAHL!$C:$C,"ProfitTax",GamesGeeksBAHL!$D:$D,"GameHippo",GamesGeeksBAHL!$J:$J,"&lt;0")+SUMIFS(GamingUniverse!$J:$J,GamingUniverse!$C:$C,"ProfitTax",GamingUniverse!$D:$D,"GameHippo",GamingUniverse!$J:$J,"&lt;0")+SUMIFS(KashifMeezan!$J:$J,KashifMeezan!$C:$C,"ProfitTax",KashifMeezan!$D:$D,"GameHippo",KashifMeezan!$J:$J,"&lt;0")+SUMIFS(SaadMeezan!$J:$J,SaadMeezan!$C:$C,"ProfitTax",SaadMeezan!$D:$D,"GameHippo",SaadMeezan!$J:$J,"&lt;0")+SUMIFS(GameHippoMeezan!$J:$J,GameHippoMeezan!$C:$C,"ProfitTax",GameHippoMeezan!$D:$D,"GameHippo",GameHippoMeezan!$J:$J,"&lt;0")+SUMIFS(AbdullahMeezan!$J:$J,AbdullahMeezan!$C:$C,"ProfitTax",AbdullahMeezan!$D:$D,"GameHippo",AbdullahMeezan!$J:$J,"&lt;0")+SUMIFS(GameSol!$J:$J,GameSol!$C:$C,"ProfitTax",GameSol!$D:$D,"GameHippo",GameSol!$J:$J,"&lt;0")+SUMIFS(CipherWaveWise!$J:$J,CipherWaveWise!$C:$C,"ProfitTax",CipherWaveWise!$D:$D,"GameHippo",CipherWaveWise!$J:$J,"&lt;0")+SUMIFS(AstroVerse!$J:$J,AstroVerse!$C:$C,"ProfitTax",AstroVerse!$D:$D,"GameHippo",AstroVerse!$J:$J,"&lt;0"))</f>
        <v>0</v>
      </c>
      <c r="G13" s="1">
        <f>-(SUMIFS(MinorBugsRetention!$J:$J,MinorBugsRetention!$C:$C,"ProfitTax",MinorBugsRetention!$D:$D,"Frentech",MinorBugsRetention!$J:$J,"&lt;0")+SUMIFS(MintCodeRetention!$J:$J,MintCodeRetention!$C:$C,"ProfitTax",MintCodeRetention!$D:$D,"Frentech",MintCodeRetention!$J:$J,"&lt;0")+SUMIFS(AlphaRaysFlagStar!$J:$J,AlphaRaysFlagStar!$C:$C,"ProfitTax",AlphaRaysFlagStar!$D:$D,"Frentech",AlphaRaysFlagStar!$J:$J,"&lt;0")+SUMIFS(GloriousWise!$J:$J,GloriousWise!$C:$C,"ProfitTax",GloriousWise!$D:$D,"Frentech",GloriousWise!$J:$J,"&lt;0")+SUMIFS(Counter!$J:$J,Counter!$C:$C,"ProfitTax",Counter!$D:$D,"Frentech",Counter!$J:$J,"&lt;0")+SUMIFS(MinorBugsBAHLCurrent!$J:$J,MinorBugsBAHLCurrent!$C:$C,"ProfitTax",MinorBugsBAHLCurrent!$D:$D,"Frentech",MinorBugsBAHLCurrent!$J:$J,"&lt;0")+SUMIFS(MinorBugsBAHLSaving!$J:$J,MinorBugsBAHLSaving!$C:$C,"ProfitTax",MinorBugsBAHLSaving!$D:$D,"Frentech",MinorBugsBAHLSaving!$J:$J,"&lt;0")+SUMIFS(MinorBugsMeezanCurrent!$J:$J,MinorBugsMeezanCurrent!$C:$C,"ProfitTax",MinorBugsMeezanCurrent!$D:$D,"Frentech",MinorBugsMeezanCurrent!$J:$J,"&lt;0")+SUMIFS(MintCodeCurrent!$J:$J,MintCodeCurrent!$C:$C,"ProfitTax",MintCodeCurrent!$D:$D,"Frentech",MintCodeCurrent!$J:$J,"&lt;0")+SUMIFS(GamesGeeksBAHL!$J:$J,GamesGeeksBAHL!$C:$C,"ProfitTax",GamesGeeksBAHL!$D:$D,"Frentech",GamesGeeksBAHL!$J:$J,"&lt;0")+SUMIFS(GamingUniverse!$J:$J,GamingUniverse!$C:$C,"ProfitTax",GamingUniverse!$D:$D,"Frentech",GamingUniverse!$J:$J,"&lt;0")+SUMIFS(KashifMeezan!$J:$J,KashifMeezan!$C:$C,"ProfitTax",KashifMeezan!$D:$D,"Frentech",KashifMeezan!$J:$J,"&lt;0")+SUMIFS(SaadMeezan!$J:$J,SaadMeezan!$C:$C,"ProfitTax",SaadMeezan!$D:$D,"Frentech",SaadMeezan!$J:$J,"&lt;0")+SUMIFS(GameHippoMeezan!$J:$J,GameHippoMeezan!$C:$C,"ProfitTax",GameHippoMeezan!$D:$D,"Frentech",GameHippoMeezan!$J:$J,"&lt;0")+SUMIFS(AbdullahMeezan!$J:$J,AbdullahMeezan!$C:$C,"ProfitTax",AbdullahMeezan!$D:$D,"Frentech",AbdullahMeezan!$J:$J,"&lt;0")+SUMIFS(GameSol!$J:$J,GameSol!$C:$C,"ProfitTax",GameSol!$D:$D,"Frentech",GameSol!$J:$J,"&lt;0")+SUMIFS(CipherWaveWise!$J:$J,CipherWaveWise!$C:$C,"ProfitTax",CipherWaveWise!$D:$D,"Frentech",CipherWaveWise!$J:$J,"&lt;0")+SUMIFS(AstroVerse!$J:$J,AstroVerse!$C:$C,"ProfitTax",AstroVerse!$D:$D,"Frentech",AstroVerse!$J:$J,"&lt;0"))</f>
        <v>0</v>
      </c>
      <c r="H13" s="1">
        <f>-(SUMIFS(MinorBugsRetention!$J:$J,MinorBugsRetention!$C:$C,"ProfitTax",MinorBugsRetention!$D:$D,"DevBoat",MinorBugsRetention!$J:$J,"&lt;0")+SUMIFS(MintCodeRetention!$J:$J,MintCodeRetention!$C:$C,"ProfitTax",MintCodeRetention!$D:$D,"DevBoat",MintCodeRetention!$J:$J,"&lt;0")+SUMIFS(AlphaRaysFlagStar!$J:$J,AlphaRaysFlagStar!$C:$C,"ProfitTax",AlphaRaysFlagStar!$D:$D,"DevBoat",AlphaRaysFlagStar!$J:$J,"&lt;0")+SUMIFS(GloriousWise!$J:$J,GloriousWise!$C:$C,"ProfitTax",GloriousWise!$D:$D,"DevBoat",GloriousWise!$J:$J,"&lt;0")+SUMIFS(Counter!$J:$J,Counter!$C:$C,"ProfitTax",Counter!$D:$D,"DevBoat",Counter!$J:$J,"&lt;0")+SUMIFS(MinorBugsBAHLCurrent!$J:$J,MinorBugsBAHLCurrent!$C:$C,"ProfitTax",MinorBugsBAHLCurrent!$D:$D,"DevBoat",MinorBugsBAHLCurrent!$J:$J,"&lt;0")+SUMIFS(MinorBugsBAHLSaving!$J:$J,MinorBugsBAHLSaving!$C:$C,"ProfitTax",MinorBugsBAHLSaving!$D:$D,"DevBoat",MinorBugsBAHLSaving!$J:$J,"&lt;0")+SUMIFS(MinorBugsMeezanCurrent!$J:$J,MinorBugsMeezanCurrent!$C:$C,"ProfitTax",MinorBugsMeezanCurrent!$D:$D,"DevBoat",MinorBugsMeezanCurrent!$J:$J,"&lt;0")+SUMIFS(MintCodeCurrent!$J:$J,MintCodeCurrent!$C:$C,"ProfitTax",MintCodeCurrent!$D:$D,"DevBoat",MintCodeCurrent!$J:$J,"&lt;0")+SUMIFS(GamesGeeksBAHL!$J:$J,GamesGeeksBAHL!$C:$C,"ProfitTax",GamesGeeksBAHL!$D:$D,"DevBoat",GamesGeeksBAHL!$J:$J,"&lt;0")+SUMIFS(GamingUniverse!$J:$J,GamingUniverse!$C:$C,"ProfitTax",GamingUniverse!$D:$D,"DevBoat",GamingUniverse!$J:$J,"&lt;0")+SUMIFS(KashifMeezan!$J:$J,KashifMeezan!$C:$C,"ProfitTax",KashifMeezan!$D:$D,"DevBoat",KashifMeezan!$J:$J,"&lt;0")+SUMIFS(SaadMeezan!$J:$J,SaadMeezan!$C:$C,"ProfitTax",SaadMeezan!$D:$D,"DevBoat",SaadMeezan!$J:$J,"&lt;0")+SUMIFS(GameHippoMeezan!$J:$J,GameHippoMeezan!$C:$C,"ProfitTax",GameHippoMeezan!$D:$D,"DevBoat",GameHippoMeezan!$J:$J,"&lt;0")+SUMIFS(AbdullahMeezan!$J:$J,AbdullahMeezan!$C:$C,"ProfitTax",AbdullahMeezan!$D:$D,"DevBoat",AbdullahMeezan!$J:$J,"&lt;0")+SUMIFS(GameSol!$J:$J,GameSol!$C:$C,"ProfitTax",GameSol!$D:$D,"DevBoat",GameSol!$J:$J,"&lt;0")+SUMIFS(CipherWaveWise!$J:$J,CipherWaveWise!$C:$C,"ProfitTax",CipherWaveWise!$D:$D,"DevBoat",CipherWaveWise!$J:$J,"&lt;0")+SUMIFS(AstroVerse!$J:$J,AstroVerse!$C:$C,"ProfitTax",AstroVerse!$D:$D,"DevBoat",AstroVerse!$J:$J,"&lt;0"))</f>
        <v>2414</v>
      </c>
      <c r="I13" s="1">
        <f t="shared" si="0"/>
        <v>37567</v>
      </c>
    </row>
    <row r="14" spans="1:9">
      <c r="A14" t="s">
        <v>17</v>
      </c>
      <c r="B14" s="1">
        <f>-(SUMIFS(MinorBugsRetention!$J:$J,MinorBugsRetention!$C:$C,"TransferEntry",MinorBugsRetention!$D:$D,"MinorBugs",MinorBugsRetention!$J:$J,"&lt;0")+SUMIFS(MintCodeRetention!$J:$J,MintCodeRetention!$C:$C,"TransferEntry",MintCodeRetention!$D:$D,"MinorBugs",MintCodeRetention!$J:$J,"&lt;0")+SUMIFS(AlphaRaysFlagStar!$J:$J,AlphaRaysFlagStar!$C:$C,"TransferEntry",AlphaRaysFlagStar!$D:$D,"MinorBugs",AlphaRaysFlagStar!$J:$J,"&lt;0")+SUMIFS(GloriousWise!$J:$J,GloriousWise!$C:$C,"TransferEntry",GloriousWise!$D:$D,"MinorBugs",GloriousWise!$J:$J,"&lt;0")+SUMIFS(Counter!$J:$J,Counter!$C:$C,"TransferEntry",Counter!$D:$D,"MinorBugs",Counter!$J:$J,"&lt;0")+SUMIFS(MinorBugsBAHLCurrent!$J:$J,MinorBugsBAHLCurrent!$C:$C,"TransferEntry",MinorBugsBAHLCurrent!$D:$D,"MinorBugs",MinorBugsBAHLCurrent!$J:$J,"&lt;0")+SUMIFS(MinorBugsBAHLSaving!$J:$J,MinorBugsBAHLSaving!$C:$C,"TransferEntry",MinorBugsBAHLSaving!$D:$D,"MinorBugs",MinorBugsBAHLSaving!$J:$J,"&lt;0")+SUMIFS(MinorBugsMeezanCurrent!$J:$J,MinorBugsMeezanCurrent!$C:$C,"TransferEntry",MinorBugsMeezanCurrent!$D:$D,"MinorBugs",MinorBugsMeezanCurrent!$J:$J,"&lt;0")+SUMIFS(MintCodeCurrent!$J:$J,MintCodeCurrent!$C:$C,"TransferEntry",MintCodeCurrent!$D:$D,"MinorBugs",MintCodeCurrent!$J:$J,"&lt;0")+SUMIFS(GamesGeeksBAHL!$J:$J,GamesGeeksBAHL!$C:$C,"TransferEntry",GamesGeeksBAHL!$D:$D,"MinorBugs",GamesGeeksBAHL!$J:$J,"&lt;0")+SUMIFS(GamingUniverse!$J:$J,GamingUniverse!$C:$C,"TransferEntry",GamingUniverse!$D:$D,"MinorBugs",GamingUniverse!$J:$J,"&lt;0")+SUMIFS(KashifMeezan!$J:$J,KashifMeezan!$C:$C,"TransferEntry",KashifMeezan!$D:$D,"MinorBugs",KashifMeezan!$J:$J,"&lt;0")+SUMIFS(SaadMeezan!$J:$J,SaadMeezan!$C:$C,"TransferEntry",SaadMeezan!$D:$D,"MinorBugs",SaadMeezan!$J:$J,"&lt;0")+SUMIFS(GameHippoMeezan!$J:$J,GameHippoMeezan!$C:$C,"TransferEntry",GameHippoMeezan!$D:$D,"MinorBugs",GameHippoMeezan!$J:$J,"&lt;0")+SUMIFS(AbdullahMeezan!$J:$J,AbdullahMeezan!$C:$C,"TransferEntry",AbdullahMeezan!$D:$D,"MinorBugs",AbdullahMeezan!$J:$J,"&lt;0")+SUMIFS(GameSol!$J:$J,GameSol!$C:$C,"TransferEntry",GameSol!$D:$D,"MinorBugs",GameSol!$J:$J,"&lt;0")+SUMIFS(CipherWaveWise!$J:$J,CipherWaveWise!$C:$C,"TransferEntry",CipherWaveWise!$D:$D,"MinorBugs",CipherWaveWise!$J:$J,"&lt;0")+SUMIFS(AstroVerse!$J:$J,AstroVerse!$C:$C,"TransferEntry",AstroVerse!$D:$D,"MinorBugs",AstroVerse!$J:$J,"&lt;0"))</f>
        <v>0</v>
      </c>
      <c r="C14" s="1">
        <f>-(SUMIFS(MinorBugsRetention!$J:$J,MinorBugsRetention!$C:$C,"TransferEntry",MinorBugsRetention!$D:$D,"BraveJackals",MinorBugsRetention!$J:$J,"&lt;0")+SUMIFS(MintCodeRetention!$J:$J,MintCodeRetention!$C:$C,"TransferEntry",MintCodeRetention!$D:$D,"BraveJackals",MintCodeRetention!$J:$J,"&lt;0")+SUMIFS(AlphaRaysFlagStar!$J:$J,AlphaRaysFlagStar!$C:$C,"TransferEntry",AlphaRaysFlagStar!$D:$D,"BraveJackals",AlphaRaysFlagStar!$J:$J,"&lt;0")+SUMIFS(GloriousWise!$J:$J,GloriousWise!$C:$C,"TransferEntry",GloriousWise!$D:$D,"BraveJackals",GloriousWise!$J:$J,"&lt;0")+SUMIFS(Counter!$J:$J,Counter!$C:$C,"TransferEntry",Counter!$D:$D,"BraveJackals",Counter!$J:$J,"&lt;0")+SUMIFS(MinorBugsBAHLCurrent!$J:$J,MinorBugsBAHLCurrent!$C:$C,"TransferEntry",MinorBugsBAHLCurrent!$D:$D,"BraveJackals",MinorBugsBAHLCurrent!$J:$J,"&lt;0")+SUMIFS(MinorBugsBAHLSaving!$J:$J,MinorBugsBAHLSaving!$C:$C,"TransferEntry",MinorBugsBAHLSaving!$D:$D,"BraveJackals",MinorBugsBAHLSaving!$J:$J,"&lt;0")+SUMIFS(MinorBugsMeezanCurrent!$J:$J,MinorBugsMeezanCurrent!$C:$C,"TransferEntry",MinorBugsMeezanCurrent!$D:$D,"BraveJackals",MinorBugsMeezanCurrent!$J:$J,"&lt;0")+SUMIFS(MintCodeCurrent!$J:$J,MintCodeCurrent!$C:$C,"TransferEntry",MintCodeCurrent!$D:$D,"BraveJackals",MintCodeCurrent!$J:$J,"&lt;0")+SUMIFS(GamesGeeksBAHL!$J:$J,GamesGeeksBAHL!$C:$C,"TransferEntry",GamesGeeksBAHL!$D:$D,"BraveJackals",GamesGeeksBAHL!$J:$J,"&lt;0")+SUMIFS(GamingUniverse!$J:$J,GamingUniverse!$C:$C,"TransferEntry",GamingUniverse!$D:$D,"BraveJackals",GamingUniverse!$J:$J,"&lt;0")+SUMIFS(KashifMeezan!$J:$J,KashifMeezan!$C:$C,"TransferEntry",KashifMeezan!$D:$D,"BraveJackals",KashifMeezan!$J:$J,"&lt;0")+SUMIFS(SaadMeezan!$J:$J,SaadMeezan!$C:$C,"TransferEntry",SaadMeezan!$D:$D,"BraveJackals",SaadMeezan!$J:$J,"&lt;0")+SUMIFS(GameHippoMeezan!$J:$J,GameHippoMeezan!$C:$C,"TransferEntry",GameHippoMeezan!$D:$D,"BraveJackals",GameHippoMeezan!$J:$J,"&lt;0")+SUMIFS(AbdullahMeezan!$J:$J,AbdullahMeezan!$C:$C,"TransferEntry",AbdullahMeezan!$D:$D,"BraveJackals",AbdullahMeezan!$J:$J,"&lt;0")+SUMIFS(GameSol!$J:$J,GameSol!$C:$C,"TransferEntry",GameSol!$D:$D,"BraveJackals",GameSol!$J:$J,"&lt;0")+SUMIFS(CipherWaveWise!$J:$J,CipherWaveWise!$C:$C,"TransferEntry",CipherWaveWise!$D:$D,"BraveJackals",CipherWaveWise!$J:$J,"&lt;0")+SUMIFS(AstroVerse!$J:$J,AstroVerse!$C:$C,"TransferEntry",AstroVerse!$D:$D,"BraveJackals",AstroVerse!$J:$J,"&lt;0"))</f>
        <v>0</v>
      </c>
      <c r="D14" s="1">
        <f>-(SUMIFS(MinorBugsRetention!$J:$J,MinorBugsRetention!$C:$C,"TransferEntry",MinorBugsRetention!$D:$D,"GoJins",MinorBugsRetention!$J:$J,"&lt;0")+SUMIFS(MintCodeRetention!$J:$J,MintCodeRetention!$C:$C,"TransferEntry",MintCodeRetention!$D:$D,"GoJins",MintCodeRetention!$J:$J,"&lt;0")+SUMIFS(AlphaRaysFlagStar!$J:$J,AlphaRaysFlagStar!$C:$C,"TransferEntry",AlphaRaysFlagStar!$D:$D,"GoJins",AlphaRaysFlagStar!$J:$J,"&lt;0")+SUMIFS(GloriousWise!$J:$J,GloriousWise!$C:$C,"TransferEntry",GloriousWise!$D:$D,"GoJins",GloriousWise!$J:$J,"&lt;0")+SUMIFS(Counter!$J:$J,Counter!$C:$C,"TransferEntry",Counter!$D:$D,"GoJins",Counter!$J:$J,"&lt;0")+SUMIFS(MinorBugsBAHLCurrent!$J:$J,MinorBugsBAHLCurrent!$C:$C,"TransferEntry",MinorBugsBAHLCurrent!$D:$D,"GoJins",MinorBugsBAHLCurrent!$J:$J,"&lt;0")+SUMIFS(MinorBugsBAHLSaving!$J:$J,MinorBugsBAHLSaving!$C:$C,"TransferEntry",MinorBugsBAHLSaving!$D:$D,"GoJins",MinorBugsBAHLSaving!$J:$J,"&lt;0")+SUMIFS(MinorBugsMeezanCurrent!$J:$J,MinorBugsMeezanCurrent!$C:$C,"TransferEntry",MinorBugsMeezanCurrent!$D:$D,"GoJins",MinorBugsMeezanCurrent!$J:$J,"&lt;0")+SUMIFS(MintCodeCurrent!$J:$J,MintCodeCurrent!$C:$C,"TransferEntry",MintCodeCurrent!$D:$D,"GoJins",MintCodeCurrent!$J:$J,"&lt;0")+SUMIFS(GamesGeeksBAHL!$J:$J,GamesGeeksBAHL!$C:$C,"TransferEntry",GamesGeeksBAHL!$D:$D,"GoJins",GamesGeeksBAHL!$J:$J,"&lt;0")+SUMIFS(GamingUniverse!$J:$J,GamingUniverse!$C:$C,"TransferEntry",GamingUniverse!$D:$D,"GoJins",GamingUniverse!$J:$J,"&lt;0")+SUMIFS(KashifMeezan!$J:$J,KashifMeezan!$C:$C,"TransferEntry",KashifMeezan!$D:$D,"GoJins",KashifMeezan!$J:$J,"&lt;0")+SUMIFS(SaadMeezan!$J:$J,SaadMeezan!$C:$C,"TransferEntry",SaadMeezan!$D:$D,"GoJins",SaadMeezan!$J:$J,"&lt;0")+SUMIFS(GameHippoMeezan!$J:$J,GameHippoMeezan!$C:$C,"TransferEntry",GameHippoMeezan!$D:$D,"GoJins",GameHippoMeezan!$J:$J,"&lt;0")+SUMIFS(AbdullahMeezan!$J:$J,AbdullahMeezan!$C:$C,"TransferEntry",AbdullahMeezan!$D:$D,"GoJins",AbdullahMeezan!$J:$J,"&lt;0")+SUMIFS(GameSol!$J:$J,GameSol!$C:$C,"TransferEntry",GameSol!$D:$D,"GoJins",GameSol!$J:$J,"&lt;0")+SUMIFS(CipherWaveWise!$J:$J,CipherWaveWise!$C:$C,"TransferEntry",CipherWaveWise!$D:$D,"GoJins",CipherWaveWise!$J:$J,"&lt;0")+SUMIFS(AstroVerse!$J:$J,AstroVerse!$C:$C,"TransferEntry",AstroVerse!$D:$D,"GoJins",AstroVerse!$J:$J,"&lt;0"))</f>
        <v>0</v>
      </c>
      <c r="E14" s="1">
        <f>-(SUMIFS(MinorBugsRetention!$J:$J,MinorBugsRetention!$C:$C,"TransferEntry",MinorBugsRetention!$D:$D,"BuggiesKids",MinorBugsRetention!$J:$J,"&lt;0")+SUMIFS(MintCodeRetention!$J:$J,MintCodeRetention!$C:$C,"TransferEntry",MintCodeRetention!$D:$D,"BuggiesKids",MintCodeRetention!$J:$J,"&lt;0")+SUMIFS(AlphaRaysFlagStar!$J:$J,AlphaRaysFlagStar!$C:$C,"TransferEntry",AlphaRaysFlagStar!$D:$D,"BuggiesKids",AlphaRaysFlagStar!$J:$J,"&lt;0")+SUMIFS(GloriousWise!$J:$J,GloriousWise!$C:$C,"TransferEntry",GloriousWise!$D:$D,"BuggiesKids",GloriousWise!$J:$J,"&lt;0")+SUMIFS(Counter!$J:$J,Counter!$C:$C,"TransferEntry",Counter!$D:$D,"BuggiesKids",Counter!$J:$J,"&lt;0")+SUMIFS(MinorBugsBAHLCurrent!$J:$J,MinorBugsBAHLCurrent!$C:$C,"TransferEntry",MinorBugsBAHLCurrent!$D:$D,"BuggiesKids",MinorBugsBAHLCurrent!$J:$J,"&lt;0")+SUMIFS(MinorBugsBAHLSaving!$J:$J,MinorBugsBAHLSaving!$C:$C,"TransferEntry",MinorBugsBAHLSaving!$D:$D,"BuggiesKids",MinorBugsBAHLSaving!$J:$J,"&lt;0")+SUMIFS(MinorBugsMeezanCurrent!$J:$J,MinorBugsMeezanCurrent!$C:$C,"TransferEntry",MinorBugsMeezanCurrent!$D:$D,"BuggiesKids",MinorBugsMeezanCurrent!$J:$J,"&lt;0")+SUMIFS(MintCodeCurrent!$J:$J,MintCodeCurrent!$C:$C,"TransferEntry",MintCodeCurrent!$D:$D,"BuggiesKids",MintCodeCurrent!$J:$J,"&lt;0")+SUMIFS(GamesGeeksBAHL!$J:$J,GamesGeeksBAHL!$C:$C,"TransferEntry",GamesGeeksBAHL!$D:$D,"BuggiesKids",GamesGeeksBAHL!$J:$J,"&lt;0")+SUMIFS(GamingUniverse!$J:$J,GamingUniverse!$C:$C,"TransferEntry",GamingUniverse!$D:$D,"BuggiesKids",GamingUniverse!$J:$J,"&lt;0")+SUMIFS(KashifMeezan!$J:$J,KashifMeezan!$C:$C,"TransferEntry",KashifMeezan!$D:$D,"BuggiesKids",KashifMeezan!$J:$J,"&lt;0")+SUMIFS(SaadMeezan!$J:$J,SaadMeezan!$C:$C,"TransferEntry",SaadMeezan!$D:$D,"BuggiesKids",SaadMeezan!$J:$J,"&lt;0")+SUMIFS(GameHippoMeezan!$J:$J,GameHippoMeezan!$C:$C,"TransferEntry",GameHippoMeezan!$D:$D,"BuggiesKids",GameHippoMeezan!$J:$J,"&lt;0")+SUMIFS(AbdullahMeezan!$J:$J,AbdullahMeezan!$C:$C,"TransferEntry",AbdullahMeezan!$D:$D,"BuggiesKids",AbdullahMeezan!$J:$J,"&lt;0")+SUMIFS(GameSol!$J:$J,GameSol!$C:$C,"TransferEntry",GameSol!$D:$D,"BuggiesKids",GameSol!$J:$J,"&lt;0")+SUMIFS(CipherWaveWise!$J:$J,CipherWaveWise!$C:$C,"TransferEntry",CipherWaveWise!$D:$D,"BuggiesKids",CipherWaveWise!$J:$J,"&lt;0")+SUMIFS(AstroVerse!$J:$J,AstroVerse!$C:$C,"TransferEntry",AstroVerse!$D:$D,"BuggiesKids",AstroVerse!$J:$J,"&lt;0"))</f>
        <v>0</v>
      </c>
      <c r="F14" s="1">
        <f>-(SUMIFS(MinorBugsRetention!$J:$J,MinorBugsRetention!$C:$C,"TransferEntry",MinorBugsRetention!$D:$D,"GameHippo",MinorBugsRetention!$J:$J,"&lt;0")+SUMIFS(MintCodeRetention!$J:$J,MintCodeRetention!$C:$C,"TransferEntry",MintCodeRetention!$D:$D,"GameHippo",MintCodeRetention!$J:$J,"&lt;0")+SUMIFS(AlphaRaysFlagStar!$J:$J,AlphaRaysFlagStar!$C:$C,"TransferEntry",AlphaRaysFlagStar!$D:$D,"GameHippo",AlphaRaysFlagStar!$J:$J,"&lt;0")+SUMIFS(GloriousWise!$J:$J,GloriousWise!$C:$C,"TransferEntry",GloriousWise!$D:$D,"GameHippo",GloriousWise!$J:$J,"&lt;0")+SUMIFS(Counter!$J:$J,Counter!$C:$C,"TransferEntry",Counter!$D:$D,"GameHippo",Counter!$J:$J,"&lt;0")+SUMIFS(MinorBugsBAHLCurrent!$J:$J,MinorBugsBAHLCurrent!$C:$C,"TransferEntry",MinorBugsBAHLCurrent!$D:$D,"GameHippo",MinorBugsBAHLCurrent!$J:$J,"&lt;0")+SUMIFS(MinorBugsBAHLSaving!$J:$J,MinorBugsBAHLSaving!$C:$C,"TransferEntry",MinorBugsBAHLSaving!$D:$D,"GameHippo",MinorBugsBAHLSaving!$J:$J,"&lt;0")+SUMIFS(MinorBugsMeezanCurrent!$J:$J,MinorBugsMeezanCurrent!$C:$C,"TransferEntry",MinorBugsMeezanCurrent!$D:$D,"GameHippo",MinorBugsMeezanCurrent!$J:$J,"&lt;0")+SUMIFS(MintCodeCurrent!$J:$J,MintCodeCurrent!$C:$C,"TransferEntry",MintCodeCurrent!$D:$D,"GameHippo",MintCodeCurrent!$J:$J,"&lt;0")+SUMIFS(GamesGeeksBAHL!$J:$J,GamesGeeksBAHL!$C:$C,"TransferEntry",GamesGeeksBAHL!$D:$D,"GameHippo",GamesGeeksBAHL!$J:$J,"&lt;0")+SUMIFS(GamingUniverse!$J:$J,GamingUniverse!$C:$C,"TransferEntry",GamingUniverse!$D:$D,"GameHippo",GamingUniverse!$J:$J,"&lt;0")+SUMIFS(KashifMeezan!$J:$J,KashifMeezan!$C:$C,"TransferEntry",KashifMeezan!$D:$D,"GameHippo",KashifMeezan!$J:$J,"&lt;0")+SUMIFS(SaadMeezan!$J:$J,SaadMeezan!$C:$C,"TransferEntry",SaadMeezan!$D:$D,"GameHippo",SaadMeezan!$J:$J,"&lt;0")+SUMIFS(GameHippoMeezan!$J:$J,GameHippoMeezan!$C:$C,"TransferEntry",GameHippoMeezan!$D:$D,"GameHippo",GameHippoMeezan!$J:$J,"&lt;0")+SUMIFS(AbdullahMeezan!$J:$J,AbdullahMeezan!$C:$C,"TransferEntry",AbdullahMeezan!$D:$D,"GameHippo",AbdullahMeezan!$J:$J,"&lt;0")+SUMIFS(GameSol!$J:$J,GameSol!$C:$C,"TransferEntry",GameSol!$D:$D,"GameHippo",GameSol!$J:$J,"&lt;0")+SUMIFS(CipherWaveWise!$J:$J,CipherWaveWise!$C:$C,"TransferEntry",CipherWaveWise!$D:$D,"GameHippo",CipherWaveWise!$J:$J,"&lt;0")+SUMIFS(AstroVerse!$J:$J,AstroVerse!$C:$C,"TransferEntry",AstroVerse!$D:$D,"GameHippo",AstroVerse!$J:$J,"&lt;0"))</f>
        <v>0</v>
      </c>
      <c r="G14" s="1">
        <f>-(SUMIFS(MinorBugsRetention!$J:$J,MinorBugsRetention!$C:$C,"TransferEntry",MinorBugsRetention!$D:$D,"Frentech",MinorBugsRetention!$J:$J,"&lt;0")+SUMIFS(MintCodeRetention!$J:$J,MintCodeRetention!$C:$C,"TransferEntry",MintCodeRetention!$D:$D,"Frentech",MintCodeRetention!$J:$J,"&lt;0")+SUMIFS(AlphaRaysFlagStar!$J:$J,AlphaRaysFlagStar!$C:$C,"TransferEntry",AlphaRaysFlagStar!$D:$D,"Frentech",AlphaRaysFlagStar!$J:$J,"&lt;0")+SUMIFS(GloriousWise!$J:$J,GloriousWise!$C:$C,"TransferEntry",GloriousWise!$D:$D,"Frentech",GloriousWise!$J:$J,"&lt;0")+SUMIFS(Counter!$J:$J,Counter!$C:$C,"TransferEntry",Counter!$D:$D,"Frentech",Counter!$J:$J,"&lt;0")+SUMIFS(MinorBugsBAHLCurrent!$J:$J,MinorBugsBAHLCurrent!$C:$C,"TransferEntry",MinorBugsBAHLCurrent!$D:$D,"Frentech",MinorBugsBAHLCurrent!$J:$J,"&lt;0")+SUMIFS(MinorBugsBAHLSaving!$J:$J,MinorBugsBAHLSaving!$C:$C,"TransferEntry",MinorBugsBAHLSaving!$D:$D,"Frentech",MinorBugsBAHLSaving!$J:$J,"&lt;0")+SUMIFS(MinorBugsMeezanCurrent!$J:$J,MinorBugsMeezanCurrent!$C:$C,"TransferEntry",MinorBugsMeezanCurrent!$D:$D,"Frentech",MinorBugsMeezanCurrent!$J:$J,"&lt;0")+SUMIFS(MintCodeCurrent!$J:$J,MintCodeCurrent!$C:$C,"TransferEntry",MintCodeCurrent!$D:$D,"Frentech",MintCodeCurrent!$J:$J,"&lt;0")+SUMIFS(GamesGeeksBAHL!$J:$J,GamesGeeksBAHL!$C:$C,"TransferEntry",GamesGeeksBAHL!$D:$D,"Frentech",GamesGeeksBAHL!$J:$J,"&lt;0")+SUMIFS(GamingUniverse!$J:$J,GamingUniverse!$C:$C,"TransferEntry",GamingUniverse!$D:$D,"Frentech",GamingUniverse!$J:$J,"&lt;0")+SUMIFS(KashifMeezan!$J:$J,KashifMeezan!$C:$C,"TransferEntry",KashifMeezan!$D:$D,"Frentech",KashifMeezan!$J:$J,"&lt;0")+SUMIFS(SaadMeezan!$J:$J,SaadMeezan!$C:$C,"TransferEntry",SaadMeezan!$D:$D,"Frentech",SaadMeezan!$J:$J,"&lt;0")+SUMIFS(GameHippoMeezan!$J:$J,GameHippoMeezan!$C:$C,"TransferEntry",GameHippoMeezan!$D:$D,"Frentech",GameHippoMeezan!$J:$J,"&lt;0")+SUMIFS(AbdullahMeezan!$J:$J,AbdullahMeezan!$C:$C,"TransferEntry",AbdullahMeezan!$D:$D,"Frentech",AbdullahMeezan!$J:$J,"&lt;0")+SUMIFS(GameSol!$J:$J,GameSol!$C:$C,"TransferEntry",GameSol!$D:$D,"Frentech",GameSol!$J:$J,"&lt;0")+SUMIFS(CipherWaveWise!$J:$J,CipherWaveWise!$C:$C,"TransferEntry",CipherWaveWise!$D:$D,"Frentech",CipherWaveWise!$J:$J,"&lt;0")+SUMIFS(AstroVerse!$J:$J,AstroVerse!$C:$C,"TransferEntry",AstroVerse!$D:$D,"Frentech",AstroVerse!$J:$J,"&lt;0"))</f>
        <v>0</v>
      </c>
      <c r="H14" s="1">
        <f>-(SUMIFS(MinorBugsRetention!$J:$J,MinorBugsRetention!$C:$C,"TransferEntry",MinorBugsRetention!$D:$D,"DevBoat",MinorBugsRetention!$J:$J,"&lt;0")+SUMIFS(MintCodeRetention!$J:$J,MintCodeRetention!$C:$C,"TransferEntry",MintCodeRetention!$D:$D,"DevBoat",MintCodeRetention!$J:$J,"&lt;0")+SUMIFS(AlphaRaysFlagStar!$J:$J,AlphaRaysFlagStar!$C:$C,"TransferEntry",AlphaRaysFlagStar!$D:$D,"DevBoat",AlphaRaysFlagStar!$J:$J,"&lt;0")+SUMIFS(GloriousWise!$J:$J,GloriousWise!$C:$C,"TransferEntry",GloriousWise!$D:$D,"DevBoat",GloriousWise!$J:$J,"&lt;0")+SUMIFS(Counter!$J:$J,Counter!$C:$C,"TransferEntry",Counter!$D:$D,"DevBoat",Counter!$J:$J,"&lt;0")+SUMIFS(MinorBugsBAHLCurrent!$J:$J,MinorBugsBAHLCurrent!$C:$C,"TransferEntry",MinorBugsBAHLCurrent!$D:$D,"DevBoat",MinorBugsBAHLCurrent!$J:$J,"&lt;0")+SUMIFS(MinorBugsBAHLSaving!$J:$J,MinorBugsBAHLSaving!$C:$C,"TransferEntry",MinorBugsBAHLSaving!$D:$D,"DevBoat",MinorBugsBAHLSaving!$J:$J,"&lt;0")+SUMIFS(MinorBugsMeezanCurrent!$J:$J,MinorBugsMeezanCurrent!$C:$C,"TransferEntry",MinorBugsMeezanCurrent!$D:$D,"DevBoat",MinorBugsMeezanCurrent!$J:$J,"&lt;0")+SUMIFS(MintCodeCurrent!$J:$J,MintCodeCurrent!$C:$C,"TransferEntry",MintCodeCurrent!$D:$D,"DevBoat",MintCodeCurrent!$J:$J,"&lt;0")+SUMIFS(GamesGeeksBAHL!$J:$J,GamesGeeksBAHL!$C:$C,"TransferEntry",GamesGeeksBAHL!$D:$D,"DevBoat",GamesGeeksBAHL!$J:$J,"&lt;0")+SUMIFS(GamingUniverse!$J:$J,GamingUniverse!$C:$C,"TransferEntry",GamingUniverse!$D:$D,"DevBoat",GamingUniverse!$J:$J,"&lt;0")+SUMIFS(KashifMeezan!$J:$J,KashifMeezan!$C:$C,"TransferEntry",KashifMeezan!$D:$D,"DevBoat",KashifMeezan!$J:$J,"&lt;0")+SUMIFS(SaadMeezan!$J:$J,SaadMeezan!$C:$C,"TransferEntry",SaadMeezan!$D:$D,"DevBoat",SaadMeezan!$J:$J,"&lt;0")+SUMIFS(GameHippoMeezan!$J:$J,GameHippoMeezan!$C:$C,"TransferEntry",GameHippoMeezan!$D:$D,"DevBoat",GameHippoMeezan!$J:$J,"&lt;0")+SUMIFS(AbdullahMeezan!$J:$J,AbdullahMeezan!$C:$C,"TransferEntry",AbdullahMeezan!$D:$D,"DevBoat",AbdullahMeezan!$J:$J,"&lt;0")+SUMIFS(GameSol!$J:$J,GameSol!$C:$C,"TransferEntry",GameSol!$D:$D,"DevBoat",GameSol!$J:$J,"&lt;0")+SUMIFS(CipherWaveWise!$J:$J,CipherWaveWise!$C:$C,"TransferEntry",CipherWaveWise!$D:$D,"DevBoat",CipherWaveWise!$J:$J,"&lt;0")+SUMIFS(AstroVerse!$J:$J,AstroVerse!$C:$C,"TransferEntry",AstroVerse!$D:$D,"DevBoat",AstroVerse!$J:$J,"&lt;0"))</f>
        <v>0</v>
      </c>
      <c r="I14" s="1">
        <f t="shared" si="0"/>
        <v>0</v>
      </c>
    </row>
    <row r="15" spans="1:9">
      <c r="A15" t="s">
        <v>18</v>
      </c>
      <c r="B15" s="1">
        <f>-(SUMIFS(MinorBugsRetention!$J:$J,MinorBugsRetention!$C:$C,"Zakat",MinorBugsRetention!$D:$D,"MinorBugs",MinorBugsRetention!$J:$J,"&lt;0")+SUMIFS(MintCodeRetention!$J:$J,MintCodeRetention!$C:$C,"Zakat",MintCodeRetention!$D:$D,"MinorBugs",MintCodeRetention!$J:$J,"&lt;0")+SUMIFS(AlphaRaysFlagStar!$J:$J,AlphaRaysFlagStar!$C:$C,"Zakat",AlphaRaysFlagStar!$D:$D,"MinorBugs",AlphaRaysFlagStar!$J:$J,"&lt;0")+SUMIFS(GloriousWise!$J:$J,GloriousWise!$C:$C,"Zakat",GloriousWise!$D:$D,"MinorBugs",GloriousWise!$J:$J,"&lt;0")+SUMIFS(Counter!$J:$J,Counter!$C:$C,"Zakat",Counter!$D:$D,"MinorBugs",Counter!$J:$J,"&lt;0")+SUMIFS(MinorBugsBAHLCurrent!$J:$J,MinorBugsBAHLCurrent!$C:$C,"Zakat",MinorBugsBAHLCurrent!$D:$D,"MinorBugs",MinorBugsBAHLCurrent!$J:$J,"&lt;0")+SUMIFS(MinorBugsBAHLSaving!$J:$J,MinorBugsBAHLSaving!$C:$C,"Zakat",MinorBugsBAHLSaving!$D:$D,"MinorBugs",MinorBugsBAHLSaving!$J:$J,"&lt;0")+SUMIFS(MinorBugsMeezanCurrent!$J:$J,MinorBugsMeezanCurrent!$C:$C,"Zakat",MinorBugsMeezanCurrent!$D:$D,"MinorBugs",MinorBugsMeezanCurrent!$J:$J,"&lt;0")+SUMIFS(MintCodeCurrent!$J:$J,MintCodeCurrent!$C:$C,"Zakat",MintCodeCurrent!$D:$D,"MinorBugs",MintCodeCurrent!$J:$J,"&lt;0")+SUMIFS(GamesGeeksBAHL!$J:$J,GamesGeeksBAHL!$C:$C,"Zakat",GamesGeeksBAHL!$D:$D,"MinorBugs",GamesGeeksBAHL!$J:$J,"&lt;0")+SUMIFS(GamingUniverse!$J:$J,GamingUniverse!$C:$C,"Zakat",GamingUniverse!$D:$D,"MinorBugs",GamingUniverse!$J:$J,"&lt;0")+SUMIFS(KashifMeezan!$J:$J,KashifMeezan!$C:$C,"Zakat",KashifMeezan!$D:$D,"MinorBugs",KashifMeezan!$J:$J,"&lt;0")+SUMIFS(SaadMeezan!$J:$J,SaadMeezan!$C:$C,"Zakat",SaadMeezan!$D:$D,"MinorBugs",SaadMeezan!$J:$J,"&lt;0")+SUMIFS(GameHippoMeezan!$J:$J,GameHippoMeezan!$C:$C,"Zakat",GameHippoMeezan!$D:$D,"MinorBugs",GameHippoMeezan!$J:$J,"&lt;0")+SUMIFS(AbdullahMeezan!$J:$J,AbdullahMeezan!$C:$C,"Zakat",AbdullahMeezan!$D:$D,"MinorBugs",AbdullahMeezan!$J:$J,"&lt;0")+SUMIFS(GameSol!$J:$J,GameSol!$C:$C,"Zakat",GameSol!$D:$D,"MinorBugs",GameSol!$J:$J,"&lt;0")+SUMIFS(CipherWaveWise!$J:$J,CipherWaveWise!$C:$C,"Zakat",CipherWaveWise!$D:$D,"MinorBugs",CipherWaveWise!$J:$J,"&lt;0")+SUMIFS(AstroVerse!$J:$J,AstroVerse!$C:$C,"Zakat",AstroVerse!$D:$D,"MinorBugs",AstroVerse!$J:$J,"&lt;0"))</f>
        <v>0</v>
      </c>
      <c r="C15" s="1">
        <f>-(SUMIFS(MinorBugsRetention!$J:$J,MinorBugsRetention!$C:$C,"Zakat",MinorBugsRetention!$D:$D,"BraveJackals",MinorBugsRetention!$J:$J,"&lt;0")+SUMIFS(MintCodeRetention!$J:$J,MintCodeRetention!$C:$C,"Zakat",MintCodeRetention!$D:$D,"BraveJackals",MintCodeRetention!$J:$J,"&lt;0")+SUMIFS(AlphaRaysFlagStar!$J:$J,AlphaRaysFlagStar!$C:$C,"Zakat",AlphaRaysFlagStar!$D:$D,"BraveJackals",AlphaRaysFlagStar!$J:$J,"&lt;0")+SUMIFS(GloriousWise!$J:$J,GloriousWise!$C:$C,"Zakat",GloriousWise!$D:$D,"BraveJackals",GloriousWise!$J:$J,"&lt;0")+SUMIFS(Counter!$J:$J,Counter!$C:$C,"Zakat",Counter!$D:$D,"BraveJackals",Counter!$J:$J,"&lt;0")+SUMIFS(MinorBugsBAHLCurrent!$J:$J,MinorBugsBAHLCurrent!$C:$C,"Zakat",MinorBugsBAHLCurrent!$D:$D,"BraveJackals",MinorBugsBAHLCurrent!$J:$J,"&lt;0")+SUMIFS(MinorBugsBAHLSaving!$J:$J,MinorBugsBAHLSaving!$C:$C,"Zakat",MinorBugsBAHLSaving!$D:$D,"BraveJackals",MinorBugsBAHLSaving!$J:$J,"&lt;0")+SUMIFS(MinorBugsMeezanCurrent!$J:$J,MinorBugsMeezanCurrent!$C:$C,"Zakat",MinorBugsMeezanCurrent!$D:$D,"BraveJackals",MinorBugsMeezanCurrent!$J:$J,"&lt;0")+SUMIFS(MintCodeCurrent!$J:$J,MintCodeCurrent!$C:$C,"Zakat",MintCodeCurrent!$D:$D,"BraveJackals",MintCodeCurrent!$J:$J,"&lt;0")+SUMIFS(GamesGeeksBAHL!$J:$J,GamesGeeksBAHL!$C:$C,"Zakat",GamesGeeksBAHL!$D:$D,"BraveJackals",GamesGeeksBAHL!$J:$J,"&lt;0")+SUMIFS(GamingUniverse!$J:$J,GamingUniverse!$C:$C,"Zakat",GamingUniverse!$D:$D,"BraveJackals",GamingUniverse!$J:$J,"&lt;0")+SUMIFS(KashifMeezan!$J:$J,KashifMeezan!$C:$C,"Zakat",KashifMeezan!$D:$D,"BraveJackals",KashifMeezan!$J:$J,"&lt;0")+SUMIFS(SaadMeezan!$J:$J,SaadMeezan!$C:$C,"Zakat",SaadMeezan!$D:$D,"BraveJackals",SaadMeezan!$J:$J,"&lt;0")+SUMIFS(GameHippoMeezan!$J:$J,GameHippoMeezan!$C:$C,"Zakat",GameHippoMeezan!$D:$D,"BraveJackals",GameHippoMeezan!$J:$J,"&lt;0")+SUMIFS(AbdullahMeezan!$J:$J,AbdullahMeezan!$C:$C,"Zakat",AbdullahMeezan!$D:$D,"BraveJackals",AbdullahMeezan!$J:$J,"&lt;0")+SUMIFS(GameSol!$J:$J,GameSol!$C:$C,"Zakat",GameSol!$D:$D,"BraveJackals",GameSol!$J:$J,"&lt;0")+SUMIFS(CipherWaveWise!$J:$J,CipherWaveWise!$C:$C,"Zakat",CipherWaveWise!$D:$D,"BraveJackals",CipherWaveWise!$J:$J,"&lt;0")+SUMIFS(AstroVerse!$J:$J,AstroVerse!$C:$C,"Zakat",AstroVerse!$D:$D,"BraveJackals",AstroVerse!$J:$J,"&lt;0"))</f>
        <v>0</v>
      </c>
      <c r="D15" s="1">
        <f>-(SUMIFS(MinorBugsRetention!$J:$J,MinorBugsRetention!$C:$C,"Zakat",MinorBugsRetention!$D:$D,"GoJins",MinorBugsRetention!$J:$J,"&lt;0")+SUMIFS(MintCodeRetention!$J:$J,MintCodeRetention!$C:$C,"Zakat",MintCodeRetention!$D:$D,"GoJins",MintCodeRetention!$J:$J,"&lt;0")+SUMIFS(AlphaRaysFlagStar!$J:$J,AlphaRaysFlagStar!$C:$C,"Zakat",AlphaRaysFlagStar!$D:$D,"GoJins",AlphaRaysFlagStar!$J:$J,"&lt;0")+SUMIFS(GloriousWise!$J:$J,GloriousWise!$C:$C,"Zakat",GloriousWise!$D:$D,"GoJins",GloriousWise!$J:$J,"&lt;0")+SUMIFS(Counter!$J:$J,Counter!$C:$C,"Zakat",Counter!$D:$D,"GoJins",Counter!$J:$J,"&lt;0")+SUMIFS(MinorBugsBAHLCurrent!$J:$J,MinorBugsBAHLCurrent!$C:$C,"Zakat",MinorBugsBAHLCurrent!$D:$D,"GoJins",MinorBugsBAHLCurrent!$J:$J,"&lt;0")+SUMIFS(MinorBugsBAHLSaving!$J:$J,MinorBugsBAHLSaving!$C:$C,"Zakat",MinorBugsBAHLSaving!$D:$D,"GoJins",MinorBugsBAHLSaving!$J:$J,"&lt;0")+SUMIFS(MinorBugsMeezanCurrent!$J:$J,MinorBugsMeezanCurrent!$C:$C,"Zakat",MinorBugsMeezanCurrent!$D:$D,"GoJins",MinorBugsMeezanCurrent!$J:$J,"&lt;0")+SUMIFS(MintCodeCurrent!$J:$J,MintCodeCurrent!$C:$C,"Zakat",MintCodeCurrent!$D:$D,"GoJins",MintCodeCurrent!$J:$J,"&lt;0")+SUMIFS(GamesGeeksBAHL!$J:$J,GamesGeeksBAHL!$C:$C,"Zakat",GamesGeeksBAHL!$D:$D,"GoJins",GamesGeeksBAHL!$J:$J,"&lt;0")+SUMIFS(GamingUniverse!$J:$J,GamingUniverse!$C:$C,"Zakat",GamingUniverse!$D:$D,"GoJins",GamingUniverse!$J:$J,"&lt;0")+SUMIFS(KashifMeezan!$J:$J,KashifMeezan!$C:$C,"Zakat",KashifMeezan!$D:$D,"GoJins",KashifMeezan!$J:$J,"&lt;0")+SUMIFS(SaadMeezan!$J:$J,SaadMeezan!$C:$C,"Zakat",SaadMeezan!$D:$D,"GoJins",SaadMeezan!$J:$J,"&lt;0")+SUMIFS(GameHippoMeezan!$J:$J,GameHippoMeezan!$C:$C,"Zakat",GameHippoMeezan!$D:$D,"GoJins",GameHippoMeezan!$J:$J,"&lt;0")+SUMIFS(AbdullahMeezan!$J:$J,AbdullahMeezan!$C:$C,"Zakat",AbdullahMeezan!$D:$D,"GoJins",AbdullahMeezan!$J:$J,"&lt;0")+SUMIFS(GameSol!$J:$J,GameSol!$C:$C,"Zakat",GameSol!$D:$D,"GoJins",GameSol!$J:$J,"&lt;0")+SUMIFS(CipherWaveWise!$J:$J,CipherWaveWise!$C:$C,"Zakat",CipherWaveWise!$D:$D,"GoJins",CipherWaveWise!$J:$J,"&lt;0")+SUMIFS(AstroVerse!$J:$J,AstroVerse!$C:$C,"Zakat",AstroVerse!$D:$D,"GoJins",AstroVerse!$J:$J,"&lt;0"))</f>
        <v>0</v>
      </c>
      <c r="E15" s="1">
        <f>-(SUMIFS(MinorBugsRetention!$J:$J,MinorBugsRetention!$C:$C,"Zakat",MinorBugsRetention!$D:$D,"BuggiesKids",MinorBugsRetention!$J:$J,"&lt;0")+SUMIFS(MintCodeRetention!$J:$J,MintCodeRetention!$C:$C,"Zakat",MintCodeRetention!$D:$D,"BuggiesKids",MintCodeRetention!$J:$J,"&lt;0")+SUMIFS(AlphaRaysFlagStar!$J:$J,AlphaRaysFlagStar!$C:$C,"Zakat",AlphaRaysFlagStar!$D:$D,"BuggiesKids",AlphaRaysFlagStar!$J:$J,"&lt;0")+SUMIFS(GloriousWise!$J:$J,GloriousWise!$C:$C,"Zakat",GloriousWise!$D:$D,"BuggiesKids",GloriousWise!$J:$J,"&lt;0")+SUMIFS(Counter!$J:$J,Counter!$C:$C,"Zakat",Counter!$D:$D,"BuggiesKids",Counter!$J:$J,"&lt;0")+SUMIFS(MinorBugsBAHLCurrent!$J:$J,MinorBugsBAHLCurrent!$C:$C,"Zakat",MinorBugsBAHLCurrent!$D:$D,"BuggiesKids",MinorBugsBAHLCurrent!$J:$J,"&lt;0")+SUMIFS(MinorBugsBAHLSaving!$J:$J,MinorBugsBAHLSaving!$C:$C,"Zakat",MinorBugsBAHLSaving!$D:$D,"BuggiesKids",MinorBugsBAHLSaving!$J:$J,"&lt;0")+SUMIFS(MinorBugsMeezanCurrent!$J:$J,MinorBugsMeezanCurrent!$C:$C,"Zakat",MinorBugsMeezanCurrent!$D:$D,"BuggiesKids",MinorBugsMeezanCurrent!$J:$J,"&lt;0")+SUMIFS(MintCodeCurrent!$J:$J,MintCodeCurrent!$C:$C,"Zakat",MintCodeCurrent!$D:$D,"BuggiesKids",MintCodeCurrent!$J:$J,"&lt;0")+SUMIFS(GamesGeeksBAHL!$J:$J,GamesGeeksBAHL!$C:$C,"Zakat",GamesGeeksBAHL!$D:$D,"BuggiesKids",GamesGeeksBAHL!$J:$J,"&lt;0")+SUMIFS(GamingUniverse!$J:$J,GamingUniverse!$C:$C,"Zakat",GamingUniverse!$D:$D,"BuggiesKids",GamingUniverse!$J:$J,"&lt;0")+SUMIFS(KashifMeezan!$J:$J,KashifMeezan!$C:$C,"Zakat",KashifMeezan!$D:$D,"BuggiesKids",KashifMeezan!$J:$J,"&lt;0")+SUMIFS(SaadMeezan!$J:$J,SaadMeezan!$C:$C,"Zakat",SaadMeezan!$D:$D,"BuggiesKids",SaadMeezan!$J:$J,"&lt;0")+SUMIFS(GameHippoMeezan!$J:$J,GameHippoMeezan!$C:$C,"Zakat",GameHippoMeezan!$D:$D,"BuggiesKids",GameHippoMeezan!$J:$J,"&lt;0")+SUMIFS(AbdullahMeezan!$J:$J,AbdullahMeezan!$C:$C,"Zakat",AbdullahMeezan!$D:$D,"BuggiesKids",AbdullahMeezan!$J:$J,"&lt;0")+SUMIFS(GameSol!$J:$J,GameSol!$C:$C,"Zakat",GameSol!$D:$D,"BuggiesKids",GameSol!$J:$J,"&lt;0")+SUMIFS(CipherWaveWise!$J:$J,CipherWaveWise!$C:$C,"Zakat",CipherWaveWise!$D:$D,"BuggiesKids",CipherWaveWise!$J:$J,"&lt;0")+SUMIFS(AstroVerse!$J:$J,AstroVerse!$C:$C,"Zakat",AstroVerse!$D:$D,"BuggiesKids",AstroVerse!$J:$J,"&lt;0"))</f>
        <v>0</v>
      </c>
      <c r="F15" s="1">
        <f>-(SUMIFS(MinorBugsRetention!$J:$J,MinorBugsRetention!$C:$C,"Zakat",MinorBugsRetention!$D:$D,"GameHippo",MinorBugsRetention!$J:$J,"&lt;0")+SUMIFS(MintCodeRetention!$J:$J,MintCodeRetention!$C:$C,"Zakat",MintCodeRetention!$D:$D,"GameHippo",MintCodeRetention!$J:$J,"&lt;0")+SUMIFS(AlphaRaysFlagStar!$J:$J,AlphaRaysFlagStar!$C:$C,"Zakat",AlphaRaysFlagStar!$D:$D,"GameHippo",AlphaRaysFlagStar!$J:$J,"&lt;0")+SUMIFS(GloriousWise!$J:$J,GloriousWise!$C:$C,"Zakat",GloriousWise!$D:$D,"GameHippo",GloriousWise!$J:$J,"&lt;0")+SUMIFS(Counter!$J:$J,Counter!$C:$C,"Zakat",Counter!$D:$D,"GameHippo",Counter!$J:$J,"&lt;0")+SUMIFS(MinorBugsBAHLCurrent!$J:$J,MinorBugsBAHLCurrent!$C:$C,"Zakat",MinorBugsBAHLCurrent!$D:$D,"GameHippo",MinorBugsBAHLCurrent!$J:$J,"&lt;0")+SUMIFS(MinorBugsBAHLSaving!$J:$J,MinorBugsBAHLSaving!$C:$C,"Zakat",MinorBugsBAHLSaving!$D:$D,"GameHippo",MinorBugsBAHLSaving!$J:$J,"&lt;0")+SUMIFS(MinorBugsMeezanCurrent!$J:$J,MinorBugsMeezanCurrent!$C:$C,"Zakat",MinorBugsMeezanCurrent!$D:$D,"GameHippo",MinorBugsMeezanCurrent!$J:$J,"&lt;0")+SUMIFS(MintCodeCurrent!$J:$J,MintCodeCurrent!$C:$C,"Zakat",MintCodeCurrent!$D:$D,"GameHippo",MintCodeCurrent!$J:$J,"&lt;0")+SUMIFS(GamesGeeksBAHL!$J:$J,GamesGeeksBAHL!$C:$C,"Zakat",GamesGeeksBAHL!$D:$D,"GameHippo",GamesGeeksBAHL!$J:$J,"&lt;0")+SUMIFS(GamingUniverse!$J:$J,GamingUniverse!$C:$C,"Zakat",GamingUniverse!$D:$D,"GameHippo",GamingUniverse!$J:$J,"&lt;0")+SUMIFS(KashifMeezan!$J:$J,KashifMeezan!$C:$C,"Zakat",KashifMeezan!$D:$D,"GameHippo",KashifMeezan!$J:$J,"&lt;0")+SUMIFS(SaadMeezan!$J:$J,SaadMeezan!$C:$C,"Zakat",SaadMeezan!$D:$D,"GameHippo",SaadMeezan!$J:$J,"&lt;0")+SUMIFS(GameHippoMeezan!$J:$J,GameHippoMeezan!$C:$C,"Zakat",GameHippoMeezan!$D:$D,"GameHippo",GameHippoMeezan!$J:$J,"&lt;0")+SUMIFS(AbdullahMeezan!$J:$J,AbdullahMeezan!$C:$C,"Zakat",AbdullahMeezan!$D:$D,"GameHippo",AbdullahMeezan!$J:$J,"&lt;0")+SUMIFS(GameSol!$J:$J,GameSol!$C:$C,"Zakat",GameSol!$D:$D,"GameHippo",GameSol!$J:$J,"&lt;0")+SUMIFS(CipherWaveWise!$J:$J,CipherWaveWise!$C:$C,"Zakat",CipherWaveWise!$D:$D,"GameHippo",CipherWaveWise!$J:$J,"&lt;0")+SUMIFS(AstroVerse!$J:$J,AstroVerse!$C:$C,"Zakat",AstroVerse!$D:$D,"GameHippo",AstroVerse!$J:$J,"&lt;0"))</f>
        <v>0</v>
      </c>
      <c r="G15" s="1">
        <f>-(SUMIFS(MinorBugsRetention!$J:$J,MinorBugsRetention!$C:$C,"Zakat",MinorBugsRetention!$D:$D,"Frentech",MinorBugsRetention!$J:$J,"&lt;0")+SUMIFS(MintCodeRetention!$J:$J,MintCodeRetention!$C:$C,"Zakat",MintCodeRetention!$D:$D,"Frentech",MintCodeRetention!$J:$J,"&lt;0")+SUMIFS(AlphaRaysFlagStar!$J:$J,AlphaRaysFlagStar!$C:$C,"Zakat",AlphaRaysFlagStar!$D:$D,"Frentech",AlphaRaysFlagStar!$J:$J,"&lt;0")+SUMIFS(GloriousWise!$J:$J,GloriousWise!$C:$C,"Zakat",GloriousWise!$D:$D,"Frentech",GloriousWise!$J:$J,"&lt;0")+SUMIFS(Counter!$J:$J,Counter!$C:$C,"Zakat",Counter!$D:$D,"Frentech",Counter!$J:$J,"&lt;0")+SUMIFS(MinorBugsBAHLCurrent!$J:$J,MinorBugsBAHLCurrent!$C:$C,"Zakat",MinorBugsBAHLCurrent!$D:$D,"Frentech",MinorBugsBAHLCurrent!$J:$J,"&lt;0")+SUMIFS(MinorBugsBAHLSaving!$J:$J,MinorBugsBAHLSaving!$C:$C,"Zakat",MinorBugsBAHLSaving!$D:$D,"Frentech",MinorBugsBAHLSaving!$J:$J,"&lt;0")+SUMIFS(MinorBugsMeezanCurrent!$J:$J,MinorBugsMeezanCurrent!$C:$C,"Zakat",MinorBugsMeezanCurrent!$D:$D,"Frentech",MinorBugsMeezanCurrent!$J:$J,"&lt;0")+SUMIFS(MintCodeCurrent!$J:$J,MintCodeCurrent!$C:$C,"Zakat",MintCodeCurrent!$D:$D,"Frentech",MintCodeCurrent!$J:$J,"&lt;0")+SUMIFS(GamesGeeksBAHL!$J:$J,GamesGeeksBAHL!$C:$C,"Zakat",GamesGeeksBAHL!$D:$D,"Frentech",GamesGeeksBAHL!$J:$J,"&lt;0")+SUMIFS(GamingUniverse!$J:$J,GamingUniverse!$C:$C,"Zakat",GamingUniverse!$D:$D,"Frentech",GamingUniverse!$J:$J,"&lt;0")+SUMIFS(KashifMeezan!$J:$J,KashifMeezan!$C:$C,"Zakat",KashifMeezan!$D:$D,"Frentech",KashifMeezan!$J:$J,"&lt;0")+SUMIFS(SaadMeezan!$J:$J,SaadMeezan!$C:$C,"Zakat",SaadMeezan!$D:$D,"Frentech",SaadMeezan!$J:$J,"&lt;0")+SUMIFS(GameHippoMeezan!$J:$J,GameHippoMeezan!$C:$C,"Zakat",GameHippoMeezan!$D:$D,"Frentech",GameHippoMeezan!$J:$J,"&lt;0")+SUMIFS(AbdullahMeezan!$J:$J,AbdullahMeezan!$C:$C,"Zakat",AbdullahMeezan!$D:$D,"Frentech",AbdullahMeezan!$J:$J,"&lt;0")+SUMIFS(GameSol!$J:$J,GameSol!$C:$C,"Zakat",GameSol!$D:$D,"Frentech",GameSol!$J:$J,"&lt;0")+SUMIFS(CipherWaveWise!$J:$J,CipherWaveWise!$C:$C,"Zakat",CipherWaveWise!$D:$D,"Frentech",CipherWaveWise!$J:$J,"&lt;0")+SUMIFS(AstroVerse!$J:$J,AstroVerse!$C:$C,"Zakat",AstroVerse!$D:$D,"Frentech",AstroVerse!$J:$J,"&lt;0"))</f>
        <v>0</v>
      </c>
      <c r="H15" s="1">
        <f>-(SUMIFS(MinorBugsRetention!$J:$J,MinorBugsRetention!$C:$C,"Zakat",MinorBugsRetention!$D:$D,"DevBoat",MinorBugsRetention!$J:$J,"&lt;0")+SUMIFS(MintCodeRetention!$J:$J,MintCodeRetention!$C:$C,"Zakat",MintCodeRetention!$D:$D,"DevBoat",MintCodeRetention!$J:$J,"&lt;0")+SUMIFS(AlphaRaysFlagStar!$J:$J,AlphaRaysFlagStar!$C:$C,"Zakat",AlphaRaysFlagStar!$D:$D,"DevBoat",AlphaRaysFlagStar!$J:$J,"&lt;0")+SUMIFS(GloriousWise!$J:$J,GloriousWise!$C:$C,"Zakat",GloriousWise!$D:$D,"DevBoat",GloriousWise!$J:$J,"&lt;0")+SUMIFS(Counter!$J:$J,Counter!$C:$C,"Zakat",Counter!$D:$D,"DevBoat",Counter!$J:$J,"&lt;0")+SUMIFS(MinorBugsBAHLCurrent!$J:$J,MinorBugsBAHLCurrent!$C:$C,"Zakat",MinorBugsBAHLCurrent!$D:$D,"DevBoat",MinorBugsBAHLCurrent!$J:$J,"&lt;0")+SUMIFS(MinorBugsBAHLSaving!$J:$J,MinorBugsBAHLSaving!$C:$C,"Zakat",MinorBugsBAHLSaving!$D:$D,"DevBoat",MinorBugsBAHLSaving!$J:$J,"&lt;0")+SUMIFS(MinorBugsMeezanCurrent!$J:$J,MinorBugsMeezanCurrent!$C:$C,"Zakat",MinorBugsMeezanCurrent!$D:$D,"DevBoat",MinorBugsMeezanCurrent!$J:$J,"&lt;0")+SUMIFS(MintCodeCurrent!$J:$J,MintCodeCurrent!$C:$C,"Zakat",MintCodeCurrent!$D:$D,"DevBoat",MintCodeCurrent!$J:$J,"&lt;0")+SUMIFS(GamesGeeksBAHL!$J:$J,GamesGeeksBAHL!$C:$C,"Zakat",GamesGeeksBAHL!$D:$D,"DevBoat",GamesGeeksBAHL!$J:$J,"&lt;0")+SUMIFS(GamingUniverse!$J:$J,GamingUniverse!$C:$C,"Zakat",GamingUniverse!$D:$D,"DevBoat",GamingUniverse!$J:$J,"&lt;0")+SUMIFS(KashifMeezan!$J:$J,KashifMeezan!$C:$C,"Zakat",KashifMeezan!$D:$D,"DevBoat",KashifMeezan!$J:$J,"&lt;0")+SUMIFS(SaadMeezan!$J:$J,SaadMeezan!$C:$C,"Zakat",SaadMeezan!$D:$D,"DevBoat",SaadMeezan!$J:$J,"&lt;0")+SUMIFS(GameHippoMeezan!$J:$J,GameHippoMeezan!$C:$C,"Zakat",GameHippoMeezan!$D:$D,"DevBoat",GameHippoMeezan!$J:$J,"&lt;0")+SUMIFS(AbdullahMeezan!$J:$J,AbdullahMeezan!$C:$C,"Zakat",AbdullahMeezan!$D:$D,"DevBoat",AbdullahMeezan!$J:$J,"&lt;0")+SUMIFS(GameSol!$J:$J,GameSol!$C:$C,"Zakat",GameSol!$D:$D,"DevBoat",GameSol!$J:$J,"&lt;0")+SUMIFS(CipherWaveWise!$J:$J,CipherWaveWise!$C:$C,"Zakat",CipherWaveWise!$D:$D,"DevBoat",CipherWaveWise!$J:$J,"&lt;0")+SUMIFS(AstroVerse!$J:$J,AstroVerse!$C:$C,"Zakat",AstroVerse!$D:$D,"DevBoat",AstroVerse!$J:$J,"&lt;0"))</f>
        <v>0</v>
      </c>
      <c r="I15" s="1">
        <f t="shared" si="0"/>
        <v>0</v>
      </c>
    </row>
    <row r="16" spans="1:9">
      <c r="A16" t="s">
        <v>165</v>
      </c>
      <c r="B16" s="1">
        <f>-(SUMIFS(MinorBugsRetention!$J:$J,MinorBugsRetention!$C:$C,"Welfare",MinorBugsRetention!$D:$D,"MinorBugs",MinorBugsRetention!$J:$J,"&lt;0")+SUMIFS(MintCodeRetention!$J:$J,MintCodeRetention!$C:$C,"Welfare",MintCodeRetention!$D:$D,"MinorBugs",MintCodeRetention!$J:$J,"&lt;0")+SUMIFS(AlphaRaysFlagStar!$J:$J,AlphaRaysFlagStar!$C:$C,"Welfare",AlphaRaysFlagStar!$D:$D,"MinorBugs",AlphaRaysFlagStar!$J:$J,"&lt;0")+SUMIFS(GloriousWise!$J:$J,GloriousWise!$C:$C,"Welfare",GloriousWise!$D:$D,"MinorBugs",GloriousWise!$J:$J,"&lt;0")+SUMIFS(Counter!$J:$J,Counter!$C:$C,"Welfare",Counter!$D:$D,"MinorBugs",Counter!$J:$J,"&lt;0")+SUMIFS(MinorBugsBAHLCurrent!$J:$J,MinorBugsBAHLCurrent!$C:$C,"Welfare",MinorBugsBAHLCurrent!$D:$D,"MinorBugs",MinorBugsBAHLCurrent!$J:$J,"&lt;0")+SUMIFS(MinorBugsBAHLSaving!$J:$J,MinorBugsBAHLSaving!$C:$C,"Welfare",MinorBugsBAHLSaving!$D:$D,"MinorBugs",MinorBugsBAHLSaving!$J:$J,"&lt;0")+SUMIFS(MinorBugsMeezanCurrent!$J:$J,MinorBugsMeezanCurrent!$C:$C,"Welfare",MinorBugsMeezanCurrent!$D:$D,"MinorBugs",MinorBugsMeezanCurrent!$J:$J,"&lt;0")+SUMIFS(MintCodeCurrent!$J:$J,MintCodeCurrent!$C:$C,"Welfare",MintCodeCurrent!$D:$D,"MinorBugs",MintCodeCurrent!$J:$J,"&lt;0")+SUMIFS(GamesGeeksBAHL!$J:$J,GamesGeeksBAHL!$C:$C,"Welfare",GamesGeeksBAHL!$D:$D,"MinorBugs",GamesGeeksBAHL!$J:$J,"&lt;0")+SUMIFS(GamingUniverse!$J:$J,GamingUniverse!$C:$C,"Welfare",GamingUniverse!$D:$D,"MinorBugs",GamingUniverse!$J:$J,"&lt;0")+SUMIFS(KashifMeezan!$J:$J,KashifMeezan!$C:$C,"Welfare",KashifMeezan!$D:$D,"MinorBugs",KashifMeezan!$J:$J,"&lt;0")+SUMIFS(SaadMeezan!$J:$J,SaadMeezan!$C:$C,"Welfare",SaadMeezan!$D:$D,"MinorBugs",SaadMeezan!$J:$J,"&lt;0")+SUMIFS(GameHippoMeezan!$J:$J,GameHippoMeezan!$C:$C,"Welfare",GameHippoMeezan!$D:$D,"MinorBugs",GameHippoMeezan!$J:$J,"&lt;0")+SUMIFS(AbdullahMeezan!$J:$J,AbdullahMeezan!$C:$C,"Welfare",AbdullahMeezan!$D:$D,"MinorBugs",AbdullahMeezan!$J:$J,"&lt;0")+SUMIFS(GameSol!$J:$J,GameSol!$C:$C,"Welfare",GameSol!$D:$D,"MinorBugs",GameSol!$J:$J,"&lt;0")+SUMIFS(CipherWaveWise!$J:$J,CipherWaveWise!$C:$C,"Welfare",CipherWaveWise!$D:$D,"MinorBugs",CipherWaveWise!$J:$J,"&lt;0")+SUMIFS(AstroVerse!$J:$J,AstroVerse!$C:$C,"Welfare",AstroVerse!$D:$D,"MinorBugs",AstroVerse!$J:$J,"&lt;0"))</f>
        <v>0</v>
      </c>
      <c r="C16" s="1">
        <f>-(SUMIFS(MinorBugsRetention!$J:$J,MinorBugsRetention!$C:$C,"Welfare",MinorBugsRetention!$D:$D,"BraveJackals",MinorBugsRetention!$J:$J,"&lt;0")+SUMIFS(MintCodeRetention!$J:$J,MintCodeRetention!$C:$C,"Welfare",MintCodeRetention!$D:$D,"BraveJackals",MintCodeRetention!$J:$J,"&lt;0")+SUMIFS(AlphaRaysFlagStar!$J:$J,AlphaRaysFlagStar!$C:$C,"Welfare",AlphaRaysFlagStar!$D:$D,"BraveJackals",AlphaRaysFlagStar!$J:$J,"&lt;0")+SUMIFS(GloriousWise!$J:$J,GloriousWise!$C:$C,"Welfare",GloriousWise!$D:$D,"BraveJackals",GloriousWise!$J:$J,"&lt;0")+SUMIFS(Counter!$J:$J,Counter!$C:$C,"Welfare",Counter!$D:$D,"BraveJackals",Counter!$J:$J,"&lt;0")+SUMIFS(MinorBugsBAHLCurrent!$J:$J,MinorBugsBAHLCurrent!$C:$C,"Welfare",MinorBugsBAHLCurrent!$D:$D,"BraveJackals",MinorBugsBAHLCurrent!$J:$J,"&lt;0")+SUMIFS(MinorBugsBAHLSaving!$J:$J,MinorBugsBAHLSaving!$C:$C,"Welfare",MinorBugsBAHLSaving!$D:$D,"BraveJackals",MinorBugsBAHLSaving!$J:$J,"&lt;0")+SUMIFS(MinorBugsMeezanCurrent!$J:$J,MinorBugsMeezanCurrent!$C:$C,"Welfare",MinorBugsMeezanCurrent!$D:$D,"BraveJackals",MinorBugsMeezanCurrent!$J:$J,"&lt;0")+SUMIFS(MintCodeCurrent!$J:$J,MintCodeCurrent!$C:$C,"Welfare",MintCodeCurrent!$D:$D,"BraveJackals",MintCodeCurrent!$J:$J,"&lt;0")+SUMIFS(GamesGeeksBAHL!$J:$J,GamesGeeksBAHL!$C:$C,"Welfare",GamesGeeksBAHL!$D:$D,"BraveJackals",GamesGeeksBAHL!$J:$J,"&lt;0")+SUMIFS(GamingUniverse!$J:$J,GamingUniverse!$C:$C,"Welfare",GamingUniverse!$D:$D,"BraveJackals",GamingUniverse!$J:$J,"&lt;0")+SUMIFS(KashifMeezan!$J:$J,KashifMeezan!$C:$C,"Welfare",KashifMeezan!$D:$D,"BraveJackals",KashifMeezan!$J:$J,"&lt;0")+SUMIFS(SaadMeezan!$J:$J,SaadMeezan!$C:$C,"Welfare",SaadMeezan!$D:$D,"BraveJackals",SaadMeezan!$J:$J,"&lt;0")+SUMIFS(GameHippoMeezan!$J:$J,GameHippoMeezan!$C:$C,"Welfare",GameHippoMeezan!$D:$D,"BraveJackals",GameHippoMeezan!$J:$J,"&lt;0")+SUMIFS(AbdullahMeezan!$J:$J,AbdullahMeezan!$C:$C,"Welfare",AbdullahMeezan!$D:$D,"BraveJackals",AbdullahMeezan!$J:$J,"&lt;0")+SUMIFS(GameSol!$J:$J,GameSol!$C:$C,"Welfare",GameSol!$D:$D,"BraveJackals",GameSol!$J:$J,"&lt;0")+SUMIFS(CipherWaveWise!$J:$J,CipherWaveWise!$C:$C,"Welfare",CipherWaveWise!$D:$D,"BraveJackals",CipherWaveWise!$J:$J,"&lt;0")+SUMIFS(AstroVerse!$J:$J,AstroVerse!$C:$C,"Welfare",AstroVerse!$D:$D,"BraveJackals",AstroVerse!$J:$J,"&lt;0"))</f>
        <v>0</v>
      </c>
      <c r="D16" s="1">
        <f>-(SUMIFS(MinorBugsRetention!$J:$J,MinorBugsRetention!$C:$C,"Welfare",MinorBugsRetention!$D:$D,"GoJins",MinorBugsRetention!$J:$J,"&lt;0")+SUMIFS(MintCodeRetention!$J:$J,MintCodeRetention!$C:$C,"Welfare",MintCodeRetention!$D:$D,"GoJins",MintCodeRetention!$J:$J,"&lt;0")+SUMIFS(AlphaRaysFlagStar!$J:$J,AlphaRaysFlagStar!$C:$C,"Welfare",AlphaRaysFlagStar!$D:$D,"GoJins",AlphaRaysFlagStar!$J:$J,"&lt;0")+SUMIFS(GloriousWise!$J:$J,GloriousWise!$C:$C,"Welfare",GloriousWise!$D:$D,"GoJins",GloriousWise!$J:$J,"&lt;0")+SUMIFS(Counter!$J:$J,Counter!$C:$C,"Welfare",Counter!$D:$D,"GoJins",Counter!$J:$J,"&lt;0")+SUMIFS(MinorBugsBAHLCurrent!$J:$J,MinorBugsBAHLCurrent!$C:$C,"Welfare",MinorBugsBAHLCurrent!$D:$D,"GoJins",MinorBugsBAHLCurrent!$J:$J,"&lt;0")+SUMIFS(MinorBugsBAHLSaving!$J:$J,MinorBugsBAHLSaving!$C:$C,"Welfare",MinorBugsBAHLSaving!$D:$D,"GoJins",MinorBugsBAHLSaving!$J:$J,"&lt;0")+SUMIFS(MinorBugsMeezanCurrent!$J:$J,MinorBugsMeezanCurrent!$C:$C,"Welfare",MinorBugsMeezanCurrent!$D:$D,"GoJins",MinorBugsMeezanCurrent!$J:$J,"&lt;0")+SUMIFS(MintCodeCurrent!$J:$J,MintCodeCurrent!$C:$C,"Welfare",MintCodeCurrent!$D:$D,"GoJins",MintCodeCurrent!$J:$J,"&lt;0")+SUMIFS(GamesGeeksBAHL!$J:$J,GamesGeeksBAHL!$C:$C,"Welfare",GamesGeeksBAHL!$D:$D,"GoJins",GamesGeeksBAHL!$J:$J,"&lt;0")+SUMIFS(GamingUniverse!$J:$J,GamingUniverse!$C:$C,"Welfare",GamingUniverse!$D:$D,"GoJins",GamingUniverse!$J:$J,"&lt;0")+SUMIFS(KashifMeezan!$J:$J,KashifMeezan!$C:$C,"Welfare",KashifMeezan!$D:$D,"GoJins",KashifMeezan!$J:$J,"&lt;0")+SUMIFS(SaadMeezan!$J:$J,SaadMeezan!$C:$C,"Welfare",SaadMeezan!$D:$D,"GoJins",SaadMeezan!$J:$J,"&lt;0")+SUMIFS(GameHippoMeezan!$J:$J,GameHippoMeezan!$C:$C,"Welfare",GameHippoMeezan!$D:$D,"GoJins",GameHippoMeezan!$J:$J,"&lt;0")+SUMIFS(AbdullahMeezan!$J:$J,AbdullahMeezan!$C:$C,"Welfare",AbdullahMeezan!$D:$D,"GoJins",AbdullahMeezan!$J:$J,"&lt;0")+SUMIFS(GameSol!$J:$J,GameSol!$C:$C,"Welfare",GameSol!$D:$D,"GoJins",GameSol!$J:$J,"&lt;0")+SUMIFS(CipherWaveWise!$J:$J,CipherWaveWise!$C:$C,"Welfare",CipherWaveWise!$D:$D,"GoJins",CipherWaveWise!$J:$J,"&lt;0")+SUMIFS(AstroVerse!$J:$J,AstroVerse!$C:$C,"Welfare",AstroVerse!$D:$D,"GoJins",AstroVerse!$J:$J,"&lt;0"))</f>
        <v>0</v>
      </c>
      <c r="E16" s="1">
        <f>-(SUMIFS(MinorBugsRetention!$J:$J,MinorBugsRetention!$C:$C,"Welfare",MinorBugsRetention!$D:$D,"BuggiesKids",MinorBugsRetention!$J:$J,"&lt;0")+SUMIFS(MintCodeRetention!$J:$J,MintCodeRetention!$C:$C,"Welfare",MintCodeRetention!$D:$D,"BuggiesKids",MintCodeRetention!$J:$J,"&lt;0")+SUMIFS(AlphaRaysFlagStar!$J:$J,AlphaRaysFlagStar!$C:$C,"Welfare",AlphaRaysFlagStar!$D:$D,"BuggiesKids",AlphaRaysFlagStar!$J:$J,"&lt;0")+SUMIFS(GloriousWise!$J:$J,GloriousWise!$C:$C,"Welfare",GloriousWise!$D:$D,"BuggiesKids",GloriousWise!$J:$J,"&lt;0")+SUMIFS(Counter!$J:$J,Counter!$C:$C,"Welfare",Counter!$D:$D,"BuggiesKids",Counter!$J:$J,"&lt;0")+SUMIFS(MinorBugsBAHLCurrent!$J:$J,MinorBugsBAHLCurrent!$C:$C,"Welfare",MinorBugsBAHLCurrent!$D:$D,"BuggiesKids",MinorBugsBAHLCurrent!$J:$J,"&lt;0")+SUMIFS(MinorBugsBAHLSaving!$J:$J,MinorBugsBAHLSaving!$C:$C,"Welfare",MinorBugsBAHLSaving!$D:$D,"BuggiesKids",MinorBugsBAHLSaving!$J:$J,"&lt;0")+SUMIFS(MinorBugsMeezanCurrent!$J:$J,MinorBugsMeezanCurrent!$C:$C,"Welfare",MinorBugsMeezanCurrent!$D:$D,"BuggiesKids",MinorBugsMeezanCurrent!$J:$J,"&lt;0")+SUMIFS(MintCodeCurrent!$J:$J,MintCodeCurrent!$C:$C,"Welfare",MintCodeCurrent!$D:$D,"BuggiesKids",MintCodeCurrent!$J:$J,"&lt;0")+SUMIFS(GamesGeeksBAHL!$J:$J,GamesGeeksBAHL!$C:$C,"Welfare",GamesGeeksBAHL!$D:$D,"BuggiesKids",GamesGeeksBAHL!$J:$J,"&lt;0")+SUMIFS(GamingUniverse!$J:$J,GamingUniverse!$C:$C,"Welfare",GamingUniverse!$D:$D,"BuggiesKids",GamingUniverse!$J:$J,"&lt;0")+SUMIFS(KashifMeezan!$J:$J,KashifMeezan!$C:$C,"Welfare",KashifMeezan!$D:$D,"BuggiesKids",KashifMeezan!$J:$J,"&lt;0")+SUMIFS(SaadMeezan!$J:$J,SaadMeezan!$C:$C,"Welfare",SaadMeezan!$D:$D,"BuggiesKids",SaadMeezan!$J:$J,"&lt;0")+SUMIFS(GameHippoMeezan!$J:$J,GameHippoMeezan!$C:$C,"Welfare",GameHippoMeezan!$D:$D,"BuggiesKids",GameHippoMeezan!$J:$J,"&lt;0")+SUMIFS(AbdullahMeezan!$J:$J,AbdullahMeezan!$C:$C,"Welfare",AbdullahMeezan!$D:$D,"BuggiesKids",AbdullahMeezan!$J:$J,"&lt;0")+SUMIFS(GameSol!$J:$J,GameSol!$C:$C,"Welfare",GameSol!$D:$D,"BuggiesKids",GameSol!$J:$J,"&lt;0")+SUMIFS(CipherWaveWise!$J:$J,CipherWaveWise!$C:$C,"Welfare",CipherWaveWise!$D:$D,"BuggiesKids",CipherWaveWise!$J:$J,"&lt;0")+SUMIFS(AstroVerse!$J:$J,AstroVerse!$C:$C,"Welfare",AstroVerse!$D:$D,"BuggiesKids",AstroVerse!$J:$J,"&lt;0"))</f>
        <v>0</v>
      </c>
      <c r="F16" s="1">
        <f>-(SUMIFS(MinorBugsRetention!$J:$J,MinorBugsRetention!$C:$C,"Welfare",MinorBugsRetention!$D:$D,"GameHippo",MinorBugsRetention!$J:$J,"&lt;0")+SUMIFS(MintCodeRetention!$J:$J,MintCodeRetention!$C:$C,"Welfare",MintCodeRetention!$D:$D,"GameHippo",MintCodeRetention!$J:$J,"&lt;0")+SUMIFS(AlphaRaysFlagStar!$J:$J,AlphaRaysFlagStar!$C:$C,"Welfare",AlphaRaysFlagStar!$D:$D,"GameHippo",AlphaRaysFlagStar!$J:$J,"&lt;0")+SUMIFS(GloriousWise!$J:$J,GloriousWise!$C:$C,"Welfare",GloriousWise!$D:$D,"GameHippo",GloriousWise!$J:$J,"&lt;0")+SUMIFS(Counter!$J:$J,Counter!$C:$C,"Welfare",Counter!$D:$D,"GameHippo",Counter!$J:$J,"&lt;0")+SUMIFS(MinorBugsBAHLCurrent!$J:$J,MinorBugsBAHLCurrent!$C:$C,"Welfare",MinorBugsBAHLCurrent!$D:$D,"GameHippo",MinorBugsBAHLCurrent!$J:$J,"&lt;0")+SUMIFS(MinorBugsBAHLSaving!$J:$J,MinorBugsBAHLSaving!$C:$C,"Welfare",MinorBugsBAHLSaving!$D:$D,"GameHippo",MinorBugsBAHLSaving!$J:$J,"&lt;0")+SUMIFS(MinorBugsMeezanCurrent!$J:$J,MinorBugsMeezanCurrent!$C:$C,"Welfare",MinorBugsMeezanCurrent!$D:$D,"GameHippo",MinorBugsMeezanCurrent!$J:$J,"&lt;0")+SUMIFS(MintCodeCurrent!$J:$J,MintCodeCurrent!$C:$C,"Welfare",MintCodeCurrent!$D:$D,"GameHippo",MintCodeCurrent!$J:$J,"&lt;0")+SUMIFS(GamesGeeksBAHL!$J:$J,GamesGeeksBAHL!$C:$C,"Welfare",GamesGeeksBAHL!$D:$D,"GameHippo",GamesGeeksBAHL!$J:$J,"&lt;0")+SUMIFS(GamingUniverse!$J:$J,GamingUniverse!$C:$C,"Welfare",GamingUniverse!$D:$D,"GameHippo",GamingUniverse!$J:$J,"&lt;0")+SUMIFS(KashifMeezan!$J:$J,KashifMeezan!$C:$C,"Welfare",KashifMeezan!$D:$D,"GameHippo",KashifMeezan!$J:$J,"&lt;0")+SUMIFS(SaadMeezan!$J:$J,SaadMeezan!$C:$C,"Welfare",SaadMeezan!$D:$D,"GameHippo",SaadMeezan!$J:$J,"&lt;0")+SUMIFS(GameHippoMeezan!$J:$J,GameHippoMeezan!$C:$C,"Welfare",GameHippoMeezan!$D:$D,"GameHippo",GameHippoMeezan!$J:$J,"&lt;0")+SUMIFS(AbdullahMeezan!$J:$J,AbdullahMeezan!$C:$C,"Welfare",AbdullahMeezan!$D:$D,"GameHippo",AbdullahMeezan!$J:$J,"&lt;0")+SUMIFS(GameSol!$J:$J,GameSol!$C:$C,"Welfare",GameSol!$D:$D,"GameHippo",GameSol!$J:$J,"&lt;0")+SUMIFS(CipherWaveWise!$J:$J,CipherWaveWise!$C:$C,"Welfare",CipherWaveWise!$D:$D,"GameHippo",CipherWaveWise!$J:$J,"&lt;0")+SUMIFS(AstroVerse!$J:$J,AstroVerse!$C:$C,"Welfare",AstroVerse!$D:$D,"GameHippo",AstroVerse!$J:$J,"&lt;0"))</f>
        <v>0</v>
      </c>
      <c r="G16" s="1">
        <f>-(SUMIFS(MinorBugsRetention!$J:$J,MinorBugsRetention!$C:$C,"Welfare",MinorBugsRetention!$D:$D,"Frentech",MinorBugsRetention!$J:$J,"&lt;0")+SUMIFS(MintCodeRetention!$J:$J,MintCodeRetention!$C:$C,"Welfare",MintCodeRetention!$D:$D,"Frentech",MintCodeRetention!$J:$J,"&lt;0")+SUMIFS(AlphaRaysFlagStar!$J:$J,AlphaRaysFlagStar!$C:$C,"Welfare",AlphaRaysFlagStar!$D:$D,"Frentech",AlphaRaysFlagStar!$J:$J,"&lt;0")+SUMIFS(GloriousWise!$J:$J,GloriousWise!$C:$C,"Welfare",GloriousWise!$D:$D,"Frentech",GloriousWise!$J:$J,"&lt;0")+SUMIFS(Counter!$J:$J,Counter!$C:$C,"Welfare",Counter!$D:$D,"Frentech",Counter!$J:$J,"&lt;0")+SUMIFS(MinorBugsBAHLCurrent!$J:$J,MinorBugsBAHLCurrent!$C:$C,"Welfare",MinorBugsBAHLCurrent!$D:$D,"Frentech",MinorBugsBAHLCurrent!$J:$J,"&lt;0")+SUMIFS(MinorBugsBAHLSaving!$J:$J,MinorBugsBAHLSaving!$C:$C,"Welfare",MinorBugsBAHLSaving!$D:$D,"Frentech",MinorBugsBAHLSaving!$J:$J,"&lt;0")+SUMIFS(MinorBugsMeezanCurrent!$J:$J,MinorBugsMeezanCurrent!$C:$C,"Welfare",MinorBugsMeezanCurrent!$D:$D,"Frentech",MinorBugsMeezanCurrent!$J:$J,"&lt;0")+SUMIFS(MintCodeCurrent!$J:$J,MintCodeCurrent!$C:$C,"Welfare",MintCodeCurrent!$D:$D,"Frentech",MintCodeCurrent!$J:$J,"&lt;0")+SUMIFS(GamesGeeksBAHL!$J:$J,GamesGeeksBAHL!$C:$C,"Welfare",GamesGeeksBAHL!$D:$D,"Frentech",GamesGeeksBAHL!$J:$J,"&lt;0")+SUMIFS(GamingUniverse!$J:$J,GamingUniverse!$C:$C,"Welfare",GamingUniverse!$D:$D,"Frentech",GamingUniverse!$J:$J,"&lt;0")+SUMIFS(KashifMeezan!$J:$J,KashifMeezan!$C:$C,"Welfare",KashifMeezan!$D:$D,"Frentech",KashifMeezan!$J:$J,"&lt;0")+SUMIFS(SaadMeezan!$J:$J,SaadMeezan!$C:$C,"Welfare",SaadMeezan!$D:$D,"Frentech",SaadMeezan!$J:$J,"&lt;0")+SUMIFS(GameHippoMeezan!$J:$J,GameHippoMeezan!$C:$C,"Welfare",GameHippoMeezan!$D:$D,"Frentech",GameHippoMeezan!$J:$J,"&lt;0")+SUMIFS(AbdullahMeezan!$J:$J,AbdullahMeezan!$C:$C,"Welfare",AbdullahMeezan!$D:$D,"Frentech",AbdullahMeezan!$J:$J,"&lt;0")+SUMIFS(GameSol!$J:$J,GameSol!$C:$C,"Welfare",GameSol!$D:$D,"Frentech",GameSol!$J:$J,"&lt;0")+SUMIFS(CipherWaveWise!$J:$J,CipherWaveWise!$C:$C,"Welfare",CipherWaveWise!$D:$D,"Frentech",CipherWaveWise!$J:$J,"&lt;0")+SUMIFS(AstroVerse!$J:$J,AstroVerse!$C:$C,"Welfare",AstroVerse!$D:$D,"Frentech",AstroVerse!$J:$J,"&lt;0"))</f>
        <v>0</v>
      </c>
      <c r="H16" s="1">
        <f>-(SUMIFS(MinorBugsRetention!$J:$J,MinorBugsRetention!$C:$C,"Welfare",MinorBugsRetention!$D:$D,"DevBoat",MinorBugsRetention!$J:$J,"&lt;0")+SUMIFS(MintCodeRetention!$J:$J,MintCodeRetention!$C:$C,"Welfare",MintCodeRetention!$D:$D,"DevBoat",MintCodeRetention!$J:$J,"&lt;0")+SUMIFS(AlphaRaysFlagStar!$J:$J,AlphaRaysFlagStar!$C:$C,"Welfare",AlphaRaysFlagStar!$D:$D,"DevBoat",AlphaRaysFlagStar!$J:$J,"&lt;0")+SUMIFS(GloriousWise!$J:$J,GloriousWise!$C:$C,"Welfare",GloriousWise!$D:$D,"DevBoat",GloriousWise!$J:$J,"&lt;0")+SUMIFS(Counter!$J:$J,Counter!$C:$C,"Welfare",Counter!$D:$D,"DevBoat",Counter!$J:$J,"&lt;0")+SUMIFS(MinorBugsBAHLCurrent!$J:$J,MinorBugsBAHLCurrent!$C:$C,"Welfare",MinorBugsBAHLCurrent!$D:$D,"DevBoat",MinorBugsBAHLCurrent!$J:$J,"&lt;0")+SUMIFS(MinorBugsBAHLSaving!$J:$J,MinorBugsBAHLSaving!$C:$C,"Welfare",MinorBugsBAHLSaving!$D:$D,"DevBoat",MinorBugsBAHLSaving!$J:$J,"&lt;0")+SUMIFS(MinorBugsMeezanCurrent!$J:$J,MinorBugsMeezanCurrent!$C:$C,"Welfare",MinorBugsMeezanCurrent!$D:$D,"DevBoat",MinorBugsMeezanCurrent!$J:$J,"&lt;0")+SUMIFS(MintCodeCurrent!$J:$J,MintCodeCurrent!$C:$C,"Welfare",MintCodeCurrent!$D:$D,"DevBoat",MintCodeCurrent!$J:$J,"&lt;0")+SUMIFS(GamesGeeksBAHL!$J:$J,GamesGeeksBAHL!$C:$C,"Welfare",GamesGeeksBAHL!$D:$D,"DevBoat",GamesGeeksBAHL!$J:$J,"&lt;0")+SUMIFS(GamingUniverse!$J:$J,GamingUniverse!$C:$C,"Welfare",GamingUniverse!$D:$D,"DevBoat",GamingUniverse!$J:$J,"&lt;0")+SUMIFS(KashifMeezan!$J:$J,KashifMeezan!$C:$C,"Welfare",KashifMeezan!$D:$D,"DevBoat",KashifMeezan!$J:$J,"&lt;0")+SUMIFS(SaadMeezan!$J:$J,SaadMeezan!$C:$C,"Welfare",SaadMeezan!$D:$D,"DevBoat",SaadMeezan!$J:$J,"&lt;0")+SUMIFS(GameHippoMeezan!$J:$J,GameHippoMeezan!$C:$C,"Welfare",GameHippoMeezan!$D:$D,"DevBoat",GameHippoMeezan!$J:$J,"&lt;0")+SUMIFS(AbdullahMeezan!$J:$J,AbdullahMeezan!$C:$C,"Welfare",AbdullahMeezan!$D:$D,"DevBoat",AbdullahMeezan!$J:$J,"&lt;0")+SUMIFS(GameSol!$J:$J,GameSol!$C:$C,"Welfare",GameSol!$D:$D,"DevBoat",GameSol!$J:$J,"&lt;0")+SUMIFS(CipherWaveWise!$J:$J,CipherWaveWise!$C:$C,"Welfare",CipherWaveWise!$D:$D,"DevBoat",CipherWaveWise!$J:$J,"&lt;0")+SUMIFS(AstroVerse!$J:$J,AstroVerse!$C:$C,"Welfare",AstroVerse!$D:$D,"DevBoat",AstroVerse!$J:$J,"&lt;0"))</f>
        <v>0</v>
      </c>
      <c r="I16" s="1">
        <f t="shared" si="0"/>
        <v>0</v>
      </c>
    </row>
    <row r="17" spans="1:9">
      <c r="A17" t="s">
        <v>166</v>
      </c>
      <c r="B17" s="1">
        <f>-(SUMIFS(MinorBugsRetention!$J:$J,MinorBugsRetention!$C:$C,"Training",MinorBugsRetention!$D:$D,"MinorBugs",MinorBugsRetention!$J:$J,"&lt;0")+SUMIFS(MintCodeRetention!$J:$J,MintCodeRetention!$C:$C,"Training",MintCodeRetention!$D:$D,"MinorBugs",MintCodeRetention!$J:$J,"&lt;0")+SUMIFS(AlphaRaysFlagStar!$J:$J,AlphaRaysFlagStar!$C:$C,"Training",AlphaRaysFlagStar!$D:$D,"MinorBugs",AlphaRaysFlagStar!$J:$J,"&lt;0")+SUMIFS(GloriousWise!$J:$J,GloriousWise!$C:$C,"Training",GloriousWise!$D:$D,"MinorBugs",GloriousWise!$J:$J,"&lt;0")+SUMIFS(Counter!$J:$J,Counter!$C:$C,"Training",Counter!$D:$D,"MinorBugs",Counter!$J:$J,"&lt;0")+SUMIFS(MinorBugsBAHLCurrent!$J:$J,MinorBugsBAHLCurrent!$C:$C,"Training",MinorBugsBAHLCurrent!$D:$D,"MinorBugs",MinorBugsBAHLCurrent!$J:$J,"&lt;0")+SUMIFS(MinorBugsBAHLSaving!$J:$J,MinorBugsBAHLSaving!$C:$C,"Training",MinorBugsBAHLSaving!$D:$D,"MinorBugs",MinorBugsBAHLSaving!$J:$J,"&lt;0")+SUMIFS(MinorBugsMeezanCurrent!$J:$J,MinorBugsMeezanCurrent!$C:$C,"Training",MinorBugsMeezanCurrent!$D:$D,"MinorBugs",MinorBugsMeezanCurrent!$J:$J,"&lt;0")+SUMIFS(MintCodeCurrent!$J:$J,MintCodeCurrent!$C:$C,"Training",MintCodeCurrent!$D:$D,"MinorBugs",MintCodeCurrent!$J:$J,"&lt;0")+SUMIFS(GamesGeeksBAHL!$J:$J,GamesGeeksBAHL!$C:$C,"Training",GamesGeeksBAHL!$D:$D,"MinorBugs",GamesGeeksBAHL!$J:$J,"&lt;0")+SUMIFS(GamingUniverse!$J:$J,GamingUniverse!$C:$C,"Training",GamingUniverse!$D:$D,"MinorBugs",GamingUniverse!$J:$J,"&lt;0")+SUMIFS(KashifMeezan!$J:$J,KashifMeezan!$C:$C,"Training",KashifMeezan!$D:$D,"MinorBugs",KashifMeezan!$J:$J,"&lt;0")+SUMIFS(SaadMeezan!$J:$J,SaadMeezan!$C:$C,"Training",SaadMeezan!$D:$D,"MinorBugs",SaadMeezan!$J:$J,"&lt;0")+SUMIFS(GameHippoMeezan!$J:$J,GameHippoMeezan!$C:$C,"Training",GameHippoMeezan!$D:$D,"MinorBugs",GameHippoMeezan!$J:$J,"&lt;0")+SUMIFS(AbdullahMeezan!$J:$J,AbdullahMeezan!$C:$C,"Training",AbdullahMeezan!$D:$D,"MinorBugs",AbdullahMeezan!$J:$J,"&lt;0")+SUMIFS(GameSol!$J:$J,GameSol!$C:$C,"Training",GameSol!$D:$D,"MinorBugs",GameSol!$J:$J,"&lt;0")+SUMIFS(CipherWaveWise!$J:$J,CipherWaveWise!$C:$C,"Training",CipherWaveWise!$D:$D,"MinorBugs",CipherWaveWise!$J:$J,"&lt;0")+SUMIFS(AstroVerse!$J:$J,AstroVerse!$C:$C,"Training",AstroVerse!$D:$D,"MinorBugs",AstroVerse!$J:$J,"&lt;0"))</f>
        <v>0</v>
      </c>
      <c r="C17" s="1">
        <f>-(SUMIFS(MinorBugsRetention!$J:$J,MinorBugsRetention!$C:$C,"Training",MinorBugsRetention!$D:$D,"BraveJackals",MinorBugsRetention!$J:$J,"&lt;0")+SUMIFS(MintCodeRetention!$J:$J,MintCodeRetention!$C:$C,"Training",MintCodeRetention!$D:$D,"BraveJackals",MintCodeRetention!$J:$J,"&lt;0")+SUMIFS(AlphaRaysFlagStar!$J:$J,AlphaRaysFlagStar!$C:$C,"Training",AlphaRaysFlagStar!$D:$D,"BraveJackals",AlphaRaysFlagStar!$J:$J,"&lt;0")+SUMIFS(GloriousWise!$J:$J,GloriousWise!$C:$C,"Training",GloriousWise!$D:$D,"BraveJackals",GloriousWise!$J:$J,"&lt;0")+SUMIFS(Counter!$J:$J,Counter!$C:$C,"Training",Counter!$D:$D,"BraveJackals",Counter!$J:$J,"&lt;0")+SUMIFS(MinorBugsBAHLCurrent!$J:$J,MinorBugsBAHLCurrent!$C:$C,"Training",MinorBugsBAHLCurrent!$D:$D,"BraveJackals",MinorBugsBAHLCurrent!$J:$J,"&lt;0")+SUMIFS(MinorBugsBAHLSaving!$J:$J,MinorBugsBAHLSaving!$C:$C,"Training",MinorBugsBAHLSaving!$D:$D,"BraveJackals",MinorBugsBAHLSaving!$J:$J,"&lt;0")+SUMIFS(MinorBugsMeezanCurrent!$J:$J,MinorBugsMeezanCurrent!$C:$C,"Training",MinorBugsMeezanCurrent!$D:$D,"BraveJackals",MinorBugsMeezanCurrent!$J:$J,"&lt;0")+SUMIFS(MintCodeCurrent!$J:$J,MintCodeCurrent!$C:$C,"Training",MintCodeCurrent!$D:$D,"BraveJackals",MintCodeCurrent!$J:$J,"&lt;0")+SUMIFS(GamesGeeksBAHL!$J:$J,GamesGeeksBAHL!$C:$C,"Training",GamesGeeksBAHL!$D:$D,"BraveJackals",GamesGeeksBAHL!$J:$J,"&lt;0")+SUMIFS(GamingUniverse!$J:$J,GamingUniverse!$C:$C,"Training",GamingUniverse!$D:$D,"BraveJackals",GamingUniverse!$J:$J,"&lt;0")+SUMIFS(KashifMeezan!$J:$J,KashifMeezan!$C:$C,"Training",KashifMeezan!$D:$D,"BraveJackals",KashifMeezan!$J:$J,"&lt;0")+SUMIFS(SaadMeezan!$J:$J,SaadMeezan!$C:$C,"Training",SaadMeezan!$D:$D,"BraveJackals",SaadMeezan!$J:$J,"&lt;0")+SUMIFS(GameHippoMeezan!$J:$J,GameHippoMeezan!$C:$C,"Training",GameHippoMeezan!$D:$D,"BraveJackals",GameHippoMeezan!$J:$J,"&lt;0")+SUMIFS(AbdullahMeezan!$J:$J,AbdullahMeezan!$C:$C,"Training",AbdullahMeezan!$D:$D,"BraveJackals",AbdullahMeezan!$J:$J,"&lt;0")+SUMIFS(GameSol!$J:$J,GameSol!$C:$C,"Training",GameSol!$D:$D,"BraveJackals",GameSol!$J:$J,"&lt;0")+SUMIFS(CipherWaveWise!$J:$J,CipherWaveWise!$C:$C,"Training",CipherWaveWise!$D:$D,"BraveJackals",CipherWaveWise!$J:$J,"&lt;0")+SUMIFS(AstroVerse!$J:$J,AstroVerse!$C:$C,"Training",AstroVerse!$D:$D,"BraveJackals",AstroVerse!$J:$J,"&lt;0"))</f>
        <v>0</v>
      </c>
      <c r="D17" s="1">
        <f>-(SUMIFS(MinorBugsRetention!$J:$J,MinorBugsRetention!$C:$C,"Training",MinorBugsRetention!$D:$D,"GoJins",MinorBugsRetention!$J:$J,"&lt;0")+SUMIFS(MintCodeRetention!$J:$J,MintCodeRetention!$C:$C,"Training",MintCodeRetention!$D:$D,"GoJins",MintCodeRetention!$J:$J,"&lt;0")+SUMIFS(AlphaRaysFlagStar!$J:$J,AlphaRaysFlagStar!$C:$C,"Training",AlphaRaysFlagStar!$D:$D,"GoJins",AlphaRaysFlagStar!$J:$J,"&lt;0")+SUMIFS(GloriousWise!$J:$J,GloriousWise!$C:$C,"Training",GloriousWise!$D:$D,"GoJins",GloriousWise!$J:$J,"&lt;0")+SUMIFS(Counter!$J:$J,Counter!$C:$C,"Training",Counter!$D:$D,"GoJins",Counter!$J:$J,"&lt;0")+SUMIFS(MinorBugsBAHLCurrent!$J:$J,MinorBugsBAHLCurrent!$C:$C,"Training",MinorBugsBAHLCurrent!$D:$D,"GoJins",MinorBugsBAHLCurrent!$J:$J,"&lt;0")+SUMIFS(MinorBugsBAHLSaving!$J:$J,MinorBugsBAHLSaving!$C:$C,"Training",MinorBugsBAHLSaving!$D:$D,"GoJins",MinorBugsBAHLSaving!$J:$J,"&lt;0")+SUMIFS(MinorBugsMeezanCurrent!$J:$J,MinorBugsMeezanCurrent!$C:$C,"Training",MinorBugsMeezanCurrent!$D:$D,"GoJins",MinorBugsMeezanCurrent!$J:$J,"&lt;0")+SUMIFS(MintCodeCurrent!$J:$J,MintCodeCurrent!$C:$C,"Training",MintCodeCurrent!$D:$D,"GoJins",MintCodeCurrent!$J:$J,"&lt;0")+SUMIFS(GamesGeeksBAHL!$J:$J,GamesGeeksBAHL!$C:$C,"Training",GamesGeeksBAHL!$D:$D,"GoJins",GamesGeeksBAHL!$J:$J,"&lt;0")+SUMIFS(GamingUniverse!$J:$J,GamingUniverse!$C:$C,"Training",GamingUniverse!$D:$D,"GoJins",GamingUniverse!$J:$J,"&lt;0")+SUMIFS(KashifMeezan!$J:$J,KashifMeezan!$C:$C,"Training",KashifMeezan!$D:$D,"GoJins",KashifMeezan!$J:$J,"&lt;0")+SUMIFS(SaadMeezan!$J:$J,SaadMeezan!$C:$C,"Training",SaadMeezan!$D:$D,"GoJins",SaadMeezan!$J:$J,"&lt;0")+SUMIFS(GameHippoMeezan!$J:$J,GameHippoMeezan!$C:$C,"Training",GameHippoMeezan!$D:$D,"GoJins",GameHippoMeezan!$J:$J,"&lt;0")+SUMIFS(AbdullahMeezan!$J:$J,AbdullahMeezan!$C:$C,"Training",AbdullahMeezan!$D:$D,"GoJins",AbdullahMeezan!$J:$J,"&lt;0")+SUMIFS(GameSol!$J:$J,GameSol!$C:$C,"Training",GameSol!$D:$D,"GoJins",GameSol!$J:$J,"&lt;0")+SUMIFS(CipherWaveWise!$J:$J,CipherWaveWise!$C:$C,"Training",CipherWaveWise!$D:$D,"GoJins",CipherWaveWise!$J:$J,"&lt;0")+SUMIFS(AstroVerse!$J:$J,AstroVerse!$C:$C,"Training",AstroVerse!$D:$D,"GoJins",AstroVerse!$J:$J,"&lt;0"))</f>
        <v>0</v>
      </c>
      <c r="E17" s="1">
        <f>-(SUMIFS(MinorBugsRetention!$J:$J,MinorBugsRetention!$C:$C,"Training",MinorBugsRetention!$D:$D,"BuggiesKids",MinorBugsRetention!$J:$J,"&lt;0")+SUMIFS(MintCodeRetention!$J:$J,MintCodeRetention!$C:$C,"Training",MintCodeRetention!$D:$D,"BuggiesKids",MintCodeRetention!$J:$J,"&lt;0")+SUMIFS(AlphaRaysFlagStar!$J:$J,AlphaRaysFlagStar!$C:$C,"Training",AlphaRaysFlagStar!$D:$D,"BuggiesKids",AlphaRaysFlagStar!$J:$J,"&lt;0")+SUMIFS(GloriousWise!$J:$J,GloriousWise!$C:$C,"Training",GloriousWise!$D:$D,"BuggiesKids",GloriousWise!$J:$J,"&lt;0")+SUMIFS(Counter!$J:$J,Counter!$C:$C,"Training",Counter!$D:$D,"BuggiesKids",Counter!$J:$J,"&lt;0")+SUMIFS(MinorBugsBAHLCurrent!$J:$J,MinorBugsBAHLCurrent!$C:$C,"Training",MinorBugsBAHLCurrent!$D:$D,"BuggiesKids",MinorBugsBAHLCurrent!$J:$J,"&lt;0")+SUMIFS(MinorBugsBAHLSaving!$J:$J,MinorBugsBAHLSaving!$C:$C,"Training",MinorBugsBAHLSaving!$D:$D,"BuggiesKids",MinorBugsBAHLSaving!$J:$J,"&lt;0")+SUMIFS(MinorBugsMeezanCurrent!$J:$J,MinorBugsMeezanCurrent!$C:$C,"Training",MinorBugsMeezanCurrent!$D:$D,"BuggiesKids",MinorBugsMeezanCurrent!$J:$J,"&lt;0")+SUMIFS(MintCodeCurrent!$J:$J,MintCodeCurrent!$C:$C,"Training",MintCodeCurrent!$D:$D,"BuggiesKids",MintCodeCurrent!$J:$J,"&lt;0")+SUMIFS(GamesGeeksBAHL!$J:$J,GamesGeeksBAHL!$C:$C,"Training",GamesGeeksBAHL!$D:$D,"BuggiesKids",GamesGeeksBAHL!$J:$J,"&lt;0")+SUMIFS(GamingUniverse!$J:$J,GamingUniverse!$C:$C,"Training",GamingUniverse!$D:$D,"BuggiesKids",GamingUniverse!$J:$J,"&lt;0")+SUMIFS(KashifMeezan!$J:$J,KashifMeezan!$C:$C,"Training",KashifMeezan!$D:$D,"BuggiesKids",KashifMeezan!$J:$J,"&lt;0")+SUMIFS(SaadMeezan!$J:$J,SaadMeezan!$C:$C,"Training",SaadMeezan!$D:$D,"BuggiesKids",SaadMeezan!$J:$J,"&lt;0")+SUMIFS(GameHippoMeezan!$J:$J,GameHippoMeezan!$C:$C,"Training",GameHippoMeezan!$D:$D,"BuggiesKids",GameHippoMeezan!$J:$J,"&lt;0")+SUMIFS(AbdullahMeezan!$J:$J,AbdullahMeezan!$C:$C,"Training",AbdullahMeezan!$D:$D,"BuggiesKids",AbdullahMeezan!$J:$J,"&lt;0")+SUMIFS(GameSol!$J:$J,GameSol!$C:$C,"Training",GameSol!$D:$D,"BuggiesKids",GameSol!$J:$J,"&lt;0")+SUMIFS(CipherWaveWise!$J:$J,CipherWaveWise!$C:$C,"Training",CipherWaveWise!$D:$D,"BuggiesKids",CipherWaveWise!$J:$J,"&lt;0")+SUMIFS(AstroVerse!$J:$J,AstroVerse!$C:$C,"Training",AstroVerse!$D:$D,"BuggiesKids",AstroVerse!$J:$J,"&lt;0"))</f>
        <v>0</v>
      </c>
      <c r="F17" s="1">
        <f>-(SUMIFS(MinorBugsRetention!$J:$J,MinorBugsRetention!$C:$C,"Training",MinorBugsRetention!$D:$D,"GameHippo",MinorBugsRetention!$J:$J,"&lt;0")+SUMIFS(MintCodeRetention!$J:$J,MintCodeRetention!$C:$C,"Training",MintCodeRetention!$D:$D,"GameHippo",MintCodeRetention!$J:$J,"&lt;0")+SUMIFS(AlphaRaysFlagStar!$J:$J,AlphaRaysFlagStar!$C:$C,"Training",AlphaRaysFlagStar!$D:$D,"GameHippo",AlphaRaysFlagStar!$J:$J,"&lt;0")+SUMIFS(GloriousWise!$J:$J,GloriousWise!$C:$C,"Training",GloriousWise!$D:$D,"GameHippo",GloriousWise!$J:$J,"&lt;0")+SUMIFS(Counter!$J:$J,Counter!$C:$C,"Training",Counter!$D:$D,"GameHippo",Counter!$J:$J,"&lt;0")+SUMIFS(MinorBugsBAHLCurrent!$J:$J,MinorBugsBAHLCurrent!$C:$C,"Training",MinorBugsBAHLCurrent!$D:$D,"GameHippo",MinorBugsBAHLCurrent!$J:$J,"&lt;0")+SUMIFS(MinorBugsBAHLSaving!$J:$J,MinorBugsBAHLSaving!$C:$C,"Training",MinorBugsBAHLSaving!$D:$D,"GameHippo",MinorBugsBAHLSaving!$J:$J,"&lt;0")+SUMIFS(MinorBugsMeezanCurrent!$J:$J,MinorBugsMeezanCurrent!$C:$C,"Training",MinorBugsMeezanCurrent!$D:$D,"GameHippo",MinorBugsMeezanCurrent!$J:$J,"&lt;0")+SUMIFS(MintCodeCurrent!$J:$J,MintCodeCurrent!$C:$C,"Training",MintCodeCurrent!$D:$D,"GameHippo",MintCodeCurrent!$J:$J,"&lt;0")+SUMIFS(GamesGeeksBAHL!$J:$J,GamesGeeksBAHL!$C:$C,"Training",GamesGeeksBAHL!$D:$D,"GameHippo",GamesGeeksBAHL!$J:$J,"&lt;0")+SUMIFS(GamingUniverse!$J:$J,GamingUniverse!$C:$C,"Training",GamingUniverse!$D:$D,"GameHippo",GamingUniverse!$J:$J,"&lt;0")+SUMIFS(KashifMeezan!$J:$J,KashifMeezan!$C:$C,"Training",KashifMeezan!$D:$D,"GameHippo",KashifMeezan!$J:$J,"&lt;0")+SUMIFS(SaadMeezan!$J:$J,SaadMeezan!$C:$C,"Training",SaadMeezan!$D:$D,"GameHippo",SaadMeezan!$J:$J,"&lt;0")+SUMIFS(GameHippoMeezan!$J:$J,GameHippoMeezan!$C:$C,"Training",GameHippoMeezan!$D:$D,"GameHippo",GameHippoMeezan!$J:$J,"&lt;0")+SUMIFS(AbdullahMeezan!$J:$J,AbdullahMeezan!$C:$C,"Training",AbdullahMeezan!$D:$D,"GameHippo",AbdullahMeezan!$J:$J,"&lt;0")+SUMIFS(GameSol!$J:$J,GameSol!$C:$C,"Training",GameSol!$D:$D,"GameHippo",GameSol!$J:$J,"&lt;0")+SUMIFS(CipherWaveWise!$J:$J,CipherWaveWise!$C:$C,"Training",CipherWaveWise!$D:$D,"GameHippo",CipherWaveWise!$J:$J,"&lt;0")+SUMIFS(AstroVerse!$J:$J,AstroVerse!$C:$C,"Training",AstroVerse!$D:$D,"GameHippo",AstroVerse!$J:$J,"&lt;0"))</f>
        <v>0</v>
      </c>
      <c r="G17" s="1">
        <f>-(SUMIFS(MinorBugsRetention!$J:$J,MinorBugsRetention!$C:$C,"Training",MinorBugsRetention!$D:$D,"Frentech",MinorBugsRetention!$J:$J,"&lt;0")+SUMIFS(MintCodeRetention!$J:$J,MintCodeRetention!$C:$C,"Training",MintCodeRetention!$D:$D,"Frentech",MintCodeRetention!$J:$J,"&lt;0")+SUMIFS(AlphaRaysFlagStar!$J:$J,AlphaRaysFlagStar!$C:$C,"Training",AlphaRaysFlagStar!$D:$D,"Frentech",AlphaRaysFlagStar!$J:$J,"&lt;0")+SUMIFS(GloriousWise!$J:$J,GloriousWise!$C:$C,"Training",GloriousWise!$D:$D,"Frentech",GloriousWise!$J:$J,"&lt;0")+SUMIFS(Counter!$J:$J,Counter!$C:$C,"Training",Counter!$D:$D,"Frentech",Counter!$J:$J,"&lt;0")+SUMIFS(MinorBugsBAHLCurrent!$J:$J,MinorBugsBAHLCurrent!$C:$C,"Training",MinorBugsBAHLCurrent!$D:$D,"Frentech",MinorBugsBAHLCurrent!$J:$J,"&lt;0")+SUMIFS(MinorBugsBAHLSaving!$J:$J,MinorBugsBAHLSaving!$C:$C,"Training",MinorBugsBAHLSaving!$D:$D,"Frentech",MinorBugsBAHLSaving!$J:$J,"&lt;0")+SUMIFS(MinorBugsMeezanCurrent!$J:$J,MinorBugsMeezanCurrent!$C:$C,"Training",MinorBugsMeezanCurrent!$D:$D,"Frentech",MinorBugsMeezanCurrent!$J:$J,"&lt;0")+SUMIFS(MintCodeCurrent!$J:$J,MintCodeCurrent!$C:$C,"Training",MintCodeCurrent!$D:$D,"Frentech",MintCodeCurrent!$J:$J,"&lt;0")+SUMIFS(GamesGeeksBAHL!$J:$J,GamesGeeksBAHL!$C:$C,"Training",GamesGeeksBAHL!$D:$D,"Frentech",GamesGeeksBAHL!$J:$J,"&lt;0")+SUMIFS(GamingUniverse!$J:$J,GamingUniverse!$C:$C,"Training",GamingUniverse!$D:$D,"Frentech",GamingUniverse!$J:$J,"&lt;0")+SUMIFS(KashifMeezan!$J:$J,KashifMeezan!$C:$C,"Training",KashifMeezan!$D:$D,"Frentech",KashifMeezan!$J:$J,"&lt;0")+SUMIFS(SaadMeezan!$J:$J,SaadMeezan!$C:$C,"Training",SaadMeezan!$D:$D,"Frentech",SaadMeezan!$J:$J,"&lt;0")+SUMIFS(GameHippoMeezan!$J:$J,GameHippoMeezan!$C:$C,"Training",GameHippoMeezan!$D:$D,"Frentech",GameHippoMeezan!$J:$J,"&lt;0")+SUMIFS(AbdullahMeezan!$J:$J,AbdullahMeezan!$C:$C,"Training",AbdullahMeezan!$D:$D,"Frentech",AbdullahMeezan!$J:$J,"&lt;0")+SUMIFS(GameSol!$J:$J,GameSol!$C:$C,"Training",GameSol!$D:$D,"Frentech",GameSol!$J:$J,"&lt;0")+SUMIFS(CipherWaveWise!$J:$J,CipherWaveWise!$C:$C,"Training",CipherWaveWise!$D:$D,"Frentech",CipherWaveWise!$J:$J,"&lt;0")+SUMIFS(AstroVerse!$J:$J,AstroVerse!$C:$C,"Training",AstroVerse!$D:$D,"Frentech",AstroVerse!$J:$J,"&lt;0"))</f>
        <v>0</v>
      </c>
      <c r="H17" s="1">
        <f>-(SUMIFS(MinorBugsRetention!$J:$J,MinorBugsRetention!$C:$C,"Training",MinorBugsRetention!$D:$D,"DevBoat",MinorBugsRetention!$J:$J,"&lt;0")+SUMIFS(MintCodeRetention!$J:$J,MintCodeRetention!$C:$C,"Training",MintCodeRetention!$D:$D,"DevBoat",MintCodeRetention!$J:$J,"&lt;0")+SUMIFS(AlphaRaysFlagStar!$J:$J,AlphaRaysFlagStar!$C:$C,"Training",AlphaRaysFlagStar!$D:$D,"DevBoat",AlphaRaysFlagStar!$J:$J,"&lt;0")+SUMIFS(GloriousWise!$J:$J,GloriousWise!$C:$C,"Training",GloriousWise!$D:$D,"DevBoat",GloriousWise!$J:$J,"&lt;0")+SUMIFS(Counter!$J:$J,Counter!$C:$C,"Training",Counter!$D:$D,"DevBoat",Counter!$J:$J,"&lt;0")+SUMIFS(MinorBugsBAHLCurrent!$J:$J,MinorBugsBAHLCurrent!$C:$C,"Training",MinorBugsBAHLCurrent!$D:$D,"DevBoat",MinorBugsBAHLCurrent!$J:$J,"&lt;0")+SUMIFS(MinorBugsBAHLSaving!$J:$J,MinorBugsBAHLSaving!$C:$C,"Training",MinorBugsBAHLSaving!$D:$D,"DevBoat",MinorBugsBAHLSaving!$J:$J,"&lt;0")+SUMIFS(MinorBugsMeezanCurrent!$J:$J,MinorBugsMeezanCurrent!$C:$C,"Training",MinorBugsMeezanCurrent!$D:$D,"DevBoat",MinorBugsMeezanCurrent!$J:$J,"&lt;0")+SUMIFS(MintCodeCurrent!$J:$J,MintCodeCurrent!$C:$C,"Training",MintCodeCurrent!$D:$D,"DevBoat",MintCodeCurrent!$J:$J,"&lt;0")+SUMIFS(GamesGeeksBAHL!$J:$J,GamesGeeksBAHL!$C:$C,"Training",GamesGeeksBAHL!$D:$D,"DevBoat",GamesGeeksBAHL!$J:$J,"&lt;0")+SUMIFS(GamingUniverse!$J:$J,GamingUniverse!$C:$C,"Training",GamingUniverse!$D:$D,"DevBoat",GamingUniverse!$J:$J,"&lt;0")+SUMIFS(KashifMeezan!$J:$J,KashifMeezan!$C:$C,"Training",KashifMeezan!$D:$D,"DevBoat",KashifMeezan!$J:$J,"&lt;0")+SUMIFS(SaadMeezan!$J:$J,SaadMeezan!$C:$C,"Training",SaadMeezan!$D:$D,"DevBoat",SaadMeezan!$J:$J,"&lt;0")+SUMIFS(GameHippoMeezan!$J:$J,GameHippoMeezan!$C:$C,"Training",GameHippoMeezan!$D:$D,"DevBoat",GameHippoMeezan!$J:$J,"&lt;0")+SUMIFS(AbdullahMeezan!$J:$J,AbdullahMeezan!$C:$C,"Training",AbdullahMeezan!$D:$D,"DevBoat",AbdullahMeezan!$J:$J,"&lt;0")+SUMIFS(GameSol!$J:$J,GameSol!$C:$C,"Training",GameSol!$D:$D,"DevBoat",GameSol!$J:$J,"&lt;0")+SUMIFS(CipherWaveWise!$J:$J,CipherWaveWise!$C:$C,"Training",CipherWaveWise!$D:$D,"DevBoat",CipherWaveWise!$J:$J,"&lt;0")+SUMIFS(AstroVerse!$J:$J,AstroVerse!$C:$C,"Training",AstroVerse!$D:$D,"DevBoat",AstroVerse!$J:$J,"&lt;0"))</f>
        <v>0</v>
      </c>
      <c r="I17" s="1">
        <f t="shared" si="0"/>
        <v>0</v>
      </c>
    </row>
    <row r="18" spans="1:9">
      <c r="A18" t="s">
        <v>21</v>
      </c>
      <c r="B18" s="1">
        <f>-(SUMIFS(MinorBugsRetention!$J:$J,MinorBugsRetention!$C:$C,"FED",MinorBugsRetention!$D:$D,"MinorBugs",MinorBugsRetention!$J:$J,"&lt;0")+SUMIFS(MintCodeRetention!$J:$J,MintCodeRetention!$C:$C,"FED",MintCodeRetention!$D:$D,"MinorBugs",MintCodeRetention!$J:$J,"&lt;0")+SUMIFS(AlphaRaysFlagStar!$J:$J,AlphaRaysFlagStar!$C:$C,"FED",AlphaRaysFlagStar!$D:$D,"MinorBugs",AlphaRaysFlagStar!$J:$J,"&lt;0")+SUMIFS(GloriousWise!$J:$J,GloriousWise!$C:$C,"FED",GloriousWise!$D:$D,"MinorBugs",GloriousWise!$J:$J,"&lt;0")+SUMIFS(Counter!$J:$J,Counter!$C:$C,"FED",Counter!$D:$D,"MinorBugs",Counter!$J:$J,"&lt;0")+SUMIFS(MinorBugsBAHLCurrent!$J:$J,MinorBugsBAHLCurrent!$C:$C,"FED",MinorBugsBAHLCurrent!$D:$D,"MinorBugs",MinorBugsBAHLCurrent!$J:$J,"&lt;0")+SUMIFS(MinorBugsBAHLSaving!$J:$J,MinorBugsBAHLSaving!$C:$C,"FED",MinorBugsBAHLSaving!$D:$D,"MinorBugs",MinorBugsBAHLSaving!$J:$J,"&lt;0")+SUMIFS(MinorBugsMeezanCurrent!$J:$J,MinorBugsMeezanCurrent!$C:$C,"FED",MinorBugsMeezanCurrent!$D:$D,"MinorBugs",MinorBugsMeezanCurrent!$J:$J,"&lt;0")+SUMIFS(MintCodeCurrent!$J:$J,MintCodeCurrent!$C:$C,"FED",MintCodeCurrent!$D:$D,"MinorBugs",MintCodeCurrent!$J:$J,"&lt;0")+SUMIFS(GamesGeeksBAHL!$J:$J,GamesGeeksBAHL!$C:$C,"FED",GamesGeeksBAHL!$D:$D,"MinorBugs",GamesGeeksBAHL!$J:$J,"&lt;0")+SUMIFS(GamingUniverse!$J:$J,GamingUniverse!$C:$C,"FED",GamingUniverse!$D:$D,"MinorBugs",GamingUniverse!$J:$J,"&lt;0")+SUMIFS(KashifMeezan!$J:$J,KashifMeezan!$C:$C,"FED",KashifMeezan!$D:$D,"MinorBugs",KashifMeezan!$J:$J,"&lt;0")+SUMIFS(SaadMeezan!$J:$J,SaadMeezan!$C:$C,"FED",SaadMeezan!$D:$D,"MinorBugs",SaadMeezan!$J:$J,"&lt;0")+SUMIFS(GameHippoMeezan!$J:$J,GameHippoMeezan!$C:$C,"FED",GameHippoMeezan!$D:$D,"MinorBugs",GameHippoMeezan!$J:$J,"&lt;0")+SUMIFS(AbdullahMeezan!$J:$J,AbdullahMeezan!$C:$C,"FED",AbdullahMeezan!$D:$D,"MinorBugs",AbdullahMeezan!$J:$J,"&lt;0")+SUMIFS(GameSol!$J:$J,GameSol!$C:$C,"FED",GameSol!$D:$D,"MinorBugs",GameSol!$J:$J,"&lt;0")+SUMIFS(CipherWaveWise!$J:$J,CipherWaveWise!$C:$C,"FED",CipherWaveWise!$D:$D,"MinorBugs",CipherWaveWise!$J:$J,"&lt;0")+SUMIFS(AstroVerse!$J:$J,AstroVerse!$C:$C,"FED",AstroVerse!$D:$D,"MinorBugs",AstroVerse!$J:$J,"&lt;0"))</f>
        <v>9905</v>
      </c>
      <c r="C18" s="1">
        <f>-(SUMIFS(MinorBugsRetention!$J:$J,MinorBugsRetention!$C:$C,"FED",MinorBugsRetention!$D:$D,"BraveJackals",MinorBugsRetention!$J:$J,"&lt;0")+SUMIFS(MintCodeRetention!$J:$J,MintCodeRetention!$C:$C,"FED",MintCodeRetention!$D:$D,"BraveJackals",MintCodeRetention!$J:$J,"&lt;0")+SUMIFS(AlphaRaysFlagStar!$J:$J,AlphaRaysFlagStar!$C:$C,"FED",AlphaRaysFlagStar!$D:$D,"BraveJackals",AlphaRaysFlagStar!$J:$J,"&lt;0")+SUMIFS(GloriousWise!$J:$J,GloriousWise!$C:$C,"FED",GloriousWise!$D:$D,"BraveJackals",GloriousWise!$J:$J,"&lt;0")+SUMIFS(Counter!$J:$J,Counter!$C:$C,"FED",Counter!$D:$D,"BraveJackals",Counter!$J:$J,"&lt;0")+SUMIFS(MinorBugsBAHLCurrent!$J:$J,MinorBugsBAHLCurrent!$C:$C,"FED",MinorBugsBAHLCurrent!$D:$D,"BraveJackals",MinorBugsBAHLCurrent!$J:$J,"&lt;0")+SUMIFS(MinorBugsBAHLSaving!$J:$J,MinorBugsBAHLSaving!$C:$C,"FED",MinorBugsBAHLSaving!$D:$D,"BraveJackals",MinorBugsBAHLSaving!$J:$J,"&lt;0")+SUMIFS(MinorBugsMeezanCurrent!$J:$J,MinorBugsMeezanCurrent!$C:$C,"FED",MinorBugsMeezanCurrent!$D:$D,"BraveJackals",MinorBugsMeezanCurrent!$J:$J,"&lt;0")+SUMIFS(MintCodeCurrent!$J:$J,MintCodeCurrent!$C:$C,"FED",MintCodeCurrent!$D:$D,"BraveJackals",MintCodeCurrent!$J:$J,"&lt;0")+SUMIFS(GamesGeeksBAHL!$J:$J,GamesGeeksBAHL!$C:$C,"FED",GamesGeeksBAHL!$D:$D,"BraveJackals",GamesGeeksBAHL!$J:$J,"&lt;0")+SUMIFS(GamingUniverse!$J:$J,GamingUniverse!$C:$C,"FED",GamingUniverse!$D:$D,"BraveJackals",GamingUniverse!$J:$J,"&lt;0")+SUMIFS(KashifMeezan!$J:$J,KashifMeezan!$C:$C,"FED",KashifMeezan!$D:$D,"BraveJackals",KashifMeezan!$J:$J,"&lt;0")+SUMIFS(SaadMeezan!$J:$J,SaadMeezan!$C:$C,"FED",SaadMeezan!$D:$D,"BraveJackals",SaadMeezan!$J:$J,"&lt;0")+SUMIFS(GameHippoMeezan!$J:$J,GameHippoMeezan!$C:$C,"FED",GameHippoMeezan!$D:$D,"BraveJackals",GameHippoMeezan!$J:$J,"&lt;0")+SUMIFS(AbdullahMeezan!$J:$J,AbdullahMeezan!$C:$C,"FED",AbdullahMeezan!$D:$D,"BraveJackals",AbdullahMeezan!$J:$J,"&lt;0")+SUMIFS(GameSol!$J:$J,GameSol!$C:$C,"FED",GameSol!$D:$D,"BraveJackals",GameSol!$J:$J,"&lt;0")+SUMIFS(CipherWaveWise!$J:$J,CipherWaveWise!$C:$C,"FED",CipherWaveWise!$D:$D,"BraveJackals",CipherWaveWise!$J:$J,"&lt;0")+SUMIFS(AstroVerse!$J:$J,AstroVerse!$C:$C,"FED",AstroVerse!$D:$D,"BraveJackals",AstroVerse!$J:$J,"&lt;0"))</f>
        <v>0</v>
      </c>
      <c r="D18" s="1">
        <f>-(SUMIFS(MinorBugsRetention!$J:$J,MinorBugsRetention!$C:$C,"FED",MinorBugsRetention!$D:$D,"GoJins",MinorBugsRetention!$J:$J,"&lt;0")+SUMIFS(MintCodeRetention!$J:$J,MintCodeRetention!$C:$C,"FED",MintCodeRetention!$D:$D,"GoJins",MintCodeRetention!$J:$J,"&lt;0")+SUMIFS(AlphaRaysFlagStar!$J:$J,AlphaRaysFlagStar!$C:$C,"FED",AlphaRaysFlagStar!$D:$D,"GoJins",AlphaRaysFlagStar!$J:$J,"&lt;0")+SUMIFS(GloriousWise!$J:$J,GloriousWise!$C:$C,"FED",GloriousWise!$D:$D,"GoJins",GloriousWise!$J:$J,"&lt;0")+SUMIFS(Counter!$J:$J,Counter!$C:$C,"FED",Counter!$D:$D,"GoJins",Counter!$J:$J,"&lt;0")+SUMIFS(MinorBugsBAHLCurrent!$J:$J,MinorBugsBAHLCurrent!$C:$C,"FED",MinorBugsBAHLCurrent!$D:$D,"GoJins",MinorBugsBAHLCurrent!$J:$J,"&lt;0")+SUMIFS(MinorBugsBAHLSaving!$J:$J,MinorBugsBAHLSaving!$C:$C,"FED",MinorBugsBAHLSaving!$D:$D,"GoJins",MinorBugsBAHLSaving!$J:$J,"&lt;0")+SUMIFS(MinorBugsMeezanCurrent!$J:$J,MinorBugsMeezanCurrent!$C:$C,"FED",MinorBugsMeezanCurrent!$D:$D,"GoJins",MinorBugsMeezanCurrent!$J:$J,"&lt;0")+SUMIFS(MintCodeCurrent!$J:$J,MintCodeCurrent!$C:$C,"FED",MintCodeCurrent!$D:$D,"GoJins",MintCodeCurrent!$J:$J,"&lt;0")+SUMIFS(GamesGeeksBAHL!$J:$J,GamesGeeksBAHL!$C:$C,"FED",GamesGeeksBAHL!$D:$D,"GoJins",GamesGeeksBAHL!$J:$J,"&lt;0")+SUMIFS(GamingUniverse!$J:$J,GamingUniverse!$C:$C,"FED",GamingUniverse!$D:$D,"GoJins",GamingUniverse!$J:$J,"&lt;0")+SUMIFS(KashifMeezan!$J:$J,KashifMeezan!$C:$C,"FED",KashifMeezan!$D:$D,"GoJins",KashifMeezan!$J:$J,"&lt;0")+SUMIFS(SaadMeezan!$J:$J,SaadMeezan!$C:$C,"FED",SaadMeezan!$D:$D,"GoJins",SaadMeezan!$J:$J,"&lt;0")+SUMIFS(GameHippoMeezan!$J:$J,GameHippoMeezan!$C:$C,"FED",GameHippoMeezan!$D:$D,"GoJins",GameHippoMeezan!$J:$J,"&lt;0")+SUMIFS(AbdullahMeezan!$J:$J,AbdullahMeezan!$C:$C,"FED",AbdullahMeezan!$D:$D,"GoJins",AbdullahMeezan!$J:$J,"&lt;0")+SUMIFS(GameSol!$J:$J,GameSol!$C:$C,"FED",GameSol!$D:$D,"GoJins",GameSol!$J:$J,"&lt;0")+SUMIFS(CipherWaveWise!$J:$J,CipherWaveWise!$C:$C,"FED",CipherWaveWise!$D:$D,"GoJins",CipherWaveWise!$J:$J,"&lt;0")+SUMIFS(AstroVerse!$J:$J,AstroVerse!$C:$C,"FED",AstroVerse!$D:$D,"GoJins",AstroVerse!$J:$J,"&lt;0"))</f>
        <v>0</v>
      </c>
      <c r="E18" s="1">
        <f>-(SUMIFS(MinorBugsRetention!$J:$J,MinorBugsRetention!$C:$C,"FED",MinorBugsRetention!$D:$D,"BuggiesKids",MinorBugsRetention!$J:$J,"&lt;0")+SUMIFS(MintCodeRetention!$J:$J,MintCodeRetention!$C:$C,"FED",MintCodeRetention!$D:$D,"BuggiesKids",MintCodeRetention!$J:$J,"&lt;0")+SUMIFS(AlphaRaysFlagStar!$J:$J,AlphaRaysFlagStar!$C:$C,"FED",AlphaRaysFlagStar!$D:$D,"BuggiesKids",AlphaRaysFlagStar!$J:$J,"&lt;0")+SUMIFS(GloriousWise!$J:$J,GloriousWise!$C:$C,"FED",GloriousWise!$D:$D,"BuggiesKids",GloriousWise!$J:$J,"&lt;0")+SUMIFS(Counter!$J:$J,Counter!$C:$C,"FED",Counter!$D:$D,"BuggiesKids",Counter!$J:$J,"&lt;0")+SUMIFS(MinorBugsBAHLCurrent!$J:$J,MinorBugsBAHLCurrent!$C:$C,"FED",MinorBugsBAHLCurrent!$D:$D,"BuggiesKids",MinorBugsBAHLCurrent!$J:$J,"&lt;0")+SUMIFS(MinorBugsBAHLSaving!$J:$J,MinorBugsBAHLSaving!$C:$C,"FED",MinorBugsBAHLSaving!$D:$D,"BuggiesKids",MinorBugsBAHLSaving!$J:$J,"&lt;0")+SUMIFS(MinorBugsMeezanCurrent!$J:$J,MinorBugsMeezanCurrent!$C:$C,"FED",MinorBugsMeezanCurrent!$D:$D,"BuggiesKids",MinorBugsMeezanCurrent!$J:$J,"&lt;0")+SUMIFS(MintCodeCurrent!$J:$J,MintCodeCurrent!$C:$C,"FED",MintCodeCurrent!$D:$D,"BuggiesKids",MintCodeCurrent!$J:$J,"&lt;0")+SUMIFS(GamesGeeksBAHL!$J:$J,GamesGeeksBAHL!$C:$C,"FED",GamesGeeksBAHL!$D:$D,"BuggiesKids",GamesGeeksBAHL!$J:$J,"&lt;0")+SUMIFS(GamingUniverse!$J:$J,GamingUniverse!$C:$C,"FED",GamingUniverse!$D:$D,"BuggiesKids",GamingUniverse!$J:$J,"&lt;0")+SUMIFS(KashifMeezan!$J:$J,KashifMeezan!$C:$C,"FED",KashifMeezan!$D:$D,"BuggiesKids",KashifMeezan!$J:$J,"&lt;0")+SUMIFS(SaadMeezan!$J:$J,SaadMeezan!$C:$C,"FED",SaadMeezan!$D:$D,"BuggiesKids",SaadMeezan!$J:$J,"&lt;0")+SUMIFS(GameHippoMeezan!$J:$J,GameHippoMeezan!$C:$C,"FED",GameHippoMeezan!$D:$D,"BuggiesKids",GameHippoMeezan!$J:$J,"&lt;0")+SUMIFS(AbdullahMeezan!$J:$J,AbdullahMeezan!$C:$C,"FED",AbdullahMeezan!$D:$D,"BuggiesKids",AbdullahMeezan!$J:$J,"&lt;0")+SUMIFS(GameSol!$J:$J,GameSol!$C:$C,"FED",GameSol!$D:$D,"BuggiesKids",GameSol!$J:$J,"&lt;0")+SUMIFS(CipherWaveWise!$J:$J,CipherWaveWise!$C:$C,"FED",CipherWaveWise!$D:$D,"BuggiesKids",CipherWaveWise!$J:$J,"&lt;0")+SUMIFS(AstroVerse!$J:$J,AstroVerse!$C:$C,"FED",AstroVerse!$D:$D,"BuggiesKids",AstroVerse!$J:$J,"&lt;0"))</f>
        <v>16980</v>
      </c>
      <c r="F18" s="1">
        <f>-(SUMIFS(MinorBugsRetention!$J:$J,MinorBugsRetention!$C:$C,"FED",MinorBugsRetention!$D:$D,"GameHippo",MinorBugsRetention!$J:$J,"&lt;0")+SUMIFS(MintCodeRetention!$J:$J,MintCodeRetention!$C:$C,"FED",MintCodeRetention!$D:$D,"GameHippo",MintCodeRetention!$J:$J,"&lt;0")+SUMIFS(AlphaRaysFlagStar!$J:$J,AlphaRaysFlagStar!$C:$C,"FED",AlphaRaysFlagStar!$D:$D,"GameHippo",AlphaRaysFlagStar!$J:$J,"&lt;0")+SUMIFS(GloriousWise!$J:$J,GloriousWise!$C:$C,"FED",GloriousWise!$D:$D,"GameHippo",GloriousWise!$J:$J,"&lt;0")+SUMIFS(Counter!$J:$J,Counter!$C:$C,"FED",Counter!$D:$D,"GameHippo",Counter!$J:$J,"&lt;0")+SUMIFS(MinorBugsBAHLCurrent!$J:$J,MinorBugsBAHLCurrent!$C:$C,"FED",MinorBugsBAHLCurrent!$D:$D,"GameHippo",MinorBugsBAHLCurrent!$J:$J,"&lt;0")+SUMIFS(MinorBugsBAHLSaving!$J:$J,MinorBugsBAHLSaving!$C:$C,"FED",MinorBugsBAHLSaving!$D:$D,"GameHippo",MinorBugsBAHLSaving!$J:$J,"&lt;0")+SUMIFS(MinorBugsMeezanCurrent!$J:$J,MinorBugsMeezanCurrent!$C:$C,"FED",MinorBugsMeezanCurrent!$D:$D,"GameHippo",MinorBugsMeezanCurrent!$J:$J,"&lt;0")+SUMIFS(MintCodeCurrent!$J:$J,MintCodeCurrent!$C:$C,"FED",MintCodeCurrent!$D:$D,"GameHippo",MintCodeCurrent!$J:$J,"&lt;0")+SUMIFS(GamesGeeksBAHL!$J:$J,GamesGeeksBAHL!$C:$C,"FED",GamesGeeksBAHL!$D:$D,"GameHippo",GamesGeeksBAHL!$J:$J,"&lt;0")+SUMIFS(GamingUniverse!$J:$J,GamingUniverse!$C:$C,"FED",GamingUniverse!$D:$D,"GameHippo",GamingUniverse!$J:$J,"&lt;0")+SUMIFS(KashifMeezan!$J:$J,KashifMeezan!$C:$C,"FED",KashifMeezan!$D:$D,"GameHippo",KashifMeezan!$J:$J,"&lt;0")+SUMIFS(SaadMeezan!$J:$J,SaadMeezan!$C:$C,"FED",SaadMeezan!$D:$D,"GameHippo",SaadMeezan!$J:$J,"&lt;0")+SUMIFS(GameHippoMeezan!$J:$J,GameHippoMeezan!$C:$C,"FED",GameHippoMeezan!$D:$D,"GameHippo",GameHippoMeezan!$J:$J,"&lt;0")+SUMIFS(AbdullahMeezan!$J:$J,AbdullahMeezan!$C:$C,"FED",AbdullahMeezan!$D:$D,"GameHippo",AbdullahMeezan!$J:$J,"&lt;0")+SUMIFS(GameSol!$J:$J,GameSol!$C:$C,"FED",GameSol!$D:$D,"GameHippo",GameSol!$J:$J,"&lt;0")+SUMIFS(CipherWaveWise!$J:$J,CipherWaveWise!$C:$C,"FED",CipherWaveWise!$D:$D,"GameHippo",CipherWaveWise!$J:$J,"&lt;0")+SUMIFS(AstroVerse!$J:$J,AstroVerse!$C:$C,"FED",AstroVerse!$D:$D,"GameHippo",AstroVerse!$J:$J,"&lt;0"))</f>
        <v>0</v>
      </c>
      <c r="G18" s="1">
        <f>-(SUMIFS(MinorBugsRetention!$J:$J,MinorBugsRetention!$C:$C,"FED",MinorBugsRetention!$D:$D,"Frentech",MinorBugsRetention!$J:$J,"&lt;0")+SUMIFS(MintCodeRetention!$J:$J,MintCodeRetention!$C:$C,"FED",MintCodeRetention!$D:$D,"Frentech",MintCodeRetention!$J:$J,"&lt;0")+SUMIFS(AlphaRaysFlagStar!$J:$J,AlphaRaysFlagStar!$C:$C,"FED",AlphaRaysFlagStar!$D:$D,"Frentech",AlphaRaysFlagStar!$J:$J,"&lt;0")+SUMIFS(GloriousWise!$J:$J,GloriousWise!$C:$C,"FED",GloriousWise!$D:$D,"Frentech",GloriousWise!$J:$J,"&lt;0")+SUMIFS(Counter!$J:$J,Counter!$C:$C,"FED",Counter!$D:$D,"Frentech",Counter!$J:$J,"&lt;0")+SUMIFS(MinorBugsBAHLCurrent!$J:$J,MinorBugsBAHLCurrent!$C:$C,"FED",MinorBugsBAHLCurrent!$D:$D,"Frentech",MinorBugsBAHLCurrent!$J:$J,"&lt;0")+SUMIFS(MinorBugsBAHLSaving!$J:$J,MinorBugsBAHLSaving!$C:$C,"FED",MinorBugsBAHLSaving!$D:$D,"Frentech",MinorBugsBAHLSaving!$J:$J,"&lt;0")+SUMIFS(MinorBugsMeezanCurrent!$J:$J,MinorBugsMeezanCurrent!$C:$C,"FED",MinorBugsMeezanCurrent!$D:$D,"Frentech",MinorBugsMeezanCurrent!$J:$J,"&lt;0")+SUMIFS(MintCodeCurrent!$J:$J,MintCodeCurrent!$C:$C,"FED",MintCodeCurrent!$D:$D,"Frentech",MintCodeCurrent!$J:$J,"&lt;0")+SUMIFS(GamesGeeksBAHL!$J:$J,GamesGeeksBAHL!$C:$C,"FED",GamesGeeksBAHL!$D:$D,"Frentech",GamesGeeksBAHL!$J:$J,"&lt;0")+SUMIFS(GamingUniverse!$J:$J,GamingUniverse!$C:$C,"FED",GamingUniverse!$D:$D,"Frentech",GamingUniverse!$J:$J,"&lt;0")+SUMIFS(KashifMeezan!$J:$J,KashifMeezan!$C:$C,"FED",KashifMeezan!$D:$D,"Frentech",KashifMeezan!$J:$J,"&lt;0")+SUMIFS(SaadMeezan!$J:$J,SaadMeezan!$C:$C,"FED",SaadMeezan!$D:$D,"Frentech",SaadMeezan!$J:$J,"&lt;0")+SUMIFS(GameHippoMeezan!$J:$J,GameHippoMeezan!$C:$C,"FED",GameHippoMeezan!$D:$D,"Frentech",GameHippoMeezan!$J:$J,"&lt;0")+SUMIFS(AbdullahMeezan!$J:$J,AbdullahMeezan!$C:$C,"FED",AbdullahMeezan!$D:$D,"Frentech",AbdullahMeezan!$J:$J,"&lt;0")+SUMIFS(GameSol!$J:$J,GameSol!$C:$C,"FED",GameSol!$D:$D,"Frentech",GameSol!$J:$J,"&lt;0")+SUMIFS(CipherWaveWise!$J:$J,CipherWaveWise!$C:$C,"FED",CipherWaveWise!$D:$D,"Frentech",CipherWaveWise!$J:$J,"&lt;0")+SUMIFS(AstroVerse!$J:$J,AstroVerse!$C:$C,"FED",AstroVerse!$D:$D,"Frentech",AstroVerse!$J:$J,"&lt;0"))</f>
        <v>0</v>
      </c>
      <c r="H18" s="1">
        <f>-(SUMIFS(MinorBugsRetention!$J:$J,MinorBugsRetention!$C:$C,"FED",MinorBugsRetention!$D:$D,"DevBoat",MinorBugsRetention!$J:$J,"&lt;0")+SUMIFS(MintCodeRetention!$J:$J,MintCodeRetention!$C:$C,"FED",MintCodeRetention!$D:$D,"DevBoat",MintCodeRetention!$J:$J,"&lt;0")+SUMIFS(AlphaRaysFlagStar!$J:$J,AlphaRaysFlagStar!$C:$C,"FED",AlphaRaysFlagStar!$D:$D,"DevBoat",AlphaRaysFlagStar!$J:$J,"&lt;0")+SUMIFS(GloriousWise!$J:$J,GloriousWise!$C:$C,"FED",GloriousWise!$D:$D,"DevBoat",GloriousWise!$J:$J,"&lt;0")+SUMIFS(Counter!$J:$J,Counter!$C:$C,"FED",Counter!$D:$D,"DevBoat",Counter!$J:$J,"&lt;0")+SUMIFS(MinorBugsBAHLCurrent!$J:$J,MinorBugsBAHLCurrent!$C:$C,"FED",MinorBugsBAHLCurrent!$D:$D,"DevBoat",MinorBugsBAHLCurrent!$J:$J,"&lt;0")+SUMIFS(MinorBugsBAHLSaving!$J:$J,MinorBugsBAHLSaving!$C:$C,"FED",MinorBugsBAHLSaving!$D:$D,"DevBoat",MinorBugsBAHLSaving!$J:$J,"&lt;0")+SUMIFS(MinorBugsMeezanCurrent!$J:$J,MinorBugsMeezanCurrent!$C:$C,"FED",MinorBugsMeezanCurrent!$D:$D,"DevBoat",MinorBugsMeezanCurrent!$J:$J,"&lt;0")+SUMIFS(MintCodeCurrent!$J:$J,MintCodeCurrent!$C:$C,"FED",MintCodeCurrent!$D:$D,"DevBoat",MintCodeCurrent!$J:$J,"&lt;0")+SUMIFS(GamesGeeksBAHL!$J:$J,GamesGeeksBAHL!$C:$C,"FED",GamesGeeksBAHL!$D:$D,"DevBoat",GamesGeeksBAHL!$J:$J,"&lt;0")+SUMIFS(GamingUniverse!$J:$J,GamingUniverse!$C:$C,"FED",GamingUniverse!$D:$D,"DevBoat",GamingUniverse!$J:$J,"&lt;0")+SUMIFS(KashifMeezan!$J:$J,KashifMeezan!$C:$C,"FED",KashifMeezan!$D:$D,"DevBoat",KashifMeezan!$J:$J,"&lt;0")+SUMIFS(SaadMeezan!$J:$J,SaadMeezan!$C:$C,"FED",SaadMeezan!$D:$D,"DevBoat",SaadMeezan!$J:$J,"&lt;0")+SUMIFS(GameHippoMeezan!$J:$J,GameHippoMeezan!$C:$C,"FED",GameHippoMeezan!$D:$D,"DevBoat",GameHippoMeezan!$J:$J,"&lt;0")+SUMIFS(AbdullahMeezan!$J:$J,AbdullahMeezan!$C:$C,"FED",AbdullahMeezan!$D:$D,"DevBoat",AbdullahMeezan!$J:$J,"&lt;0")+SUMIFS(GameSol!$J:$J,GameSol!$C:$C,"FED",GameSol!$D:$D,"DevBoat",GameSol!$J:$J,"&lt;0")+SUMIFS(CipherWaveWise!$J:$J,CipherWaveWise!$C:$C,"FED",CipherWaveWise!$D:$D,"DevBoat",CipherWaveWise!$J:$J,"&lt;0")+SUMIFS(AstroVerse!$J:$J,AstroVerse!$C:$C,"FED",AstroVerse!$D:$D,"DevBoat",AstroVerse!$J:$J,"&lt;0"))</f>
        <v>0</v>
      </c>
      <c r="I18" s="1">
        <f t="shared" si="0"/>
        <v>26885</v>
      </c>
    </row>
    <row r="19" spans="1:9">
      <c r="A19" t="s">
        <v>22</v>
      </c>
      <c r="B19" s="1">
        <f>-(SUMIFS(MinorBugsRetention!$J:$J,MinorBugsRetention!$C:$C,"AdwordUA",MinorBugsRetention!$D:$D,"MinorBugs",MinorBugsRetention!$J:$J,"&lt;0")+SUMIFS(MintCodeRetention!$J:$J,MintCodeRetention!$C:$C,"AdwordUA",MintCodeRetention!$D:$D,"MinorBugs",MintCodeRetention!$J:$J,"&lt;0")+SUMIFS(AlphaRaysFlagStar!$J:$J,AlphaRaysFlagStar!$C:$C,"AdwordUA",AlphaRaysFlagStar!$D:$D,"MinorBugs",AlphaRaysFlagStar!$J:$J,"&lt;0")+SUMIFS(GloriousWise!$J:$J,GloriousWise!$C:$C,"AdwordUA",GloriousWise!$D:$D,"MinorBugs",GloriousWise!$J:$J,"&lt;0")+SUMIFS(Counter!$J:$J,Counter!$C:$C,"AdwordUA",Counter!$D:$D,"MinorBugs",Counter!$J:$J,"&lt;0")+SUMIFS(MinorBugsBAHLCurrent!$J:$J,MinorBugsBAHLCurrent!$C:$C,"AdwordUA",MinorBugsBAHLCurrent!$D:$D,"MinorBugs",MinorBugsBAHLCurrent!$J:$J,"&lt;0")+SUMIFS(MinorBugsBAHLSaving!$J:$J,MinorBugsBAHLSaving!$C:$C,"AdwordUA",MinorBugsBAHLSaving!$D:$D,"MinorBugs",MinorBugsBAHLSaving!$J:$J,"&lt;0")+SUMIFS(MinorBugsMeezanCurrent!$J:$J,MinorBugsMeezanCurrent!$C:$C,"AdwordUA",MinorBugsMeezanCurrent!$D:$D,"MinorBugs",MinorBugsMeezanCurrent!$J:$J,"&lt;0")+SUMIFS(MintCodeCurrent!$J:$J,MintCodeCurrent!$C:$C,"AdwordUA",MintCodeCurrent!$D:$D,"MinorBugs",MintCodeCurrent!$J:$J,"&lt;0")+SUMIFS(GamesGeeksBAHL!$J:$J,GamesGeeksBAHL!$C:$C,"AdwordUA",GamesGeeksBAHL!$D:$D,"MinorBugs",GamesGeeksBAHL!$J:$J,"&lt;0")+SUMIFS(GamingUniverse!$J:$J,GamingUniverse!$C:$C,"AdwordUA",GamingUniverse!$D:$D,"MinorBugs",GamingUniverse!$J:$J,"&lt;0")+SUMIFS(KashifMeezan!$J:$J,KashifMeezan!$C:$C,"AdwordUA",KashifMeezan!$D:$D,"MinorBugs",KashifMeezan!$J:$J,"&lt;0")+SUMIFS(SaadMeezan!$J:$J,SaadMeezan!$C:$C,"AdwordUA",SaadMeezan!$D:$D,"MinorBugs",SaadMeezan!$J:$J,"&lt;0")+SUMIFS(GameHippoMeezan!$J:$J,GameHippoMeezan!$C:$C,"AdwordUA",GameHippoMeezan!$D:$D,"MinorBugs",GameHippoMeezan!$J:$J,"&lt;0")+SUMIFS(AbdullahMeezan!$J:$J,AbdullahMeezan!$C:$C,"AdwordUA",AbdullahMeezan!$D:$D,"MinorBugs",AbdullahMeezan!$J:$J,"&lt;0")+SUMIFS(GameSol!$J:$J,GameSol!$C:$C,"AdwordUA",GameSol!$D:$D,"MinorBugs",GameSol!$J:$J,"&lt;0")+SUMIFS(CipherWaveWise!$J:$J,CipherWaveWise!$C:$C,"AdwordUA",CipherWaveWise!$D:$D,"MinorBugs",CipherWaveWise!$J:$J,"&lt;0")+SUMIFS(AstroVerse!$J:$J,AstroVerse!$C:$C,"AdwordUA",AstroVerse!$D:$D,"MinorBugs",AstroVerse!$J:$J,"&lt;0"))</f>
        <v>0</v>
      </c>
      <c r="C19" s="1">
        <f>-(SUMIFS(MinorBugsRetention!$J:$J,MinorBugsRetention!$C:$C,"AdwordUA",MinorBugsRetention!$D:$D,"BraveJackals",MinorBugsRetention!$J:$J,"&lt;0")+SUMIFS(MintCodeRetention!$J:$J,MintCodeRetention!$C:$C,"AdwordUA",MintCodeRetention!$D:$D,"BraveJackals",MintCodeRetention!$J:$J,"&lt;0")+SUMIFS(AlphaRaysFlagStar!$J:$J,AlphaRaysFlagStar!$C:$C,"AdwordUA",AlphaRaysFlagStar!$D:$D,"BraveJackals",AlphaRaysFlagStar!$J:$J,"&lt;0")+SUMIFS(GloriousWise!$J:$J,GloriousWise!$C:$C,"AdwordUA",GloriousWise!$D:$D,"BraveJackals",GloriousWise!$J:$J,"&lt;0")+SUMIFS(Counter!$J:$J,Counter!$C:$C,"AdwordUA",Counter!$D:$D,"BraveJackals",Counter!$J:$J,"&lt;0")+SUMIFS(MinorBugsBAHLCurrent!$J:$J,MinorBugsBAHLCurrent!$C:$C,"AdwordUA",MinorBugsBAHLCurrent!$D:$D,"BraveJackals",MinorBugsBAHLCurrent!$J:$J,"&lt;0")+SUMIFS(MinorBugsBAHLSaving!$J:$J,MinorBugsBAHLSaving!$C:$C,"AdwordUA",MinorBugsBAHLSaving!$D:$D,"BraveJackals",MinorBugsBAHLSaving!$J:$J,"&lt;0")+SUMIFS(MinorBugsMeezanCurrent!$J:$J,MinorBugsMeezanCurrent!$C:$C,"AdwordUA",MinorBugsMeezanCurrent!$D:$D,"BraveJackals",MinorBugsMeezanCurrent!$J:$J,"&lt;0")+SUMIFS(MintCodeCurrent!$J:$J,MintCodeCurrent!$C:$C,"AdwordUA",MintCodeCurrent!$D:$D,"BraveJackals",MintCodeCurrent!$J:$J,"&lt;0")+SUMIFS(GamesGeeksBAHL!$J:$J,GamesGeeksBAHL!$C:$C,"AdwordUA",GamesGeeksBAHL!$D:$D,"BraveJackals",GamesGeeksBAHL!$J:$J,"&lt;0")+SUMIFS(GamingUniverse!$J:$J,GamingUniverse!$C:$C,"AdwordUA",GamingUniverse!$D:$D,"BraveJackals",GamingUniverse!$J:$J,"&lt;0")+SUMIFS(KashifMeezan!$J:$J,KashifMeezan!$C:$C,"AdwordUA",KashifMeezan!$D:$D,"BraveJackals",KashifMeezan!$J:$J,"&lt;0")+SUMIFS(SaadMeezan!$J:$J,SaadMeezan!$C:$C,"AdwordUA",SaadMeezan!$D:$D,"BraveJackals",SaadMeezan!$J:$J,"&lt;0")+SUMIFS(GameHippoMeezan!$J:$J,GameHippoMeezan!$C:$C,"AdwordUA",GameHippoMeezan!$D:$D,"BraveJackals",GameHippoMeezan!$J:$J,"&lt;0")+SUMIFS(AbdullahMeezan!$J:$J,AbdullahMeezan!$C:$C,"AdwordUA",AbdullahMeezan!$D:$D,"BraveJackals",AbdullahMeezan!$J:$J,"&lt;0")+SUMIFS(GameSol!$J:$J,GameSol!$C:$C,"AdwordUA",GameSol!$D:$D,"BraveJackals",GameSol!$J:$J,"&lt;0")+SUMIFS(CipherWaveWise!$J:$J,CipherWaveWise!$C:$C,"AdwordUA",CipherWaveWise!$D:$D,"BraveJackals",CipherWaveWise!$J:$J,"&lt;0")+SUMIFS(AstroVerse!$J:$J,AstroVerse!$C:$C,"AdwordUA",AstroVerse!$D:$D,"BraveJackals",AstroVerse!$J:$J,"&lt;0"))</f>
        <v>829473</v>
      </c>
      <c r="D19" s="1">
        <f>-(SUMIFS(MinorBugsRetention!$J:$J,MinorBugsRetention!$C:$C,"AdwordUA",MinorBugsRetention!$D:$D,"GoJins",MinorBugsRetention!$J:$J,"&lt;0")+SUMIFS(MintCodeRetention!$J:$J,MintCodeRetention!$C:$C,"AdwordUA",MintCodeRetention!$D:$D,"GoJins",MintCodeRetention!$J:$J,"&lt;0")+SUMIFS(AlphaRaysFlagStar!$J:$J,AlphaRaysFlagStar!$C:$C,"AdwordUA",AlphaRaysFlagStar!$D:$D,"GoJins",AlphaRaysFlagStar!$J:$J,"&lt;0")+SUMIFS(GloriousWise!$J:$J,GloriousWise!$C:$C,"AdwordUA",GloriousWise!$D:$D,"GoJins",GloriousWise!$J:$J,"&lt;0")+SUMIFS(Counter!$J:$J,Counter!$C:$C,"AdwordUA",Counter!$D:$D,"GoJins",Counter!$J:$J,"&lt;0")+SUMIFS(MinorBugsBAHLCurrent!$J:$J,MinorBugsBAHLCurrent!$C:$C,"AdwordUA",MinorBugsBAHLCurrent!$D:$D,"GoJins",MinorBugsBAHLCurrent!$J:$J,"&lt;0")+SUMIFS(MinorBugsBAHLSaving!$J:$J,MinorBugsBAHLSaving!$C:$C,"AdwordUA",MinorBugsBAHLSaving!$D:$D,"GoJins",MinorBugsBAHLSaving!$J:$J,"&lt;0")+SUMIFS(MinorBugsMeezanCurrent!$J:$J,MinorBugsMeezanCurrent!$C:$C,"AdwordUA",MinorBugsMeezanCurrent!$D:$D,"GoJins",MinorBugsMeezanCurrent!$J:$J,"&lt;0")+SUMIFS(MintCodeCurrent!$J:$J,MintCodeCurrent!$C:$C,"AdwordUA",MintCodeCurrent!$D:$D,"GoJins",MintCodeCurrent!$J:$J,"&lt;0")+SUMIFS(GamesGeeksBAHL!$J:$J,GamesGeeksBAHL!$C:$C,"AdwordUA",GamesGeeksBAHL!$D:$D,"GoJins",GamesGeeksBAHL!$J:$J,"&lt;0")+SUMIFS(GamingUniverse!$J:$J,GamingUniverse!$C:$C,"AdwordUA",GamingUniverse!$D:$D,"GoJins",GamingUniverse!$J:$J,"&lt;0")+SUMIFS(KashifMeezan!$J:$J,KashifMeezan!$C:$C,"AdwordUA",KashifMeezan!$D:$D,"GoJins",KashifMeezan!$J:$J,"&lt;0")+SUMIFS(SaadMeezan!$J:$J,SaadMeezan!$C:$C,"AdwordUA",SaadMeezan!$D:$D,"GoJins",SaadMeezan!$J:$J,"&lt;0")+SUMIFS(GameHippoMeezan!$J:$J,GameHippoMeezan!$C:$C,"AdwordUA",GameHippoMeezan!$D:$D,"GoJins",GameHippoMeezan!$J:$J,"&lt;0")+SUMIFS(AbdullahMeezan!$J:$J,AbdullahMeezan!$C:$C,"AdwordUA",AbdullahMeezan!$D:$D,"GoJins",AbdullahMeezan!$J:$J,"&lt;0")+SUMIFS(GameSol!$J:$J,GameSol!$C:$C,"AdwordUA",GameSol!$D:$D,"GoJins",GameSol!$J:$J,"&lt;0")+SUMIFS(CipherWaveWise!$J:$J,CipherWaveWise!$C:$C,"AdwordUA",CipherWaveWise!$D:$D,"GoJins",CipherWaveWise!$J:$J,"&lt;0")+SUMIFS(AstroVerse!$J:$J,AstroVerse!$C:$C,"AdwordUA",AstroVerse!$D:$D,"GoJins",AstroVerse!$J:$J,"&lt;0"))</f>
        <v>37964.45</v>
      </c>
      <c r="E19" s="1">
        <f>-(SUMIFS(MinorBugsRetention!$J:$J,MinorBugsRetention!$C:$C,"AdwordUA",MinorBugsRetention!$D:$D,"BuggiesKids",MinorBugsRetention!$J:$J,"&lt;0")+SUMIFS(MintCodeRetention!$J:$J,MintCodeRetention!$C:$C,"AdwordUA",MintCodeRetention!$D:$D,"BuggiesKids",MintCodeRetention!$J:$J,"&lt;0")+SUMIFS(AlphaRaysFlagStar!$J:$J,AlphaRaysFlagStar!$C:$C,"AdwordUA",AlphaRaysFlagStar!$D:$D,"BuggiesKids",AlphaRaysFlagStar!$J:$J,"&lt;0")+SUMIFS(GloriousWise!$J:$J,GloriousWise!$C:$C,"AdwordUA",GloriousWise!$D:$D,"BuggiesKids",GloriousWise!$J:$J,"&lt;0")+SUMIFS(Counter!$J:$J,Counter!$C:$C,"AdwordUA",Counter!$D:$D,"BuggiesKids",Counter!$J:$J,"&lt;0")+SUMIFS(MinorBugsBAHLCurrent!$J:$J,MinorBugsBAHLCurrent!$C:$C,"AdwordUA",MinorBugsBAHLCurrent!$D:$D,"BuggiesKids",MinorBugsBAHLCurrent!$J:$J,"&lt;0")+SUMIFS(MinorBugsBAHLSaving!$J:$J,MinorBugsBAHLSaving!$C:$C,"AdwordUA",MinorBugsBAHLSaving!$D:$D,"BuggiesKids",MinorBugsBAHLSaving!$J:$J,"&lt;0")+SUMIFS(MinorBugsMeezanCurrent!$J:$J,MinorBugsMeezanCurrent!$C:$C,"AdwordUA",MinorBugsMeezanCurrent!$D:$D,"BuggiesKids",MinorBugsMeezanCurrent!$J:$J,"&lt;0")+SUMIFS(MintCodeCurrent!$J:$J,MintCodeCurrent!$C:$C,"AdwordUA",MintCodeCurrent!$D:$D,"BuggiesKids",MintCodeCurrent!$J:$J,"&lt;0")+SUMIFS(GamesGeeksBAHL!$J:$J,GamesGeeksBAHL!$C:$C,"AdwordUA",GamesGeeksBAHL!$D:$D,"BuggiesKids",GamesGeeksBAHL!$J:$J,"&lt;0")+SUMIFS(GamingUniverse!$J:$J,GamingUniverse!$C:$C,"AdwordUA",GamingUniverse!$D:$D,"BuggiesKids",GamingUniverse!$J:$J,"&lt;0")+SUMIFS(KashifMeezan!$J:$J,KashifMeezan!$C:$C,"AdwordUA",KashifMeezan!$D:$D,"BuggiesKids",KashifMeezan!$J:$J,"&lt;0")+SUMIFS(SaadMeezan!$J:$J,SaadMeezan!$C:$C,"AdwordUA",SaadMeezan!$D:$D,"BuggiesKids",SaadMeezan!$J:$J,"&lt;0")+SUMIFS(GameHippoMeezan!$J:$J,GameHippoMeezan!$C:$C,"AdwordUA",GameHippoMeezan!$D:$D,"BuggiesKids",GameHippoMeezan!$J:$J,"&lt;0")+SUMIFS(AbdullahMeezan!$J:$J,AbdullahMeezan!$C:$C,"AdwordUA",AbdullahMeezan!$D:$D,"BuggiesKids",AbdullahMeezan!$J:$J,"&lt;0")+SUMIFS(GameSol!$J:$J,GameSol!$C:$C,"AdwordUA",GameSol!$D:$D,"BuggiesKids",GameSol!$J:$J,"&lt;0")+SUMIFS(CipherWaveWise!$J:$J,CipherWaveWise!$C:$C,"AdwordUA",CipherWaveWise!$D:$D,"BuggiesKids",CipherWaveWise!$J:$J,"&lt;0")+SUMIFS(AstroVerse!$J:$J,AstroVerse!$C:$C,"AdwordUA",AstroVerse!$D:$D,"BuggiesKids",AstroVerse!$J:$J,"&lt;0"))</f>
        <v>566000</v>
      </c>
      <c r="F19" s="1">
        <f>-(SUMIFS(MinorBugsRetention!$J:$J,MinorBugsRetention!$C:$C,"AdwordUA",MinorBugsRetention!$D:$D,"GameHippo",MinorBugsRetention!$J:$J,"&lt;0")+SUMIFS(MintCodeRetention!$J:$J,MintCodeRetention!$C:$C,"AdwordUA",MintCodeRetention!$D:$D,"GameHippo",MintCodeRetention!$J:$J,"&lt;0")+SUMIFS(AlphaRaysFlagStar!$J:$J,AlphaRaysFlagStar!$C:$C,"AdwordUA",AlphaRaysFlagStar!$D:$D,"GameHippo",AlphaRaysFlagStar!$J:$J,"&lt;0")+SUMIFS(GloriousWise!$J:$J,GloriousWise!$C:$C,"AdwordUA",GloriousWise!$D:$D,"GameHippo",GloriousWise!$J:$J,"&lt;0")+SUMIFS(Counter!$J:$J,Counter!$C:$C,"AdwordUA",Counter!$D:$D,"GameHippo",Counter!$J:$J,"&lt;0")+SUMIFS(MinorBugsBAHLCurrent!$J:$J,MinorBugsBAHLCurrent!$C:$C,"AdwordUA",MinorBugsBAHLCurrent!$D:$D,"GameHippo",MinorBugsBAHLCurrent!$J:$J,"&lt;0")+SUMIFS(MinorBugsBAHLSaving!$J:$J,MinorBugsBAHLSaving!$C:$C,"AdwordUA",MinorBugsBAHLSaving!$D:$D,"GameHippo",MinorBugsBAHLSaving!$J:$J,"&lt;0")+SUMIFS(MinorBugsMeezanCurrent!$J:$J,MinorBugsMeezanCurrent!$C:$C,"AdwordUA",MinorBugsMeezanCurrent!$D:$D,"GameHippo",MinorBugsMeezanCurrent!$J:$J,"&lt;0")+SUMIFS(MintCodeCurrent!$J:$J,MintCodeCurrent!$C:$C,"AdwordUA",MintCodeCurrent!$D:$D,"GameHippo",MintCodeCurrent!$J:$J,"&lt;0")+SUMIFS(GamesGeeksBAHL!$J:$J,GamesGeeksBAHL!$C:$C,"AdwordUA",GamesGeeksBAHL!$D:$D,"GameHippo",GamesGeeksBAHL!$J:$J,"&lt;0")+SUMIFS(GamingUniverse!$J:$J,GamingUniverse!$C:$C,"AdwordUA",GamingUniverse!$D:$D,"GameHippo",GamingUniverse!$J:$J,"&lt;0")+SUMIFS(KashifMeezan!$J:$J,KashifMeezan!$C:$C,"AdwordUA",KashifMeezan!$D:$D,"GameHippo",KashifMeezan!$J:$J,"&lt;0")+SUMIFS(SaadMeezan!$J:$J,SaadMeezan!$C:$C,"AdwordUA",SaadMeezan!$D:$D,"GameHippo",SaadMeezan!$J:$J,"&lt;0")+SUMIFS(GameHippoMeezan!$J:$J,GameHippoMeezan!$C:$C,"AdwordUA",GameHippoMeezan!$D:$D,"GameHippo",GameHippoMeezan!$J:$J,"&lt;0")+SUMIFS(AbdullahMeezan!$J:$J,AbdullahMeezan!$C:$C,"AdwordUA",AbdullahMeezan!$D:$D,"GameHippo",AbdullahMeezan!$J:$J,"&lt;0")+SUMIFS(GameSol!$J:$J,GameSol!$C:$C,"AdwordUA",GameSol!$D:$D,"GameHippo",GameSol!$J:$J,"&lt;0")+SUMIFS(CipherWaveWise!$J:$J,CipherWaveWise!$C:$C,"AdwordUA",CipherWaveWise!$D:$D,"GameHippo",CipherWaveWise!$J:$J,"&lt;0")+SUMIFS(AstroVerse!$J:$J,AstroVerse!$C:$C,"AdwordUA",AstroVerse!$D:$D,"GameHippo",AstroVerse!$J:$J,"&lt;0"))</f>
        <v>0</v>
      </c>
      <c r="G19" s="1">
        <f>-(SUMIFS(MinorBugsRetention!$J:$J,MinorBugsRetention!$C:$C,"AdwordUA",MinorBugsRetention!$D:$D,"Frentech",MinorBugsRetention!$J:$J,"&lt;0")+SUMIFS(MintCodeRetention!$J:$J,MintCodeRetention!$C:$C,"AdwordUA",MintCodeRetention!$D:$D,"Frentech",MintCodeRetention!$J:$J,"&lt;0")+SUMIFS(AlphaRaysFlagStar!$J:$J,AlphaRaysFlagStar!$C:$C,"AdwordUA",AlphaRaysFlagStar!$D:$D,"Frentech",AlphaRaysFlagStar!$J:$J,"&lt;0")+SUMIFS(GloriousWise!$J:$J,GloriousWise!$C:$C,"AdwordUA",GloriousWise!$D:$D,"Frentech",GloriousWise!$J:$J,"&lt;0")+SUMIFS(Counter!$J:$J,Counter!$C:$C,"AdwordUA",Counter!$D:$D,"Frentech",Counter!$J:$J,"&lt;0")+SUMIFS(MinorBugsBAHLCurrent!$J:$J,MinorBugsBAHLCurrent!$C:$C,"AdwordUA",MinorBugsBAHLCurrent!$D:$D,"Frentech",MinorBugsBAHLCurrent!$J:$J,"&lt;0")+SUMIFS(MinorBugsBAHLSaving!$J:$J,MinorBugsBAHLSaving!$C:$C,"AdwordUA",MinorBugsBAHLSaving!$D:$D,"Frentech",MinorBugsBAHLSaving!$J:$J,"&lt;0")+SUMIFS(MinorBugsMeezanCurrent!$J:$J,MinorBugsMeezanCurrent!$C:$C,"AdwordUA",MinorBugsMeezanCurrent!$D:$D,"Frentech",MinorBugsMeezanCurrent!$J:$J,"&lt;0")+SUMIFS(MintCodeCurrent!$J:$J,MintCodeCurrent!$C:$C,"AdwordUA",MintCodeCurrent!$D:$D,"Frentech",MintCodeCurrent!$J:$J,"&lt;0")+SUMIFS(GamesGeeksBAHL!$J:$J,GamesGeeksBAHL!$C:$C,"AdwordUA",GamesGeeksBAHL!$D:$D,"Frentech",GamesGeeksBAHL!$J:$J,"&lt;0")+SUMIFS(GamingUniverse!$J:$J,GamingUniverse!$C:$C,"AdwordUA",GamingUniverse!$D:$D,"Frentech",GamingUniverse!$J:$J,"&lt;0")+SUMIFS(KashifMeezan!$J:$J,KashifMeezan!$C:$C,"AdwordUA",KashifMeezan!$D:$D,"Frentech",KashifMeezan!$J:$J,"&lt;0")+SUMIFS(SaadMeezan!$J:$J,SaadMeezan!$C:$C,"AdwordUA",SaadMeezan!$D:$D,"Frentech",SaadMeezan!$J:$J,"&lt;0")+SUMIFS(GameHippoMeezan!$J:$J,GameHippoMeezan!$C:$C,"AdwordUA",GameHippoMeezan!$D:$D,"Frentech",GameHippoMeezan!$J:$J,"&lt;0")+SUMIFS(AbdullahMeezan!$J:$J,AbdullahMeezan!$C:$C,"AdwordUA",AbdullahMeezan!$D:$D,"Frentech",AbdullahMeezan!$J:$J,"&lt;0")+SUMIFS(GameSol!$J:$J,GameSol!$C:$C,"AdwordUA",GameSol!$D:$D,"Frentech",GameSol!$J:$J,"&lt;0")+SUMIFS(CipherWaveWise!$J:$J,CipherWaveWise!$C:$C,"AdwordUA",CipherWaveWise!$D:$D,"Frentech",CipherWaveWise!$J:$J,"&lt;0")+SUMIFS(AstroVerse!$J:$J,AstroVerse!$C:$C,"AdwordUA",AstroVerse!$D:$D,"Frentech",AstroVerse!$J:$J,"&lt;0"))</f>
        <v>0</v>
      </c>
      <c r="H19" s="1">
        <f>-(SUMIFS(MinorBugsRetention!$J:$J,MinorBugsRetention!$C:$C,"AdwordUA",MinorBugsRetention!$D:$D,"DevBoat",MinorBugsRetention!$J:$J,"&lt;0")+SUMIFS(MintCodeRetention!$J:$J,MintCodeRetention!$C:$C,"AdwordUA",MintCodeRetention!$D:$D,"DevBoat",MintCodeRetention!$J:$J,"&lt;0")+SUMIFS(AlphaRaysFlagStar!$J:$J,AlphaRaysFlagStar!$C:$C,"AdwordUA",AlphaRaysFlagStar!$D:$D,"DevBoat",AlphaRaysFlagStar!$J:$J,"&lt;0")+SUMIFS(GloriousWise!$J:$J,GloriousWise!$C:$C,"AdwordUA",GloriousWise!$D:$D,"DevBoat",GloriousWise!$J:$J,"&lt;0")+SUMIFS(Counter!$J:$J,Counter!$C:$C,"AdwordUA",Counter!$D:$D,"DevBoat",Counter!$J:$J,"&lt;0")+SUMIFS(MinorBugsBAHLCurrent!$J:$J,MinorBugsBAHLCurrent!$C:$C,"AdwordUA",MinorBugsBAHLCurrent!$D:$D,"DevBoat",MinorBugsBAHLCurrent!$J:$J,"&lt;0")+SUMIFS(MinorBugsBAHLSaving!$J:$J,MinorBugsBAHLSaving!$C:$C,"AdwordUA",MinorBugsBAHLSaving!$D:$D,"DevBoat",MinorBugsBAHLSaving!$J:$J,"&lt;0")+SUMIFS(MinorBugsMeezanCurrent!$J:$J,MinorBugsMeezanCurrent!$C:$C,"AdwordUA",MinorBugsMeezanCurrent!$D:$D,"DevBoat",MinorBugsMeezanCurrent!$J:$J,"&lt;0")+SUMIFS(MintCodeCurrent!$J:$J,MintCodeCurrent!$C:$C,"AdwordUA",MintCodeCurrent!$D:$D,"DevBoat",MintCodeCurrent!$J:$J,"&lt;0")+SUMIFS(GamesGeeksBAHL!$J:$J,GamesGeeksBAHL!$C:$C,"AdwordUA",GamesGeeksBAHL!$D:$D,"DevBoat",GamesGeeksBAHL!$J:$J,"&lt;0")+SUMIFS(GamingUniverse!$J:$J,GamingUniverse!$C:$C,"AdwordUA",GamingUniverse!$D:$D,"DevBoat",GamingUniverse!$J:$J,"&lt;0")+SUMIFS(KashifMeezan!$J:$J,KashifMeezan!$C:$C,"AdwordUA",KashifMeezan!$D:$D,"DevBoat",KashifMeezan!$J:$J,"&lt;0")+SUMIFS(SaadMeezan!$J:$J,SaadMeezan!$C:$C,"AdwordUA",SaadMeezan!$D:$D,"DevBoat",SaadMeezan!$J:$J,"&lt;0")+SUMIFS(GameHippoMeezan!$J:$J,GameHippoMeezan!$C:$C,"AdwordUA",GameHippoMeezan!$D:$D,"DevBoat",GameHippoMeezan!$J:$J,"&lt;0")+SUMIFS(AbdullahMeezan!$J:$J,AbdullahMeezan!$C:$C,"AdwordUA",AbdullahMeezan!$D:$D,"DevBoat",AbdullahMeezan!$J:$J,"&lt;0")+SUMIFS(GameSol!$J:$J,GameSol!$C:$C,"AdwordUA",GameSol!$D:$D,"DevBoat",GameSol!$J:$J,"&lt;0")+SUMIFS(CipherWaveWise!$J:$J,CipherWaveWise!$C:$C,"AdwordUA",CipherWaveWise!$D:$D,"DevBoat",CipherWaveWise!$J:$J,"&lt;0")+SUMIFS(AstroVerse!$J:$J,AstroVerse!$C:$C,"AdwordUA",AstroVerse!$D:$D,"DevBoat",AstroVerse!$J:$J,"&lt;0"))</f>
        <v>0</v>
      </c>
      <c r="I19" s="1">
        <f t="shared" si="0"/>
        <v>1433437.45</v>
      </c>
    </row>
    <row r="20" spans="1:9">
      <c r="A20" t="s">
        <v>23</v>
      </c>
      <c r="B20" s="1">
        <f>-(SUMIFS(MinorBugsRetention!$J:$J,MinorBugsRetention!$C:$C,"TikTokUA",MinorBugsRetention!$D:$D,"MinorBugs",MinorBugsRetention!$J:$J,"&lt;0")+SUMIFS(MintCodeRetention!$J:$J,MintCodeRetention!$C:$C,"TikTokUA",MintCodeRetention!$D:$D,"MinorBugs",MintCodeRetention!$J:$J,"&lt;0")+SUMIFS(AlphaRaysFlagStar!$J:$J,AlphaRaysFlagStar!$C:$C,"TikTokUA",AlphaRaysFlagStar!$D:$D,"MinorBugs",AlphaRaysFlagStar!$J:$J,"&lt;0")+SUMIFS(GloriousWise!$J:$J,GloriousWise!$C:$C,"TikTokUA",GloriousWise!$D:$D,"MinorBugs",GloriousWise!$J:$J,"&lt;0")+SUMIFS(Counter!$J:$J,Counter!$C:$C,"TikTokUA",Counter!$D:$D,"MinorBugs",Counter!$J:$J,"&lt;0")+SUMIFS(MinorBugsBAHLCurrent!$J:$J,MinorBugsBAHLCurrent!$C:$C,"TikTokUA",MinorBugsBAHLCurrent!$D:$D,"MinorBugs",MinorBugsBAHLCurrent!$J:$J,"&lt;0")+SUMIFS(MinorBugsBAHLSaving!$J:$J,MinorBugsBAHLSaving!$C:$C,"TikTokUA",MinorBugsBAHLSaving!$D:$D,"MinorBugs",MinorBugsBAHLSaving!$J:$J,"&lt;0")+SUMIFS(MinorBugsMeezanCurrent!$J:$J,MinorBugsMeezanCurrent!$C:$C,"TikTokUA",MinorBugsMeezanCurrent!$D:$D,"MinorBugs",MinorBugsMeezanCurrent!$J:$J,"&lt;0")+SUMIFS(MintCodeCurrent!$J:$J,MintCodeCurrent!$C:$C,"TikTokUA",MintCodeCurrent!$D:$D,"MinorBugs",MintCodeCurrent!$J:$J,"&lt;0")+SUMIFS(GamesGeeksBAHL!$J:$J,GamesGeeksBAHL!$C:$C,"TikTokUA",GamesGeeksBAHL!$D:$D,"MinorBugs",GamesGeeksBAHL!$J:$J,"&lt;0")+SUMIFS(GamingUniverse!$J:$J,GamingUniverse!$C:$C,"TikTokUA",GamingUniverse!$D:$D,"MinorBugs",GamingUniverse!$J:$J,"&lt;0")+SUMIFS(KashifMeezan!$J:$J,KashifMeezan!$C:$C,"TikTokUA",KashifMeezan!$D:$D,"MinorBugs",KashifMeezan!$J:$J,"&lt;0")+SUMIFS(SaadMeezan!$J:$J,SaadMeezan!$C:$C,"TikTokUA",SaadMeezan!$D:$D,"MinorBugs",SaadMeezan!$J:$J,"&lt;0")+SUMIFS(GameHippoMeezan!$J:$J,GameHippoMeezan!$C:$C,"TikTokUA",GameHippoMeezan!$D:$D,"MinorBugs",GameHippoMeezan!$J:$J,"&lt;0")+SUMIFS(AbdullahMeezan!$J:$J,AbdullahMeezan!$C:$C,"TikTokUA",AbdullahMeezan!$D:$D,"MinorBugs",AbdullahMeezan!$J:$J,"&lt;0")+SUMIFS(GameSol!$J:$J,GameSol!$C:$C,"TikTokUA",GameSol!$D:$D,"MinorBugs",GameSol!$J:$J,"&lt;0")+SUMIFS(CipherWaveWise!$J:$J,CipherWaveWise!$C:$C,"TikTokUA",CipherWaveWise!$D:$D,"MinorBugs",CipherWaveWise!$J:$J,"&lt;0")+SUMIFS(AstroVerse!$J:$J,AstroVerse!$C:$C,"TikTokUA",AstroVerse!$D:$D,"MinorBugs",AstroVerse!$J:$J,"&lt;0"))</f>
        <v>45280</v>
      </c>
      <c r="C20" s="1">
        <f>-(SUMIFS(MinorBugsRetention!$J:$J,MinorBugsRetention!$C:$C,"TikTokUA",MinorBugsRetention!$D:$D,"BraveJackals",MinorBugsRetention!$J:$J,"&lt;0")+SUMIFS(MintCodeRetention!$J:$J,MintCodeRetention!$C:$C,"TikTokUA",MintCodeRetention!$D:$D,"BraveJackals",MintCodeRetention!$J:$J,"&lt;0")+SUMIFS(AlphaRaysFlagStar!$J:$J,AlphaRaysFlagStar!$C:$C,"TikTokUA",AlphaRaysFlagStar!$D:$D,"BraveJackals",AlphaRaysFlagStar!$J:$J,"&lt;0")+SUMIFS(GloriousWise!$J:$J,GloriousWise!$C:$C,"TikTokUA",GloriousWise!$D:$D,"BraveJackals",GloriousWise!$J:$J,"&lt;0")+SUMIFS(Counter!$J:$J,Counter!$C:$C,"TikTokUA",Counter!$D:$D,"BraveJackals",Counter!$J:$J,"&lt;0")+SUMIFS(MinorBugsBAHLCurrent!$J:$J,MinorBugsBAHLCurrent!$C:$C,"TikTokUA",MinorBugsBAHLCurrent!$D:$D,"BraveJackals",MinorBugsBAHLCurrent!$J:$J,"&lt;0")+SUMIFS(MinorBugsBAHLSaving!$J:$J,MinorBugsBAHLSaving!$C:$C,"TikTokUA",MinorBugsBAHLSaving!$D:$D,"BraveJackals",MinorBugsBAHLSaving!$J:$J,"&lt;0")+SUMIFS(MinorBugsMeezanCurrent!$J:$J,MinorBugsMeezanCurrent!$C:$C,"TikTokUA",MinorBugsMeezanCurrent!$D:$D,"BraveJackals",MinorBugsMeezanCurrent!$J:$J,"&lt;0")+SUMIFS(MintCodeCurrent!$J:$J,MintCodeCurrent!$C:$C,"TikTokUA",MintCodeCurrent!$D:$D,"BraveJackals",MintCodeCurrent!$J:$J,"&lt;0")+SUMIFS(GamesGeeksBAHL!$J:$J,GamesGeeksBAHL!$C:$C,"TikTokUA",GamesGeeksBAHL!$D:$D,"BraveJackals",GamesGeeksBAHL!$J:$J,"&lt;0")+SUMIFS(GamingUniverse!$J:$J,GamingUniverse!$C:$C,"TikTokUA",GamingUniverse!$D:$D,"BraveJackals",GamingUniverse!$J:$J,"&lt;0")+SUMIFS(KashifMeezan!$J:$J,KashifMeezan!$C:$C,"TikTokUA",KashifMeezan!$D:$D,"BraveJackals",KashifMeezan!$J:$J,"&lt;0")+SUMIFS(SaadMeezan!$J:$J,SaadMeezan!$C:$C,"TikTokUA",SaadMeezan!$D:$D,"BraveJackals",SaadMeezan!$J:$J,"&lt;0")+SUMIFS(GameHippoMeezan!$J:$J,GameHippoMeezan!$C:$C,"TikTokUA",GameHippoMeezan!$D:$D,"BraveJackals",GameHippoMeezan!$J:$J,"&lt;0")+SUMIFS(AbdullahMeezan!$J:$J,AbdullahMeezan!$C:$C,"TikTokUA",AbdullahMeezan!$D:$D,"BraveJackals",AbdullahMeezan!$J:$J,"&lt;0")+SUMIFS(GameSol!$J:$J,GameSol!$C:$C,"TikTokUA",GameSol!$D:$D,"BraveJackals",GameSol!$J:$J,"&lt;0")+SUMIFS(CipherWaveWise!$J:$J,CipherWaveWise!$C:$C,"TikTokUA",CipherWaveWise!$D:$D,"BraveJackals",CipherWaveWise!$J:$J,"&lt;0")+SUMIFS(AstroVerse!$J:$J,AstroVerse!$C:$C,"TikTokUA",AstroVerse!$D:$D,"BraveJackals",AstroVerse!$J:$J,"&lt;0"))</f>
        <v>0</v>
      </c>
      <c r="D20" s="1">
        <f>-(SUMIFS(MinorBugsRetention!$J:$J,MinorBugsRetention!$C:$C,"TikTokUA",MinorBugsRetention!$D:$D,"GoJins",MinorBugsRetention!$J:$J,"&lt;0")+SUMIFS(MintCodeRetention!$J:$J,MintCodeRetention!$C:$C,"TikTokUA",MintCodeRetention!$D:$D,"GoJins",MintCodeRetention!$J:$J,"&lt;0")+SUMIFS(AlphaRaysFlagStar!$J:$J,AlphaRaysFlagStar!$C:$C,"TikTokUA",AlphaRaysFlagStar!$D:$D,"GoJins",AlphaRaysFlagStar!$J:$J,"&lt;0")+SUMIFS(GloriousWise!$J:$J,GloriousWise!$C:$C,"TikTokUA",GloriousWise!$D:$D,"GoJins",GloriousWise!$J:$J,"&lt;0")+SUMIFS(Counter!$J:$J,Counter!$C:$C,"TikTokUA",Counter!$D:$D,"GoJins",Counter!$J:$J,"&lt;0")+SUMIFS(MinorBugsBAHLCurrent!$J:$J,MinorBugsBAHLCurrent!$C:$C,"TikTokUA",MinorBugsBAHLCurrent!$D:$D,"GoJins",MinorBugsBAHLCurrent!$J:$J,"&lt;0")+SUMIFS(MinorBugsBAHLSaving!$J:$J,MinorBugsBAHLSaving!$C:$C,"TikTokUA",MinorBugsBAHLSaving!$D:$D,"GoJins",MinorBugsBAHLSaving!$J:$J,"&lt;0")+SUMIFS(MinorBugsMeezanCurrent!$J:$J,MinorBugsMeezanCurrent!$C:$C,"TikTokUA",MinorBugsMeezanCurrent!$D:$D,"GoJins",MinorBugsMeezanCurrent!$J:$J,"&lt;0")+SUMIFS(MintCodeCurrent!$J:$J,MintCodeCurrent!$C:$C,"TikTokUA",MintCodeCurrent!$D:$D,"GoJins",MintCodeCurrent!$J:$J,"&lt;0")+SUMIFS(GamesGeeksBAHL!$J:$J,GamesGeeksBAHL!$C:$C,"TikTokUA",GamesGeeksBAHL!$D:$D,"GoJins",GamesGeeksBAHL!$J:$J,"&lt;0")+SUMIFS(GamingUniverse!$J:$J,GamingUniverse!$C:$C,"TikTokUA",GamingUniverse!$D:$D,"GoJins",GamingUniverse!$J:$J,"&lt;0")+SUMIFS(KashifMeezan!$J:$J,KashifMeezan!$C:$C,"TikTokUA",KashifMeezan!$D:$D,"GoJins",KashifMeezan!$J:$J,"&lt;0")+SUMIFS(SaadMeezan!$J:$J,SaadMeezan!$C:$C,"TikTokUA",SaadMeezan!$D:$D,"GoJins",SaadMeezan!$J:$J,"&lt;0")+SUMIFS(GameHippoMeezan!$J:$J,GameHippoMeezan!$C:$C,"TikTokUA",GameHippoMeezan!$D:$D,"GoJins",GameHippoMeezan!$J:$J,"&lt;0")+SUMIFS(AbdullahMeezan!$J:$J,AbdullahMeezan!$C:$C,"TikTokUA",AbdullahMeezan!$D:$D,"GoJins",AbdullahMeezan!$J:$J,"&lt;0")+SUMIFS(GameSol!$J:$J,GameSol!$C:$C,"TikTokUA",GameSol!$D:$D,"GoJins",GameSol!$J:$J,"&lt;0")+SUMIFS(CipherWaveWise!$J:$J,CipherWaveWise!$C:$C,"TikTokUA",CipherWaveWise!$D:$D,"GoJins",CipherWaveWise!$J:$J,"&lt;0")+SUMIFS(AstroVerse!$J:$J,AstroVerse!$C:$C,"TikTokUA",AstroVerse!$D:$D,"GoJins",AstroVerse!$J:$J,"&lt;0"))</f>
        <v>0</v>
      </c>
      <c r="E20" s="1">
        <f>-(SUMIFS(MinorBugsRetention!$J:$J,MinorBugsRetention!$C:$C,"TikTokUA",MinorBugsRetention!$D:$D,"BuggiesKids",MinorBugsRetention!$J:$J,"&lt;0")+SUMIFS(MintCodeRetention!$J:$J,MintCodeRetention!$C:$C,"TikTokUA",MintCodeRetention!$D:$D,"BuggiesKids",MintCodeRetention!$J:$J,"&lt;0")+SUMIFS(AlphaRaysFlagStar!$J:$J,AlphaRaysFlagStar!$C:$C,"TikTokUA",AlphaRaysFlagStar!$D:$D,"BuggiesKids",AlphaRaysFlagStar!$J:$J,"&lt;0")+SUMIFS(GloriousWise!$J:$J,GloriousWise!$C:$C,"TikTokUA",GloriousWise!$D:$D,"BuggiesKids",GloriousWise!$J:$J,"&lt;0")+SUMIFS(Counter!$J:$J,Counter!$C:$C,"TikTokUA",Counter!$D:$D,"BuggiesKids",Counter!$J:$J,"&lt;0")+SUMIFS(MinorBugsBAHLCurrent!$J:$J,MinorBugsBAHLCurrent!$C:$C,"TikTokUA",MinorBugsBAHLCurrent!$D:$D,"BuggiesKids",MinorBugsBAHLCurrent!$J:$J,"&lt;0")+SUMIFS(MinorBugsBAHLSaving!$J:$J,MinorBugsBAHLSaving!$C:$C,"TikTokUA",MinorBugsBAHLSaving!$D:$D,"BuggiesKids",MinorBugsBAHLSaving!$J:$J,"&lt;0")+SUMIFS(MinorBugsMeezanCurrent!$J:$J,MinorBugsMeezanCurrent!$C:$C,"TikTokUA",MinorBugsMeezanCurrent!$D:$D,"BuggiesKids",MinorBugsMeezanCurrent!$J:$J,"&lt;0")+SUMIFS(MintCodeCurrent!$J:$J,MintCodeCurrent!$C:$C,"TikTokUA",MintCodeCurrent!$D:$D,"BuggiesKids",MintCodeCurrent!$J:$J,"&lt;0")+SUMIFS(GamesGeeksBAHL!$J:$J,GamesGeeksBAHL!$C:$C,"TikTokUA",GamesGeeksBAHL!$D:$D,"BuggiesKids",GamesGeeksBAHL!$J:$J,"&lt;0")+SUMIFS(GamingUniverse!$J:$J,GamingUniverse!$C:$C,"TikTokUA",GamingUniverse!$D:$D,"BuggiesKids",GamingUniverse!$J:$J,"&lt;0")+SUMIFS(KashifMeezan!$J:$J,KashifMeezan!$C:$C,"TikTokUA",KashifMeezan!$D:$D,"BuggiesKids",KashifMeezan!$J:$J,"&lt;0")+SUMIFS(SaadMeezan!$J:$J,SaadMeezan!$C:$C,"TikTokUA",SaadMeezan!$D:$D,"BuggiesKids",SaadMeezan!$J:$J,"&lt;0")+SUMIFS(GameHippoMeezan!$J:$J,GameHippoMeezan!$C:$C,"TikTokUA",GameHippoMeezan!$D:$D,"BuggiesKids",GameHippoMeezan!$J:$J,"&lt;0")+SUMIFS(AbdullahMeezan!$J:$J,AbdullahMeezan!$C:$C,"TikTokUA",AbdullahMeezan!$D:$D,"BuggiesKids",AbdullahMeezan!$J:$J,"&lt;0")+SUMIFS(GameSol!$J:$J,GameSol!$C:$C,"TikTokUA",GameSol!$D:$D,"BuggiesKids",GameSol!$J:$J,"&lt;0")+SUMIFS(CipherWaveWise!$J:$J,CipherWaveWise!$C:$C,"TikTokUA",CipherWaveWise!$D:$D,"BuggiesKids",CipherWaveWise!$J:$J,"&lt;0")+SUMIFS(AstroVerse!$J:$J,AstroVerse!$C:$C,"TikTokUA",AstroVerse!$D:$D,"BuggiesKids",AstroVerse!$J:$J,"&lt;0"))</f>
        <v>0</v>
      </c>
      <c r="F20" s="1">
        <f>-(SUMIFS(MinorBugsRetention!$J:$J,MinorBugsRetention!$C:$C,"TikTokUA",MinorBugsRetention!$D:$D,"GameHippo",MinorBugsRetention!$J:$J,"&lt;0")+SUMIFS(MintCodeRetention!$J:$J,MintCodeRetention!$C:$C,"TikTokUA",MintCodeRetention!$D:$D,"GameHippo",MintCodeRetention!$J:$J,"&lt;0")+SUMIFS(AlphaRaysFlagStar!$J:$J,AlphaRaysFlagStar!$C:$C,"TikTokUA",AlphaRaysFlagStar!$D:$D,"GameHippo",AlphaRaysFlagStar!$J:$J,"&lt;0")+SUMIFS(GloriousWise!$J:$J,GloriousWise!$C:$C,"TikTokUA",GloriousWise!$D:$D,"GameHippo",GloriousWise!$J:$J,"&lt;0")+SUMIFS(Counter!$J:$J,Counter!$C:$C,"TikTokUA",Counter!$D:$D,"GameHippo",Counter!$J:$J,"&lt;0")+SUMIFS(MinorBugsBAHLCurrent!$J:$J,MinorBugsBAHLCurrent!$C:$C,"TikTokUA",MinorBugsBAHLCurrent!$D:$D,"GameHippo",MinorBugsBAHLCurrent!$J:$J,"&lt;0")+SUMIFS(MinorBugsBAHLSaving!$J:$J,MinorBugsBAHLSaving!$C:$C,"TikTokUA",MinorBugsBAHLSaving!$D:$D,"GameHippo",MinorBugsBAHLSaving!$J:$J,"&lt;0")+SUMIFS(MinorBugsMeezanCurrent!$J:$J,MinorBugsMeezanCurrent!$C:$C,"TikTokUA",MinorBugsMeezanCurrent!$D:$D,"GameHippo",MinorBugsMeezanCurrent!$J:$J,"&lt;0")+SUMIFS(MintCodeCurrent!$J:$J,MintCodeCurrent!$C:$C,"TikTokUA",MintCodeCurrent!$D:$D,"GameHippo",MintCodeCurrent!$J:$J,"&lt;0")+SUMIFS(GamesGeeksBAHL!$J:$J,GamesGeeksBAHL!$C:$C,"TikTokUA",GamesGeeksBAHL!$D:$D,"GameHippo",GamesGeeksBAHL!$J:$J,"&lt;0")+SUMIFS(GamingUniverse!$J:$J,GamingUniverse!$C:$C,"TikTokUA",GamingUniverse!$D:$D,"GameHippo",GamingUniverse!$J:$J,"&lt;0")+SUMIFS(KashifMeezan!$J:$J,KashifMeezan!$C:$C,"TikTokUA",KashifMeezan!$D:$D,"GameHippo",KashifMeezan!$J:$J,"&lt;0")+SUMIFS(SaadMeezan!$J:$J,SaadMeezan!$C:$C,"TikTokUA",SaadMeezan!$D:$D,"GameHippo",SaadMeezan!$J:$J,"&lt;0")+SUMIFS(GameHippoMeezan!$J:$J,GameHippoMeezan!$C:$C,"TikTokUA",GameHippoMeezan!$D:$D,"GameHippo",GameHippoMeezan!$J:$J,"&lt;0")+SUMIFS(AbdullahMeezan!$J:$J,AbdullahMeezan!$C:$C,"TikTokUA",AbdullahMeezan!$D:$D,"GameHippo",AbdullahMeezan!$J:$J,"&lt;0")+SUMIFS(GameSol!$J:$J,GameSol!$C:$C,"TikTokUA",GameSol!$D:$D,"GameHippo",GameSol!$J:$J,"&lt;0")+SUMIFS(CipherWaveWise!$J:$J,CipherWaveWise!$C:$C,"TikTokUA",CipherWaveWise!$D:$D,"GameHippo",CipherWaveWise!$J:$J,"&lt;0")+SUMIFS(AstroVerse!$J:$J,AstroVerse!$C:$C,"TikTokUA",AstroVerse!$D:$D,"GameHippo",AstroVerse!$J:$J,"&lt;0"))</f>
        <v>0</v>
      </c>
      <c r="G20" s="1">
        <f>-(SUMIFS(MinorBugsRetention!$J:$J,MinorBugsRetention!$C:$C,"TikTokUA",MinorBugsRetention!$D:$D,"Frentech",MinorBugsRetention!$J:$J,"&lt;0")+SUMIFS(MintCodeRetention!$J:$J,MintCodeRetention!$C:$C,"TikTokUA",MintCodeRetention!$D:$D,"Frentech",MintCodeRetention!$J:$J,"&lt;0")+SUMIFS(AlphaRaysFlagStar!$J:$J,AlphaRaysFlagStar!$C:$C,"TikTokUA",AlphaRaysFlagStar!$D:$D,"Frentech",AlphaRaysFlagStar!$J:$J,"&lt;0")+SUMIFS(GloriousWise!$J:$J,GloriousWise!$C:$C,"TikTokUA",GloriousWise!$D:$D,"Frentech",GloriousWise!$J:$J,"&lt;0")+SUMIFS(Counter!$J:$J,Counter!$C:$C,"TikTokUA",Counter!$D:$D,"Frentech",Counter!$J:$J,"&lt;0")+SUMIFS(MinorBugsBAHLCurrent!$J:$J,MinorBugsBAHLCurrent!$C:$C,"TikTokUA",MinorBugsBAHLCurrent!$D:$D,"Frentech",MinorBugsBAHLCurrent!$J:$J,"&lt;0")+SUMIFS(MinorBugsBAHLSaving!$J:$J,MinorBugsBAHLSaving!$C:$C,"TikTokUA",MinorBugsBAHLSaving!$D:$D,"Frentech",MinorBugsBAHLSaving!$J:$J,"&lt;0")+SUMIFS(MinorBugsMeezanCurrent!$J:$J,MinorBugsMeezanCurrent!$C:$C,"TikTokUA",MinorBugsMeezanCurrent!$D:$D,"Frentech",MinorBugsMeezanCurrent!$J:$J,"&lt;0")+SUMIFS(MintCodeCurrent!$J:$J,MintCodeCurrent!$C:$C,"TikTokUA",MintCodeCurrent!$D:$D,"Frentech",MintCodeCurrent!$J:$J,"&lt;0")+SUMIFS(GamesGeeksBAHL!$J:$J,GamesGeeksBAHL!$C:$C,"TikTokUA",GamesGeeksBAHL!$D:$D,"Frentech",GamesGeeksBAHL!$J:$J,"&lt;0")+SUMIFS(GamingUniverse!$J:$J,GamingUniverse!$C:$C,"TikTokUA",GamingUniverse!$D:$D,"Frentech",GamingUniverse!$J:$J,"&lt;0")+SUMIFS(KashifMeezan!$J:$J,KashifMeezan!$C:$C,"TikTokUA",KashifMeezan!$D:$D,"Frentech",KashifMeezan!$J:$J,"&lt;0")+SUMIFS(SaadMeezan!$J:$J,SaadMeezan!$C:$C,"TikTokUA",SaadMeezan!$D:$D,"Frentech",SaadMeezan!$J:$J,"&lt;0")+SUMIFS(GameHippoMeezan!$J:$J,GameHippoMeezan!$C:$C,"TikTokUA",GameHippoMeezan!$D:$D,"Frentech",GameHippoMeezan!$J:$J,"&lt;0")+SUMIFS(AbdullahMeezan!$J:$J,AbdullahMeezan!$C:$C,"TikTokUA",AbdullahMeezan!$D:$D,"Frentech",AbdullahMeezan!$J:$J,"&lt;0")+SUMIFS(GameSol!$J:$J,GameSol!$C:$C,"TikTokUA",GameSol!$D:$D,"Frentech",GameSol!$J:$J,"&lt;0")+SUMIFS(CipherWaveWise!$J:$J,CipherWaveWise!$C:$C,"TikTokUA",CipherWaveWise!$D:$D,"Frentech",CipherWaveWise!$J:$J,"&lt;0")+SUMIFS(AstroVerse!$J:$J,AstroVerse!$C:$C,"TikTokUA",AstroVerse!$D:$D,"Frentech",AstroVerse!$J:$J,"&lt;0"))</f>
        <v>0</v>
      </c>
      <c r="H20" s="1">
        <f>-(SUMIFS(MinorBugsRetention!$J:$J,MinorBugsRetention!$C:$C,"TikTokUA",MinorBugsRetention!$D:$D,"DevBoat",MinorBugsRetention!$J:$J,"&lt;0")+SUMIFS(MintCodeRetention!$J:$J,MintCodeRetention!$C:$C,"TikTokUA",MintCodeRetention!$D:$D,"DevBoat",MintCodeRetention!$J:$J,"&lt;0")+SUMIFS(AlphaRaysFlagStar!$J:$J,AlphaRaysFlagStar!$C:$C,"TikTokUA",AlphaRaysFlagStar!$D:$D,"DevBoat",AlphaRaysFlagStar!$J:$J,"&lt;0")+SUMIFS(GloriousWise!$J:$J,GloriousWise!$C:$C,"TikTokUA",GloriousWise!$D:$D,"DevBoat",GloriousWise!$J:$J,"&lt;0")+SUMIFS(Counter!$J:$J,Counter!$C:$C,"TikTokUA",Counter!$D:$D,"DevBoat",Counter!$J:$J,"&lt;0")+SUMIFS(MinorBugsBAHLCurrent!$J:$J,MinorBugsBAHLCurrent!$C:$C,"TikTokUA",MinorBugsBAHLCurrent!$D:$D,"DevBoat",MinorBugsBAHLCurrent!$J:$J,"&lt;0")+SUMIFS(MinorBugsBAHLSaving!$J:$J,MinorBugsBAHLSaving!$C:$C,"TikTokUA",MinorBugsBAHLSaving!$D:$D,"DevBoat",MinorBugsBAHLSaving!$J:$J,"&lt;0")+SUMIFS(MinorBugsMeezanCurrent!$J:$J,MinorBugsMeezanCurrent!$C:$C,"TikTokUA",MinorBugsMeezanCurrent!$D:$D,"DevBoat",MinorBugsMeezanCurrent!$J:$J,"&lt;0")+SUMIFS(MintCodeCurrent!$J:$J,MintCodeCurrent!$C:$C,"TikTokUA",MintCodeCurrent!$D:$D,"DevBoat",MintCodeCurrent!$J:$J,"&lt;0")+SUMIFS(GamesGeeksBAHL!$J:$J,GamesGeeksBAHL!$C:$C,"TikTokUA",GamesGeeksBAHL!$D:$D,"DevBoat",GamesGeeksBAHL!$J:$J,"&lt;0")+SUMIFS(GamingUniverse!$J:$J,GamingUniverse!$C:$C,"TikTokUA",GamingUniverse!$D:$D,"DevBoat",GamingUniverse!$J:$J,"&lt;0")+SUMIFS(KashifMeezan!$J:$J,KashifMeezan!$C:$C,"TikTokUA",KashifMeezan!$D:$D,"DevBoat",KashifMeezan!$J:$J,"&lt;0")+SUMIFS(SaadMeezan!$J:$J,SaadMeezan!$C:$C,"TikTokUA",SaadMeezan!$D:$D,"DevBoat",SaadMeezan!$J:$J,"&lt;0")+SUMIFS(GameHippoMeezan!$J:$J,GameHippoMeezan!$C:$C,"TikTokUA",GameHippoMeezan!$D:$D,"DevBoat",GameHippoMeezan!$J:$J,"&lt;0")+SUMIFS(AbdullahMeezan!$J:$J,AbdullahMeezan!$C:$C,"TikTokUA",AbdullahMeezan!$D:$D,"DevBoat",AbdullahMeezan!$J:$J,"&lt;0")+SUMIFS(GameSol!$J:$J,GameSol!$C:$C,"TikTokUA",GameSol!$D:$D,"DevBoat",GameSol!$J:$J,"&lt;0")+SUMIFS(CipherWaveWise!$J:$J,CipherWaveWise!$C:$C,"TikTokUA",CipherWaveWise!$D:$D,"DevBoat",CipherWaveWise!$J:$J,"&lt;0")+SUMIFS(AstroVerse!$J:$J,AstroVerse!$C:$C,"TikTokUA",AstroVerse!$D:$D,"DevBoat",AstroVerse!$J:$J,"&lt;0"))</f>
        <v>0</v>
      </c>
      <c r="I20" s="1">
        <f t="shared" si="0"/>
        <v>45280</v>
      </c>
    </row>
    <row r="21" spans="1:9">
      <c r="A21" t="s">
        <v>24</v>
      </c>
      <c r="B21" s="1">
        <f>-(SUMIFS(MinorBugsRetention!$J:$J,MinorBugsRetention!$C:$C,"ApplovinUA",MinorBugsRetention!$D:$D,"MinorBugs",MinorBugsRetention!$J:$J,"&lt;0")+SUMIFS(MintCodeRetention!$J:$J,MintCodeRetention!$C:$C,"ApplovinUA",MintCodeRetention!$D:$D,"MinorBugs",MintCodeRetention!$J:$J,"&lt;0")+SUMIFS(AlphaRaysFlagStar!$J:$J,AlphaRaysFlagStar!$C:$C,"ApplovinUA",AlphaRaysFlagStar!$D:$D,"MinorBugs",AlphaRaysFlagStar!$J:$J,"&lt;0")+SUMIFS(GloriousWise!$J:$J,GloriousWise!$C:$C,"ApplovinUA",GloriousWise!$D:$D,"MinorBugs",GloriousWise!$J:$J,"&lt;0")+SUMIFS(Counter!$J:$J,Counter!$C:$C,"ApplovinUA",Counter!$D:$D,"MinorBugs",Counter!$J:$J,"&lt;0")+SUMIFS(MinorBugsBAHLCurrent!$J:$J,MinorBugsBAHLCurrent!$C:$C,"ApplovinUA",MinorBugsBAHLCurrent!$D:$D,"MinorBugs",MinorBugsBAHLCurrent!$J:$J,"&lt;0")+SUMIFS(MinorBugsBAHLSaving!$J:$J,MinorBugsBAHLSaving!$C:$C,"ApplovinUA",MinorBugsBAHLSaving!$D:$D,"MinorBugs",MinorBugsBAHLSaving!$J:$J,"&lt;0")+SUMIFS(MinorBugsMeezanCurrent!$J:$J,MinorBugsMeezanCurrent!$C:$C,"ApplovinUA",MinorBugsMeezanCurrent!$D:$D,"MinorBugs",MinorBugsMeezanCurrent!$J:$J,"&lt;0")+SUMIFS(MintCodeCurrent!$J:$J,MintCodeCurrent!$C:$C,"ApplovinUA",MintCodeCurrent!$D:$D,"MinorBugs",MintCodeCurrent!$J:$J,"&lt;0")+SUMIFS(GamesGeeksBAHL!$J:$J,GamesGeeksBAHL!$C:$C,"ApplovinUA",GamesGeeksBAHL!$D:$D,"MinorBugs",GamesGeeksBAHL!$J:$J,"&lt;0")+SUMIFS(GamingUniverse!$J:$J,GamingUniverse!$C:$C,"ApplovinUA",GamingUniverse!$D:$D,"MinorBugs",GamingUniverse!$J:$J,"&lt;0")+SUMIFS(KashifMeezan!$J:$J,KashifMeezan!$C:$C,"ApplovinUA",KashifMeezan!$D:$D,"MinorBugs",KashifMeezan!$J:$J,"&lt;0")+SUMIFS(SaadMeezan!$J:$J,SaadMeezan!$C:$C,"ApplovinUA",SaadMeezan!$D:$D,"MinorBugs",SaadMeezan!$J:$J,"&lt;0")+SUMIFS(GameHippoMeezan!$J:$J,GameHippoMeezan!$C:$C,"ApplovinUA",GameHippoMeezan!$D:$D,"MinorBugs",GameHippoMeezan!$J:$J,"&lt;0")+SUMIFS(AbdullahMeezan!$J:$J,AbdullahMeezan!$C:$C,"ApplovinUA",AbdullahMeezan!$D:$D,"MinorBugs",AbdullahMeezan!$J:$J,"&lt;0")+SUMIFS(GameSol!$J:$J,GameSol!$C:$C,"ApplovinUA",GameSol!$D:$D,"MinorBugs",GameSol!$J:$J,"&lt;0")+SUMIFS(CipherWaveWise!$J:$J,CipherWaveWise!$C:$C,"ApplovinUA",CipherWaveWise!$D:$D,"MinorBugs",CipherWaveWise!$J:$J,"&lt;0")+SUMIFS(AstroVerse!$J:$J,AstroVerse!$C:$C,"ApplovinUA",AstroVerse!$D:$D,"MinorBugs",AstroVerse!$J:$J,"&lt;0"))</f>
        <v>0</v>
      </c>
      <c r="C21" s="1">
        <f>-(SUMIFS(MinorBugsRetention!$J:$J,MinorBugsRetention!$C:$C,"ApplovinUA",MinorBugsRetention!$D:$D,"BraveJackals",MinorBugsRetention!$J:$J,"&lt;0")+SUMIFS(MintCodeRetention!$J:$J,MintCodeRetention!$C:$C,"ApplovinUA",MintCodeRetention!$D:$D,"BraveJackals",MintCodeRetention!$J:$J,"&lt;0")+SUMIFS(AlphaRaysFlagStar!$J:$J,AlphaRaysFlagStar!$C:$C,"ApplovinUA",AlphaRaysFlagStar!$D:$D,"BraveJackals",AlphaRaysFlagStar!$J:$J,"&lt;0")+SUMIFS(GloriousWise!$J:$J,GloriousWise!$C:$C,"ApplovinUA",GloriousWise!$D:$D,"BraveJackals",GloriousWise!$J:$J,"&lt;0")+SUMIFS(Counter!$J:$J,Counter!$C:$C,"ApplovinUA",Counter!$D:$D,"BraveJackals",Counter!$J:$J,"&lt;0")+SUMIFS(MinorBugsBAHLCurrent!$J:$J,MinorBugsBAHLCurrent!$C:$C,"ApplovinUA",MinorBugsBAHLCurrent!$D:$D,"BraveJackals",MinorBugsBAHLCurrent!$J:$J,"&lt;0")+SUMIFS(MinorBugsBAHLSaving!$J:$J,MinorBugsBAHLSaving!$C:$C,"ApplovinUA",MinorBugsBAHLSaving!$D:$D,"BraveJackals",MinorBugsBAHLSaving!$J:$J,"&lt;0")+SUMIFS(MinorBugsMeezanCurrent!$J:$J,MinorBugsMeezanCurrent!$C:$C,"ApplovinUA",MinorBugsMeezanCurrent!$D:$D,"BraveJackals",MinorBugsMeezanCurrent!$J:$J,"&lt;0")+SUMIFS(MintCodeCurrent!$J:$J,MintCodeCurrent!$C:$C,"ApplovinUA",MintCodeCurrent!$D:$D,"BraveJackals",MintCodeCurrent!$J:$J,"&lt;0")+SUMIFS(GamesGeeksBAHL!$J:$J,GamesGeeksBAHL!$C:$C,"ApplovinUA",GamesGeeksBAHL!$D:$D,"BraveJackals",GamesGeeksBAHL!$J:$J,"&lt;0")+SUMIFS(GamingUniverse!$J:$J,GamingUniverse!$C:$C,"ApplovinUA",GamingUniverse!$D:$D,"BraveJackals",GamingUniverse!$J:$J,"&lt;0")+SUMIFS(KashifMeezan!$J:$J,KashifMeezan!$C:$C,"ApplovinUA",KashifMeezan!$D:$D,"BraveJackals",KashifMeezan!$J:$J,"&lt;0")+SUMIFS(SaadMeezan!$J:$J,SaadMeezan!$C:$C,"ApplovinUA",SaadMeezan!$D:$D,"BraveJackals",SaadMeezan!$J:$J,"&lt;0")+SUMIFS(GameHippoMeezan!$J:$J,GameHippoMeezan!$C:$C,"ApplovinUA",GameHippoMeezan!$D:$D,"BraveJackals",GameHippoMeezan!$J:$J,"&lt;0")+SUMIFS(AbdullahMeezan!$J:$J,AbdullahMeezan!$C:$C,"ApplovinUA",AbdullahMeezan!$D:$D,"BraveJackals",AbdullahMeezan!$J:$J,"&lt;0")+SUMIFS(GameSol!$J:$J,GameSol!$C:$C,"ApplovinUA",GameSol!$D:$D,"BraveJackals",GameSol!$J:$J,"&lt;0")+SUMIFS(CipherWaveWise!$J:$J,CipherWaveWise!$C:$C,"ApplovinUA",CipherWaveWise!$D:$D,"BraveJackals",CipherWaveWise!$J:$J,"&lt;0")+SUMIFS(AstroVerse!$J:$J,AstroVerse!$C:$C,"ApplovinUA",AstroVerse!$D:$D,"BraveJackals",AstroVerse!$J:$J,"&lt;0"))</f>
        <v>0</v>
      </c>
      <c r="D21" s="1">
        <f>-(SUMIFS(MinorBugsRetention!$J:$J,MinorBugsRetention!$C:$C,"ApplovinUA",MinorBugsRetention!$D:$D,"GoJins",MinorBugsRetention!$J:$J,"&lt;0")+SUMIFS(MintCodeRetention!$J:$J,MintCodeRetention!$C:$C,"ApplovinUA",MintCodeRetention!$D:$D,"GoJins",MintCodeRetention!$J:$J,"&lt;0")+SUMIFS(AlphaRaysFlagStar!$J:$J,AlphaRaysFlagStar!$C:$C,"ApplovinUA",AlphaRaysFlagStar!$D:$D,"GoJins",AlphaRaysFlagStar!$J:$J,"&lt;0")+SUMIFS(GloriousWise!$J:$J,GloriousWise!$C:$C,"ApplovinUA",GloriousWise!$D:$D,"GoJins",GloriousWise!$J:$J,"&lt;0")+SUMIFS(Counter!$J:$J,Counter!$C:$C,"ApplovinUA",Counter!$D:$D,"GoJins",Counter!$J:$J,"&lt;0")+SUMIFS(MinorBugsBAHLCurrent!$J:$J,MinorBugsBAHLCurrent!$C:$C,"ApplovinUA",MinorBugsBAHLCurrent!$D:$D,"GoJins",MinorBugsBAHLCurrent!$J:$J,"&lt;0")+SUMIFS(MinorBugsBAHLSaving!$J:$J,MinorBugsBAHLSaving!$C:$C,"ApplovinUA",MinorBugsBAHLSaving!$D:$D,"GoJins",MinorBugsBAHLSaving!$J:$J,"&lt;0")+SUMIFS(MinorBugsMeezanCurrent!$J:$J,MinorBugsMeezanCurrent!$C:$C,"ApplovinUA",MinorBugsMeezanCurrent!$D:$D,"GoJins",MinorBugsMeezanCurrent!$J:$J,"&lt;0")+SUMIFS(MintCodeCurrent!$J:$J,MintCodeCurrent!$C:$C,"ApplovinUA",MintCodeCurrent!$D:$D,"GoJins",MintCodeCurrent!$J:$J,"&lt;0")+SUMIFS(GamesGeeksBAHL!$J:$J,GamesGeeksBAHL!$C:$C,"ApplovinUA",GamesGeeksBAHL!$D:$D,"GoJins",GamesGeeksBAHL!$J:$J,"&lt;0")+SUMIFS(GamingUniverse!$J:$J,GamingUniverse!$C:$C,"ApplovinUA",GamingUniverse!$D:$D,"GoJins",GamingUniverse!$J:$J,"&lt;0")+SUMIFS(KashifMeezan!$J:$J,KashifMeezan!$C:$C,"ApplovinUA",KashifMeezan!$D:$D,"GoJins",KashifMeezan!$J:$J,"&lt;0")+SUMIFS(SaadMeezan!$J:$J,SaadMeezan!$C:$C,"ApplovinUA",SaadMeezan!$D:$D,"GoJins",SaadMeezan!$J:$J,"&lt;0")+SUMIFS(GameHippoMeezan!$J:$J,GameHippoMeezan!$C:$C,"ApplovinUA",GameHippoMeezan!$D:$D,"GoJins",GameHippoMeezan!$J:$J,"&lt;0")+SUMIFS(AbdullahMeezan!$J:$J,AbdullahMeezan!$C:$C,"ApplovinUA",AbdullahMeezan!$D:$D,"GoJins",AbdullahMeezan!$J:$J,"&lt;0")+SUMIFS(GameSol!$J:$J,GameSol!$C:$C,"ApplovinUA",GameSol!$D:$D,"GoJins",GameSol!$J:$J,"&lt;0")+SUMIFS(CipherWaveWise!$J:$J,CipherWaveWise!$C:$C,"ApplovinUA",CipherWaveWise!$D:$D,"GoJins",CipherWaveWise!$J:$J,"&lt;0")+SUMIFS(AstroVerse!$J:$J,AstroVerse!$C:$C,"ApplovinUA",AstroVerse!$D:$D,"GoJins",AstroVerse!$J:$J,"&lt;0"))</f>
        <v>0</v>
      </c>
      <c r="E21" s="1">
        <f>-(SUMIFS(MinorBugsRetention!$J:$J,MinorBugsRetention!$C:$C,"ApplovinUA",MinorBugsRetention!$D:$D,"BuggiesKids",MinorBugsRetention!$J:$J,"&lt;0")+SUMIFS(MintCodeRetention!$J:$J,MintCodeRetention!$C:$C,"ApplovinUA",MintCodeRetention!$D:$D,"BuggiesKids",MintCodeRetention!$J:$J,"&lt;0")+SUMIFS(AlphaRaysFlagStar!$J:$J,AlphaRaysFlagStar!$C:$C,"ApplovinUA",AlphaRaysFlagStar!$D:$D,"BuggiesKids",AlphaRaysFlagStar!$J:$J,"&lt;0")+SUMIFS(GloriousWise!$J:$J,GloriousWise!$C:$C,"ApplovinUA",GloriousWise!$D:$D,"BuggiesKids",GloriousWise!$J:$J,"&lt;0")+SUMIFS(Counter!$J:$J,Counter!$C:$C,"ApplovinUA",Counter!$D:$D,"BuggiesKids",Counter!$J:$J,"&lt;0")+SUMIFS(MinorBugsBAHLCurrent!$J:$J,MinorBugsBAHLCurrent!$C:$C,"ApplovinUA",MinorBugsBAHLCurrent!$D:$D,"BuggiesKids",MinorBugsBAHLCurrent!$J:$J,"&lt;0")+SUMIFS(MinorBugsBAHLSaving!$J:$J,MinorBugsBAHLSaving!$C:$C,"ApplovinUA",MinorBugsBAHLSaving!$D:$D,"BuggiesKids",MinorBugsBAHLSaving!$J:$J,"&lt;0")+SUMIFS(MinorBugsMeezanCurrent!$J:$J,MinorBugsMeezanCurrent!$C:$C,"ApplovinUA",MinorBugsMeezanCurrent!$D:$D,"BuggiesKids",MinorBugsMeezanCurrent!$J:$J,"&lt;0")+SUMIFS(MintCodeCurrent!$J:$J,MintCodeCurrent!$C:$C,"ApplovinUA",MintCodeCurrent!$D:$D,"BuggiesKids",MintCodeCurrent!$J:$J,"&lt;0")+SUMIFS(GamesGeeksBAHL!$J:$J,GamesGeeksBAHL!$C:$C,"ApplovinUA",GamesGeeksBAHL!$D:$D,"BuggiesKids",GamesGeeksBAHL!$J:$J,"&lt;0")+SUMIFS(GamingUniverse!$J:$J,GamingUniverse!$C:$C,"ApplovinUA",GamingUniverse!$D:$D,"BuggiesKids",GamingUniverse!$J:$J,"&lt;0")+SUMIFS(KashifMeezan!$J:$J,KashifMeezan!$C:$C,"ApplovinUA",KashifMeezan!$D:$D,"BuggiesKids",KashifMeezan!$J:$J,"&lt;0")+SUMIFS(SaadMeezan!$J:$J,SaadMeezan!$C:$C,"ApplovinUA",SaadMeezan!$D:$D,"BuggiesKids",SaadMeezan!$J:$J,"&lt;0")+SUMIFS(GameHippoMeezan!$J:$J,GameHippoMeezan!$C:$C,"ApplovinUA",GameHippoMeezan!$D:$D,"BuggiesKids",GameHippoMeezan!$J:$J,"&lt;0")+SUMIFS(AbdullahMeezan!$J:$J,AbdullahMeezan!$C:$C,"ApplovinUA",AbdullahMeezan!$D:$D,"BuggiesKids",AbdullahMeezan!$J:$J,"&lt;0")+SUMIFS(GameSol!$J:$J,GameSol!$C:$C,"ApplovinUA",GameSol!$D:$D,"BuggiesKids",GameSol!$J:$J,"&lt;0")+SUMIFS(CipherWaveWise!$J:$J,CipherWaveWise!$C:$C,"ApplovinUA",CipherWaveWise!$D:$D,"BuggiesKids",CipherWaveWise!$J:$J,"&lt;0")+SUMIFS(AstroVerse!$J:$J,AstroVerse!$C:$C,"ApplovinUA",AstroVerse!$D:$D,"BuggiesKids",AstroVerse!$J:$J,"&lt;0"))</f>
        <v>0</v>
      </c>
      <c r="F21" s="1">
        <f>-(SUMIFS(MinorBugsRetention!$J:$J,MinorBugsRetention!$C:$C,"ApplovinUA",MinorBugsRetention!$D:$D,"GameHippo",MinorBugsRetention!$J:$J,"&lt;0")+SUMIFS(MintCodeRetention!$J:$J,MintCodeRetention!$C:$C,"ApplovinUA",MintCodeRetention!$D:$D,"GameHippo",MintCodeRetention!$J:$J,"&lt;0")+SUMIFS(AlphaRaysFlagStar!$J:$J,AlphaRaysFlagStar!$C:$C,"ApplovinUA",AlphaRaysFlagStar!$D:$D,"GameHippo",AlphaRaysFlagStar!$J:$J,"&lt;0")+SUMIFS(GloriousWise!$J:$J,GloriousWise!$C:$C,"ApplovinUA",GloriousWise!$D:$D,"GameHippo",GloriousWise!$J:$J,"&lt;0")+SUMIFS(Counter!$J:$J,Counter!$C:$C,"ApplovinUA",Counter!$D:$D,"GameHippo",Counter!$J:$J,"&lt;0")+SUMIFS(MinorBugsBAHLCurrent!$J:$J,MinorBugsBAHLCurrent!$C:$C,"ApplovinUA",MinorBugsBAHLCurrent!$D:$D,"GameHippo",MinorBugsBAHLCurrent!$J:$J,"&lt;0")+SUMIFS(MinorBugsBAHLSaving!$J:$J,MinorBugsBAHLSaving!$C:$C,"ApplovinUA",MinorBugsBAHLSaving!$D:$D,"GameHippo",MinorBugsBAHLSaving!$J:$J,"&lt;0")+SUMIFS(MinorBugsMeezanCurrent!$J:$J,MinorBugsMeezanCurrent!$C:$C,"ApplovinUA",MinorBugsMeezanCurrent!$D:$D,"GameHippo",MinorBugsMeezanCurrent!$J:$J,"&lt;0")+SUMIFS(MintCodeCurrent!$J:$J,MintCodeCurrent!$C:$C,"ApplovinUA",MintCodeCurrent!$D:$D,"GameHippo",MintCodeCurrent!$J:$J,"&lt;0")+SUMIFS(GamesGeeksBAHL!$J:$J,GamesGeeksBAHL!$C:$C,"ApplovinUA",GamesGeeksBAHL!$D:$D,"GameHippo",GamesGeeksBAHL!$J:$J,"&lt;0")+SUMIFS(GamingUniverse!$J:$J,GamingUniverse!$C:$C,"ApplovinUA",GamingUniverse!$D:$D,"GameHippo",GamingUniverse!$J:$J,"&lt;0")+SUMIFS(KashifMeezan!$J:$J,KashifMeezan!$C:$C,"ApplovinUA",KashifMeezan!$D:$D,"GameHippo",KashifMeezan!$J:$J,"&lt;0")+SUMIFS(SaadMeezan!$J:$J,SaadMeezan!$C:$C,"ApplovinUA",SaadMeezan!$D:$D,"GameHippo",SaadMeezan!$J:$J,"&lt;0")+SUMIFS(GameHippoMeezan!$J:$J,GameHippoMeezan!$C:$C,"ApplovinUA",GameHippoMeezan!$D:$D,"GameHippo",GameHippoMeezan!$J:$J,"&lt;0")+SUMIFS(AbdullahMeezan!$J:$J,AbdullahMeezan!$C:$C,"ApplovinUA",AbdullahMeezan!$D:$D,"GameHippo",AbdullahMeezan!$J:$J,"&lt;0")+SUMIFS(GameSol!$J:$J,GameSol!$C:$C,"ApplovinUA",GameSol!$D:$D,"GameHippo",GameSol!$J:$J,"&lt;0")+SUMIFS(CipherWaveWise!$J:$J,CipherWaveWise!$C:$C,"ApplovinUA",CipherWaveWise!$D:$D,"GameHippo",CipherWaveWise!$J:$J,"&lt;0")+SUMIFS(AstroVerse!$J:$J,AstroVerse!$C:$C,"ApplovinUA",AstroVerse!$D:$D,"GameHippo",AstroVerse!$J:$J,"&lt;0"))</f>
        <v>0</v>
      </c>
      <c r="G21" s="1">
        <f>-(SUMIFS(MinorBugsRetention!$J:$J,MinorBugsRetention!$C:$C,"ApplovinUA",MinorBugsRetention!$D:$D,"Frentech",MinorBugsRetention!$J:$J,"&lt;0")+SUMIFS(MintCodeRetention!$J:$J,MintCodeRetention!$C:$C,"ApplovinUA",MintCodeRetention!$D:$D,"Frentech",MintCodeRetention!$J:$J,"&lt;0")+SUMIFS(AlphaRaysFlagStar!$J:$J,AlphaRaysFlagStar!$C:$C,"ApplovinUA",AlphaRaysFlagStar!$D:$D,"Frentech",AlphaRaysFlagStar!$J:$J,"&lt;0")+SUMIFS(GloriousWise!$J:$J,GloriousWise!$C:$C,"ApplovinUA",GloriousWise!$D:$D,"Frentech",GloriousWise!$J:$J,"&lt;0")+SUMIFS(Counter!$J:$J,Counter!$C:$C,"ApplovinUA",Counter!$D:$D,"Frentech",Counter!$J:$J,"&lt;0")+SUMIFS(MinorBugsBAHLCurrent!$J:$J,MinorBugsBAHLCurrent!$C:$C,"ApplovinUA",MinorBugsBAHLCurrent!$D:$D,"Frentech",MinorBugsBAHLCurrent!$J:$J,"&lt;0")+SUMIFS(MinorBugsBAHLSaving!$J:$J,MinorBugsBAHLSaving!$C:$C,"ApplovinUA",MinorBugsBAHLSaving!$D:$D,"Frentech",MinorBugsBAHLSaving!$J:$J,"&lt;0")+SUMIFS(MinorBugsMeezanCurrent!$J:$J,MinorBugsMeezanCurrent!$C:$C,"ApplovinUA",MinorBugsMeezanCurrent!$D:$D,"Frentech",MinorBugsMeezanCurrent!$J:$J,"&lt;0")+SUMIFS(MintCodeCurrent!$J:$J,MintCodeCurrent!$C:$C,"ApplovinUA",MintCodeCurrent!$D:$D,"Frentech",MintCodeCurrent!$J:$J,"&lt;0")+SUMIFS(GamesGeeksBAHL!$J:$J,GamesGeeksBAHL!$C:$C,"ApplovinUA",GamesGeeksBAHL!$D:$D,"Frentech",GamesGeeksBAHL!$J:$J,"&lt;0")+SUMIFS(GamingUniverse!$J:$J,GamingUniverse!$C:$C,"ApplovinUA",GamingUniverse!$D:$D,"Frentech",GamingUniverse!$J:$J,"&lt;0")+SUMIFS(KashifMeezan!$J:$J,KashifMeezan!$C:$C,"ApplovinUA",KashifMeezan!$D:$D,"Frentech",KashifMeezan!$J:$J,"&lt;0")+SUMIFS(SaadMeezan!$J:$J,SaadMeezan!$C:$C,"ApplovinUA",SaadMeezan!$D:$D,"Frentech",SaadMeezan!$J:$J,"&lt;0")+SUMIFS(GameHippoMeezan!$J:$J,GameHippoMeezan!$C:$C,"ApplovinUA",GameHippoMeezan!$D:$D,"Frentech",GameHippoMeezan!$J:$J,"&lt;0")+SUMIFS(AbdullahMeezan!$J:$J,AbdullahMeezan!$C:$C,"ApplovinUA",AbdullahMeezan!$D:$D,"Frentech",AbdullahMeezan!$J:$J,"&lt;0")+SUMIFS(GameSol!$J:$J,GameSol!$C:$C,"ApplovinUA",GameSol!$D:$D,"Frentech",GameSol!$J:$J,"&lt;0")+SUMIFS(CipherWaveWise!$J:$J,CipherWaveWise!$C:$C,"ApplovinUA",CipherWaveWise!$D:$D,"Frentech",CipherWaveWise!$J:$J,"&lt;0")+SUMIFS(AstroVerse!$J:$J,AstroVerse!$C:$C,"ApplovinUA",AstroVerse!$D:$D,"Frentech",AstroVerse!$J:$J,"&lt;0"))</f>
        <v>0</v>
      </c>
      <c r="H21" s="1">
        <f>-(SUMIFS(MinorBugsRetention!$J:$J,MinorBugsRetention!$C:$C,"ApplovinUA",MinorBugsRetention!$D:$D,"DevBoat",MinorBugsRetention!$J:$J,"&lt;0")+SUMIFS(MintCodeRetention!$J:$J,MintCodeRetention!$C:$C,"ApplovinUA",MintCodeRetention!$D:$D,"DevBoat",MintCodeRetention!$J:$J,"&lt;0")+SUMIFS(AlphaRaysFlagStar!$J:$J,AlphaRaysFlagStar!$C:$C,"ApplovinUA",AlphaRaysFlagStar!$D:$D,"DevBoat",AlphaRaysFlagStar!$J:$J,"&lt;0")+SUMIFS(GloriousWise!$J:$J,GloriousWise!$C:$C,"ApplovinUA",GloriousWise!$D:$D,"DevBoat",GloriousWise!$J:$J,"&lt;0")+SUMIFS(Counter!$J:$J,Counter!$C:$C,"ApplovinUA",Counter!$D:$D,"DevBoat",Counter!$J:$J,"&lt;0")+SUMIFS(MinorBugsBAHLCurrent!$J:$J,MinorBugsBAHLCurrent!$C:$C,"ApplovinUA",MinorBugsBAHLCurrent!$D:$D,"DevBoat",MinorBugsBAHLCurrent!$J:$J,"&lt;0")+SUMIFS(MinorBugsBAHLSaving!$J:$J,MinorBugsBAHLSaving!$C:$C,"ApplovinUA",MinorBugsBAHLSaving!$D:$D,"DevBoat",MinorBugsBAHLSaving!$J:$J,"&lt;0")+SUMIFS(MinorBugsMeezanCurrent!$J:$J,MinorBugsMeezanCurrent!$C:$C,"ApplovinUA",MinorBugsMeezanCurrent!$D:$D,"DevBoat",MinorBugsMeezanCurrent!$J:$J,"&lt;0")+SUMIFS(MintCodeCurrent!$J:$J,MintCodeCurrent!$C:$C,"ApplovinUA",MintCodeCurrent!$D:$D,"DevBoat",MintCodeCurrent!$J:$J,"&lt;0")+SUMIFS(GamesGeeksBAHL!$J:$J,GamesGeeksBAHL!$C:$C,"ApplovinUA",GamesGeeksBAHL!$D:$D,"DevBoat",GamesGeeksBAHL!$J:$J,"&lt;0")+SUMIFS(GamingUniverse!$J:$J,GamingUniverse!$C:$C,"ApplovinUA",GamingUniverse!$D:$D,"DevBoat",GamingUniverse!$J:$J,"&lt;0")+SUMIFS(KashifMeezan!$J:$J,KashifMeezan!$C:$C,"ApplovinUA",KashifMeezan!$D:$D,"DevBoat",KashifMeezan!$J:$J,"&lt;0")+SUMIFS(SaadMeezan!$J:$J,SaadMeezan!$C:$C,"ApplovinUA",SaadMeezan!$D:$D,"DevBoat",SaadMeezan!$J:$J,"&lt;0")+SUMIFS(GameHippoMeezan!$J:$J,GameHippoMeezan!$C:$C,"ApplovinUA",GameHippoMeezan!$D:$D,"DevBoat",GameHippoMeezan!$J:$J,"&lt;0")+SUMIFS(AbdullahMeezan!$J:$J,AbdullahMeezan!$C:$C,"ApplovinUA",AbdullahMeezan!$D:$D,"DevBoat",AbdullahMeezan!$J:$J,"&lt;0")+SUMIFS(GameSol!$J:$J,GameSol!$C:$C,"ApplovinUA",GameSol!$D:$D,"DevBoat",GameSol!$J:$J,"&lt;0")+SUMIFS(CipherWaveWise!$J:$J,CipherWaveWise!$C:$C,"ApplovinUA",CipherWaveWise!$D:$D,"DevBoat",CipherWaveWise!$J:$J,"&lt;0")+SUMIFS(AstroVerse!$J:$J,AstroVerse!$C:$C,"ApplovinUA",AstroVerse!$D:$D,"DevBoat",AstroVerse!$J:$J,"&lt;0"))</f>
        <v>0</v>
      </c>
      <c r="I21" s="1">
        <f t="shared" si="0"/>
        <v>0</v>
      </c>
    </row>
    <row r="22" spans="1:9">
      <c r="A22" t="s">
        <v>25</v>
      </c>
      <c r="B22" s="1">
        <f>-(SUMIFS(MinorBugsRetention!$J:$J,MinorBugsRetention!$C:$C,"UnityUA",MinorBugsRetention!$D:$D,"MinorBugs",MinorBugsRetention!$J:$J,"&lt;0")+SUMIFS(MintCodeRetention!$J:$J,MintCodeRetention!$C:$C,"UnityUA",MintCodeRetention!$D:$D,"MinorBugs",MintCodeRetention!$J:$J,"&lt;0")+SUMIFS(AlphaRaysFlagStar!$J:$J,AlphaRaysFlagStar!$C:$C,"UnityUA",AlphaRaysFlagStar!$D:$D,"MinorBugs",AlphaRaysFlagStar!$J:$J,"&lt;0")+SUMIFS(GloriousWise!$J:$J,GloriousWise!$C:$C,"UnityUA",GloriousWise!$D:$D,"MinorBugs",GloriousWise!$J:$J,"&lt;0")+SUMIFS(Counter!$J:$J,Counter!$C:$C,"UnityUA",Counter!$D:$D,"MinorBugs",Counter!$J:$J,"&lt;0")+SUMIFS(MinorBugsBAHLCurrent!$J:$J,MinorBugsBAHLCurrent!$C:$C,"UnityUA",MinorBugsBAHLCurrent!$D:$D,"MinorBugs",MinorBugsBAHLCurrent!$J:$J,"&lt;0")+SUMIFS(MinorBugsBAHLSaving!$J:$J,MinorBugsBAHLSaving!$C:$C,"UnityUA",MinorBugsBAHLSaving!$D:$D,"MinorBugs",MinorBugsBAHLSaving!$J:$J,"&lt;0")+SUMIFS(MinorBugsMeezanCurrent!$J:$J,MinorBugsMeezanCurrent!$C:$C,"UnityUA",MinorBugsMeezanCurrent!$D:$D,"MinorBugs",MinorBugsMeezanCurrent!$J:$J,"&lt;0")+SUMIFS(MintCodeCurrent!$J:$J,MintCodeCurrent!$C:$C,"UnityUA",MintCodeCurrent!$D:$D,"MinorBugs",MintCodeCurrent!$J:$J,"&lt;0")+SUMIFS(GamesGeeksBAHL!$J:$J,GamesGeeksBAHL!$C:$C,"UnityUA",GamesGeeksBAHL!$D:$D,"MinorBugs",GamesGeeksBAHL!$J:$J,"&lt;0")+SUMIFS(GamingUniverse!$J:$J,GamingUniverse!$C:$C,"UnityUA",GamingUniverse!$D:$D,"MinorBugs",GamingUniverse!$J:$J,"&lt;0")+SUMIFS(KashifMeezan!$J:$J,KashifMeezan!$C:$C,"UnityUA",KashifMeezan!$D:$D,"MinorBugs",KashifMeezan!$J:$J,"&lt;0")+SUMIFS(SaadMeezan!$J:$J,SaadMeezan!$C:$C,"UnityUA",SaadMeezan!$D:$D,"MinorBugs",SaadMeezan!$J:$J,"&lt;0")+SUMIFS(GameHippoMeezan!$J:$J,GameHippoMeezan!$C:$C,"UnityUA",GameHippoMeezan!$D:$D,"MinorBugs",GameHippoMeezan!$J:$J,"&lt;0")+SUMIFS(AbdullahMeezan!$J:$J,AbdullahMeezan!$C:$C,"UnityUA",AbdullahMeezan!$D:$D,"MinorBugs",AbdullahMeezan!$J:$J,"&lt;0")+SUMIFS(GameSol!$J:$J,GameSol!$C:$C,"UnityUA",GameSol!$D:$D,"MinorBugs",GameSol!$J:$J,"&lt;0")+SUMIFS(CipherWaveWise!$J:$J,CipherWaveWise!$C:$C,"UnityUA",CipherWaveWise!$D:$D,"MinorBugs",CipherWaveWise!$J:$J,"&lt;0")+SUMIFS(AstroVerse!$J:$J,AstroVerse!$C:$C,"UnityUA",AstroVerse!$D:$D,"MinorBugs",AstroVerse!$J:$J,"&lt;0"))</f>
        <v>0</v>
      </c>
      <c r="C22" s="1">
        <f>-(SUMIFS(MinorBugsRetention!$J:$J,MinorBugsRetention!$C:$C,"UnityUA",MinorBugsRetention!$D:$D,"BraveJackals",MinorBugsRetention!$J:$J,"&lt;0")+SUMIFS(MintCodeRetention!$J:$J,MintCodeRetention!$C:$C,"UnityUA",MintCodeRetention!$D:$D,"BraveJackals",MintCodeRetention!$J:$J,"&lt;0")+SUMIFS(AlphaRaysFlagStar!$J:$J,AlphaRaysFlagStar!$C:$C,"UnityUA",AlphaRaysFlagStar!$D:$D,"BraveJackals",AlphaRaysFlagStar!$J:$J,"&lt;0")+SUMIFS(GloriousWise!$J:$J,GloriousWise!$C:$C,"UnityUA",GloriousWise!$D:$D,"BraveJackals",GloriousWise!$J:$J,"&lt;0")+SUMIFS(Counter!$J:$J,Counter!$C:$C,"UnityUA",Counter!$D:$D,"BraveJackals",Counter!$J:$J,"&lt;0")+SUMIFS(MinorBugsBAHLCurrent!$J:$J,MinorBugsBAHLCurrent!$C:$C,"UnityUA",MinorBugsBAHLCurrent!$D:$D,"BraveJackals",MinorBugsBAHLCurrent!$J:$J,"&lt;0")+SUMIFS(MinorBugsBAHLSaving!$J:$J,MinorBugsBAHLSaving!$C:$C,"UnityUA",MinorBugsBAHLSaving!$D:$D,"BraveJackals",MinorBugsBAHLSaving!$J:$J,"&lt;0")+SUMIFS(MinorBugsMeezanCurrent!$J:$J,MinorBugsMeezanCurrent!$C:$C,"UnityUA",MinorBugsMeezanCurrent!$D:$D,"BraveJackals",MinorBugsMeezanCurrent!$J:$J,"&lt;0")+SUMIFS(MintCodeCurrent!$J:$J,MintCodeCurrent!$C:$C,"UnityUA",MintCodeCurrent!$D:$D,"BraveJackals",MintCodeCurrent!$J:$J,"&lt;0")+SUMIFS(GamesGeeksBAHL!$J:$J,GamesGeeksBAHL!$C:$C,"UnityUA",GamesGeeksBAHL!$D:$D,"BraveJackals",GamesGeeksBAHL!$J:$J,"&lt;0")+SUMIFS(GamingUniverse!$J:$J,GamingUniverse!$C:$C,"UnityUA",GamingUniverse!$D:$D,"BraveJackals",GamingUniverse!$J:$J,"&lt;0")+SUMIFS(KashifMeezan!$J:$J,KashifMeezan!$C:$C,"UnityUA",KashifMeezan!$D:$D,"BraveJackals",KashifMeezan!$J:$J,"&lt;0")+SUMIFS(SaadMeezan!$J:$J,SaadMeezan!$C:$C,"UnityUA",SaadMeezan!$D:$D,"BraveJackals",SaadMeezan!$J:$J,"&lt;0")+SUMIFS(GameHippoMeezan!$J:$J,GameHippoMeezan!$C:$C,"UnityUA",GameHippoMeezan!$D:$D,"BraveJackals",GameHippoMeezan!$J:$J,"&lt;0")+SUMIFS(AbdullahMeezan!$J:$J,AbdullahMeezan!$C:$C,"UnityUA",AbdullahMeezan!$D:$D,"BraveJackals",AbdullahMeezan!$J:$J,"&lt;0")+SUMIFS(GameSol!$J:$J,GameSol!$C:$C,"UnityUA",GameSol!$D:$D,"BraveJackals",GameSol!$J:$J,"&lt;0")+SUMIFS(CipherWaveWise!$J:$J,CipherWaveWise!$C:$C,"UnityUA",CipherWaveWise!$D:$D,"BraveJackals",CipherWaveWise!$J:$J,"&lt;0")+SUMIFS(AstroVerse!$J:$J,AstroVerse!$C:$C,"UnityUA",AstroVerse!$D:$D,"BraveJackals",AstroVerse!$J:$J,"&lt;0"))</f>
        <v>0</v>
      </c>
      <c r="D22" s="1">
        <f>-(SUMIFS(MinorBugsRetention!$J:$J,MinorBugsRetention!$C:$C,"UnityUA",MinorBugsRetention!$D:$D,"GoJins",MinorBugsRetention!$J:$J,"&lt;0")+SUMIFS(MintCodeRetention!$J:$J,MintCodeRetention!$C:$C,"UnityUA",MintCodeRetention!$D:$D,"GoJins",MintCodeRetention!$J:$J,"&lt;0")+SUMIFS(AlphaRaysFlagStar!$J:$J,AlphaRaysFlagStar!$C:$C,"UnityUA",AlphaRaysFlagStar!$D:$D,"GoJins",AlphaRaysFlagStar!$J:$J,"&lt;0")+SUMIFS(GloriousWise!$J:$J,GloriousWise!$C:$C,"UnityUA",GloriousWise!$D:$D,"GoJins",GloriousWise!$J:$J,"&lt;0")+SUMIFS(Counter!$J:$J,Counter!$C:$C,"UnityUA",Counter!$D:$D,"GoJins",Counter!$J:$J,"&lt;0")+SUMIFS(MinorBugsBAHLCurrent!$J:$J,MinorBugsBAHLCurrent!$C:$C,"UnityUA",MinorBugsBAHLCurrent!$D:$D,"GoJins",MinorBugsBAHLCurrent!$J:$J,"&lt;0")+SUMIFS(MinorBugsBAHLSaving!$J:$J,MinorBugsBAHLSaving!$C:$C,"UnityUA",MinorBugsBAHLSaving!$D:$D,"GoJins",MinorBugsBAHLSaving!$J:$J,"&lt;0")+SUMIFS(MinorBugsMeezanCurrent!$J:$J,MinorBugsMeezanCurrent!$C:$C,"UnityUA",MinorBugsMeezanCurrent!$D:$D,"GoJins",MinorBugsMeezanCurrent!$J:$J,"&lt;0")+SUMIFS(MintCodeCurrent!$J:$J,MintCodeCurrent!$C:$C,"UnityUA",MintCodeCurrent!$D:$D,"GoJins",MintCodeCurrent!$J:$J,"&lt;0")+SUMIFS(GamesGeeksBAHL!$J:$J,GamesGeeksBAHL!$C:$C,"UnityUA",GamesGeeksBAHL!$D:$D,"GoJins",GamesGeeksBAHL!$J:$J,"&lt;0")+SUMIFS(GamingUniverse!$J:$J,GamingUniverse!$C:$C,"UnityUA",GamingUniverse!$D:$D,"GoJins",GamingUniverse!$J:$J,"&lt;0")+SUMIFS(KashifMeezan!$J:$J,KashifMeezan!$C:$C,"UnityUA",KashifMeezan!$D:$D,"GoJins",KashifMeezan!$J:$J,"&lt;0")+SUMIFS(SaadMeezan!$J:$J,SaadMeezan!$C:$C,"UnityUA",SaadMeezan!$D:$D,"GoJins",SaadMeezan!$J:$J,"&lt;0")+SUMIFS(GameHippoMeezan!$J:$J,GameHippoMeezan!$C:$C,"UnityUA",GameHippoMeezan!$D:$D,"GoJins",GameHippoMeezan!$J:$J,"&lt;0")+SUMIFS(AbdullahMeezan!$J:$J,AbdullahMeezan!$C:$C,"UnityUA",AbdullahMeezan!$D:$D,"GoJins",AbdullahMeezan!$J:$J,"&lt;0")+SUMIFS(GameSol!$J:$J,GameSol!$C:$C,"UnityUA",GameSol!$D:$D,"GoJins",GameSol!$J:$J,"&lt;0")+SUMIFS(CipherWaveWise!$J:$J,CipherWaveWise!$C:$C,"UnityUA",CipherWaveWise!$D:$D,"GoJins",CipherWaveWise!$J:$J,"&lt;0")+SUMIFS(AstroVerse!$J:$J,AstroVerse!$C:$C,"UnityUA",AstroVerse!$D:$D,"GoJins",AstroVerse!$J:$J,"&lt;0"))</f>
        <v>0</v>
      </c>
      <c r="E22" s="1">
        <f>-(SUMIFS(MinorBugsRetention!$J:$J,MinorBugsRetention!$C:$C,"UnityUA",MinorBugsRetention!$D:$D,"BuggiesKids",MinorBugsRetention!$J:$J,"&lt;0")+SUMIFS(MintCodeRetention!$J:$J,MintCodeRetention!$C:$C,"UnityUA",MintCodeRetention!$D:$D,"BuggiesKids",MintCodeRetention!$J:$J,"&lt;0")+SUMIFS(AlphaRaysFlagStar!$J:$J,AlphaRaysFlagStar!$C:$C,"UnityUA",AlphaRaysFlagStar!$D:$D,"BuggiesKids",AlphaRaysFlagStar!$J:$J,"&lt;0")+SUMIFS(GloriousWise!$J:$J,GloriousWise!$C:$C,"UnityUA",GloriousWise!$D:$D,"BuggiesKids",GloriousWise!$J:$J,"&lt;0")+SUMIFS(Counter!$J:$J,Counter!$C:$C,"UnityUA",Counter!$D:$D,"BuggiesKids",Counter!$J:$J,"&lt;0")+SUMIFS(MinorBugsBAHLCurrent!$J:$J,MinorBugsBAHLCurrent!$C:$C,"UnityUA",MinorBugsBAHLCurrent!$D:$D,"BuggiesKids",MinorBugsBAHLCurrent!$J:$J,"&lt;0")+SUMIFS(MinorBugsBAHLSaving!$J:$J,MinorBugsBAHLSaving!$C:$C,"UnityUA",MinorBugsBAHLSaving!$D:$D,"BuggiesKids",MinorBugsBAHLSaving!$J:$J,"&lt;0")+SUMIFS(MinorBugsMeezanCurrent!$J:$J,MinorBugsMeezanCurrent!$C:$C,"UnityUA",MinorBugsMeezanCurrent!$D:$D,"BuggiesKids",MinorBugsMeezanCurrent!$J:$J,"&lt;0")+SUMIFS(MintCodeCurrent!$J:$J,MintCodeCurrent!$C:$C,"UnityUA",MintCodeCurrent!$D:$D,"BuggiesKids",MintCodeCurrent!$J:$J,"&lt;0")+SUMIFS(GamesGeeksBAHL!$J:$J,GamesGeeksBAHL!$C:$C,"UnityUA",GamesGeeksBAHL!$D:$D,"BuggiesKids",GamesGeeksBAHL!$J:$J,"&lt;0")+SUMIFS(GamingUniverse!$J:$J,GamingUniverse!$C:$C,"UnityUA",GamingUniverse!$D:$D,"BuggiesKids",GamingUniverse!$J:$J,"&lt;0")+SUMIFS(KashifMeezan!$J:$J,KashifMeezan!$C:$C,"UnityUA",KashifMeezan!$D:$D,"BuggiesKids",KashifMeezan!$J:$J,"&lt;0")+SUMIFS(SaadMeezan!$J:$J,SaadMeezan!$C:$C,"UnityUA",SaadMeezan!$D:$D,"BuggiesKids",SaadMeezan!$J:$J,"&lt;0")+SUMIFS(GameHippoMeezan!$J:$J,GameHippoMeezan!$C:$C,"UnityUA",GameHippoMeezan!$D:$D,"BuggiesKids",GameHippoMeezan!$J:$J,"&lt;0")+SUMIFS(AbdullahMeezan!$J:$J,AbdullahMeezan!$C:$C,"UnityUA",AbdullahMeezan!$D:$D,"BuggiesKids",AbdullahMeezan!$J:$J,"&lt;0")+SUMIFS(GameSol!$J:$J,GameSol!$C:$C,"UnityUA",GameSol!$D:$D,"BuggiesKids",GameSol!$J:$J,"&lt;0")+SUMIFS(CipherWaveWise!$J:$J,CipherWaveWise!$C:$C,"UnityUA",CipherWaveWise!$D:$D,"BuggiesKids",CipherWaveWise!$J:$J,"&lt;0")+SUMIFS(AstroVerse!$J:$J,AstroVerse!$C:$C,"UnityUA",AstroVerse!$D:$D,"BuggiesKids",AstroVerse!$J:$J,"&lt;0"))</f>
        <v>0</v>
      </c>
      <c r="F22" s="1">
        <f>-(SUMIFS(MinorBugsRetention!$J:$J,MinorBugsRetention!$C:$C,"UnityUA",MinorBugsRetention!$D:$D,"GameHippo",MinorBugsRetention!$J:$J,"&lt;0")+SUMIFS(MintCodeRetention!$J:$J,MintCodeRetention!$C:$C,"UnityUA",MintCodeRetention!$D:$D,"GameHippo",MintCodeRetention!$J:$J,"&lt;0")+SUMIFS(AlphaRaysFlagStar!$J:$J,AlphaRaysFlagStar!$C:$C,"UnityUA",AlphaRaysFlagStar!$D:$D,"GameHippo",AlphaRaysFlagStar!$J:$J,"&lt;0")+SUMIFS(GloriousWise!$J:$J,GloriousWise!$C:$C,"UnityUA",GloriousWise!$D:$D,"GameHippo",GloriousWise!$J:$J,"&lt;0")+SUMIFS(Counter!$J:$J,Counter!$C:$C,"UnityUA",Counter!$D:$D,"GameHippo",Counter!$J:$J,"&lt;0")+SUMIFS(MinorBugsBAHLCurrent!$J:$J,MinorBugsBAHLCurrent!$C:$C,"UnityUA",MinorBugsBAHLCurrent!$D:$D,"GameHippo",MinorBugsBAHLCurrent!$J:$J,"&lt;0")+SUMIFS(MinorBugsBAHLSaving!$J:$J,MinorBugsBAHLSaving!$C:$C,"UnityUA",MinorBugsBAHLSaving!$D:$D,"GameHippo",MinorBugsBAHLSaving!$J:$J,"&lt;0")+SUMIFS(MinorBugsMeezanCurrent!$J:$J,MinorBugsMeezanCurrent!$C:$C,"UnityUA",MinorBugsMeezanCurrent!$D:$D,"GameHippo",MinorBugsMeezanCurrent!$J:$J,"&lt;0")+SUMIFS(MintCodeCurrent!$J:$J,MintCodeCurrent!$C:$C,"UnityUA",MintCodeCurrent!$D:$D,"GameHippo",MintCodeCurrent!$J:$J,"&lt;0")+SUMIFS(GamesGeeksBAHL!$J:$J,GamesGeeksBAHL!$C:$C,"UnityUA",GamesGeeksBAHL!$D:$D,"GameHippo",GamesGeeksBAHL!$J:$J,"&lt;0")+SUMIFS(GamingUniverse!$J:$J,GamingUniverse!$C:$C,"UnityUA",GamingUniverse!$D:$D,"GameHippo",GamingUniverse!$J:$J,"&lt;0")+SUMIFS(KashifMeezan!$J:$J,KashifMeezan!$C:$C,"UnityUA",KashifMeezan!$D:$D,"GameHippo",KashifMeezan!$J:$J,"&lt;0")+SUMIFS(SaadMeezan!$J:$J,SaadMeezan!$C:$C,"UnityUA",SaadMeezan!$D:$D,"GameHippo",SaadMeezan!$J:$J,"&lt;0")+SUMIFS(GameHippoMeezan!$J:$J,GameHippoMeezan!$C:$C,"UnityUA",GameHippoMeezan!$D:$D,"GameHippo",GameHippoMeezan!$J:$J,"&lt;0")+SUMIFS(AbdullahMeezan!$J:$J,AbdullahMeezan!$C:$C,"UnityUA",AbdullahMeezan!$D:$D,"GameHippo",AbdullahMeezan!$J:$J,"&lt;0")+SUMIFS(GameSol!$J:$J,GameSol!$C:$C,"UnityUA",GameSol!$D:$D,"GameHippo",GameSol!$J:$J,"&lt;0")+SUMIFS(CipherWaveWise!$J:$J,CipherWaveWise!$C:$C,"UnityUA",CipherWaveWise!$D:$D,"GameHippo",CipherWaveWise!$J:$J,"&lt;0")+SUMIFS(AstroVerse!$J:$J,AstroVerse!$C:$C,"UnityUA",AstroVerse!$D:$D,"GameHippo",AstroVerse!$J:$J,"&lt;0"))</f>
        <v>0</v>
      </c>
      <c r="G22" s="1">
        <f>-(SUMIFS(MinorBugsRetention!$J:$J,MinorBugsRetention!$C:$C,"UnityUA",MinorBugsRetention!$D:$D,"Frentech",MinorBugsRetention!$J:$J,"&lt;0")+SUMIFS(MintCodeRetention!$J:$J,MintCodeRetention!$C:$C,"UnityUA",MintCodeRetention!$D:$D,"Frentech",MintCodeRetention!$J:$J,"&lt;0")+SUMIFS(AlphaRaysFlagStar!$J:$J,AlphaRaysFlagStar!$C:$C,"UnityUA",AlphaRaysFlagStar!$D:$D,"Frentech",AlphaRaysFlagStar!$J:$J,"&lt;0")+SUMIFS(GloriousWise!$J:$J,GloriousWise!$C:$C,"UnityUA",GloriousWise!$D:$D,"Frentech",GloriousWise!$J:$J,"&lt;0")+SUMIFS(Counter!$J:$J,Counter!$C:$C,"UnityUA",Counter!$D:$D,"Frentech",Counter!$J:$J,"&lt;0")+SUMIFS(MinorBugsBAHLCurrent!$J:$J,MinorBugsBAHLCurrent!$C:$C,"UnityUA",MinorBugsBAHLCurrent!$D:$D,"Frentech",MinorBugsBAHLCurrent!$J:$J,"&lt;0")+SUMIFS(MinorBugsBAHLSaving!$J:$J,MinorBugsBAHLSaving!$C:$C,"UnityUA",MinorBugsBAHLSaving!$D:$D,"Frentech",MinorBugsBAHLSaving!$J:$J,"&lt;0")+SUMIFS(MinorBugsMeezanCurrent!$J:$J,MinorBugsMeezanCurrent!$C:$C,"UnityUA",MinorBugsMeezanCurrent!$D:$D,"Frentech",MinorBugsMeezanCurrent!$J:$J,"&lt;0")+SUMIFS(MintCodeCurrent!$J:$J,MintCodeCurrent!$C:$C,"UnityUA",MintCodeCurrent!$D:$D,"Frentech",MintCodeCurrent!$J:$J,"&lt;0")+SUMIFS(GamesGeeksBAHL!$J:$J,GamesGeeksBAHL!$C:$C,"UnityUA",GamesGeeksBAHL!$D:$D,"Frentech",GamesGeeksBAHL!$J:$J,"&lt;0")+SUMIFS(GamingUniverse!$J:$J,GamingUniverse!$C:$C,"UnityUA",GamingUniverse!$D:$D,"Frentech",GamingUniverse!$J:$J,"&lt;0")+SUMIFS(KashifMeezan!$J:$J,KashifMeezan!$C:$C,"UnityUA",KashifMeezan!$D:$D,"Frentech",KashifMeezan!$J:$J,"&lt;0")+SUMIFS(SaadMeezan!$J:$J,SaadMeezan!$C:$C,"UnityUA",SaadMeezan!$D:$D,"Frentech",SaadMeezan!$J:$J,"&lt;0")+SUMIFS(GameHippoMeezan!$J:$J,GameHippoMeezan!$C:$C,"UnityUA",GameHippoMeezan!$D:$D,"Frentech",GameHippoMeezan!$J:$J,"&lt;0")+SUMIFS(AbdullahMeezan!$J:$J,AbdullahMeezan!$C:$C,"UnityUA",AbdullahMeezan!$D:$D,"Frentech",AbdullahMeezan!$J:$J,"&lt;0")+SUMIFS(GameSol!$J:$J,GameSol!$C:$C,"UnityUA",GameSol!$D:$D,"Frentech",GameSol!$J:$J,"&lt;0")+SUMIFS(CipherWaveWise!$J:$J,CipherWaveWise!$C:$C,"UnityUA",CipherWaveWise!$D:$D,"Frentech",CipherWaveWise!$J:$J,"&lt;0")+SUMIFS(AstroVerse!$J:$J,AstroVerse!$C:$C,"UnityUA",AstroVerse!$D:$D,"Frentech",AstroVerse!$J:$J,"&lt;0"))</f>
        <v>0</v>
      </c>
      <c r="H22" s="1">
        <f>-(SUMIFS(MinorBugsRetention!$J:$J,MinorBugsRetention!$C:$C,"UnityUA",MinorBugsRetention!$D:$D,"DevBoat",MinorBugsRetention!$J:$J,"&lt;0")+SUMIFS(MintCodeRetention!$J:$J,MintCodeRetention!$C:$C,"UnityUA",MintCodeRetention!$D:$D,"DevBoat",MintCodeRetention!$J:$J,"&lt;0")+SUMIFS(AlphaRaysFlagStar!$J:$J,AlphaRaysFlagStar!$C:$C,"UnityUA",AlphaRaysFlagStar!$D:$D,"DevBoat",AlphaRaysFlagStar!$J:$J,"&lt;0")+SUMIFS(GloriousWise!$J:$J,GloriousWise!$C:$C,"UnityUA",GloriousWise!$D:$D,"DevBoat",GloriousWise!$J:$J,"&lt;0")+SUMIFS(Counter!$J:$J,Counter!$C:$C,"UnityUA",Counter!$D:$D,"DevBoat",Counter!$J:$J,"&lt;0")+SUMIFS(MinorBugsBAHLCurrent!$J:$J,MinorBugsBAHLCurrent!$C:$C,"UnityUA",MinorBugsBAHLCurrent!$D:$D,"DevBoat",MinorBugsBAHLCurrent!$J:$J,"&lt;0")+SUMIFS(MinorBugsBAHLSaving!$J:$J,MinorBugsBAHLSaving!$C:$C,"UnityUA",MinorBugsBAHLSaving!$D:$D,"DevBoat",MinorBugsBAHLSaving!$J:$J,"&lt;0")+SUMIFS(MinorBugsMeezanCurrent!$J:$J,MinorBugsMeezanCurrent!$C:$C,"UnityUA",MinorBugsMeezanCurrent!$D:$D,"DevBoat",MinorBugsMeezanCurrent!$J:$J,"&lt;0")+SUMIFS(MintCodeCurrent!$J:$J,MintCodeCurrent!$C:$C,"UnityUA",MintCodeCurrent!$D:$D,"DevBoat",MintCodeCurrent!$J:$J,"&lt;0")+SUMIFS(GamesGeeksBAHL!$J:$J,GamesGeeksBAHL!$C:$C,"UnityUA",GamesGeeksBAHL!$D:$D,"DevBoat",GamesGeeksBAHL!$J:$J,"&lt;0")+SUMIFS(GamingUniverse!$J:$J,GamingUniverse!$C:$C,"UnityUA",GamingUniverse!$D:$D,"DevBoat",GamingUniverse!$J:$J,"&lt;0")+SUMIFS(KashifMeezan!$J:$J,KashifMeezan!$C:$C,"UnityUA",KashifMeezan!$D:$D,"DevBoat",KashifMeezan!$J:$J,"&lt;0")+SUMIFS(SaadMeezan!$J:$J,SaadMeezan!$C:$C,"UnityUA",SaadMeezan!$D:$D,"DevBoat",SaadMeezan!$J:$J,"&lt;0")+SUMIFS(GameHippoMeezan!$J:$J,GameHippoMeezan!$C:$C,"UnityUA",GameHippoMeezan!$D:$D,"DevBoat",GameHippoMeezan!$J:$J,"&lt;0")+SUMIFS(AbdullahMeezan!$J:$J,AbdullahMeezan!$C:$C,"UnityUA",AbdullahMeezan!$D:$D,"DevBoat",AbdullahMeezan!$J:$J,"&lt;0")+SUMIFS(GameSol!$J:$J,GameSol!$C:$C,"UnityUA",GameSol!$D:$D,"DevBoat",GameSol!$J:$J,"&lt;0")+SUMIFS(CipherWaveWise!$J:$J,CipherWaveWise!$C:$C,"UnityUA",CipherWaveWise!$D:$D,"DevBoat",CipherWaveWise!$J:$J,"&lt;0")+SUMIFS(AstroVerse!$J:$J,AstroVerse!$C:$C,"UnityUA",AstroVerse!$D:$D,"DevBoat",AstroVerse!$J:$J,"&lt;0"))</f>
        <v>0</v>
      </c>
      <c r="I22" s="1">
        <f t="shared" si="0"/>
        <v>0</v>
      </c>
    </row>
    <row r="23" spans="1:9">
      <c r="A23" t="s">
        <v>26</v>
      </c>
      <c r="B23" s="1">
        <f>-(SUMIFS(MinorBugsRetention!$J:$J,MinorBugsRetention!$C:$C,"Salaries",MinorBugsRetention!$D:$D,"MinorBugs",MinorBugsRetention!$J:$J,"&lt;0")+SUMIFS(MintCodeRetention!$J:$J,MintCodeRetention!$C:$C,"Salaries",MintCodeRetention!$D:$D,"MinorBugs",MintCodeRetention!$J:$J,"&lt;0")+SUMIFS(AlphaRaysFlagStar!$J:$J,AlphaRaysFlagStar!$C:$C,"Salaries",AlphaRaysFlagStar!$D:$D,"MinorBugs",AlphaRaysFlagStar!$J:$J,"&lt;0")+SUMIFS(GloriousWise!$J:$J,GloriousWise!$C:$C,"Salaries",GloriousWise!$D:$D,"MinorBugs",GloriousWise!$J:$J,"&lt;0")+SUMIFS(Counter!$J:$J,Counter!$C:$C,"Salaries",Counter!$D:$D,"MinorBugs",Counter!$J:$J,"&lt;0")+SUMIFS(MinorBugsBAHLCurrent!$J:$J,MinorBugsBAHLCurrent!$C:$C,"Salaries",MinorBugsBAHLCurrent!$D:$D,"MinorBugs",MinorBugsBAHLCurrent!$J:$J,"&lt;0")+SUMIFS(MinorBugsBAHLSaving!$J:$J,MinorBugsBAHLSaving!$C:$C,"Salaries",MinorBugsBAHLSaving!$D:$D,"MinorBugs",MinorBugsBAHLSaving!$J:$J,"&lt;0")+SUMIFS(MinorBugsMeezanCurrent!$J:$J,MinorBugsMeezanCurrent!$C:$C,"Salaries",MinorBugsMeezanCurrent!$D:$D,"MinorBugs",MinorBugsMeezanCurrent!$J:$J,"&lt;0")+SUMIFS(MintCodeCurrent!$J:$J,MintCodeCurrent!$C:$C,"Salaries",MintCodeCurrent!$D:$D,"MinorBugs",MintCodeCurrent!$J:$J,"&lt;0")+SUMIFS(GamesGeeksBAHL!$J:$J,GamesGeeksBAHL!$C:$C,"Salaries",GamesGeeksBAHL!$D:$D,"MinorBugs",GamesGeeksBAHL!$J:$J,"&lt;0")+SUMIFS(GamingUniverse!$J:$J,GamingUniverse!$C:$C,"Salaries",GamingUniverse!$D:$D,"MinorBugs",GamingUniverse!$J:$J,"&lt;0")+SUMIFS(KashifMeezan!$J:$J,KashifMeezan!$C:$C,"Salaries",KashifMeezan!$D:$D,"MinorBugs",KashifMeezan!$J:$J,"&lt;0")+SUMIFS(SaadMeezan!$J:$J,SaadMeezan!$C:$C,"Salaries",SaadMeezan!$D:$D,"MinorBugs",SaadMeezan!$J:$J,"&lt;0")+SUMIFS(GameHippoMeezan!$J:$J,GameHippoMeezan!$C:$C,"Salaries",GameHippoMeezan!$D:$D,"MinorBugs",GameHippoMeezan!$J:$J,"&lt;0")+SUMIFS(AbdullahMeezan!$J:$J,AbdullahMeezan!$C:$C,"Salaries",AbdullahMeezan!$D:$D,"MinorBugs",AbdullahMeezan!$J:$J,"&lt;0")+SUMIFS(GameSol!$J:$J,GameSol!$C:$C,"Salaries",GameSol!$D:$D,"MinorBugs",GameSol!$J:$J,"&lt;0")+SUMIFS(CipherWaveWise!$J:$J,CipherWaveWise!$C:$C,"Salaries",CipherWaveWise!$D:$D,"MinorBugs",CipherWaveWise!$J:$J,"&lt;0")+SUMIFS(AstroVerse!$J:$J,AstroVerse!$C:$C,"Salaries",AstroVerse!$D:$D,"MinorBugs",AstroVerse!$J:$J,"&lt;0"))</f>
        <v>4488705</v>
      </c>
      <c r="C23" s="1">
        <f>-(SUMIFS(MinorBugsRetention!$J:$J,MinorBugsRetention!$C:$C,"Salaries",MinorBugsRetention!$D:$D,"BraveJackals",MinorBugsRetention!$J:$J,"&lt;0")+SUMIFS(MintCodeRetention!$J:$J,MintCodeRetention!$C:$C,"Salaries",MintCodeRetention!$D:$D,"BraveJackals",MintCodeRetention!$J:$J,"&lt;0")+SUMIFS(AlphaRaysFlagStar!$J:$J,AlphaRaysFlagStar!$C:$C,"Salaries",AlphaRaysFlagStar!$D:$D,"BraveJackals",AlphaRaysFlagStar!$J:$J,"&lt;0")+SUMIFS(GloriousWise!$J:$J,GloriousWise!$C:$C,"Salaries",GloriousWise!$D:$D,"BraveJackals",GloriousWise!$J:$J,"&lt;0")+SUMIFS(Counter!$J:$J,Counter!$C:$C,"Salaries",Counter!$D:$D,"BraveJackals",Counter!$J:$J,"&lt;0")+SUMIFS(MinorBugsBAHLCurrent!$J:$J,MinorBugsBAHLCurrent!$C:$C,"Salaries",MinorBugsBAHLCurrent!$D:$D,"BraveJackals",MinorBugsBAHLCurrent!$J:$J,"&lt;0")+SUMIFS(MinorBugsBAHLSaving!$J:$J,MinorBugsBAHLSaving!$C:$C,"Salaries",MinorBugsBAHLSaving!$D:$D,"BraveJackals",MinorBugsBAHLSaving!$J:$J,"&lt;0")+SUMIFS(MinorBugsMeezanCurrent!$J:$J,MinorBugsMeezanCurrent!$C:$C,"Salaries",MinorBugsMeezanCurrent!$D:$D,"BraveJackals",MinorBugsMeezanCurrent!$J:$J,"&lt;0")+SUMIFS(MintCodeCurrent!$J:$J,MintCodeCurrent!$C:$C,"Salaries",MintCodeCurrent!$D:$D,"BraveJackals",MintCodeCurrent!$J:$J,"&lt;0")+SUMIFS(GamesGeeksBAHL!$J:$J,GamesGeeksBAHL!$C:$C,"Salaries",GamesGeeksBAHL!$D:$D,"BraveJackals",GamesGeeksBAHL!$J:$J,"&lt;0")+SUMIFS(GamingUniverse!$J:$J,GamingUniverse!$C:$C,"Salaries",GamingUniverse!$D:$D,"BraveJackals",GamingUniverse!$J:$J,"&lt;0")+SUMIFS(KashifMeezan!$J:$J,KashifMeezan!$C:$C,"Salaries",KashifMeezan!$D:$D,"BraveJackals",KashifMeezan!$J:$J,"&lt;0")+SUMIFS(SaadMeezan!$J:$J,SaadMeezan!$C:$C,"Salaries",SaadMeezan!$D:$D,"BraveJackals",SaadMeezan!$J:$J,"&lt;0")+SUMIFS(GameHippoMeezan!$J:$J,GameHippoMeezan!$C:$C,"Salaries",GameHippoMeezan!$D:$D,"BraveJackals",GameHippoMeezan!$J:$J,"&lt;0")+SUMIFS(AbdullahMeezan!$J:$J,AbdullahMeezan!$C:$C,"Salaries",AbdullahMeezan!$D:$D,"BraveJackals",AbdullahMeezan!$J:$J,"&lt;0")+SUMIFS(GameSol!$J:$J,GameSol!$C:$C,"Salaries",GameSol!$D:$D,"BraveJackals",GameSol!$J:$J,"&lt;0")+SUMIFS(CipherWaveWise!$J:$J,CipherWaveWise!$C:$C,"Salaries",CipherWaveWise!$D:$D,"BraveJackals",CipherWaveWise!$J:$J,"&lt;0")+SUMIFS(AstroVerse!$J:$J,AstroVerse!$C:$C,"Salaries",AstroVerse!$D:$D,"BraveJackals",AstroVerse!$J:$J,"&lt;0"))</f>
        <v>0</v>
      </c>
      <c r="D23" s="1">
        <f>-(SUMIFS(MinorBugsRetention!$J:$J,MinorBugsRetention!$C:$C,"Salaries",MinorBugsRetention!$D:$D,"GoJins",MinorBugsRetention!$J:$J,"&lt;0")+SUMIFS(MintCodeRetention!$J:$J,MintCodeRetention!$C:$C,"Salaries",MintCodeRetention!$D:$D,"GoJins",MintCodeRetention!$J:$J,"&lt;0")+SUMIFS(AlphaRaysFlagStar!$J:$J,AlphaRaysFlagStar!$C:$C,"Salaries",AlphaRaysFlagStar!$D:$D,"GoJins",AlphaRaysFlagStar!$J:$J,"&lt;0")+SUMIFS(GloriousWise!$J:$J,GloriousWise!$C:$C,"Salaries",GloriousWise!$D:$D,"GoJins",GloriousWise!$J:$J,"&lt;0")+SUMIFS(Counter!$J:$J,Counter!$C:$C,"Salaries",Counter!$D:$D,"GoJins",Counter!$J:$J,"&lt;0")+SUMIFS(MinorBugsBAHLCurrent!$J:$J,MinorBugsBAHLCurrent!$C:$C,"Salaries",MinorBugsBAHLCurrent!$D:$D,"GoJins",MinorBugsBAHLCurrent!$J:$J,"&lt;0")+SUMIFS(MinorBugsBAHLSaving!$J:$J,MinorBugsBAHLSaving!$C:$C,"Salaries",MinorBugsBAHLSaving!$D:$D,"GoJins",MinorBugsBAHLSaving!$J:$J,"&lt;0")+SUMIFS(MinorBugsMeezanCurrent!$J:$J,MinorBugsMeezanCurrent!$C:$C,"Salaries",MinorBugsMeezanCurrent!$D:$D,"GoJins",MinorBugsMeezanCurrent!$J:$J,"&lt;0")+SUMIFS(MintCodeCurrent!$J:$J,MintCodeCurrent!$C:$C,"Salaries",MintCodeCurrent!$D:$D,"GoJins",MintCodeCurrent!$J:$J,"&lt;0")+SUMIFS(GamesGeeksBAHL!$J:$J,GamesGeeksBAHL!$C:$C,"Salaries",GamesGeeksBAHL!$D:$D,"GoJins",GamesGeeksBAHL!$J:$J,"&lt;0")+SUMIFS(GamingUniverse!$J:$J,GamingUniverse!$C:$C,"Salaries",GamingUniverse!$D:$D,"GoJins",GamingUniverse!$J:$J,"&lt;0")+SUMIFS(KashifMeezan!$J:$J,KashifMeezan!$C:$C,"Salaries",KashifMeezan!$D:$D,"GoJins",KashifMeezan!$J:$J,"&lt;0")+SUMIFS(SaadMeezan!$J:$J,SaadMeezan!$C:$C,"Salaries",SaadMeezan!$D:$D,"GoJins",SaadMeezan!$J:$J,"&lt;0")+SUMIFS(GameHippoMeezan!$J:$J,GameHippoMeezan!$C:$C,"Salaries",GameHippoMeezan!$D:$D,"GoJins",GameHippoMeezan!$J:$J,"&lt;0")+SUMIFS(AbdullahMeezan!$J:$J,AbdullahMeezan!$C:$C,"Salaries",AbdullahMeezan!$D:$D,"GoJins",AbdullahMeezan!$J:$J,"&lt;0")+SUMIFS(GameSol!$J:$J,GameSol!$C:$C,"Salaries",GameSol!$D:$D,"GoJins",GameSol!$J:$J,"&lt;0")+SUMIFS(CipherWaveWise!$J:$J,CipherWaveWise!$C:$C,"Salaries",CipherWaveWise!$D:$D,"GoJins",CipherWaveWise!$J:$J,"&lt;0")+SUMIFS(AstroVerse!$J:$J,AstroVerse!$C:$C,"Salaries",AstroVerse!$D:$D,"GoJins",AstroVerse!$J:$J,"&lt;0"))</f>
        <v>0</v>
      </c>
      <c r="E23" s="1">
        <f>-(SUMIFS(MinorBugsRetention!$J:$J,MinorBugsRetention!$C:$C,"Salaries",MinorBugsRetention!$D:$D,"BuggiesKids",MinorBugsRetention!$J:$J,"&lt;0")+SUMIFS(MintCodeRetention!$J:$J,MintCodeRetention!$C:$C,"Salaries",MintCodeRetention!$D:$D,"BuggiesKids",MintCodeRetention!$J:$J,"&lt;0")+SUMIFS(AlphaRaysFlagStar!$J:$J,AlphaRaysFlagStar!$C:$C,"Salaries",AlphaRaysFlagStar!$D:$D,"BuggiesKids",AlphaRaysFlagStar!$J:$J,"&lt;0")+SUMIFS(GloriousWise!$J:$J,GloriousWise!$C:$C,"Salaries",GloriousWise!$D:$D,"BuggiesKids",GloriousWise!$J:$J,"&lt;0")+SUMIFS(Counter!$J:$J,Counter!$C:$C,"Salaries",Counter!$D:$D,"BuggiesKids",Counter!$J:$J,"&lt;0")+SUMIFS(MinorBugsBAHLCurrent!$J:$J,MinorBugsBAHLCurrent!$C:$C,"Salaries",MinorBugsBAHLCurrent!$D:$D,"BuggiesKids",MinorBugsBAHLCurrent!$J:$J,"&lt;0")+SUMIFS(MinorBugsBAHLSaving!$J:$J,MinorBugsBAHLSaving!$C:$C,"Salaries",MinorBugsBAHLSaving!$D:$D,"BuggiesKids",MinorBugsBAHLSaving!$J:$J,"&lt;0")+SUMIFS(MinorBugsMeezanCurrent!$J:$J,MinorBugsMeezanCurrent!$C:$C,"Salaries",MinorBugsMeezanCurrent!$D:$D,"BuggiesKids",MinorBugsMeezanCurrent!$J:$J,"&lt;0")+SUMIFS(MintCodeCurrent!$J:$J,MintCodeCurrent!$C:$C,"Salaries",MintCodeCurrent!$D:$D,"BuggiesKids",MintCodeCurrent!$J:$J,"&lt;0")+SUMIFS(GamesGeeksBAHL!$J:$J,GamesGeeksBAHL!$C:$C,"Salaries",GamesGeeksBAHL!$D:$D,"BuggiesKids",GamesGeeksBAHL!$J:$J,"&lt;0")+SUMIFS(GamingUniverse!$J:$J,GamingUniverse!$C:$C,"Salaries",GamingUniverse!$D:$D,"BuggiesKids",GamingUniverse!$J:$J,"&lt;0")+SUMIFS(KashifMeezan!$J:$J,KashifMeezan!$C:$C,"Salaries",KashifMeezan!$D:$D,"BuggiesKids",KashifMeezan!$J:$J,"&lt;0")+SUMIFS(SaadMeezan!$J:$J,SaadMeezan!$C:$C,"Salaries",SaadMeezan!$D:$D,"BuggiesKids",SaadMeezan!$J:$J,"&lt;0")+SUMIFS(GameHippoMeezan!$J:$J,GameHippoMeezan!$C:$C,"Salaries",GameHippoMeezan!$D:$D,"BuggiesKids",GameHippoMeezan!$J:$J,"&lt;0")+SUMIFS(AbdullahMeezan!$J:$J,AbdullahMeezan!$C:$C,"Salaries",AbdullahMeezan!$D:$D,"BuggiesKids",AbdullahMeezan!$J:$J,"&lt;0")+SUMIFS(GameSol!$J:$J,GameSol!$C:$C,"Salaries",GameSol!$D:$D,"BuggiesKids",GameSol!$J:$J,"&lt;0")+SUMIFS(CipherWaveWise!$J:$J,CipherWaveWise!$C:$C,"Salaries",CipherWaveWise!$D:$D,"BuggiesKids",CipherWaveWise!$J:$J,"&lt;0")+SUMIFS(AstroVerse!$J:$J,AstroVerse!$C:$C,"Salaries",AstroVerse!$D:$D,"BuggiesKids",AstroVerse!$J:$J,"&lt;0"))</f>
        <v>0</v>
      </c>
      <c r="F23" s="1">
        <f>-(SUMIFS(MinorBugsRetention!$J:$J,MinorBugsRetention!$C:$C,"Salaries",MinorBugsRetention!$D:$D,"GameHippo",MinorBugsRetention!$J:$J,"&lt;0")+SUMIFS(MintCodeRetention!$J:$J,MintCodeRetention!$C:$C,"Salaries",MintCodeRetention!$D:$D,"GameHippo",MintCodeRetention!$J:$J,"&lt;0")+SUMIFS(AlphaRaysFlagStar!$J:$J,AlphaRaysFlagStar!$C:$C,"Salaries",AlphaRaysFlagStar!$D:$D,"GameHippo",AlphaRaysFlagStar!$J:$J,"&lt;0")+SUMIFS(GloriousWise!$J:$J,GloriousWise!$C:$C,"Salaries",GloriousWise!$D:$D,"GameHippo",GloriousWise!$J:$J,"&lt;0")+SUMIFS(Counter!$J:$J,Counter!$C:$C,"Salaries",Counter!$D:$D,"GameHippo",Counter!$J:$J,"&lt;0")+SUMIFS(MinorBugsBAHLCurrent!$J:$J,MinorBugsBAHLCurrent!$C:$C,"Salaries",MinorBugsBAHLCurrent!$D:$D,"GameHippo",MinorBugsBAHLCurrent!$J:$J,"&lt;0")+SUMIFS(MinorBugsBAHLSaving!$J:$J,MinorBugsBAHLSaving!$C:$C,"Salaries",MinorBugsBAHLSaving!$D:$D,"GameHippo",MinorBugsBAHLSaving!$J:$J,"&lt;0")+SUMIFS(MinorBugsMeezanCurrent!$J:$J,MinorBugsMeezanCurrent!$C:$C,"Salaries",MinorBugsMeezanCurrent!$D:$D,"GameHippo",MinorBugsMeezanCurrent!$J:$J,"&lt;0")+SUMIFS(MintCodeCurrent!$J:$J,MintCodeCurrent!$C:$C,"Salaries",MintCodeCurrent!$D:$D,"GameHippo",MintCodeCurrent!$J:$J,"&lt;0")+SUMIFS(GamesGeeksBAHL!$J:$J,GamesGeeksBAHL!$C:$C,"Salaries",GamesGeeksBAHL!$D:$D,"GameHippo",GamesGeeksBAHL!$J:$J,"&lt;0")+SUMIFS(GamingUniverse!$J:$J,GamingUniverse!$C:$C,"Salaries",GamingUniverse!$D:$D,"GameHippo",GamingUniverse!$J:$J,"&lt;0")+SUMIFS(KashifMeezan!$J:$J,KashifMeezan!$C:$C,"Salaries",KashifMeezan!$D:$D,"GameHippo",KashifMeezan!$J:$J,"&lt;0")+SUMIFS(SaadMeezan!$J:$J,SaadMeezan!$C:$C,"Salaries",SaadMeezan!$D:$D,"GameHippo",SaadMeezan!$J:$J,"&lt;0")+SUMIFS(GameHippoMeezan!$J:$J,GameHippoMeezan!$C:$C,"Salaries",GameHippoMeezan!$D:$D,"GameHippo",GameHippoMeezan!$J:$J,"&lt;0")+SUMIFS(AbdullahMeezan!$J:$J,AbdullahMeezan!$C:$C,"Salaries",AbdullahMeezan!$D:$D,"GameHippo",AbdullahMeezan!$J:$J,"&lt;0")+SUMIFS(GameSol!$J:$J,GameSol!$C:$C,"Salaries",GameSol!$D:$D,"GameHippo",GameSol!$J:$J,"&lt;0")+SUMIFS(CipherWaveWise!$J:$J,CipherWaveWise!$C:$C,"Salaries",CipherWaveWise!$D:$D,"GameHippo",CipherWaveWise!$J:$J,"&lt;0")+SUMIFS(AstroVerse!$J:$J,AstroVerse!$C:$C,"Salaries",AstroVerse!$D:$D,"GameHippo",AstroVerse!$J:$J,"&lt;0"))</f>
        <v>0</v>
      </c>
      <c r="G23" s="1">
        <f>-(SUMIFS(MinorBugsRetention!$J:$J,MinorBugsRetention!$C:$C,"Salaries",MinorBugsRetention!$D:$D,"Frentech",MinorBugsRetention!$J:$J,"&lt;0")+SUMIFS(MintCodeRetention!$J:$J,MintCodeRetention!$C:$C,"Salaries",MintCodeRetention!$D:$D,"Frentech",MintCodeRetention!$J:$J,"&lt;0")+SUMIFS(AlphaRaysFlagStar!$J:$J,AlphaRaysFlagStar!$C:$C,"Salaries",AlphaRaysFlagStar!$D:$D,"Frentech",AlphaRaysFlagStar!$J:$J,"&lt;0")+SUMIFS(GloriousWise!$J:$J,GloriousWise!$C:$C,"Salaries",GloriousWise!$D:$D,"Frentech",GloriousWise!$J:$J,"&lt;0")+SUMIFS(Counter!$J:$J,Counter!$C:$C,"Salaries",Counter!$D:$D,"Frentech",Counter!$J:$J,"&lt;0")+SUMIFS(MinorBugsBAHLCurrent!$J:$J,MinorBugsBAHLCurrent!$C:$C,"Salaries",MinorBugsBAHLCurrent!$D:$D,"Frentech",MinorBugsBAHLCurrent!$J:$J,"&lt;0")+SUMIFS(MinorBugsBAHLSaving!$J:$J,MinorBugsBAHLSaving!$C:$C,"Salaries",MinorBugsBAHLSaving!$D:$D,"Frentech",MinorBugsBAHLSaving!$J:$J,"&lt;0")+SUMIFS(MinorBugsMeezanCurrent!$J:$J,MinorBugsMeezanCurrent!$C:$C,"Salaries",MinorBugsMeezanCurrent!$D:$D,"Frentech",MinorBugsMeezanCurrent!$J:$J,"&lt;0")+SUMIFS(MintCodeCurrent!$J:$J,MintCodeCurrent!$C:$C,"Salaries",MintCodeCurrent!$D:$D,"Frentech",MintCodeCurrent!$J:$J,"&lt;0")+SUMIFS(GamesGeeksBAHL!$J:$J,GamesGeeksBAHL!$C:$C,"Salaries",GamesGeeksBAHL!$D:$D,"Frentech",GamesGeeksBAHL!$J:$J,"&lt;0")+SUMIFS(GamingUniverse!$J:$J,GamingUniverse!$C:$C,"Salaries",GamingUniverse!$D:$D,"Frentech",GamingUniverse!$J:$J,"&lt;0")+SUMIFS(KashifMeezan!$J:$J,KashifMeezan!$C:$C,"Salaries",KashifMeezan!$D:$D,"Frentech",KashifMeezan!$J:$J,"&lt;0")+SUMIFS(SaadMeezan!$J:$J,SaadMeezan!$C:$C,"Salaries",SaadMeezan!$D:$D,"Frentech",SaadMeezan!$J:$J,"&lt;0")+SUMIFS(GameHippoMeezan!$J:$J,GameHippoMeezan!$C:$C,"Salaries",GameHippoMeezan!$D:$D,"Frentech",GameHippoMeezan!$J:$J,"&lt;0")+SUMIFS(AbdullahMeezan!$J:$J,AbdullahMeezan!$C:$C,"Salaries",AbdullahMeezan!$D:$D,"Frentech",AbdullahMeezan!$J:$J,"&lt;0")+SUMIFS(GameSol!$J:$J,GameSol!$C:$C,"Salaries",GameSol!$D:$D,"Frentech",GameSol!$J:$J,"&lt;0")+SUMIFS(CipherWaveWise!$J:$J,CipherWaveWise!$C:$C,"Salaries",CipherWaveWise!$D:$D,"Frentech",CipherWaveWise!$J:$J,"&lt;0")+SUMIFS(AstroVerse!$J:$J,AstroVerse!$C:$C,"Salaries",AstroVerse!$D:$D,"Frentech",AstroVerse!$J:$J,"&lt;0"))</f>
        <v>0</v>
      </c>
      <c r="H23" s="1">
        <f>-(SUMIFS(MinorBugsRetention!$J:$J,MinorBugsRetention!$C:$C,"Salaries",MinorBugsRetention!$D:$D,"DevBoat",MinorBugsRetention!$J:$J,"&lt;0")+SUMIFS(MintCodeRetention!$J:$J,MintCodeRetention!$C:$C,"Salaries",MintCodeRetention!$D:$D,"DevBoat",MintCodeRetention!$J:$J,"&lt;0")+SUMIFS(AlphaRaysFlagStar!$J:$J,AlphaRaysFlagStar!$C:$C,"Salaries",AlphaRaysFlagStar!$D:$D,"DevBoat",AlphaRaysFlagStar!$J:$J,"&lt;0")+SUMIFS(GloriousWise!$J:$J,GloriousWise!$C:$C,"Salaries",GloriousWise!$D:$D,"DevBoat",GloriousWise!$J:$J,"&lt;0")+SUMIFS(Counter!$J:$J,Counter!$C:$C,"Salaries",Counter!$D:$D,"DevBoat",Counter!$J:$J,"&lt;0")+SUMIFS(MinorBugsBAHLCurrent!$J:$J,MinorBugsBAHLCurrent!$C:$C,"Salaries",MinorBugsBAHLCurrent!$D:$D,"DevBoat",MinorBugsBAHLCurrent!$J:$J,"&lt;0")+SUMIFS(MinorBugsBAHLSaving!$J:$J,MinorBugsBAHLSaving!$C:$C,"Salaries",MinorBugsBAHLSaving!$D:$D,"DevBoat",MinorBugsBAHLSaving!$J:$J,"&lt;0")+SUMIFS(MinorBugsMeezanCurrent!$J:$J,MinorBugsMeezanCurrent!$C:$C,"Salaries",MinorBugsMeezanCurrent!$D:$D,"DevBoat",MinorBugsMeezanCurrent!$J:$J,"&lt;0")+SUMIFS(MintCodeCurrent!$J:$J,MintCodeCurrent!$C:$C,"Salaries",MintCodeCurrent!$D:$D,"DevBoat",MintCodeCurrent!$J:$J,"&lt;0")+SUMIFS(GamesGeeksBAHL!$J:$J,GamesGeeksBAHL!$C:$C,"Salaries",GamesGeeksBAHL!$D:$D,"DevBoat",GamesGeeksBAHL!$J:$J,"&lt;0")+SUMIFS(GamingUniverse!$J:$J,GamingUniverse!$C:$C,"Salaries",GamingUniverse!$D:$D,"DevBoat",GamingUniverse!$J:$J,"&lt;0")+SUMIFS(KashifMeezan!$J:$J,KashifMeezan!$C:$C,"Salaries",KashifMeezan!$D:$D,"DevBoat",KashifMeezan!$J:$J,"&lt;0")+SUMIFS(SaadMeezan!$J:$J,SaadMeezan!$C:$C,"Salaries",SaadMeezan!$D:$D,"DevBoat",SaadMeezan!$J:$J,"&lt;0")+SUMIFS(GameHippoMeezan!$J:$J,GameHippoMeezan!$C:$C,"Salaries",GameHippoMeezan!$D:$D,"DevBoat",GameHippoMeezan!$J:$J,"&lt;0")+SUMIFS(AbdullahMeezan!$J:$J,AbdullahMeezan!$C:$C,"Salaries",AbdullahMeezan!$D:$D,"DevBoat",AbdullahMeezan!$J:$J,"&lt;0")+SUMIFS(GameSol!$J:$J,GameSol!$C:$C,"Salaries",GameSol!$D:$D,"DevBoat",GameSol!$J:$J,"&lt;0")+SUMIFS(CipherWaveWise!$J:$J,CipherWaveWise!$C:$C,"Salaries",CipherWaveWise!$D:$D,"DevBoat",CipherWaveWise!$J:$J,"&lt;0")+SUMIFS(AstroVerse!$J:$J,AstroVerse!$C:$C,"Salaries",AstroVerse!$D:$D,"DevBoat",AstroVerse!$J:$J,"&lt;0"))</f>
        <v>0</v>
      </c>
      <c r="I23" s="1">
        <f>SUM(B22:H22)</f>
        <v>0</v>
      </c>
    </row>
    <row r="24" spans="2:9">
      <c r="B24" s="1"/>
      <c r="C24" s="1"/>
      <c r="D24" s="1"/>
      <c r="E24" s="1"/>
      <c r="F24" s="1"/>
      <c r="G24" s="1"/>
      <c r="H24" s="1"/>
      <c r="I24" s="1">
        <f>SUM(B24:H24)</f>
        <v>0</v>
      </c>
    </row>
    <row r="25" spans="2:9">
      <c r="B25" s="1"/>
      <c r="C25" s="1"/>
      <c r="D25" s="1"/>
      <c r="E25" s="1"/>
      <c r="F25" s="1"/>
      <c r="G25" s="1"/>
      <c r="H25" s="1"/>
      <c r="I25" s="1">
        <f>SUM(B25:H25)</f>
        <v>0</v>
      </c>
    </row>
    <row r="26" spans="2:9">
      <c r="B26" s="1"/>
      <c r="C26" s="1"/>
      <c r="D26" s="1"/>
      <c r="E26" s="1"/>
      <c r="F26" s="1"/>
      <c r="G26" s="1"/>
      <c r="H26" s="1"/>
      <c r="I26" s="1">
        <f>SUM(B26:H26)</f>
        <v>0</v>
      </c>
    </row>
    <row r="27" spans="2:9">
      <c r="B27" s="1"/>
      <c r="C27" s="1"/>
      <c r="D27" s="1"/>
      <c r="E27" s="1"/>
      <c r="F27" s="1"/>
      <c r="G27" s="1"/>
      <c r="H27" s="1"/>
      <c r="I27" s="1">
        <f>SUM(B27:H27)</f>
        <v>0</v>
      </c>
    </row>
    <row r="28" spans="2:9">
      <c r="B28" s="1"/>
      <c r="C28" s="1"/>
      <c r="D28" s="1"/>
      <c r="E28" s="1"/>
      <c r="F28" s="1"/>
      <c r="G28" s="1"/>
      <c r="H28" s="1"/>
      <c r="I28" s="1">
        <f>SUM(B28:H28)</f>
        <v>0</v>
      </c>
    </row>
    <row r="29" spans="1:9">
      <c r="A29" t="s">
        <v>167</v>
      </c>
      <c r="B29" s="1">
        <f>SUM(B2:B28)</f>
        <v>7032205.17</v>
      </c>
      <c r="C29" s="1">
        <f t="shared" ref="C29:I29" si="1">SUM(C2:C28)</f>
        <v>830039</v>
      </c>
      <c r="D29" s="1">
        <f t="shared" si="1"/>
        <v>37964.45</v>
      </c>
      <c r="E29" s="1">
        <f t="shared" si="1"/>
        <v>593347</v>
      </c>
      <c r="F29" s="1">
        <f t="shared" si="1"/>
        <v>0</v>
      </c>
      <c r="G29" s="1">
        <f t="shared" si="1"/>
        <v>0</v>
      </c>
      <c r="H29" s="1">
        <f t="shared" si="1"/>
        <v>2414</v>
      </c>
      <c r="I29" s="1">
        <f t="shared" si="1"/>
        <v>4007264.62</v>
      </c>
    </row>
    <row r="30" spans="2:9">
      <c r="B30" s="1"/>
      <c r="C30" s="1"/>
      <c r="D30" s="1"/>
      <c r="E30" s="1"/>
      <c r="F30" s="1"/>
      <c r="G30" s="1"/>
      <c r="H30" s="1"/>
      <c r="I30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zoomScale="121" zoomScaleNormal="121" workbookViewId="0">
      <selection activeCell="A10" sqref="A3:A10"/>
    </sheetView>
  </sheetViews>
  <sheetFormatPr defaultColWidth="9" defaultRowHeight="16.8" outlineLevelRow="7"/>
  <sheetData>
    <row r="1" spans="1:1">
      <c r="A1" t="s">
        <v>28</v>
      </c>
    </row>
    <row r="2" spans="1:1">
      <c r="A2" t="s">
        <v>29</v>
      </c>
    </row>
    <row r="3" spans="1:1">
      <c r="A3" t="s">
        <v>30</v>
      </c>
    </row>
    <row r="4" spans="1:1">
      <c r="A4" t="s">
        <v>31</v>
      </c>
    </row>
    <row r="5" spans="1:1">
      <c r="A5" t="s">
        <v>32</v>
      </c>
    </row>
    <row r="6" spans="1:1">
      <c r="A6" t="s">
        <v>33</v>
      </c>
    </row>
    <row r="7" spans="1:1">
      <c r="A7" t="s">
        <v>34</v>
      </c>
    </row>
    <row r="8" spans="1:1">
      <c r="A8" t="s">
        <v>35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zoomScale="131" zoomScaleNormal="131" workbookViewId="0">
      <selection activeCell="A23" sqref="A23"/>
    </sheetView>
  </sheetViews>
  <sheetFormatPr defaultColWidth="9" defaultRowHeight="16.8" outlineLevelCol="1"/>
  <cols>
    <col min="1" max="1" width="23.25" customWidth="1"/>
    <col min="2" max="2" width="15.8125" customWidth="1"/>
  </cols>
  <sheetData>
    <row r="1" spans="1:2">
      <c r="A1" t="s">
        <v>36</v>
      </c>
      <c r="B1" t="s">
        <v>37</v>
      </c>
    </row>
    <row r="2" spans="1:2">
      <c r="A2" t="s">
        <v>38</v>
      </c>
      <c r="B2" t="s">
        <v>2</v>
      </c>
    </row>
    <row r="3" spans="1:2">
      <c r="A3" t="s">
        <v>39</v>
      </c>
      <c r="B3" t="s">
        <v>2</v>
      </c>
    </row>
    <row r="4" spans="1:2">
      <c r="A4" t="s">
        <v>40</v>
      </c>
      <c r="B4" t="s">
        <v>2</v>
      </c>
    </row>
    <row r="5" spans="1:2">
      <c r="A5" t="s">
        <v>41</v>
      </c>
      <c r="B5" t="s">
        <v>2</v>
      </c>
    </row>
    <row r="6" spans="1:2">
      <c r="A6" t="s">
        <v>42</v>
      </c>
      <c r="B6" t="s">
        <v>3</v>
      </c>
    </row>
    <row r="7" spans="1:2">
      <c r="A7" t="s">
        <v>43</v>
      </c>
      <c r="B7" t="s">
        <v>3</v>
      </c>
    </row>
    <row r="8" spans="1:2">
      <c r="A8" t="s">
        <v>44</v>
      </c>
      <c r="B8" t="s">
        <v>3</v>
      </c>
    </row>
    <row r="9" spans="1:2">
      <c r="A9" t="s">
        <v>45</v>
      </c>
      <c r="B9" t="s">
        <v>3</v>
      </c>
    </row>
    <row r="10" spans="1:2">
      <c r="A10" t="s">
        <v>46</v>
      </c>
      <c r="B10" t="s">
        <v>3</v>
      </c>
    </row>
    <row r="11" spans="1:2">
      <c r="A11" t="s">
        <v>47</v>
      </c>
      <c r="B11" t="s">
        <v>3</v>
      </c>
    </row>
    <row r="12" spans="1:2">
      <c r="A12" t="s">
        <v>48</v>
      </c>
      <c r="B12" t="s">
        <v>3</v>
      </c>
    </row>
    <row r="13" spans="1:2">
      <c r="A13" t="s">
        <v>49</v>
      </c>
      <c r="B13" t="s">
        <v>3</v>
      </c>
    </row>
    <row r="14" spans="1:2">
      <c r="A14" t="s">
        <v>50</v>
      </c>
      <c r="B14" t="s">
        <v>3</v>
      </c>
    </row>
    <row r="15" spans="1:2">
      <c r="A15" t="s">
        <v>51</v>
      </c>
      <c r="B15" t="s">
        <v>3</v>
      </c>
    </row>
    <row r="16" spans="1:2">
      <c r="A16" t="s">
        <v>52</v>
      </c>
      <c r="B16" t="s">
        <v>3</v>
      </c>
    </row>
    <row r="17" spans="1:2">
      <c r="A17" t="s">
        <v>53</v>
      </c>
      <c r="B17" t="s">
        <v>3</v>
      </c>
    </row>
    <row r="18" spans="1:2">
      <c r="A18" t="s">
        <v>54</v>
      </c>
      <c r="B18" t="s">
        <v>2</v>
      </c>
    </row>
    <row r="19" spans="1:2">
      <c r="A19" t="s">
        <v>55</v>
      </c>
      <c r="B19" t="s">
        <v>2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workbookViewId="0">
      <pane ySplit="1" topLeftCell="A2" activePane="bottomLeft" state="frozen"/>
      <selection/>
      <selection pane="bottomLeft" activeCell="A6" sqref="A6:L9"/>
    </sheetView>
  </sheetViews>
  <sheetFormatPr defaultColWidth="9" defaultRowHeight="16.8"/>
  <cols>
    <col min="1" max="1" width="22" customWidth="1"/>
    <col min="2" max="2" width="12" customWidth="1"/>
    <col min="3" max="4" width="16" customWidth="1"/>
    <col min="5" max="5" width="26" customWidth="1"/>
    <col min="6" max="6" width="36" customWidth="1"/>
    <col min="7" max="7" width="12" customWidth="1"/>
    <col min="8" max="9" width="10" customWidth="1"/>
    <col min="10" max="10" width="14" customWidth="1"/>
    <col min="11" max="11" width="16" customWidth="1"/>
    <col min="12" max="12" width="14" customWidth="1"/>
    <col min="14" max="14" width="2" customWidth="1"/>
    <col min="16" max="16" width="2" customWidth="1"/>
  </cols>
  <sheetData>
    <row r="1" spans="1:12">
      <c r="A1" t="s">
        <v>36</v>
      </c>
      <c r="B1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</row>
    <row r="2" spans="2:12">
      <c r="B2" s="10">
        <v>45839</v>
      </c>
      <c r="F2" t="s">
        <v>64</v>
      </c>
      <c r="G2">
        <v>36</v>
      </c>
      <c r="H2" t="s">
        <v>2</v>
      </c>
      <c r="I2">
        <f>IFERROR(VLOOKUP(H2,Rates!$A$2:$B$3,2,0),1)</f>
        <v>283</v>
      </c>
      <c r="J2">
        <f t="shared" ref="J2:J65" si="0">IF(G2&lt;&gt;"",G2*I2,"")</f>
        <v>10188</v>
      </c>
      <c r="K2">
        <f>IF(J2&lt;&gt;"",J2,"")</f>
        <v>10188</v>
      </c>
      <c r="L2">
        <f ca="1" t="shared" ref="L2:L65" si="1">IF(COUNTA(A2:K2)&gt;0,TODAY(),"")</f>
        <v>45942</v>
      </c>
    </row>
    <row r="3" spans="2:12">
      <c r="B3" s="10">
        <v>45861</v>
      </c>
      <c r="C3" t="s">
        <v>17</v>
      </c>
      <c r="E3" t="s">
        <v>43</v>
      </c>
      <c r="F3" t="s">
        <v>29</v>
      </c>
      <c r="G3" s="5">
        <v>12843</v>
      </c>
      <c r="H3" t="s">
        <v>2</v>
      </c>
      <c r="I3">
        <f>IFERROR(VLOOKUP(H3,Rates!$A$2:$B$3,2,0),1)</f>
        <v>283</v>
      </c>
      <c r="J3">
        <f t="shared" si="0"/>
        <v>3634569</v>
      </c>
      <c r="K3">
        <f>IF(J3&lt;&gt;"",SUM($J$2:J3),"")</f>
        <v>3644757</v>
      </c>
      <c r="L3">
        <f ca="1" t="shared" si="1"/>
        <v>45942</v>
      </c>
    </row>
    <row r="4" spans="2:12">
      <c r="B4" s="10">
        <v>45863</v>
      </c>
      <c r="C4" t="s">
        <v>17</v>
      </c>
      <c r="E4" t="s">
        <v>46</v>
      </c>
      <c r="F4" t="s">
        <v>65</v>
      </c>
      <c r="G4" s="5">
        <v>7321</v>
      </c>
      <c r="H4" t="s">
        <v>2</v>
      </c>
      <c r="I4">
        <f>IFERROR(VLOOKUP(H4,Rates!$A$2:$B$3,2,0),1)</f>
        <v>283</v>
      </c>
      <c r="J4">
        <f t="shared" si="0"/>
        <v>2071843</v>
      </c>
      <c r="K4">
        <f>IF(J4&lt;&gt;"",SUM($J$2:J4),"")</f>
        <v>5716600</v>
      </c>
      <c r="L4">
        <f ca="1" t="shared" si="1"/>
        <v>45942</v>
      </c>
    </row>
    <row r="5" spans="2:12">
      <c r="B5" s="10">
        <v>45863</v>
      </c>
      <c r="C5" t="s">
        <v>17</v>
      </c>
      <c r="E5" t="s">
        <v>43</v>
      </c>
      <c r="F5" t="s">
        <v>29</v>
      </c>
      <c r="G5" s="5">
        <v>2627</v>
      </c>
      <c r="H5" t="s">
        <v>66</v>
      </c>
      <c r="I5">
        <f>IFERROR(VLOOKUP(H5,Rates!$A$2:$B$3,2,0),1)</f>
        <v>283</v>
      </c>
      <c r="J5">
        <f t="shared" si="0"/>
        <v>743441</v>
      </c>
      <c r="K5">
        <f>IF(J5&lt;&gt;"",SUM($J$2:J5),"")</f>
        <v>6460041</v>
      </c>
      <c r="L5">
        <f ca="1" t="shared" si="1"/>
        <v>45942</v>
      </c>
    </row>
    <row r="6" spans="2:2">
      <c r="B6" s="10"/>
    </row>
    <row r="7" spans="2:7">
      <c r="B7" s="10"/>
      <c r="C7"/>
      <c r="D7"/>
      <c r="G7" s="5"/>
    </row>
    <row r="8" spans="2:2">
      <c r="B8" s="10"/>
    </row>
    <row r="9" spans="2:2">
      <c r="B9" s="10"/>
    </row>
    <row r="10" spans="2:7">
      <c r="B10" s="10"/>
      <c r="C10"/>
      <c r="G10" s="5"/>
    </row>
    <row r="11" spans="2:2">
      <c r="B11" s="10"/>
    </row>
    <row r="12" spans="2:2">
      <c r="B12" s="10"/>
    </row>
    <row r="13" spans="2:2">
      <c r="B13" s="10"/>
    </row>
    <row r="14" spans="2:2">
      <c r="B14" s="10"/>
    </row>
    <row r="15" spans="9:12">
      <c r="I15">
        <f>IFERROR(VLOOKUP(H15,Rates!$A$2:$B$3,2,0),1)</f>
        <v>1</v>
      </c>
      <c r="J15" t="str">
        <f t="shared" si="0"/>
        <v/>
      </c>
      <c r="K15" t="str">
        <f>IF(J15&lt;&gt;"",SUM($J$2:J15),"")</f>
        <v/>
      </c>
      <c r="L15">
        <f ca="1" t="shared" si="1"/>
        <v>45942</v>
      </c>
    </row>
    <row r="16" spans="9:12">
      <c r="I16">
        <f>IFERROR(VLOOKUP(H16,Rates!$A$2:$B$3,2,0),1)</f>
        <v>1</v>
      </c>
      <c r="J16" t="str">
        <f t="shared" si="0"/>
        <v/>
      </c>
      <c r="K16" t="str">
        <f>IF(J16&lt;&gt;"",SUM($J$2:J16),"")</f>
        <v/>
      </c>
      <c r="L16">
        <f ca="1" t="shared" si="1"/>
        <v>45942</v>
      </c>
    </row>
    <row r="17" spans="9:12">
      <c r="I17">
        <f>IFERROR(VLOOKUP(H17,Rates!$A$2:$B$3,2,0),1)</f>
        <v>1</v>
      </c>
      <c r="J17" t="str">
        <f t="shared" si="0"/>
        <v/>
      </c>
      <c r="K17" t="str">
        <f>IF(J17&lt;&gt;"",SUM($J$2:J17),"")</f>
        <v/>
      </c>
      <c r="L17">
        <f ca="1" t="shared" si="1"/>
        <v>45942</v>
      </c>
    </row>
    <row r="18" spans="9:12">
      <c r="I18">
        <f>IFERROR(VLOOKUP(H18,Rates!$A$2:$B$3,2,0),1)</f>
        <v>1</v>
      </c>
      <c r="J18" t="str">
        <f t="shared" si="0"/>
        <v/>
      </c>
      <c r="K18" t="str">
        <f>IF(J18&lt;&gt;"",SUM($J$2:J18),"")</f>
        <v/>
      </c>
      <c r="L18">
        <f ca="1" t="shared" si="1"/>
        <v>45942</v>
      </c>
    </row>
    <row r="19" spans="9:12">
      <c r="I19">
        <f>IFERROR(VLOOKUP(H19,Rates!$A$2:$B$3,2,0),1)</f>
        <v>1</v>
      </c>
      <c r="J19" t="str">
        <f t="shared" si="0"/>
        <v/>
      </c>
      <c r="K19" t="str">
        <f>IF(J19&lt;&gt;"",SUM($J$2:J19),"")</f>
        <v/>
      </c>
      <c r="L19">
        <f ca="1" t="shared" si="1"/>
        <v>45942</v>
      </c>
    </row>
    <row r="20" spans="9:12">
      <c r="I20">
        <f>IFERROR(VLOOKUP(H20,Rates!$A$2:$B$3,2,0),1)</f>
        <v>1</v>
      </c>
      <c r="J20" t="str">
        <f t="shared" si="0"/>
        <v/>
      </c>
      <c r="K20" t="str">
        <f>IF(J20&lt;&gt;"",SUM($J$2:J20),"")</f>
        <v/>
      </c>
      <c r="L20">
        <f ca="1" t="shared" si="1"/>
        <v>45942</v>
      </c>
    </row>
    <row r="21" spans="9:12">
      <c r="I21">
        <f>IFERROR(VLOOKUP(H21,Rates!$A$2:$B$3,2,0),1)</f>
        <v>1</v>
      </c>
      <c r="J21" t="str">
        <f t="shared" si="0"/>
        <v/>
      </c>
      <c r="K21" t="str">
        <f>IF(J21&lt;&gt;"",SUM($J$2:J21),"")</f>
        <v/>
      </c>
      <c r="L21">
        <f ca="1" t="shared" si="1"/>
        <v>45942</v>
      </c>
    </row>
    <row r="22" spans="9:12">
      <c r="I22">
        <f>IFERROR(VLOOKUP(H22,Rates!$A$2:$B$3,2,0),1)</f>
        <v>1</v>
      </c>
      <c r="J22" t="str">
        <f t="shared" si="0"/>
        <v/>
      </c>
      <c r="K22" t="str">
        <f>IF(J22&lt;&gt;"",SUM($J$2:J22),"")</f>
        <v/>
      </c>
      <c r="L22">
        <f ca="1" t="shared" si="1"/>
        <v>45942</v>
      </c>
    </row>
    <row r="23" spans="9:12">
      <c r="I23">
        <f>IFERROR(VLOOKUP(H23,Rates!$A$2:$B$3,2,0),1)</f>
        <v>1</v>
      </c>
      <c r="J23" t="str">
        <f t="shared" si="0"/>
        <v/>
      </c>
      <c r="K23" t="str">
        <f>IF(J23&lt;&gt;"",SUM($J$2:J23),"")</f>
        <v/>
      </c>
      <c r="L23">
        <f ca="1" t="shared" si="1"/>
        <v>45942</v>
      </c>
    </row>
    <row r="24" spans="9:12">
      <c r="I24">
        <f>IFERROR(VLOOKUP(H24,Rates!$A$2:$B$3,2,0),1)</f>
        <v>1</v>
      </c>
      <c r="J24" t="str">
        <f t="shared" si="0"/>
        <v/>
      </c>
      <c r="K24" t="str">
        <f>IF(J24&lt;&gt;"",SUM($J$2:J24),"")</f>
        <v/>
      </c>
      <c r="L24">
        <f ca="1" t="shared" si="1"/>
        <v>45942</v>
      </c>
    </row>
    <row r="25" spans="9:12">
      <c r="I25">
        <f>IFERROR(VLOOKUP(H25,Rates!$A$2:$B$3,2,0),1)</f>
        <v>1</v>
      </c>
      <c r="J25" t="str">
        <f t="shared" si="0"/>
        <v/>
      </c>
      <c r="K25" t="str">
        <f>IF(J25&lt;&gt;"",SUM($J$2:J25),"")</f>
        <v/>
      </c>
      <c r="L25">
        <f ca="1" t="shared" si="1"/>
        <v>45942</v>
      </c>
    </row>
    <row r="26" spans="9:12">
      <c r="I26">
        <f>IFERROR(VLOOKUP(H26,Rates!$A$2:$B$3,2,0),1)</f>
        <v>1</v>
      </c>
      <c r="J26" t="str">
        <f t="shared" si="0"/>
        <v/>
      </c>
      <c r="K26" t="str">
        <f>IF(J26&lt;&gt;"",SUM($J$2:J26),"")</f>
        <v/>
      </c>
      <c r="L26">
        <f ca="1" t="shared" si="1"/>
        <v>45942</v>
      </c>
    </row>
    <row r="27" spans="9:12">
      <c r="I27">
        <f>IFERROR(VLOOKUP(H27,Rates!$A$2:$B$3,2,0),1)</f>
        <v>1</v>
      </c>
      <c r="J27" t="str">
        <f t="shared" si="0"/>
        <v/>
      </c>
      <c r="K27" t="str">
        <f>IF(J27&lt;&gt;"",SUM($J$2:J27),"")</f>
        <v/>
      </c>
      <c r="L27">
        <f ca="1" t="shared" si="1"/>
        <v>45942</v>
      </c>
    </row>
    <row r="28" spans="9:12">
      <c r="I28">
        <f>IFERROR(VLOOKUP(H28,Rates!$A$2:$B$3,2,0),1)</f>
        <v>1</v>
      </c>
      <c r="J28" t="str">
        <f t="shared" si="0"/>
        <v/>
      </c>
      <c r="K28" t="str">
        <f>IF(J28&lt;&gt;"",SUM($J$2:J28),"")</f>
        <v/>
      </c>
      <c r="L28">
        <f ca="1" t="shared" si="1"/>
        <v>45942</v>
      </c>
    </row>
    <row r="29" spans="9:12">
      <c r="I29">
        <f>IFERROR(VLOOKUP(H29,Rates!$A$2:$B$3,2,0),1)</f>
        <v>1</v>
      </c>
      <c r="J29" t="str">
        <f t="shared" si="0"/>
        <v/>
      </c>
      <c r="K29" t="str">
        <f>IF(J29&lt;&gt;"",SUM($J$2:J29),"")</f>
        <v/>
      </c>
      <c r="L29">
        <f ca="1" t="shared" si="1"/>
        <v>45942</v>
      </c>
    </row>
    <row r="30" spans="9:12">
      <c r="I30">
        <f>IFERROR(VLOOKUP(H30,Rates!$A$2:$B$3,2,0),1)</f>
        <v>1</v>
      </c>
      <c r="J30" t="str">
        <f t="shared" si="0"/>
        <v/>
      </c>
      <c r="K30" t="str">
        <f>IF(J30&lt;&gt;"",SUM($J$2:J30),"")</f>
        <v/>
      </c>
      <c r="L30">
        <f ca="1" t="shared" si="1"/>
        <v>45942</v>
      </c>
    </row>
    <row r="31" spans="9:12">
      <c r="I31">
        <f>IFERROR(VLOOKUP(H31,Rates!$A$2:$B$3,2,0),1)</f>
        <v>1</v>
      </c>
      <c r="J31" t="str">
        <f t="shared" si="0"/>
        <v/>
      </c>
      <c r="K31" t="str">
        <f>IF(J31&lt;&gt;"",SUM($J$2:J31),"")</f>
        <v/>
      </c>
      <c r="L31">
        <f ca="1" t="shared" si="1"/>
        <v>45942</v>
      </c>
    </row>
    <row r="32" spans="9:12">
      <c r="I32">
        <f>IFERROR(VLOOKUP(H32,Rates!$A$2:$B$3,2,0),1)</f>
        <v>1</v>
      </c>
      <c r="J32" t="str">
        <f t="shared" si="0"/>
        <v/>
      </c>
      <c r="K32" t="str">
        <f>IF(J32&lt;&gt;"",SUM($J$2:J32),"")</f>
        <v/>
      </c>
      <c r="L32">
        <f ca="1" t="shared" si="1"/>
        <v>45942</v>
      </c>
    </row>
    <row r="33" spans="9:12">
      <c r="I33">
        <f>IFERROR(VLOOKUP(H33,Rates!$A$2:$B$3,2,0),1)</f>
        <v>1</v>
      </c>
      <c r="J33" t="str">
        <f t="shared" si="0"/>
        <v/>
      </c>
      <c r="K33" t="str">
        <f>IF(J33&lt;&gt;"",SUM($J$2:J33),"")</f>
        <v/>
      </c>
      <c r="L33">
        <f ca="1" t="shared" si="1"/>
        <v>45942</v>
      </c>
    </row>
    <row r="34" spans="9:12">
      <c r="I34">
        <f>IFERROR(VLOOKUP(H34,Rates!$A$2:$B$3,2,0),1)</f>
        <v>1</v>
      </c>
      <c r="J34" t="str">
        <f t="shared" si="0"/>
        <v/>
      </c>
      <c r="K34" t="str">
        <f>IF(J34&lt;&gt;"",SUM($J$2:J34),"")</f>
        <v/>
      </c>
      <c r="L34">
        <f ca="1" t="shared" si="1"/>
        <v>45942</v>
      </c>
    </row>
    <row r="35" spans="9:12">
      <c r="I35">
        <f>IFERROR(VLOOKUP(H35,Rates!$A$2:$B$3,2,0),1)</f>
        <v>1</v>
      </c>
      <c r="J35" t="str">
        <f t="shared" si="0"/>
        <v/>
      </c>
      <c r="K35" t="str">
        <f>IF(J35&lt;&gt;"",SUM($J$2:J35),"")</f>
        <v/>
      </c>
      <c r="L35">
        <f ca="1" t="shared" si="1"/>
        <v>45942</v>
      </c>
    </row>
    <row r="36" spans="9:12">
      <c r="I36">
        <f>IFERROR(VLOOKUP(H36,Rates!$A$2:$B$3,2,0),1)</f>
        <v>1</v>
      </c>
      <c r="J36" t="str">
        <f t="shared" si="0"/>
        <v/>
      </c>
      <c r="K36" t="str">
        <f>IF(J36&lt;&gt;"",SUM($J$2:J36),"")</f>
        <v/>
      </c>
      <c r="L36">
        <f ca="1" t="shared" si="1"/>
        <v>45942</v>
      </c>
    </row>
    <row r="37" spans="9:12">
      <c r="I37">
        <f>IFERROR(VLOOKUP(H37,Rates!$A$2:$B$3,2,0),1)</f>
        <v>1</v>
      </c>
      <c r="J37" t="str">
        <f t="shared" si="0"/>
        <v/>
      </c>
      <c r="K37" t="str">
        <f>IF(J37&lt;&gt;"",SUM($J$2:J37),"")</f>
        <v/>
      </c>
      <c r="L37">
        <f ca="1" t="shared" si="1"/>
        <v>45942</v>
      </c>
    </row>
    <row r="38" spans="9:12">
      <c r="I38">
        <f>IFERROR(VLOOKUP(H38,Rates!$A$2:$B$3,2,0),1)</f>
        <v>1</v>
      </c>
      <c r="J38" t="str">
        <f t="shared" si="0"/>
        <v/>
      </c>
      <c r="K38" t="str">
        <f>IF(J38&lt;&gt;"",SUM($J$2:J38),"")</f>
        <v/>
      </c>
      <c r="L38">
        <f ca="1" t="shared" si="1"/>
        <v>45942</v>
      </c>
    </row>
    <row r="39" spans="9:12">
      <c r="I39">
        <f>IFERROR(VLOOKUP(H39,Rates!$A$2:$B$3,2,0),1)</f>
        <v>1</v>
      </c>
      <c r="J39" t="str">
        <f t="shared" si="0"/>
        <v/>
      </c>
      <c r="K39" t="str">
        <f>IF(J39&lt;&gt;"",SUM($J$2:J39),"")</f>
        <v/>
      </c>
      <c r="L39">
        <f ca="1" t="shared" si="1"/>
        <v>45942</v>
      </c>
    </row>
    <row r="40" spans="9:12">
      <c r="I40">
        <f>IFERROR(VLOOKUP(H40,Rates!$A$2:$B$3,2,0),1)</f>
        <v>1</v>
      </c>
      <c r="J40" t="str">
        <f t="shared" si="0"/>
        <v/>
      </c>
      <c r="K40" t="str">
        <f>IF(J40&lt;&gt;"",SUM($J$2:J40),"")</f>
        <v/>
      </c>
      <c r="L40">
        <f ca="1" t="shared" si="1"/>
        <v>45942</v>
      </c>
    </row>
    <row r="41" spans="9:12">
      <c r="I41">
        <f>IFERROR(VLOOKUP(H41,Rates!$A$2:$B$3,2,0),1)</f>
        <v>1</v>
      </c>
      <c r="J41" t="str">
        <f t="shared" si="0"/>
        <v/>
      </c>
      <c r="K41" t="str">
        <f>IF(J41&lt;&gt;"",SUM($J$2:J41),"")</f>
        <v/>
      </c>
      <c r="L41">
        <f ca="1" t="shared" si="1"/>
        <v>45942</v>
      </c>
    </row>
    <row r="42" spans="9:12">
      <c r="I42">
        <f>IFERROR(VLOOKUP(H42,Rates!$A$2:$B$3,2,0),1)</f>
        <v>1</v>
      </c>
      <c r="J42" t="str">
        <f t="shared" si="0"/>
        <v/>
      </c>
      <c r="K42" t="str">
        <f>IF(J42&lt;&gt;"",SUM($J$2:J42),"")</f>
        <v/>
      </c>
      <c r="L42">
        <f ca="1" t="shared" si="1"/>
        <v>45942</v>
      </c>
    </row>
    <row r="43" spans="9:12">
      <c r="I43">
        <f>IFERROR(VLOOKUP(H43,Rates!$A$2:$B$3,2,0),1)</f>
        <v>1</v>
      </c>
      <c r="J43" t="str">
        <f t="shared" si="0"/>
        <v/>
      </c>
      <c r="K43" t="str">
        <f>IF(J43&lt;&gt;"",SUM($J$2:J43),"")</f>
        <v/>
      </c>
      <c r="L43">
        <f ca="1" t="shared" si="1"/>
        <v>45942</v>
      </c>
    </row>
    <row r="44" spans="9:12">
      <c r="I44">
        <f>IFERROR(VLOOKUP(H44,Rates!$A$2:$B$3,2,0),1)</f>
        <v>1</v>
      </c>
      <c r="J44" t="str">
        <f t="shared" si="0"/>
        <v/>
      </c>
      <c r="K44" t="str">
        <f>IF(J44&lt;&gt;"",SUM($J$2:J44),"")</f>
        <v/>
      </c>
      <c r="L44">
        <f ca="1" t="shared" si="1"/>
        <v>45942</v>
      </c>
    </row>
    <row r="45" spans="9:12">
      <c r="I45">
        <f>IFERROR(VLOOKUP(H45,Rates!$A$2:$B$3,2,0),1)</f>
        <v>1</v>
      </c>
      <c r="J45" t="str">
        <f t="shared" si="0"/>
        <v/>
      </c>
      <c r="K45" t="str">
        <f>IF(J45&lt;&gt;"",SUM($J$2:J45),"")</f>
        <v/>
      </c>
      <c r="L45">
        <f ca="1" t="shared" si="1"/>
        <v>45942</v>
      </c>
    </row>
    <row r="46" spans="9:12">
      <c r="I46">
        <f>IFERROR(VLOOKUP(H46,Rates!$A$2:$B$3,2,0),1)</f>
        <v>1</v>
      </c>
      <c r="J46" t="str">
        <f t="shared" si="0"/>
        <v/>
      </c>
      <c r="K46" t="str">
        <f>IF(J46&lt;&gt;"",SUM($J$2:J46),"")</f>
        <v/>
      </c>
      <c r="L46">
        <f ca="1" t="shared" si="1"/>
        <v>45942</v>
      </c>
    </row>
    <row r="47" spans="9:12">
      <c r="I47">
        <f>IFERROR(VLOOKUP(H47,Rates!$A$2:$B$3,2,0),1)</f>
        <v>1</v>
      </c>
      <c r="J47" t="str">
        <f t="shared" si="0"/>
        <v/>
      </c>
      <c r="K47" t="str">
        <f>IF(J47&lt;&gt;"",SUM($J$2:J47),"")</f>
        <v/>
      </c>
      <c r="L47">
        <f ca="1" t="shared" si="1"/>
        <v>45942</v>
      </c>
    </row>
    <row r="48" spans="9:12">
      <c r="I48">
        <f>IFERROR(VLOOKUP(H48,Rates!$A$2:$B$3,2,0),1)</f>
        <v>1</v>
      </c>
      <c r="J48" t="str">
        <f t="shared" si="0"/>
        <v/>
      </c>
      <c r="K48" t="str">
        <f>IF(J48&lt;&gt;"",SUM($J$2:J48),"")</f>
        <v/>
      </c>
      <c r="L48">
        <f ca="1" t="shared" si="1"/>
        <v>45942</v>
      </c>
    </row>
    <row r="49" spans="9:12">
      <c r="I49">
        <f>IFERROR(VLOOKUP(H49,Rates!$A$2:$B$3,2,0),1)</f>
        <v>1</v>
      </c>
      <c r="J49" t="str">
        <f t="shared" si="0"/>
        <v/>
      </c>
      <c r="K49" t="str">
        <f>IF(J49&lt;&gt;"",SUM($J$2:J49),"")</f>
        <v/>
      </c>
      <c r="L49">
        <f ca="1" t="shared" si="1"/>
        <v>45942</v>
      </c>
    </row>
    <row r="50" spans="9:12">
      <c r="I50">
        <f>IFERROR(VLOOKUP(H50,Rates!$A$2:$B$3,2,0),1)</f>
        <v>1</v>
      </c>
      <c r="J50" t="str">
        <f t="shared" si="0"/>
        <v/>
      </c>
      <c r="K50" t="str">
        <f>IF(J50&lt;&gt;"",SUM($J$2:J50),"")</f>
        <v/>
      </c>
      <c r="L50">
        <f ca="1" t="shared" si="1"/>
        <v>45942</v>
      </c>
    </row>
    <row r="51" spans="9:12">
      <c r="I51">
        <f>IFERROR(VLOOKUP(H51,Rates!$A$2:$B$3,2,0),1)</f>
        <v>1</v>
      </c>
      <c r="J51" t="str">
        <f t="shared" si="0"/>
        <v/>
      </c>
      <c r="K51" t="str">
        <f>IF(J51&lt;&gt;"",SUM($J$2:J51),"")</f>
        <v/>
      </c>
      <c r="L51">
        <f ca="1" t="shared" si="1"/>
        <v>45942</v>
      </c>
    </row>
    <row r="52" spans="9:12">
      <c r="I52">
        <f>IFERROR(VLOOKUP(H52,Rates!$A$2:$B$3,2,0),1)</f>
        <v>1</v>
      </c>
      <c r="J52" t="str">
        <f t="shared" si="0"/>
        <v/>
      </c>
      <c r="K52" t="str">
        <f>IF(J52&lt;&gt;"",SUM($J$2:J52),"")</f>
        <v/>
      </c>
      <c r="L52">
        <f ca="1" t="shared" si="1"/>
        <v>45942</v>
      </c>
    </row>
    <row r="53" spans="9:12">
      <c r="I53">
        <f>IFERROR(VLOOKUP(H53,Rates!$A$2:$B$3,2,0),1)</f>
        <v>1</v>
      </c>
      <c r="J53" t="str">
        <f t="shared" si="0"/>
        <v/>
      </c>
      <c r="K53" t="str">
        <f>IF(J53&lt;&gt;"",SUM($J$2:J53),"")</f>
        <v/>
      </c>
      <c r="L53">
        <f ca="1" t="shared" si="1"/>
        <v>45942</v>
      </c>
    </row>
    <row r="54" spans="9:12">
      <c r="I54">
        <f>IFERROR(VLOOKUP(H54,Rates!$A$2:$B$3,2,0),1)</f>
        <v>1</v>
      </c>
      <c r="J54" t="str">
        <f t="shared" si="0"/>
        <v/>
      </c>
      <c r="K54" t="str">
        <f>IF(J54&lt;&gt;"",SUM($J$2:J54),"")</f>
        <v/>
      </c>
      <c r="L54">
        <f ca="1" t="shared" si="1"/>
        <v>45942</v>
      </c>
    </row>
    <row r="55" spans="9:12">
      <c r="I55">
        <f>IFERROR(VLOOKUP(H55,Rates!$A$2:$B$3,2,0),1)</f>
        <v>1</v>
      </c>
      <c r="J55" t="str">
        <f t="shared" si="0"/>
        <v/>
      </c>
      <c r="K55" t="str">
        <f>IF(J55&lt;&gt;"",SUM($J$2:J55),"")</f>
        <v/>
      </c>
      <c r="L55">
        <f ca="1" t="shared" si="1"/>
        <v>45942</v>
      </c>
    </row>
    <row r="56" spans="9:12">
      <c r="I56">
        <f>IFERROR(VLOOKUP(H56,Rates!$A$2:$B$3,2,0),1)</f>
        <v>1</v>
      </c>
      <c r="J56" t="str">
        <f t="shared" si="0"/>
        <v/>
      </c>
      <c r="K56" t="str">
        <f>IF(J56&lt;&gt;"",SUM($J$2:J56),"")</f>
        <v/>
      </c>
      <c r="L56">
        <f ca="1" t="shared" si="1"/>
        <v>45942</v>
      </c>
    </row>
    <row r="57" spans="9:12">
      <c r="I57">
        <f>IFERROR(VLOOKUP(H57,Rates!$A$2:$B$3,2,0),1)</f>
        <v>1</v>
      </c>
      <c r="J57" t="str">
        <f t="shared" si="0"/>
        <v/>
      </c>
      <c r="K57" t="str">
        <f>IF(J57&lt;&gt;"",SUM($J$2:J57),"")</f>
        <v/>
      </c>
      <c r="L57">
        <f ca="1" t="shared" si="1"/>
        <v>45942</v>
      </c>
    </row>
    <row r="58" spans="9:12">
      <c r="I58">
        <f>IFERROR(VLOOKUP(H58,Rates!$A$2:$B$3,2,0),1)</f>
        <v>1</v>
      </c>
      <c r="J58" t="str">
        <f t="shared" si="0"/>
        <v/>
      </c>
      <c r="K58" t="str">
        <f>IF(J58&lt;&gt;"",SUM($J$2:J58),"")</f>
        <v/>
      </c>
      <c r="L58">
        <f ca="1" t="shared" si="1"/>
        <v>45942</v>
      </c>
    </row>
    <row r="59" spans="9:12">
      <c r="I59">
        <f>IFERROR(VLOOKUP(H59,Rates!$A$2:$B$3,2,0),1)</f>
        <v>1</v>
      </c>
      <c r="J59" t="str">
        <f t="shared" si="0"/>
        <v/>
      </c>
      <c r="K59" t="str">
        <f>IF(J59&lt;&gt;"",SUM($J$2:J59),"")</f>
        <v/>
      </c>
      <c r="L59">
        <f ca="1" t="shared" si="1"/>
        <v>45942</v>
      </c>
    </row>
    <row r="60" spans="9:12">
      <c r="I60">
        <f>IFERROR(VLOOKUP(H60,Rates!$A$2:$B$3,2,0),1)</f>
        <v>1</v>
      </c>
      <c r="J60" t="str">
        <f t="shared" si="0"/>
        <v/>
      </c>
      <c r="K60" t="str">
        <f>IF(J60&lt;&gt;"",SUM($J$2:J60),"")</f>
        <v/>
      </c>
      <c r="L60">
        <f ca="1" t="shared" si="1"/>
        <v>45942</v>
      </c>
    </row>
    <row r="61" spans="9:12">
      <c r="I61">
        <f>IFERROR(VLOOKUP(H61,Rates!$A$2:$B$3,2,0),1)</f>
        <v>1</v>
      </c>
      <c r="J61" t="str">
        <f t="shared" si="0"/>
        <v/>
      </c>
      <c r="K61" t="str">
        <f>IF(J61&lt;&gt;"",SUM($J$2:J61),"")</f>
        <v/>
      </c>
      <c r="L61">
        <f ca="1" t="shared" si="1"/>
        <v>45942</v>
      </c>
    </row>
    <row r="62" spans="9:12">
      <c r="I62">
        <f>IFERROR(VLOOKUP(H62,Rates!$A$2:$B$3,2,0),1)</f>
        <v>1</v>
      </c>
      <c r="J62" t="str">
        <f t="shared" si="0"/>
        <v/>
      </c>
      <c r="K62" t="str">
        <f>IF(J62&lt;&gt;"",SUM($J$2:J62),"")</f>
        <v/>
      </c>
      <c r="L62">
        <f ca="1" t="shared" si="1"/>
        <v>45942</v>
      </c>
    </row>
    <row r="63" spans="9:12">
      <c r="I63">
        <f>IFERROR(VLOOKUP(H63,Rates!$A$2:$B$3,2,0),1)</f>
        <v>1</v>
      </c>
      <c r="J63" t="str">
        <f t="shared" si="0"/>
        <v/>
      </c>
      <c r="K63" t="str">
        <f>IF(J63&lt;&gt;"",SUM($J$2:J63),"")</f>
        <v/>
      </c>
      <c r="L63">
        <f ca="1" t="shared" si="1"/>
        <v>45942</v>
      </c>
    </row>
    <row r="64" spans="9:12">
      <c r="I64">
        <f>IFERROR(VLOOKUP(H64,Rates!$A$2:$B$3,2,0),1)</f>
        <v>1</v>
      </c>
      <c r="J64" t="str">
        <f t="shared" si="0"/>
        <v/>
      </c>
      <c r="K64" t="str">
        <f>IF(J64&lt;&gt;"",SUM($J$2:J64),"")</f>
        <v/>
      </c>
      <c r="L64">
        <f ca="1" t="shared" si="1"/>
        <v>45942</v>
      </c>
    </row>
    <row r="65" spans="9:12">
      <c r="I65">
        <f>IFERROR(VLOOKUP(H65,Rates!$A$2:$B$3,2,0),1)</f>
        <v>1</v>
      </c>
      <c r="J65" t="str">
        <f t="shared" si="0"/>
        <v/>
      </c>
      <c r="K65" t="str">
        <f>IF(J65&lt;&gt;"",SUM($J$2:J65),"")</f>
        <v/>
      </c>
      <c r="L65">
        <f ca="1" t="shared" si="1"/>
        <v>45942</v>
      </c>
    </row>
    <row r="66" spans="9:12">
      <c r="I66">
        <f>IFERROR(VLOOKUP(H66,Rates!$A$2:$B$3,2,0),1)</f>
        <v>1</v>
      </c>
      <c r="J66" t="str">
        <f t="shared" ref="J66:J129" si="2">IF(G66&lt;&gt;"",G66*I66,"")</f>
        <v/>
      </c>
      <c r="K66" t="str">
        <f>IF(J66&lt;&gt;"",SUM($J$2:J66),"")</f>
        <v/>
      </c>
      <c r="L66">
        <f ca="1" t="shared" ref="L66:L129" si="3">IF(COUNTA(A66:K66)&gt;0,TODAY(),"")</f>
        <v>45942</v>
      </c>
    </row>
    <row r="67" spans="9:12">
      <c r="I67">
        <f>IFERROR(VLOOKUP(H67,Rates!$A$2:$B$3,2,0),1)</f>
        <v>1</v>
      </c>
      <c r="J67" t="str">
        <f t="shared" si="2"/>
        <v/>
      </c>
      <c r="K67" t="str">
        <f>IF(J67&lt;&gt;"",SUM($J$2:J67),"")</f>
        <v/>
      </c>
      <c r="L67">
        <f ca="1" t="shared" si="3"/>
        <v>45942</v>
      </c>
    </row>
    <row r="68" spans="9:12">
      <c r="I68">
        <f>IFERROR(VLOOKUP(H68,Rates!$A$2:$B$3,2,0),1)</f>
        <v>1</v>
      </c>
      <c r="J68" t="str">
        <f t="shared" si="2"/>
        <v/>
      </c>
      <c r="K68" t="str">
        <f>IF(J68&lt;&gt;"",SUM($J$2:J68),"")</f>
        <v/>
      </c>
      <c r="L68">
        <f ca="1" t="shared" si="3"/>
        <v>45942</v>
      </c>
    </row>
    <row r="69" spans="9:12">
      <c r="I69">
        <f>IFERROR(VLOOKUP(H69,Rates!$A$2:$B$3,2,0),1)</f>
        <v>1</v>
      </c>
      <c r="J69" t="str">
        <f t="shared" si="2"/>
        <v/>
      </c>
      <c r="K69" t="str">
        <f>IF(J69&lt;&gt;"",SUM($J$2:J69),"")</f>
        <v/>
      </c>
      <c r="L69">
        <f ca="1" t="shared" si="3"/>
        <v>45942</v>
      </c>
    </row>
    <row r="70" spans="9:12">
      <c r="I70">
        <f>IFERROR(VLOOKUP(H70,Rates!$A$2:$B$3,2,0),1)</f>
        <v>1</v>
      </c>
      <c r="J70" t="str">
        <f t="shared" si="2"/>
        <v/>
      </c>
      <c r="K70" t="str">
        <f>IF(J70&lt;&gt;"",SUM($J$2:J70),"")</f>
        <v/>
      </c>
      <c r="L70">
        <f ca="1" t="shared" si="3"/>
        <v>45942</v>
      </c>
    </row>
    <row r="71" spans="9:12">
      <c r="I71">
        <f>IFERROR(VLOOKUP(H71,Rates!$A$2:$B$3,2,0),1)</f>
        <v>1</v>
      </c>
      <c r="J71" t="str">
        <f t="shared" si="2"/>
        <v/>
      </c>
      <c r="K71" t="str">
        <f>IF(J71&lt;&gt;"",SUM($J$2:J71),"")</f>
        <v/>
      </c>
      <c r="L71">
        <f ca="1" t="shared" si="3"/>
        <v>45942</v>
      </c>
    </row>
    <row r="72" spans="9:12">
      <c r="I72">
        <f>IFERROR(VLOOKUP(H72,Rates!$A$2:$B$3,2,0),1)</f>
        <v>1</v>
      </c>
      <c r="J72" t="str">
        <f t="shared" si="2"/>
        <v/>
      </c>
      <c r="K72" t="str">
        <f>IF(J72&lt;&gt;"",SUM($J$2:J72),"")</f>
        <v/>
      </c>
      <c r="L72">
        <f ca="1" t="shared" si="3"/>
        <v>45942</v>
      </c>
    </row>
    <row r="73" spans="9:12">
      <c r="I73">
        <f>IFERROR(VLOOKUP(H73,Rates!$A$2:$B$3,2,0),1)</f>
        <v>1</v>
      </c>
      <c r="J73" t="str">
        <f t="shared" si="2"/>
        <v/>
      </c>
      <c r="K73" t="str">
        <f>IF(J73&lt;&gt;"",SUM($J$2:J73),"")</f>
        <v/>
      </c>
      <c r="L73">
        <f ca="1" t="shared" si="3"/>
        <v>45942</v>
      </c>
    </row>
    <row r="74" spans="9:12">
      <c r="I74">
        <f>IFERROR(VLOOKUP(H74,Rates!$A$2:$B$3,2,0),1)</f>
        <v>1</v>
      </c>
      <c r="J74" t="str">
        <f t="shared" si="2"/>
        <v/>
      </c>
      <c r="K74" t="str">
        <f>IF(J74&lt;&gt;"",SUM($J$2:J74),"")</f>
        <v/>
      </c>
      <c r="L74">
        <f ca="1" t="shared" si="3"/>
        <v>45942</v>
      </c>
    </row>
    <row r="75" spans="9:12">
      <c r="I75">
        <f>IFERROR(VLOOKUP(H75,Rates!$A$2:$B$3,2,0),1)</f>
        <v>1</v>
      </c>
      <c r="J75" t="str">
        <f t="shared" si="2"/>
        <v/>
      </c>
      <c r="K75" t="str">
        <f>IF(J75&lt;&gt;"",SUM($J$2:J75),"")</f>
        <v/>
      </c>
      <c r="L75">
        <f ca="1" t="shared" si="3"/>
        <v>45942</v>
      </c>
    </row>
    <row r="76" spans="9:12">
      <c r="I76">
        <f>IFERROR(VLOOKUP(H76,Rates!$A$2:$B$3,2,0),1)</f>
        <v>1</v>
      </c>
      <c r="J76" t="str">
        <f t="shared" si="2"/>
        <v/>
      </c>
      <c r="K76" t="str">
        <f>IF(J76&lt;&gt;"",SUM($J$2:J76),"")</f>
        <v/>
      </c>
      <c r="L76">
        <f ca="1" t="shared" si="3"/>
        <v>45942</v>
      </c>
    </row>
    <row r="77" spans="9:12">
      <c r="I77">
        <f>IFERROR(VLOOKUP(H77,Rates!$A$2:$B$3,2,0),1)</f>
        <v>1</v>
      </c>
      <c r="J77" t="str">
        <f t="shared" si="2"/>
        <v/>
      </c>
      <c r="K77" t="str">
        <f>IF(J77&lt;&gt;"",SUM($J$2:J77),"")</f>
        <v/>
      </c>
      <c r="L77">
        <f ca="1" t="shared" si="3"/>
        <v>45942</v>
      </c>
    </row>
    <row r="78" spans="9:12">
      <c r="I78">
        <f>IFERROR(VLOOKUP(H78,Rates!$A$2:$B$3,2,0),1)</f>
        <v>1</v>
      </c>
      <c r="J78" t="str">
        <f t="shared" si="2"/>
        <v/>
      </c>
      <c r="K78" t="str">
        <f>IF(J78&lt;&gt;"",SUM($J$2:J78),"")</f>
        <v/>
      </c>
      <c r="L78">
        <f ca="1" t="shared" si="3"/>
        <v>45942</v>
      </c>
    </row>
    <row r="79" spans="9:12">
      <c r="I79">
        <f>IFERROR(VLOOKUP(H79,Rates!$A$2:$B$3,2,0),1)</f>
        <v>1</v>
      </c>
      <c r="J79" t="str">
        <f t="shared" si="2"/>
        <v/>
      </c>
      <c r="K79" t="str">
        <f>IF(J79&lt;&gt;"",SUM($J$2:J79),"")</f>
        <v/>
      </c>
      <c r="L79">
        <f ca="1" t="shared" si="3"/>
        <v>45942</v>
      </c>
    </row>
    <row r="80" spans="9:12">
      <c r="I80">
        <f>IFERROR(VLOOKUP(H80,Rates!$A$2:$B$3,2,0),1)</f>
        <v>1</v>
      </c>
      <c r="J80" t="str">
        <f t="shared" si="2"/>
        <v/>
      </c>
      <c r="K80" t="str">
        <f>IF(J80&lt;&gt;"",SUM($J$2:J80),"")</f>
        <v/>
      </c>
      <c r="L80">
        <f ca="1" t="shared" si="3"/>
        <v>45942</v>
      </c>
    </row>
    <row r="81" spans="9:12">
      <c r="I81">
        <f>IFERROR(VLOOKUP(H81,Rates!$A$2:$B$3,2,0),1)</f>
        <v>1</v>
      </c>
      <c r="J81" t="str">
        <f t="shared" si="2"/>
        <v/>
      </c>
      <c r="K81" t="str">
        <f>IF(J81&lt;&gt;"",SUM($J$2:J81),"")</f>
        <v/>
      </c>
      <c r="L81">
        <f ca="1" t="shared" si="3"/>
        <v>45942</v>
      </c>
    </row>
    <row r="82" spans="9:12">
      <c r="I82">
        <f>IFERROR(VLOOKUP(H82,Rates!$A$2:$B$3,2,0),1)</f>
        <v>1</v>
      </c>
      <c r="J82" t="str">
        <f t="shared" si="2"/>
        <v/>
      </c>
      <c r="K82" t="str">
        <f>IF(J82&lt;&gt;"",SUM($J$2:J82),"")</f>
        <v/>
      </c>
      <c r="L82">
        <f ca="1" t="shared" si="3"/>
        <v>45942</v>
      </c>
    </row>
    <row r="83" spans="9:12">
      <c r="I83">
        <f>IFERROR(VLOOKUP(H83,Rates!$A$2:$B$3,2,0),1)</f>
        <v>1</v>
      </c>
      <c r="J83" t="str">
        <f t="shared" si="2"/>
        <v/>
      </c>
      <c r="K83" t="str">
        <f>IF(J83&lt;&gt;"",SUM($J$2:J83),"")</f>
        <v/>
      </c>
      <c r="L83">
        <f ca="1" t="shared" si="3"/>
        <v>45942</v>
      </c>
    </row>
    <row r="84" spans="9:12">
      <c r="I84">
        <f>IFERROR(VLOOKUP(H84,Rates!$A$2:$B$3,2,0),1)</f>
        <v>1</v>
      </c>
      <c r="J84" t="str">
        <f t="shared" si="2"/>
        <v/>
      </c>
      <c r="K84" t="str">
        <f>IF(J84&lt;&gt;"",SUM($J$2:J84),"")</f>
        <v/>
      </c>
      <c r="L84">
        <f ca="1" t="shared" si="3"/>
        <v>45942</v>
      </c>
    </row>
    <row r="85" spans="9:12">
      <c r="I85">
        <f>IFERROR(VLOOKUP(H85,Rates!$A$2:$B$3,2,0),1)</f>
        <v>1</v>
      </c>
      <c r="J85" t="str">
        <f t="shared" si="2"/>
        <v/>
      </c>
      <c r="K85" t="str">
        <f>IF(J85&lt;&gt;"",SUM($J$2:J85),"")</f>
        <v/>
      </c>
      <c r="L85">
        <f ca="1" t="shared" si="3"/>
        <v>45942</v>
      </c>
    </row>
    <row r="86" spans="9:12">
      <c r="I86">
        <f>IFERROR(VLOOKUP(H86,Rates!$A$2:$B$3,2,0),1)</f>
        <v>1</v>
      </c>
      <c r="J86" t="str">
        <f t="shared" si="2"/>
        <v/>
      </c>
      <c r="K86" t="str">
        <f>IF(J86&lt;&gt;"",SUM($J$2:J86),"")</f>
        <v/>
      </c>
      <c r="L86">
        <f ca="1" t="shared" si="3"/>
        <v>45942</v>
      </c>
    </row>
    <row r="87" spans="9:12">
      <c r="I87">
        <f>IFERROR(VLOOKUP(H87,Rates!$A$2:$B$3,2,0),1)</f>
        <v>1</v>
      </c>
      <c r="J87" t="str">
        <f t="shared" si="2"/>
        <v/>
      </c>
      <c r="K87" t="str">
        <f>IF(J87&lt;&gt;"",SUM($J$2:J87),"")</f>
        <v/>
      </c>
      <c r="L87">
        <f ca="1" t="shared" si="3"/>
        <v>45942</v>
      </c>
    </row>
    <row r="88" spans="9:12">
      <c r="I88">
        <f>IFERROR(VLOOKUP(H88,Rates!$A$2:$B$3,2,0),1)</f>
        <v>1</v>
      </c>
      <c r="J88" t="str">
        <f t="shared" si="2"/>
        <v/>
      </c>
      <c r="K88" t="str">
        <f>IF(J88&lt;&gt;"",SUM($J$2:J88),"")</f>
        <v/>
      </c>
      <c r="L88">
        <f ca="1" t="shared" si="3"/>
        <v>45942</v>
      </c>
    </row>
    <row r="89" spans="9:12">
      <c r="I89">
        <f>IFERROR(VLOOKUP(H89,Rates!$A$2:$B$3,2,0),1)</f>
        <v>1</v>
      </c>
      <c r="J89" t="str">
        <f t="shared" si="2"/>
        <v/>
      </c>
      <c r="K89" t="str">
        <f>IF(J89&lt;&gt;"",SUM($J$2:J89),"")</f>
        <v/>
      </c>
      <c r="L89">
        <f ca="1" t="shared" si="3"/>
        <v>45942</v>
      </c>
    </row>
    <row r="90" spans="9:12">
      <c r="I90">
        <f>IFERROR(VLOOKUP(H90,Rates!$A$2:$B$3,2,0),1)</f>
        <v>1</v>
      </c>
      <c r="J90" t="str">
        <f t="shared" si="2"/>
        <v/>
      </c>
      <c r="K90" t="str">
        <f>IF(J90&lt;&gt;"",SUM($J$2:J90),"")</f>
        <v/>
      </c>
      <c r="L90">
        <f ca="1" t="shared" si="3"/>
        <v>45942</v>
      </c>
    </row>
    <row r="91" spans="9:12">
      <c r="I91">
        <f>IFERROR(VLOOKUP(H91,Rates!$A$2:$B$3,2,0),1)</f>
        <v>1</v>
      </c>
      <c r="J91" t="str">
        <f t="shared" si="2"/>
        <v/>
      </c>
      <c r="K91" t="str">
        <f>IF(J91&lt;&gt;"",SUM($J$2:J91),"")</f>
        <v/>
      </c>
      <c r="L91">
        <f ca="1" t="shared" si="3"/>
        <v>45942</v>
      </c>
    </row>
    <row r="92" spans="9:12">
      <c r="I92">
        <f>IFERROR(VLOOKUP(H92,Rates!$A$2:$B$3,2,0),1)</f>
        <v>1</v>
      </c>
      <c r="J92" t="str">
        <f t="shared" si="2"/>
        <v/>
      </c>
      <c r="K92" t="str">
        <f>IF(J92&lt;&gt;"",SUM($J$2:J92),"")</f>
        <v/>
      </c>
      <c r="L92">
        <f ca="1" t="shared" si="3"/>
        <v>45942</v>
      </c>
    </row>
    <row r="93" spans="9:12">
      <c r="I93">
        <f>IFERROR(VLOOKUP(H93,Rates!$A$2:$B$3,2,0),1)</f>
        <v>1</v>
      </c>
      <c r="J93" t="str">
        <f t="shared" si="2"/>
        <v/>
      </c>
      <c r="K93" t="str">
        <f>IF(J93&lt;&gt;"",SUM($J$2:J93),"")</f>
        <v/>
      </c>
      <c r="L93">
        <f ca="1" t="shared" si="3"/>
        <v>45942</v>
      </c>
    </row>
    <row r="94" spans="9:12">
      <c r="I94">
        <f>IFERROR(VLOOKUP(H94,Rates!$A$2:$B$3,2,0),1)</f>
        <v>1</v>
      </c>
      <c r="J94" t="str">
        <f t="shared" si="2"/>
        <v/>
      </c>
      <c r="K94" t="str">
        <f>IF(J94&lt;&gt;"",SUM($J$2:J94),"")</f>
        <v/>
      </c>
      <c r="L94">
        <f ca="1" t="shared" si="3"/>
        <v>45942</v>
      </c>
    </row>
    <row r="95" spans="9:12">
      <c r="I95">
        <f>IFERROR(VLOOKUP(H95,Rates!$A$2:$B$3,2,0),1)</f>
        <v>1</v>
      </c>
      <c r="J95" t="str">
        <f t="shared" si="2"/>
        <v/>
      </c>
      <c r="K95" t="str">
        <f>IF(J95&lt;&gt;"",SUM($J$2:J95),"")</f>
        <v/>
      </c>
      <c r="L95">
        <f ca="1" t="shared" si="3"/>
        <v>45942</v>
      </c>
    </row>
    <row r="96" spans="9:12">
      <c r="I96">
        <f>IFERROR(VLOOKUP(H96,Rates!$A$2:$B$3,2,0),1)</f>
        <v>1</v>
      </c>
      <c r="J96" t="str">
        <f t="shared" si="2"/>
        <v/>
      </c>
      <c r="K96" t="str">
        <f>IF(J96&lt;&gt;"",SUM($J$2:J96),"")</f>
        <v/>
      </c>
      <c r="L96">
        <f ca="1" t="shared" si="3"/>
        <v>45942</v>
      </c>
    </row>
    <row r="97" spans="9:12">
      <c r="I97">
        <f>IFERROR(VLOOKUP(H97,Rates!$A$2:$B$3,2,0),1)</f>
        <v>1</v>
      </c>
      <c r="J97" t="str">
        <f t="shared" si="2"/>
        <v/>
      </c>
      <c r="K97" t="str">
        <f>IF(J97&lt;&gt;"",SUM($J$2:J97),"")</f>
        <v/>
      </c>
      <c r="L97">
        <f ca="1" t="shared" si="3"/>
        <v>45942</v>
      </c>
    </row>
    <row r="98" spans="9:12">
      <c r="I98">
        <f>IFERROR(VLOOKUP(H98,Rates!$A$2:$B$3,2,0),1)</f>
        <v>1</v>
      </c>
      <c r="J98" t="str">
        <f t="shared" si="2"/>
        <v/>
      </c>
      <c r="K98" t="str">
        <f>IF(J98&lt;&gt;"",SUM($J$2:J98),"")</f>
        <v/>
      </c>
      <c r="L98">
        <f ca="1" t="shared" si="3"/>
        <v>45942</v>
      </c>
    </row>
    <row r="99" spans="9:12">
      <c r="I99">
        <f>IFERROR(VLOOKUP(H99,Rates!$A$2:$B$3,2,0),1)</f>
        <v>1</v>
      </c>
      <c r="J99" t="str">
        <f t="shared" si="2"/>
        <v/>
      </c>
      <c r="K99" t="str">
        <f>IF(J99&lt;&gt;"",SUM($J$2:J99),"")</f>
        <v/>
      </c>
      <c r="L99">
        <f ca="1" t="shared" si="3"/>
        <v>45942</v>
      </c>
    </row>
    <row r="100" spans="9:12">
      <c r="I100">
        <f>IFERROR(VLOOKUP(H100,Rates!$A$2:$B$3,2,0),1)</f>
        <v>1</v>
      </c>
      <c r="J100" t="str">
        <f t="shared" si="2"/>
        <v/>
      </c>
      <c r="K100" t="str">
        <f>IF(J100&lt;&gt;"",SUM($J$2:J100),"")</f>
        <v/>
      </c>
      <c r="L100">
        <f ca="1" t="shared" si="3"/>
        <v>45942</v>
      </c>
    </row>
    <row r="101" spans="9:12">
      <c r="I101">
        <f>IFERROR(VLOOKUP(H101,Rates!$A$2:$B$3,2,0),1)</f>
        <v>1</v>
      </c>
      <c r="J101" t="str">
        <f t="shared" si="2"/>
        <v/>
      </c>
      <c r="K101" t="str">
        <f>IF(J101&lt;&gt;"",SUM($J$2:J101),"")</f>
        <v/>
      </c>
      <c r="L101">
        <f ca="1" t="shared" si="3"/>
        <v>45942</v>
      </c>
    </row>
    <row r="102" spans="9:12">
      <c r="I102">
        <f>IFERROR(VLOOKUP(H102,Rates!$A$2:$B$3,2,0),1)</f>
        <v>1</v>
      </c>
      <c r="J102" t="str">
        <f t="shared" si="2"/>
        <v/>
      </c>
      <c r="K102" t="str">
        <f>IF(J102&lt;&gt;"",SUM($J$2:J102),"")</f>
        <v/>
      </c>
      <c r="L102">
        <f ca="1" t="shared" si="3"/>
        <v>45942</v>
      </c>
    </row>
    <row r="103" spans="9:12">
      <c r="I103">
        <f>IFERROR(VLOOKUP(H103,Rates!$A$2:$B$3,2,0),1)</f>
        <v>1</v>
      </c>
      <c r="J103" t="str">
        <f t="shared" si="2"/>
        <v/>
      </c>
      <c r="K103" t="str">
        <f>IF(J103&lt;&gt;"",SUM($J$2:J103),"")</f>
        <v/>
      </c>
      <c r="L103">
        <f ca="1" t="shared" si="3"/>
        <v>45942</v>
      </c>
    </row>
    <row r="104" spans="9:12">
      <c r="I104">
        <f>IFERROR(VLOOKUP(H104,Rates!$A$2:$B$3,2,0),1)</f>
        <v>1</v>
      </c>
      <c r="J104" t="str">
        <f t="shared" si="2"/>
        <v/>
      </c>
      <c r="K104" t="str">
        <f>IF(J104&lt;&gt;"",SUM($J$2:J104),"")</f>
        <v/>
      </c>
      <c r="L104">
        <f ca="1" t="shared" si="3"/>
        <v>45942</v>
      </c>
    </row>
    <row r="105" spans="9:12">
      <c r="I105">
        <f>IFERROR(VLOOKUP(H105,Rates!$A$2:$B$3,2,0),1)</f>
        <v>1</v>
      </c>
      <c r="J105" t="str">
        <f t="shared" si="2"/>
        <v/>
      </c>
      <c r="K105" t="str">
        <f>IF(J105&lt;&gt;"",SUM($J$2:J105),"")</f>
        <v/>
      </c>
      <c r="L105">
        <f ca="1" t="shared" si="3"/>
        <v>45942</v>
      </c>
    </row>
    <row r="106" spans="9:12">
      <c r="I106">
        <f>IFERROR(VLOOKUP(H106,Rates!$A$2:$B$3,2,0),1)</f>
        <v>1</v>
      </c>
      <c r="J106" t="str">
        <f t="shared" si="2"/>
        <v/>
      </c>
      <c r="K106" t="str">
        <f>IF(J106&lt;&gt;"",SUM($J$2:J106),"")</f>
        <v/>
      </c>
      <c r="L106">
        <f ca="1" t="shared" si="3"/>
        <v>45942</v>
      </c>
    </row>
    <row r="107" spans="9:12">
      <c r="I107">
        <f>IFERROR(VLOOKUP(H107,Rates!$A$2:$B$3,2,0),1)</f>
        <v>1</v>
      </c>
      <c r="J107" t="str">
        <f t="shared" si="2"/>
        <v/>
      </c>
      <c r="K107" t="str">
        <f>IF(J107&lt;&gt;"",SUM($J$2:J107),"")</f>
        <v/>
      </c>
      <c r="L107">
        <f ca="1" t="shared" si="3"/>
        <v>45942</v>
      </c>
    </row>
    <row r="108" spans="9:12">
      <c r="I108">
        <f>IFERROR(VLOOKUP(H108,Rates!$A$2:$B$3,2,0),1)</f>
        <v>1</v>
      </c>
      <c r="J108" t="str">
        <f t="shared" si="2"/>
        <v/>
      </c>
      <c r="K108" t="str">
        <f>IF(J108&lt;&gt;"",SUM($J$2:J108),"")</f>
        <v/>
      </c>
      <c r="L108">
        <f ca="1" t="shared" si="3"/>
        <v>45942</v>
      </c>
    </row>
    <row r="109" spans="9:12">
      <c r="I109">
        <f>IFERROR(VLOOKUP(H109,Rates!$A$2:$B$3,2,0),1)</f>
        <v>1</v>
      </c>
      <c r="J109" t="str">
        <f t="shared" si="2"/>
        <v/>
      </c>
      <c r="K109" t="str">
        <f>IF(J109&lt;&gt;"",SUM($J$2:J109),"")</f>
        <v/>
      </c>
      <c r="L109">
        <f ca="1" t="shared" si="3"/>
        <v>45942</v>
      </c>
    </row>
    <row r="110" spans="9:12">
      <c r="I110">
        <f>IFERROR(VLOOKUP(H110,Rates!$A$2:$B$3,2,0),1)</f>
        <v>1</v>
      </c>
      <c r="J110" t="str">
        <f t="shared" si="2"/>
        <v/>
      </c>
      <c r="K110" t="str">
        <f>IF(J110&lt;&gt;"",SUM($J$2:J110),"")</f>
        <v/>
      </c>
      <c r="L110">
        <f ca="1" t="shared" si="3"/>
        <v>45942</v>
      </c>
    </row>
    <row r="111" spans="9:12">
      <c r="I111">
        <f>IFERROR(VLOOKUP(H111,Rates!$A$2:$B$3,2,0),1)</f>
        <v>1</v>
      </c>
      <c r="J111" t="str">
        <f t="shared" si="2"/>
        <v/>
      </c>
      <c r="K111" t="str">
        <f>IF(J111&lt;&gt;"",SUM($J$2:J111),"")</f>
        <v/>
      </c>
      <c r="L111">
        <f ca="1" t="shared" si="3"/>
        <v>45942</v>
      </c>
    </row>
    <row r="112" spans="9:12">
      <c r="I112">
        <f>IFERROR(VLOOKUP(H112,Rates!$A$2:$B$3,2,0),1)</f>
        <v>1</v>
      </c>
      <c r="J112" t="str">
        <f t="shared" si="2"/>
        <v/>
      </c>
      <c r="K112" t="str">
        <f>IF(J112&lt;&gt;"",SUM($J$2:J112),"")</f>
        <v/>
      </c>
      <c r="L112">
        <f ca="1" t="shared" si="3"/>
        <v>45942</v>
      </c>
    </row>
    <row r="113" spans="9:12">
      <c r="I113">
        <f>IFERROR(VLOOKUP(H113,Rates!$A$2:$B$3,2,0),1)</f>
        <v>1</v>
      </c>
      <c r="J113" t="str">
        <f t="shared" si="2"/>
        <v/>
      </c>
      <c r="K113" t="str">
        <f>IF(J113&lt;&gt;"",SUM($J$2:J113),"")</f>
        <v/>
      </c>
      <c r="L113">
        <f ca="1" t="shared" si="3"/>
        <v>45942</v>
      </c>
    </row>
    <row r="114" spans="9:12">
      <c r="I114">
        <f>IFERROR(VLOOKUP(H114,Rates!$A$2:$B$3,2,0),1)</f>
        <v>1</v>
      </c>
      <c r="J114" t="str">
        <f t="shared" si="2"/>
        <v/>
      </c>
      <c r="K114" t="str">
        <f>IF(J114&lt;&gt;"",SUM($J$2:J114),"")</f>
        <v/>
      </c>
      <c r="L114">
        <f ca="1" t="shared" si="3"/>
        <v>45942</v>
      </c>
    </row>
    <row r="115" spans="9:12">
      <c r="I115">
        <f>IFERROR(VLOOKUP(H115,Rates!$A$2:$B$3,2,0),1)</f>
        <v>1</v>
      </c>
      <c r="J115" t="str">
        <f t="shared" si="2"/>
        <v/>
      </c>
      <c r="K115" t="str">
        <f>IF(J115&lt;&gt;"",SUM($J$2:J115),"")</f>
        <v/>
      </c>
      <c r="L115">
        <f ca="1" t="shared" si="3"/>
        <v>45942</v>
      </c>
    </row>
    <row r="116" spans="9:12">
      <c r="I116">
        <f>IFERROR(VLOOKUP(H116,Rates!$A$2:$B$3,2,0),1)</f>
        <v>1</v>
      </c>
      <c r="J116" t="str">
        <f t="shared" si="2"/>
        <v/>
      </c>
      <c r="K116" t="str">
        <f>IF(J116&lt;&gt;"",SUM($J$2:J116),"")</f>
        <v/>
      </c>
      <c r="L116">
        <f ca="1" t="shared" si="3"/>
        <v>45942</v>
      </c>
    </row>
    <row r="117" spans="9:12">
      <c r="I117">
        <f>IFERROR(VLOOKUP(H117,Rates!$A$2:$B$3,2,0),1)</f>
        <v>1</v>
      </c>
      <c r="J117" t="str">
        <f t="shared" si="2"/>
        <v/>
      </c>
      <c r="K117" t="str">
        <f>IF(J117&lt;&gt;"",SUM($J$2:J117),"")</f>
        <v/>
      </c>
      <c r="L117">
        <f ca="1" t="shared" si="3"/>
        <v>45942</v>
      </c>
    </row>
    <row r="118" spans="9:12">
      <c r="I118">
        <f>IFERROR(VLOOKUP(H118,Rates!$A$2:$B$3,2,0),1)</f>
        <v>1</v>
      </c>
      <c r="J118" t="str">
        <f t="shared" si="2"/>
        <v/>
      </c>
      <c r="K118" t="str">
        <f>IF(J118&lt;&gt;"",SUM($J$2:J118),"")</f>
        <v/>
      </c>
      <c r="L118">
        <f ca="1" t="shared" si="3"/>
        <v>45942</v>
      </c>
    </row>
    <row r="119" spans="9:12">
      <c r="I119">
        <f>IFERROR(VLOOKUP(H119,Rates!$A$2:$B$3,2,0),1)</f>
        <v>1</v>
      </c>
      <c r="J119" t="str">
        <f t="shared" si="2"/>
        <v/>
      </c>
      <c r="K119" t="str">
        <f>IF(J119&lt;&gt;"",SUM($J$2:J119),"")</f>
        <v/>
      </c>
      <c r="L119">
        <f ca="1" t="shared" si="3"/>
        <v>45942</v>
      </c>
    </row>
    <row r="120" spans="9:12">
      <c r="I120">
        <f>IFERROR(VLOOKUP(H120,Rates!$A$2:$B$3,2,0),1)</f>
        <v>1</v>
      </c>
      <c r="J120" t="str">
        <f t="shared" si="2"/>
        <v/>
      </c>
      <c r="K120" t="str">
        <f>IF(J120&lt;&gt;"",SUM($J$2:J120),"")</f>
        <v/>
      </c>
      <c r="L120">
        <f ca="1" t="shared" si="3"/>
        <v>45942</v>
      </c>
    </row>
    <row r="121" spans="9:12">
      <c r="I121">
        <f>IFERROR(VLOOKUP(H121,Rates!$A$2:$B$3,2,0),1)</f>
        <v>1</v>
      </c>
      <c r="J121" t="str">
        <f t="shared" si="2"/>
        <v/>
      </c>
      <c r="K121" t="str">
        <f>IF(J121&lt;&gt;"",SUM($J$2:J121),"")</f>
        <v/>
      </c>
      <c r="L121">
        <f ca="1" t="shared" si="3"/>
        <v>45942</v>
      </c>
    </row>
    <row r="122" spans="9:12">
      <c r="I122">
        <f>IFERROR(VLOOKUP(H122,Rates!$A$2:$B$3,2,0),1)</f>
        <v>1</v>
      </c>
      <c r="J122" t="str">
        <f t="shared" si="2"/>
        <v/>
      </c>
      <c r="K122" t="str">
        <f>IF(J122&lt;&gt;"",SUM($J$2:J122),"")</f>
        <v/>
      </c>
      <c r="L122">
        <f ca="1" t="shared" si="3"/>
        <v>45942</v>
      </c>
    </row>
    <row r="123" spans="9:12">
      <c r="I123">
        <f>IFERROR(VLOOKUP(H123,Rates!$A$2:$B$3,2,0),1)</f>
        <v>1</v>
      </c>
      <c r="J123" t="str">
        <f t="shared" si="2"/>
        <v/>
      </c>
      <c r="K123" t="str">
        <f>IF(J123&lt;&gt;"",SUM($J$2:J123),"")</f>
        <v/>
      </c>
      <c r="L123">
        <f ca="1" t="shared" si="3"/>
        <v>45942</v>
      </c>
    </row>
    <row r="124" spans="9:12">
      <c r="I124">
        <f>IFERROR(VLOOKUP(H124,Rates!$A$2:$B$3,2,0),1)</f>
        <v>1</v>
      </c>
      <c r="J124" t="str">
        <f t="shared" si="2"/>
        <v/>
      </c>
      <c r="K124" t="str">
        <f>IF(J124&lt;&gt;"",SUM($J$2:J124),"")</f>
        <v/>
      </c>
      <c r="L124">
        <f ca="1" t="shared" si="3"/>
        <v>45942</v>
      </c>
    </row>
    <row r="125" spans="9:12">
      <c r="I125">
        <f>IFERROR(VLOOKUP(H125,Rates!$A$2:$B$3,2,0),1)</f>
        <v>1</v>
      </c>
      <c r="J125" t="str">
        <f t="shared" si="2"/>
        <v/>
      </c>
      <c r="K125" t="str">
        <f>IF(J125&lt;&gt;"",SUM($J$2:J125),"")</f>
        <v/>
      </c>
      <c r="L125">
        <f ca="1" t="shared" si="3"/>
        <v>45942</v>
      </c>
    </row>
    <row r="126" spans="9:12">
      <c r="I126">
        <f>IFERROR(VLOOKUP(H126,Rates!$A$2:$B$3,2,0),1)</f>
        <v>1</v>
      </c>
      <c r="J126" t="str">
        <f t="shared" si="2"/>
        <v/>
      </c>
      <c r="K126" t="str">
        <f>IF(J126&lt;&gt;"",SUM($J$2:J126),"")</f>
        <v/>
      </c>
      <c r="L126">
        <f ca="1" t="shared" si="3"/>
        <v>45942</v>
      </c>
    </row>
    <row r="127" spans="9:12">
      <c r="I127">
        <f>IFERROR(VLOOKUP(H127,Rates!$A$2:$B$3,2,0),1)</f>
        <v>1</v>
      </c>
      <c r="J127" t="str">
        <f t="shared" si="2"/>
        <v/>
      </c>
      <c r="K127" t="str">
        <f>IF(J127&lt;&gt;"",SUM($J$2:J127),"")</f>
        <v/>
      </c>
      <c r="L127">
        <f ca="1" t="shared" si="3"/>
        <v>45942</v>
      </c>
    </row>
    <row r="128" spans="9:12">
      <c r="I128">
        <f>IFERROR(VLOOKUP(H128,Rates!$A$2:$B$3,2,0),1)</f>
        <v>1</v>
      </c>
      <c r="J128" t="str">
        <f t="shared" si="2"/>
        <v/>
      </c>
      <c r="K128" t="str">
        <f>IF(J128&lt;&gt;"",SUM($J$2:J128),"")</f>
        <v/>
      </c>
      <c r="L128">
        <f ca="1" t="shared" si="3"/>
        <v>45942</v>
      </c>
    </row>
    <row r="129" spans="9:12">
      <c r="I129">
        <f>IFERROR(VLOOKUP(H129,Rates!$A$2:$B$3,2,0),1)</f>
        <v>1</v>
      </c>
      <c r="J129" t="str">
        <f t="shared" si="2"/>
        <v/>
      </c>
      <c r="K129" t="str">
        <f>IF(J129&lt;&gt;"",SUM($J$2:J129),"")</f>
        <v/>
      </c>
      <c r="L129">
        <f ca="1" t="shared" si="3"/>
        <v>45942</v>
      </c>
    </row>
    <row r="130" spans="9:12">
      <c r="I130">
        <f>IFERROR(VLOOKUP(H130,Rates!$A$2:$B$3,2,0),1)</f>
        <v>1</v>
      </c>
      <c r="J130" t="str">
        <f t="shared" ref="J130:J193" si="4">IF(G130&lt;&gt;"",G130*I130,"")</f>
        <v/>
      </c>
      <c r="K130" t="str">
        <f>IF(J130&lt;&gt;"",SUM($J$2:J130),"")</f>
        <v/>
      </c>
      <c r="L130">
        <f ca="1" t="shared" ref="L130:L193" si="5">IF(COUNTA(A130:K130)&gt;0,TODAY(),"")</f>
        <v>45942</v>
      </c>
    </row>
    <row r="131" spans="9:12">
      <c r="I131">
        <f>IFERROR(VLOOKUP(H131,Rates!$A$2:$B$3,2,0),1)</f>
        <v>1</v>
      </c>
      <c r="J131" t="str">
        <f t="shared" si="4"/>
        <v/>
      </c>
      <c r="K131" t="str">
        <f>IF(J131&lt;&gt;"",SUM($J$2:J131),"")</f>
        <v/>
      </c>
      <c r="L131">
        <f ca="1" t="shared" si="5"/>
        <v>45942</v>
      </c>
    </row>
    <row r="132" spans="9:12">
      <c r="I132">
        <f>IFERROR(VLOOKUP(H132,Rates!$A$2:$B$3,2,0),1)</f>
        <v>1</v>
      </c>
      <c r="J132" t="str">
        <f t="shared" si="4"/>
        <v/>
      </c>
      <c r="K132" t="str">
        <f>IF(J132&lt;&gt;"",SUM($J$2:J132),"")</f>
        <v/>
      </c>
      <c r="L132">
        <f ca="1" t="shared" si="5"/>
        <v>45942</v>
      </c>
    </row>
    <row r="133" spans="9:12">
      <c r="I133">
        <f>IFERROR(VLOOKUP(H133,Rates!$A$2:$B$3,2,0),1)</f>
        <v>1</v>
      </c>
      <c r="J133" t="str">
        <f t="shared" si="4"/>
        <v/>
      </c>
      <c r="K133" t="str">
        <f>IF(J133&lt;&gt;"",SUM($J$2:J133),"")</f>
        <v/>
      </c>
      <c r="L133">
        <f ca="1" t="shared" si="5"/>
        <v>45942</v>
      </c>
    </row>
    <row r="134" spans="9:12">
      <c r="I134">
        <f>IFERROR(VLOOKUP(H134,Rates!$A$2:$B$3,2,0),1)</f>
        <v>1</v>
      </c>
      <c r="J134" t="str">
        <f t="shared" si="4"/>
        <v/>
      </c>
      <c r="K134" t="str">
        <f>IF(J134&lt;&gt;"",SUM($J$2:J134),"")</f>
        <v/>
      </c>
      <c r="L134">
        <f ca="1" t="shared" si="5"/>
        <v>45942</v>
      </c>
    </row>
    <row r="135" spans="9:12">
      <c r="I135">
        <f>IFERROR(VLOOKUP(H135,Rates!$A$2:$B$3,2,0),1)</f>
        <v>1</v>
      </c>
      <c r="J135" t="str">
        <f t="shared" si="4"/>
        <v/>
      </c>
      <c r="K135" t="str">
        <f>IF(J135&lt;&gt;"",SUM($J$2:J135),"")</f>
        <v/>
      </c>
      <c r="L135">
        <f ca="1" t="shared" si="5"/>
        <v>45942</v>
      </c>
    </row>
    <row r="136" spans="9:12">
      <c r="I136">
        <f>IFERROR(VLOOKUP(H136,Rates!$A$2:$B$3,2,0),1)</f>
        <v>1</v>
      </c>
      <c r="J136" t="str">
        <f t="shared" si="4"/>
        <v/>
      </c>
      <c r="K136" t="str">
        <f>IF(J136&lt;&gt;"",SUM($J$2:J136),"")</f>
        <v/>
      </c>
      <c r="L136">
        <f ca="1" t="shared" si="5"/>
        <v>45942</v>
      </c>
    </row>
    <row r="137" spans="9:12">
      <c r="I137">
        <f>IFERROR(VLOOKUP(H137,Rates!$A$2:$B$3,2,0),1)</f>
        <v>1</v>
      </c>
      <c r="J137" t="str">
        <f t="shared" si="4"/>
        <v/>
      </c>
      <c r="K137" t="str">
        <f>IF(J137&lt;&gt;"",SUM($J$2:J137),"")</f>
        <v/>
      </c>
      <c r="L137">
        <f ca="1" t="shared" si="5"/>
        <v>45942</v>
      </c>
    </row>
    <row r="138" spans="9:12">
      <c r="I138">
        <f>IFERROR(VLOOKUP(H138,Rates!$A$2:$B$3,2,0),1)</f>
        <v>1</v>
      </c>
      <c r="J138" t="str">
        <f t="shared" si="4"/>
        <v/>
      </c>
      <c r="K138" t="str">
        <f>IF(J138&lt;&gt;"",SUM($J$2:J138),"")</f>
        <v/>
      </c>
      <c r="L138">
        <f ca="1" t="shared" si="5"/>
        <v>45942</v>
      </c>
    </row>
    <row r="139" spans="9:12">
      <c r="I139">
        <f>IFERROR(VLOOKUP(H139,Rates!$A$2:$B$3,2,0),1)</f>
        <v>1</v>
      </c>
      <c r="J139" t="str">
        <f t="shared" si="4"/>
        <v/>
      </c>
      <c r="K139" t="str">
        <f>IF(J139&lt;&gt;"",SUM($J$2:J139),"")</f>
        <v/>
      </c>
      <c r="L139">
        <f ca="1" t="shared" si="5"/>
        <v>45942</v>
      </c>
    </row>
    <row r="140" spans="9:12">
      <c r="I140">
        <f>IFERROR(VLOOKUP(H140,Rates!$A$2:$B$3,2,0),1)</f>
        <v>1</v>
      </c>
      <c r="J140" t="str">
        <f t="shared" si="4"/>
        <v/>
      </c>
      <c r="K140" t="str">
        <f>IF(J140&lt;&gt;"",SUM($J$2:J140),"")</f>
        <v/>
      </c>
      <c r="L140">
        <f ca="1" t="shared" si="5"/>
        <v>45942</v>
      </c>
    </row>
    <row r="141" spans="9:12">
      <c r="I141">
        <f>IFERROR(VLOOKUP(H141,Rates!$A$2:$B$3,2,0),1)</f>
        <v>1</v>
      </c>
      <c r="J141" t="str">
        <f t="shared" si="4"/>
        <v/>
      </c>
      <c r="K141" t="str">
        <f>IF(J141&lt;&gt;"",SUM($J$2:J141),"")</f>
        <v/>
      </c>
      <c r="L141">
        <f ca="1" t="shared" si="5"/>
        <v>45942</v>
      </c>
    </row>
    <row r="142" spans="9:12">
      <c r="I142">
        <f>IFERROR(VLOOKUP(H142,Rates!$A$2:$B$3,2,0),1)</f>
        <v>1</v>
      </c>
      <c r="J142" t="str">
        <f t="shared" si="4"/>
        <v/>
      </c>
      <c r="K142" t="str">
        <f>IF(J142&lt;&gt;"",SUM($J$2:J142),"")</f>
        <v/>
      </c>
      <c r="L142">
        <f ca="1" t="shared" si="5"/>
        <v>45942</v>
      </c>
    </row>
    <row r="143" spans="9:12">
      <c r="I143">
        <f>IFERROR(VLOOKUP(H143,Rates!$A$2:$B$3,2,0),1)</f>
        <v>1</v>
      </c>
      <c r="J143" t="str">
        <f t="shared" si="4"/>
        <v/>
      </c>
      <c r="K143" t="str">
        <f>IF(J143&lt;&gt;"",SUM($J$2:J143),"")</f>
        <v/>
      </c>
      <c r="L143">
        <f ca="1" t="shared" si="5"/>
        <v>45942</v>
      </c>
    </row>
    <row r="144" spans="9:12">
      <c r="I144">
        <f>IFERROR(VLOOKUP(H144,Rates!$A$2:$B$3,2,0),1)</f>
        <v>1</v>
      </c>
      <c r="J144" t="str">
        <f t="shared" si="4"/>
        <v/>
      </c>
      <c r="K144" t="str">
        <f>IF(J144&lt;&gt;"",SUM($J$2:J144),"")</f>
        <v/>
      </c>
      <c r="L144">
        <f ca="1" t="shared" si="5"/>
        <v>45942</v>
      </c>
    </row>
    <row r="145" spans="9:12">
      <c r="I145">
        <f>IFERROR(VLOOKUP(H145,Rates!$A$2:$B$3,2,0),1)</f>
        <v>1</v>
      </c>
      <c r="J145" t="str">
        <f t="shared" si="4"/>
        <v/>
      </c>
      <c r="K145" t="str">
        <f>IF(J145&lt;&gt;"",SUM($J$2:J145),"")</f>
        <v/>
      </c>
      <c r="L145">
        <f ca="1" t="shared" si="5"/>
        <v>45942</v>
      </c>
    </row>
    <row r="146" spans="9:12">
      <c r="I146">
        <f>IFERROR(VLOOKUP(H146,Rates!$A$2:$B$3,2,0),1)</f>
        <v>1</v>
      </c>
      <c r="J146" t="str">
        <f t="shared" si="4"/>
        <v/>
      </c>
      <c r="K146" t="str">
        <f>IF(J146&lt;&gt;"",SUM($J$2:J146),"")</f>
        <v/>
      </c>
      <c r="L146">
        <f ca="1" t="shared" si="5"/>
        <v>45942</v>
      </c>
    </row>
    <row r="147" spans="9:12">
      <c r="I147">
        <f>IFERROR(VLOOKUP(H147,Rates!$A$2:$B$3,2,0),1)</f>
        <v>1</v>
      </c>
      <c r="J147" t="str">
        <f t="shared" si="4"/>
        <v/>
      </c>
      <c r="K147" t="str">
        <f>IF(J147&lt;&gt;"",SUM($J$2:J147),"")</f>
        <v/>
      </c>
      <c r="L147">
        <f ca="1" t="shared" si="5"/>
        <v>45942</v>
      </c>
    </row>
    <row r="148" spans="9:12">
      <c r="I148">
        <f>IFERROR(VLOOKUP(H148,Rates!$A$2:$B$3,2,0),1)</f>
        <v>1</v>
      </c>
      <c r="J148" t="str">
        <f t="shared" si="4"/>
        <v/>
      </c>
      <c r="K148" t="str">
        <f>IF(J148&lt;&gt;"",SUM($J$2:J148),"")</f>
        <v/>
      </c>
      <c r="L148">
        <f ca="1" t="shared" si="5"/>
        <v>45942</v>
      </c>
    </row>
    <row r="149" spans="9:12">
      <c r="I149">
        <f>IFERROR(VLOOKUP(H149,Rates!$A$2:$B$3,2,0),1)</f>
        <v>1</v>
      </c>
      <c r="J149" t="str">
        <f t="shared" si="4"/>
        <v/>
      </c>
      <c r="K149" t="str">
        <f>IF(J149&lt;&gt;"",SUM($J$2:J149),"")</f>
        <v/>
      </c>
      <c r="L149">
        <f ca="1" t="shared" si="5"/>
        <v>45942</v>
      </c>
    </row>
    <row r="150" spans="9:12">
      <c r="I150">
        <f>IFERROR(VLOOKUP(H150,Rates!$A$2:$B$3,2,0),1)</f>
        <v>1</v>
      </c>
      <c r="J150" t="str">
        <f t="shared" si="4"/>
        <v/>
      </c>
      <c r="K150" t="str">
        <f>IF(J150&lt;&gt;"",SUM($J$2:J150),"")</f>
        <v/>
      </c>
      <c r="L150">
        <f ca="1" t="shared" si="5"/>
        <v>45942</v>
      </c>
    </row>
    <row r="151" spans="9:12">
      <c r="I151">
        <f>IFERROR(VLOOKUP(H151,Rates!$A$2:$B$3,2,0),1)</f>
        <v>1</v>
      </c>
      <c r="J151" t="str">
        <f t="shared" si="4"/>
        <v/>
      </c>
      <c r="K151" t="str">
        <f>IF(J151&lt;&gt;"",SUM($J$2:J151),"")</f>
        <v/>
      </c>
      <c r="L151">
        <f ca="1" t="shared" si="5"/>
        <v>45942</v>
      </c>
    </row>
    <row r="152" spans="9:12">
      <c r="I152">
        <f>IFERROR(VLOOKUP(H152,Rates!$A$2:$B$3,2,0),1)</f>
        <v>1</v>
      </c>
      <c r="J152" t="str">
        <f t="shared" si="4"/>
        <v/>
      </c>
      <c r="K152" t="str">
        <f>IF(J152&lt;&gt;"",SUM($J$2:J152),"")</f>
        <v/>
      </c>
      <c r="L152">
        <f ca="1" t="shared" si="5"/>
        <v>45942</v>
      </c>
    </row>
    <row r="153" spans="9:12">
      <c r="I153">
        <f>IFERROR(VLOOKUP(H153,Rates!$A$2:$B$3,2,0),1)</f>
        <v>1</v>
      </c>
      <c r="J153" t="str">
        <f t="shared" si="4"/>
        <v/>
      </c>
      <c r="K153" t="str">
        <f>IF(J153&lt;&gt;"",SUM($J$2:J153),"")</f>
        <v/>
      </c>
      <c r="L153">
        <f ca="1" t="shared" si="5"/>
        <v>45942</v>
      </c>
    </row>
    <row r="154" spans="9:12">
      <c r="I154">
        <f>IFERROR(VLOOKUP(H154,Rates!$A$2:$B$3,2,0),1)</f>
        <v>1</v>
      </c>
      <c r="J154" t="str">
        <f t="shared" si="4"/>
        <v/>
      </c>
      <c r="K154" t="str">
        <f>IF(J154&lt;&gt;"",SUM($J$2:J154),"")</f>
        <v/>
      </c>
      <c r="L154">
        <f ca="1" t="shared" si="5"/>
        <v>45942</v>
      </c>
    </row>
    <row r="155" spans="9:12">
      <c r="I155">
        <f>IFERROR(VLOOKUP(H155,Rates!$A$2:$B$3,2,0),1)</f>
        <v>1</v>
      </c>
      <c r="J155" t="str">
        <f t="shared" si="4"/>
        <v/>
      </c>
      <c r="K155" t="str">
        <f>IF(J155&lt;&gt;"",SUM($J$2:J155),"")</f>
        <v/>
      </c>
      <c r="L155">
        <f ca="1" t="shared" si="5"/>
        <v>45942</v>
      </c>
    </row>
    <row r="156" spans="9:12">
      <c r="I156">
        <f>IFERROR(VLOOKUP(H156,Rates!$A$2:$B$3,2,0),1)</f>
        <v>1</v>
      </c>
      <c r="J156" t="str">
        <f t="shared" si="4"/>
        <v/>
      </c>
      <c r="K156" t="str">
        <f>IF(J156&lt;&gt;"",SUM($J$2:J156),"")</f>
        <v/>
      </c>
      <c r="L156">
        <f ca="1" t="shared" si="5"/>
        <v>45942</v>
      </c>
    </row>
    <row r="157" spans="9:12">
      <c r="I157">
        <f>IFERROR(VLOOKUP(H157,Rates!$A$2:$B$3,2,0),1)</f>
        <v>1</v>
      </c>
      <c r="J157" t="str">
        <f t="shared" si="4"/>
        <v/>
      </c>
      <c r="K157" t="str">
        <f>IF(J157&lt;&gt;"",SUM($J$2:J157),"")</f>
        <v/>
      </c>
      <c r="L157">
        <f ca="1" t="shared" si="5"/>
        <v>45942</v>
      </c>
    </row>
    <row r="158" spans="9:12">
      <c r="I158">
        <f>IFERROR(VLOOKUP(H158,Rates!$A$2:$B$3,2,0),1)</f>
        <v>1</v>
      </c>
      <c r="J158" t="str">
        <f t="shared" si="4"/>
        <v/>
      </c>
      <c r="K158" t="str">
        <f>IF(J158&lt;&gt;"",SUM($J$2:J158),"")</f>
        <v/>
      </c>
      <c r="L158">
        <f ca="1" t="shared" si="5"/>
        <v>45942</v>
      </c>
    </row>
    <row r="159" spans="9:12">
      <c r="I159">
        <f>IFERROR(VLOOKUP(H159,Rates!$A$2:$B$3,2,0),1)</f>
        <v>1</v>
      </c>
      <c r="J159" t="str">
        <f t="shared" si="4"/>
        <v/>
      </c>
      <c r="K159" t="str">
        <f>IF(J159&lt;&gt;"",SUM($J$2:J159),"")</f>
        <v/>
      </c>
      <c r="L159">
        <f ca="1" t="shared" si="5"/>
        <v>45942</v>
      </c>
    </row>
    <row r="160" spans="9:12">
      <c r="I160">
        <f>IFERROR(VLOOKUP(H160,Rates!$A$2:$B$3,2,0),1)</f>
        <v>1</v>
      </c>
      <c r="J160" t="str">
        <f t="shared" si="4"/>
        <v/>
      </c>
      <c r="K160" t="str">
        <f>IF(J160&lt;&gt;"",SUM($J$2:J160),"")</f>
        <v/>
      </c>
      <c r="L160">
        <f ca="1" t="shared" si="5"/>
        <v>45942</v>
      </c>
    </row>
    <row r="161" spans="9:12">
      <c r="I161">
        <f>IFERROR(VLOOKUP(H161,Rates!$A$2:$B$3,2,0),1)</f>
        <v>1</v>
      </c>
      <c r="J161" t="str">
        <f t="shared" si="4"/>
        <v/>
      </c>
      <c r="K161" t="str">
        <f>IF(J161&lt;&gt;"",SUM($J$2:J161),"")</f>
        <v/>
      </c>
      <c r="L161">
        <f ca="1" t="shared" si="5"/>
        <v>45942</v>
      </c>
    </row>
    <row r="162" spans="9:12">
      <c r="I162">
        <f>IFERROR(VLOOKUP(H162,Rates!$A$2:$B$3,2,0),1)</f>
        <v>1</v>
      </c>
      <c r="J162" t="str">
        <f t="shared" si="4"/>
        <v/>
      </c>
      <c r="K162" t="str">
        <f>IF(J162&lt;&gt;"",SUM($J$2:J162),"")</f>
        <v/>
      </c>
      <c r="L162">
        <f ca="1" t="shared" si="5"/>
        <v>45942</v>
      </c>
    </row>
    <row r="163" spans="9:12">
      <c r="I163">
        <f>IFERROR(VLOOKUP(H163,Rates!$A$2:$B$3,2,0),1)</f>
        <v>1</v>
      </c>
      <c r="J163" t="str">
        <f t="shared" si="4"/>
        <v/>
      </c>
      <c r="K163" t="str">
        <f>IF(J163&lt;&gt;"",SUM($J$2:J163),"")</f>
        <v/>
      </c>
      <c r="L163">
        <f ca="1" t="shared" si="5"/>
        <v>45942</v>
      </c>
    </row>
    <row r="164" spans="9:12">
      <c r="I164">
        <f>IFERROR(VLOOKUP(H164,Rates!$A$2:$B$3,2,0),1)</f>
        <v>1</v>
      </c>
      <c r="J164" t="str">
        <f t="shared" si="4"/>
        <v/>
      </c>
      <c r="K164" t="str">
        <f>IF(J164&lt;&gt;"",SUM($J$2:J164),"")</f>
        <v/>
      </c>
      <c r="L164">
        <f ca="1" t="shared" si="5"/>
        <v>45942</v>
      </c>
    </row>
    <row r="165" spans="9:12">
      <c r="I165">
        <f>IFERROR(VLOOKUP(H165,Rates!$A$2:$B$3,2,0),1)</f>
        <v>1</v>
      </c>
      <c r="J165" t="str">
        <f t="shared" si="4"/>
        <v/>
      </c>
      <c r="K165" t="str">
        <f>IF(J165&lt;&gt;"",SUM($J$2:J165),"")</f>
        <v/>
      </c>
      <c r="L165">
        <f ca="1" t="shared" si="5"/>
        <v>45942</v>
      </c>
    </row>
    <row r="166" spans="9:12">
      <c r="I166">
        <f>IFERROR(VLOOKUP(H166,Rates!$A$2:$B$3,2,0),1)</f>
        <v>1</v>
      </c>
      <c r="J166" t="str">
        <f t="shared" si="4"/>
        <v/>
      </c>
      <c r="K166" t="str">
        <f>IF(J166&lt;&gt;"",SUM($J$2:J166),"")</f>
        <v/>
      </c>
      <c r="L166">
        <f ca="1" t="shared" si="5"/>
        <v>45942</v>
      </c>
    </row>
    <row r="167" spans="9:12">
      <c r="I167">
        <f>IFERROR(VLOOKUP(H167,Rates!$A$2:$B$3,2,0),1)</f>
        <v>1</v>
      </c>
      <c r="J167" t="str">
        <f t="shared" si="4"/>
        <v/>
      </c>
      <c r="K167" t="str">
        <f>IF(J167&lt;&gt;"",SUM($J$2:J167),"")</f>
        <v/>
      </c>
      <c r="L167">
        <f ca="1" t="shared" si="5"/>
        <v>45942</v>
      </c>
    </row>
    <row r="168" spans="9:12">
      <c r="I168">
        <f>IFERROR(VLOOKUP(H168,Rates!$A$2:$B$3,2,0),1)</f>
        <v>1</v>
      </c>
      <c r="J168" t="str">
        <f t="shared" si="4"/>
        <v/>
      </c>
      <c r="K168" t="str">
        <f>IF(J168&lt;&gt;"",SUM($J$2:J168),"")</f>
        <v/>
      </c>
      <c r="L168">
        <f ca="1" t="shared" si="5"/>
        <v>45942</v>
      </c>
    </row>
    <row r="169" spans="9:12">
      <c r="I169">
        <f>IFERROR(VLOOKUP(H169,Rates!$A$2:$B$3,2,0),1)</f>
        <v>1</v>
      </c>
      <c r="J169" t="str">
        <f t="shared" si="4"/>
        <v/>
      </c>
      <c r="K169" t="str">
        <f>IF(J169&lt;&gt;"",SUM($J$2:J169),"")</f>
        <v/>
      </c>
      <c r="L169">
        <f ca="1" t="shared" si="5"/>
        <v>45942</v>
      </c>
    </row>
    <row r="170" spans="9:12">
      <c r="I170">
        <f>IFERROR(VLOOKUP(H170,Rates!$A$2:$B$3,2,0),1)</f>
        <v>1</v>
      </c>
      <c r="J170" t="str">
        <f t="shared" si="4"/>
        <v/>
      </c>
      <c r="K170" t="str">
        <f>IF(J170&lt;&gt;"",SUM($J$2:J170),"")</f>
        <v/>
      </c>
      <c r="L170">
        <f ca="1" t="shared" si="5"/>
        <v>45942</v>
      </c>
    </row>
    <row r="171" spans="9:12">
      <c r="I171">
        <f>IFERROR(VLOOKUP(H171,Rates!$A$2:$B$3,2,0),1)</f>
        <v>1</v>
      </c>
      <c r="J171" t="str">
        <f t="shared" si="4"/>
        <v/>
      </c>
      <c r="K171" t="str">
        <f>IF(J171&lt;&gt;"",SUM($J$2:J171),"")</f>
        <v/>
      </c>
      <c r="L171">
        <f ca="1" t="shared" si="5"/>
        <v>45942</v>
      </c>
    </row>
    <row r="172" spans="9:12">
      <c r="I172">
        <f>IFERROR(VLOOKUP(H172,Rates!$A$2:$B$3,2,0),1)</f>
        <v>1</v>
      </c>
      <c r="J172" t="str">
        <f t="shared" si="4"/>
        <v/>
      </c>
      <c r="K172" t="str">
        <f>IF(J172&lt;&gt;"",SUM($J$2:J172),"")</f>
        <v/>
      </c>
      <c r="L172">
        <f ca="1" t="shared" si="5"/>
        <v>45942</v>
      </c>
    </row>
    <row r="173" spans="9:12">
      <c r="I173">
        <f>IFERROR(VLOOKUP(H173,Rates!$A$2:$B$3,2,0),1)</f>
        <v>1</v>
      </c>
      <c r="J173" t="str">
        <f t="shared" si="4"/>
        <v/>
      </c>
      <c r="K173" t="str">
        <f>IF(J173&lt;&gt;"",SUM($J$2:J173),"")</f>
        <v/>
      </c>
      <c r="L173">
        <f ca="1" t="shared" si="5"/>
        <v>45942</v>
      </c>
    </row>
    <row r="174" spans="9:12">
      <c r="I174">
        <f>IFERROR(VLOOKUP(H174,Rates!$A$2:$B$3,2,0),1)</f>
        <v>1</v>
      </c>
      <c r="J174" t="str">
        <f t="shared" si="4"/>
        <v/>
      </c>
      <c r="K174" t="str">
        <f>IF(J174&lt;&gt;"",SUM($J$2:J174),"")</f>
        <v/>
      </c>
      <c r="L174">
        <f ca="1" t="shared" si="5"/>
        <v>45942</v>
      </c>
    </row>
    <row r="175" spans="9:12">
      <c r="I175">
        <f>IFERROR(VLOOKUP(H175,Rates!$A$2:$B$3,2,0),1)</f>
        <v>1</v>
      </c>
      <c r="J175" t="str">
        <f t="shared" si="4"/>
        <v/>
      </c>
      <c r="K175" t="str">
        <f>IF(J175&lt;&gt;"",SUM($J$2:J175),"")</f>
        <v/>
      </c>
      <c r="L175">
        <f ca="1" t="shared" si="5"/>
        <v>45942</v>
      </c>
    </row>
    <row r="176" spans="9:12">
      <c r="I176">
        <f>IFERROR(VLOOKUP(H176,Rates!$A$2:$B$3,2,0),1)</f>
        <v>1</v>
      </c>
      <c r="J176" t="str">
        <f t="shared" si="4"/>
        <v/>
      </c>
      <c r="K176" t="str">
        <f>IF(J176&lt;&gt;"",SUM($J$2:J176),"")</f>
        <v/>
      </c>
      <c r="L176">
        <f ca="1" t="shared" si="5"/>
        <v>45942</v>
      </c>
    </row>
    <row r="177" spans="9:12">
      <c r="I177">
        <f>IFERROR(VLOOKUP(H177,Rates!$A$2:$B$3,2,0),1)</f>
        <v>1</v>
      </c>
      <c r="J177" t="str">
        <f t="shared" si="4"/>
        <v/>
      </c>
      <c r="K177" t="str">
        <f>IF(J177&lt;&gt;"",SUM($J$2:J177),"")</f>
        <v/>
      </c>
      <c r="L177">
        <f ca="1" t="shared" si="5"/>
        <v>45942</v>
      </c>
    </row>
    <row r="178" spans="9:12">
      <c r="I178">
        <f>IFERROR(VLOOKUP(H178,Rates!$A$2:$B$3,2,0),1)</f>
        <v>1</v>
      </c>
      <c r="J178" t="str">
        <f t="shared" si="4"/>
        <v/>
      </c>
      <c r="K178" t="str">
        <f>IF(J178&lt;&gt;"",SUM($J$2:J178),"")</f>
        <v/>
      </c>
      <c r="L178">
        <f ca="1" t="shared" si="5"/>
        <v>45942</v>
      </c>
    </row>
    <row r="179" spans="9:12">
      <c r="I179">
        <f>IFERROR(VLOOKUP(H179,Rates!$A$2:$B$3,2,0),1)</f>
        <v>1</v>
      </c>
      <c r="J179" t="str">
        <f t="shared" si="4"/>
        <v/>
      </c>
      <c r="K179" t="str">
        <f>IF(J179&lt;&gt;"",SUM($J$2:J179),"")</f>
        <v/>
      </c>
      <c r="L179">
        <f ca="1" t="shared" si="5"/>
        <v>45942</v>
      </c>
    </row>
    <row r="180" spans="9:12">
      <c r="I180">
        <f>IFERROR(VLOOKUP(H180,Rates!$A$2:$B$3,2,0),1)</f>
        <v>1</v>
      </c>
      <c r="J180" t="str">
        <f t="shared" si="4"/>
        <v/>
      </c>
      <c r="K180" t="str">
        <f>IF(J180&lt;&gt;"",SUM($J$2:J180),"")</f>
        <v/>
      </c>
      <c r="L180">
        <f ca="1" t="shared" si="5"/>
        <v>45942</v>
      </c>
    </row>
    <row r="181" spans="9:12">
      <c r="I181">
        <f>IFERROR(VLOOKUP(H181,Rates!$A$2:$B$3,2,0),1)</f>
        <v>1</v>
      </c>
      <c r="J181" t="str">
        <f t="shared" si="4"/>
        <v/>
      </c>
      <c r="K181" t="str">
        <f>IF(J181&lt;&gt;"",SUM($J$2:J181),"")</f>
        <v/>
      </c>
      <c r="L181">
        <f ca="1" t="shared" si="5"/>
        <v>45942</v>
      </c>
    </row>
    <row r="182" spans="9:12">
      <c r="I182">
        <f>IFERROR(VLOOKUP(H182,Rates!$A$2:$B$3,2,0),1)</f>
        <v>1</v>
      </c>
      <c r="J182" t="str">
        <f t="shared" si="4"/>
        <v/>
      </c>
      <c r="K182" t="str">
        <f>IF(J182&lt;&gt;"",SUM($J$2:J182),"")</f>
        <v/>
      </c>
      <c r="L182">
        <f ca="1" t="shared" si="5"/>
        <v>45942</v>
      </c>
    </row>
    <row r="183" spans="9:12">
      <c r="I183">
        <f>IFERROR(VLOOKUP(H183,Rates!$A$2:$B$3,2,0),1)</f>
        <v>1</v>
      </c>
      <c r="J183" t="str">
        <f t="shared" si="4"/>
        <v/>
      </c>
      <c r="K183" t="str">
        <f>IF(J183&lt;&gt;"",SUM($J$2:J183),"")</f>
        <v/>
      </c>
      <c r="L183">
        <f ca="1" t="shared" si="5"/>
        <v>45942</v>
      </c>
    </row>
    <row r="184" spans="9:12">
      <c r="I184">
        <f>IFERROR(VLOOKUP(H184,Rates!$A$2:$B$3,2,0),1)</f>
        <v>1</v>
      </c>
      <c r="J184" t="str">
        <f t="shared" si="4"/>
        <v/>
      </c>
      <c r="K184" t="str">
        <f>IF(J184&lt;&gt;"",SUM($J$2:J184),"")</f>
        <v/>
      </c>
      <c r="L184">
        <f ca="1" t="shared" si="5"/>
        <v>45942</v>
      </c>
    </row>
    <row r="185" spans="9:12">
      <c r="I185">
        <f>IFERROR(VLOOKUP(H185,Rates!$A$2:$B$3,2,0),1)</f>
        <v>1</v>
      </c>
      <c r="J185" t="str">
        <f t="shared" si="4"/>
        <v/>
      </c>
      <c r="K185" t="str">
        <f>IF(J185&lt;&gt;"",SUM($J$2:J185),"")</f>
        <v/>
      </c>
      <c r="L185">
        <f ca="1" t="shared" si="5"/>
        <v>45942</v>
      </c>
    </row>
    <row r="186" spans="9:12">
      <c r="I186">
        <f>IFERROR(VLOOKUP(H186,Rates!$A$2:$B$3,2,0),1)</f>
        <v>1</v>
      </c>
      <c r="J186" t="str">
        <f t="shared" si="4"/>
        <v/>
      </c>
      <c r="K186" t="str">
        <f>IF(J186&lt;&gt;"",SUM($J$2:J186),"")</f>
        <v/>
      </c>
      <c r="L186">
        <f ca="1" t="shared" si="5"/>
        <v>45942</v>
      </c>
    </row>
    <row r="187" spans="9:12">
      <c r="I187">
        <f>IFERROR(VLOOKUP(H187,Rates!$A$2:$B$3,2,0),1)</f>
        <v>1</v>
      </c>
      <c r="J187" t="str">
        <f t="shared" si="4"/>
        <v/>
      </c>
      <c r="K187" t="str">
        <f>IF(J187&lt;&gt;"",SUM($J$2:J187),"")</f>
        <v/>
      </c>
      <c r="L187">
        <f ca="1" t="shared" si="5"/>
        <v>45942</v>
      </c>
    </row>
    <row r="188" spans="9:12">
      <c r="I188">
        <f>IFERROR(VLOOKUP(H188,Rates!$A$2:$B$3,2,0),1)</f>
        <v>1</v>
      </c>
      <c r="J188" t="str">
        <f t="shared" si="4"/>
        <v/>
      </c>
      <c r="K188" t="str">
        <f>IF(J188&lt;&gt;"",SUM($J$2:J188),"")</f>
        <v/>
      </c>
      <c r="L188">
        <f ca="1" t="shared" si="5"/>
        <v>45942</v>
      </c>
    </row>
    <row r="189" spans="9:12">
      <c r="I189">
        <f>IFERROR(VLOOKUP(H189,Rates!$A$2:$B$3,2,0),1)</f>
        <v>1</v>
      </c>
      <c r="J189" t="str">
        <f t="shared" si="4"/>
        <v/>
      </c>
      <c r="K189" t="str">
        <f>IF(J189&lt;&gt;"",SUM($J$2:J189),"")</f>
        <v/>
      </c>
      <c r="L189">
        <f ca="1" t="shared" si="5"/>
        <v>45942</v>
      </c>
    </row>
    <row r="190" spans="9:12">
      <c r="I190">
        <f>IFERROR(VLOOKUP(H190,Rates!$A$2:$B$3,2,0),1)</f>
        <v>1</v>
      </c>
      <c r="J190" t="str">
        <f t="shared" si="4"/>
        <v/>
      </c>
      <c r="K190" t="str">
        <f>IF(J190&lt;&gt;"",SUM($J$2:J190),"")</f>
        <v/>
      </c>
      <c r="L190">
        <f ca="1" t="shared" si="5"/>
        <v>45942</v>
      </c>
    </row>
    <row r="191" spans="9:12">
      <c r="I191">
        <f>IFERROR(VLOOKUP(H191,Rates!$A$2:$B$3,2,0),1)</f>
        <v>1</v>
      </c>
      <c r="J191" t="str">
        <f t="shared" si="4"/>
        <v/>
      </c>
      <c r="K191" t="str">
        <f>IF(J191&lt;&gt;"",SUM($J$2:J191),"")</f>
        <v/>
      </c>
      <c r="L191">
        <f ca="1" t="shared" si="5"/>
        <v>45942</v>
      </c>
    </row>
    <row r="192" spans="9:12">
      <c r="I192">
        <f>IFERROR(VLOOKUP(H192,Rates!$A$2:$B$3,2,0),1)</f>
        <v>1</v>
      </c>
      <c r="J192" t="str">
        <f t="shared" si="4"/>
        <v/>
      </c>
      <c r="K192" t="str">
        <f>IF(J192&lt;&gt;"",SUM($J$2:J192),"")</f>
        <v/>
      </c>
      <c r="L192">
        <f ca="1" t="shared" si="5"/>
        <v>45942</v>
      </c>
    </row>
    <row r="193" spans="9:12">
      <c r="I193">
        <f>IFERROR(VLOOKUP(H193,Rates!$A$2:$B$3,2,0),1)</f>
        <v>1</v>
      </c>
      <c r="J193" t="str">
        <f t="shared" si="4"/>
        <v/>
      </c>
      <c r="K193" t="str">
        <f>IF(J193&lt;&gt;"",SUM($J$2:J193),"")</f>
        <v/>
      </c>
      <c r="L193">
        <f ca="1" t="shared" si="5"/>
        <v>45942</v>
      </c>
    </row>
    <row r="194" spans="9:12">
      <c r="I194">
        <f>IFERROR(VLOOKUP(H194,Rates!$A$2:$B$3,2,0),1)</f>
        <v>1</v>
      </c>
      <c r="J194" t="str">
        <f t="shared" ref="J194:J257" si="6">IF(G194&lt;&gt;"",G194*I194,"")</f>
        <v/>
      </c>
      <c r="K194" t="str">
        <f>IF(J194&lt;&gt;"",SUM($J$2:J194),"")</f>
        <v/>
      </c>
      <c r="L194">
        <f ca="1" t="shared" ref="L194:L257" si="7">IF(COUNTA(A194:K194)&gt;0,TODAY(),"")</f>
        <v>45942</v>
      </c>
    </row>
    <row r="195" spans="9:12">
      <c r="I195">
        <f>IFERROR(VLOOKUP(H195,Rates!$A$2:$B$3,2,0),1)</f>
        <v>1</v>
      </c>
      <c r="J195" t="str">
        <f t="shared" si="6"/>
        <v/>
      </c>
      <c r="K195" t="str">
        <f>IF(J195&lt;&gt;"",SUM($J$2:J195),"")</f>
        <v/>
      </c>
      <c r="L195">
        <f ca="1" t="shared" si="7"/>
        <v>45942</v>
      </c>
    </row>
    <row r="196" spans="9:12">
      <c r="I196">
        <f>IFERROR(VLOOKUP(H196,Rates!$A$2:$B$3,2,0),1)</f>
        <v>1</v>
      </c>
      <c r="J196" t="str">
        <f t="shared" si="6"/>
        <v/>
      </c>
      <c r="K196" t="str">
        <f>IF(J196&lt;&gt;"",SUM($J$2:J196),"")</f>
        <v/>
      </c>
      <c r="L196">
        <f ca="1" t="shared" si="7"/>
        <v>45942</v>
      </c>
    </row>
    <row r="197" spans="9:12">
      <c r="I197">
        <f>IFERROR(VLOOKUP(H197,Rates!$A$2:$B$3,2,0),1)</f>
        <v>1</v>
      </c>
      <c r="J197" t="str">
        <f t="shared" si="6"/>
        <v/>
      </c>
      <c r="K197" t="str">
        <f>IF(J197&lt;&gt;"",SUM($J$2:J197),"")</f>
        <v/>
      </c>
      <c r="L197">
        <f ca="1" t="shared" si="7"/>
        <v>45942</v>
      </c>
    </row>
    <row r="198" spans="9:12">
      <c r="I198">
        <f>IFERROR(VLOOKUP(H198,Rates!$A$2:$B$3,2,0),1)</f>
        <v>1</v>
      </c>
      <c r="J198" t="str">
        <f t="shared" si="6"/>
        <v/>
      </c>
      <c r="K198" t="str">
        <f>IF(J198&lt;&gt;"",SUM($J$2:J198),"")</f>
        <v/>
      </c>
      <c r="L198">
        <f ca="1" t="shared" si="7"/>
        <v>45942</v>
      </c>
    </row>
    <row r="199" spans="9:12">
      <c r="I199">
        <f>IFERROR(VLOOKUP(H199,Rates!$A$2:$B$3,2,0),1)</f>
        <v>1</v>
      </c>
      <c r="J199" t="str">
        <f t="shared" si="6"/>
        <v/>
      </c>
      <c r="K199" t="str">
        <f>IF(J199&lt;&gt;"",SUM($J$2:J199),"")</f>
        <v/>
      </c>
      <c r="L199">
        <f ca="1" t="shared" si="7"/>
        <v>45942</v>
      </c>
    </row>
    <row r="200" spans="9:12">
      <c r="I200">
        <f>IFERROR(VLOOKUP(H200,Rates!$A$2:$B$3,2,0),1)</f>
        <v>1</v>
      </c>
      <c r="J200" t="str">
        <f t="shared" si="6"/>
        <v/>
      </c>
      <c r="K200" t="str">
        <f>IF(J200&lt;&gt;"",SUM($J$2:J200),"")</f>
        <v/>
      </c>
      <c r="L200">
        <f ca="1" t="shared" si="7"/>
        <v>45942</v>
      </c>
    </row>
    <row r="201" spans="9:12">
      <c r="I201">
        <f>IFERROR(VLOOKUP(H201,Rates!$A$2:$B$3,2,0),1)</f>
        <v>1</v>
      </c>
      <c r="J201" t="str">
        <f t="shared" si="6"/>
        <v/>
      </c>
      <c r="K201" t="str">
        <f>IF(J201&lt;&gt;"",SUM($J$2:J201),"")</f>
        <v/>
      </c>
      <c r="L201">
        <f ca="1" t="shared" si="7"/>
        <v>45942</v>
      </c>
    </row>
    <row r="202" spans="9:12">
      <c r="I202">
        <f>IFERROR(VLOOKUP(H202,Rates!$A$2:$B$3,2,0),1)</f>
        <v>1</v>
      </c>
      <c r="J202" t="str">
        <f t="shared" si="6"/>
        <v/>
      </c>
      <c r="K202" t="str">
        <f>IF(J202&lt;&gt;"",SUM($J$2:J202),"")</f>
        <v/>
      </c>
      <c r="L202">
        <f ca="1" t="shared" si="7"/>
        <v>45942</v>
      </c>
    </row>
    <row r="203" spans="9:12">
      <c r="I203">
        <f>IFERROR(VLOOKUP(H203,Rates!$A$2:$B$3,2,0),1)</f>
        <v>1</v>
      </c>
      <c r="J203" t="str">
        <f t="shared" si="6"/>
        <v/>
      </c>
      <c r="K203" t="str">
        <f>IF(J203&lt;&gt;"",SUM($J$2:J203),"")</f>
        <v/>
      </c>
      <c r="L203">
        <f ca="1" t="shared" si="7"/>
        <v>45942</v>
      </c>
    </row>
    <row r="204" spans="9:12">
      <c r="I204">
        <f>IFERROR(VLOOKUP(H204,Rates!$A$2:$B$3,2,0),1)</f>
        <v>1</v>
      </c>
      <c r="J204" t="str">
        <f t="shared" si="6"/>
        <v/>
      </c>
      <c r="K204" t="str">
        <f>IF(J204&lt;&gt;"",SUM($J$2:J204),"")</f>
        <v/>
      </c>
      <c r="L204">
        <f ca="1" t="shared" si="7"/>
        <v>45942</v>
      </c>
    </row>
    <row r="205" spans="9:12">
      <c r="I205">
        <f>IFERROR(VLOOKUP(H205,Rates!$A$2:$B$3,2,0),1)</f>
        <v>1</v>
      </c>
      <c r="J205" t="str">
        <f t="shared" si="6"/>
        <v/>
      </c>
      <c r="K205" t="str">
        <f>IF(J205&lt;&gt;"",SUM($J$2:J205),"")</f>
        <v/>
      </c>
      <c r="L205">
        <f ca="1" t="shared" si="7"/>
        <v>45942</v>
      </c>
    </row>
    <row r="206" spans="9:12">
      <c r="I206">
        <f>IFERROR(VLOOKUP(H206,Rates!$A$2:$B$3,2,0),1)</f>
        <v>1</v>
      </c>
      <c r="J206" t="str">
        <f t="shared" si="6"/>
        <v/>
      </c>
      <c r="K206" t="str">
        <f>IF(J206&lt;&gt;"",SUM($J$2:J206),"")</f>
        <v/>
      </c>
      <c r="L206">
        <f ca="1" t="shared" si="7"/>
        <v>45942</v>
      </c>
    </row>
    <row r="207" spans="9:12">
      <c r="I207">
        <f>IFERROR(VLOOKUP(H207,Rates!$A$2:$B$3,2,0),1)</f>
        <v>1</v>
      </c>
      <c r="J207" t="str">
        <f t="shared" si="6"/>
        <v/>
      </c>
      <c r="K207" t="str">
        <f>IF(J207&lt;&gt;"",SUM($J$2:J207),"")</f>
        <v/>
      </c>
      <c r="L207">
        <f ca="1" t="shared" si="7"/>
        <v>45942</v>
      </c>
    </row>
    <row r="208" spans="9:12">
      <c r="I208">
        <f>IFERROR(VLOOKUP(H208,Rates!$A$2:$B$3,2,0),1)</f>
        <v>1</v>
      </c>
      <c r="J208" t="str">
        <f t="shared" si="6"/>
        <v/>
      </c>
      <c r="K208" t="str">
        <f>IF(J208&lt;&gt;"",SUM($J$2:J208),"")</f>
        <v/>
      </c>
      <c r="L208">
        <f ca="1" t="shared" si="7"/>
        <v>45942</v>
      </c>
    </row>
    <row r="209" spans="9:12">
      <c r="I209">
        <f>IFERROR(VLOOKUP(H209,Rates!$A$2:$B$3,2,0),1)</f>
        <v>1</v>
      </c>
      <c r="J209" t="str">
        <f t="shared" si="6"/>
        <v/>
      </c>
      <c r="K209" t="str">
        <f>IF(J209&lt;&gt;"",SUM($J$2:J209),"")</f>
        <v/>
      </c>
      <c r="L209">
        <f ca="1" t="shared" si="7"/>
        <v>45942</v>
      </c>
    </row>
    <row r="210" spans="9:12">
      <c r="I210">
        <f>IFERROR(VLOOKUP(H210,Rates!$A$2:$B$3,2,0),1)</f>
        <v>1</v>
      </c>
      <c r="J210" t="str">
        <f t="shared" si="6"/>
        <v/>
      </c>
      <c r="K210" t="str">
        <f>IF(J210&lt;&gt;"",SUM($J$2:J210),"")</f>
        <v/>
      </c>
      <c r="L210">
        <f ca="1" t="shared" si="7"/>
        <v>45942</v>
      </c>
    </row>
    <row r="211" spans="9:12">
      <c r="I211">
        <f>IFERROR(VLOOKUP(H211,Rates!$A$2:$B$3,2,0),1)</f>
        <v>1</v>
      </c>
      <c r="J211" t="str">
        <f t="shared" si="6"/>
        <v/>
      </c>
      <c r="K211" t="str">
        <f>IF(J211&lt;&gt;"",SUM($J$2:J211),"")</f>
        <v/>
      </c>
      <c r="L211">
        <f ca="1" t="shared" si="7"/>
        <v>45942</v>
      </c>
    </row>
    <row r="212" spans="9:12">
      <c r="I212">
        <f>IFERROR(VLOOKUP(H212,Rates!$A$2:$B$3,2,0),1)</f>
        <v>1</v>
      </c>
      <c r="J212" t="str">
        <f t="shared" si="6"/>
        <v/>
      </c>
      <c r="K212" t="str">
        <f>IF(J212&lt;&gt;"",SUM($J$2:J212),"")</f>
        <v/>
      </c>
      <c r="L212">
        <f ca="1" t="shared" si="7"/>
        <v>45942</v>
      </c>
    </row>
    <row r="213" spans="9:12">
      <c r="I213">
        <f>IFERROR(VLOOKUP(H213,Rates!$A$2:$B$3,2,0),1)</f>
        <v>1</v>
      </c>
      <c r="J213" t="str">
        <f t="shared" si="6"/>
        <v/>
      </c>
      <c r="K213" t="str">
        <f>IF(J213&lt;&gt;"",SUM($J$2:J213),"")</f>
        <v/>
      </c>
      <c r="L213">
        <f ca="1" t="shared" si="7"/>
        <v>45942</v>
      </c>
    </row>
    <row r="214" spans="9:12">
      <c r="I214">
        <f>IFERROR(VLOOKUP(H214,Rates!$A$2:$B$3,2,0),1)</f>
        <v>1</v>
      </c>
      <c r="J214" t="str">
        <f t="shared" si="6"/>
        <v/>
      </c>
      <c r="K214" t="str">
        <f>IF(J214&lt;&gt;"",SUM($J$2:J214),"")</f>
        <v/>
      </c>
      <c r="L214">
        <f ca="1" t="shared" si="7"/>
        <v>45942</v>
      </c>
    </row>
    <row r="215" spans="9:12">
      <c r="I215">
        <f>IFERROR(VLOOKUP(H215,Rates!$A$2:$B$3,2,0),1)</f>
        <v>1</v>
      </c>
      <c r="J215" t="str">
        <f t="shared" si="6"/>
        <v/>
      </c>
      <c r="K215" t="str">
        <f>IF(J215&lt;&gt;"",SUM($J$2:J215),"")</f>
        <v/>
      </c>
      <c r="L215">
        <f ca="1" t="shared" si="7"/>
        <v>45942</v>
      </c>
    </row>
    <row r="216" spans="9:12">
      <c r="I216">
        <f>IFERROR(VLOOKUP(H216,Rates!$A$2:$B$3,2,0),1)</f>
        <v>1</v>
      </c>
      <c r="J216" t="str">
        <f t="shared" si="6"/>
        <v/>
      </c>
      <c r="K216" t="str">
        <f>IF(J216&lt;&gt;"",SUM($J$2:J216),"")</f>
        <v/>
      </c>
      <c r="L216">
        <f ca="1" t="shared" si="7"/>
        <v>45942</v>
      </c>
    </row>
    <row r="217" spans="9:12">
      <c r="I217">
        <f>IFERROR(VLOOKUP(H217,Rates!$A$2:$B$3,2,0),1)</f>
        <v>1</v>
      </c>
      <c r="J217" t="str">
        <f t="shared" si="6"/>
        <v/>
      </c>
      <c r="K217" t="str">
        <f>IF(J217&lt;&gt;"",SUM($J$2:J217),"")</f>
        <v/>
      </c>
      <c r="L217">
        <f ca="1" t="shared" si="7"/>
        <v>45942</v>
      </c>
    </row>
    <row r="218" spans="9:12">
      <c r="I218">
        <f>IFERROR(VLOOKUP(H218,Rates!$A$2:$B$3,2,0),1)</f>
        <v>1</v>
      </c>
      <c r="J218" t="str">
        <f t="shared" si="6"/>
        <v/>
      </c>
      <c r="K218" t="str">
        <f>IF(J218&lt;&gt;"",SUM($J$2:J218),"")</f>
        <v/>
      </c>
      <c r="L218">
        <f ca="1" t="shared" si="7"/>
        <v>45942</v>
      </c>
    </row>
    <row r="219" spans="9:12">
      <c r="I219">
        <f>IFERROR(VLOOKUP(H219,Rates!$A$2:$B$3,2,0),1)</f>
        <v>1</v>
      </c>
      <c r="J219" t="str">
        <f t="shared" si="6"/>
        <v/>
      </c>
      <c r="K219" t="str">
        <f>IF(J219&lt;&gt;"",SUM($J$2:J219),"")</f>
        <v/>
      </c>
      <c r="L219">
        <f ca="1" t="shared" si="7"/>
        <v>45942</v>
      </c>
    </row>
    <row r="220" spans="9:12">
      <c r="I220">
        <f>IFERROR(VLOOKUP(H220,Rates!$A$2:$B$3,2,0),1)</f>
        <v>1</v>
      </c>
      <c r="J220" t="str">
        <f t="shared" si="6"/>
        <v/>
      </c>
      <c r="K220" t="str">
        <f>IF(J220&lt;&gt;"",SUM($J$2:J220),"")</f>
        <v/>
      </c>
      <c r="L220">
        <f ca="1" t="shared" si="7"/>
        <v>45942</v>
      </c>
    </row>
    <row r="221" spans="9:12">
      <c r="I221">
        <f>IFERROR(VLOOKUP(H221,Rates!$A$2:$B$3,2,0),1)</f>
        <v>1</v>
      </c>
      <c r="J221" t="str">
        <f t="shared" si="6"/>
        <v/>
      </c>
      <c r="K221" t="str">
        <f>IF(J221&lt;&gt;"",SUM($J$2:J221),"")</f>
        <v/>
      </c>
      <c r="L221">
        <f ca="1" t="shared" si="7"/>
        <v>45942</v>
      </c>
    </row>
    <row r="222" spans="9:12">
      <c r="I222">
        <f>IFERROR(VLOOKUP(H222,Rates!$A$2:$B$3,2,0),1)</f>
        <v>1</v>
      </c>
      <c r="J222" t="str">
        <f t="shared" si="6"/>
        <v/>
      </c>
      <c r="K222" t="str">
        <f>IF(J222&lt;&gt;"",SUM($J$2:J222),"")</f>
        <v/>
      </c>
      <c r="L222">
        <f ca="1" t="shared" si="7"/>
        <v>45942</v>
      </c>
    </row>
    <row r="223" spans="9:12">
      <c r="I223">
        <f>IFERROR(VLOOKUP(H223,Rates!$A$2:$B$3,2,0),1)</f>
        <v>1</v>
      </c>
      <c r="J223" t="str">
        <f t="shared" si="6"/>
        <v/>
      </c>
      <c r="K223" t="str">
        <f>IF(J223&lt;&gt;"",SUM($J$2:J223),"")</f>
        <v/>
      </c>
      <c r="L223">
        <f ca="1" t="shared" si="7"/>
        <v>45942</v>
      </c>
    </row>
    <row r="224" spans="9:12">
      <c r="I224">
        <f>IFERROR(VLOOKUP(H224,Rates!$A$2:$B$3,2,0),1)</f>
        <v>1</v>
      </c>
      <c r="J224" t="str">
        <f t="shared" si="6"/>
        <v/>
      </c>
      <c r="K224" t="str">
        <f>IF(J224&lt;&gt;"",SUM($J$2:J224),"")</f>
        <v/>
      </c>
      <c r="L224">
        <f ca="1" t="shared" si="7"/>
        <v>45942</v>
      </c>
    </row>
    <row r="225" spans="9:12">
      <c r="I225">
        <f>IFERROR(VLOOKUP(H225,Rates!$A$2:$B$3,2,0),1)</f>
        <v>1</v>
      </c>
      <c r="J225" t="str">
        <f t="shared" si="6"/>
        <v/>
      </c>
      <c r="K225" t="str">
        <f>IF(J225&lt;&gt;"",SUM($J$2:J225),"")</f>
        <v/>
      </c>
      <c r="L225">
        <f ca="1" t="shared" si="7"/>
        <v>45942</v>
      </c>
    </row>
    <row r="226" spans="9:12">
      <c r="I226">
        <f>IFERROR(VLOOKUP(H226,Rates!$A$2:$B$3,2,0),1)</f>
        <v>1</v>
      </c>
      <c r="J226" t="str">
        <f t="shared" si="6"/>
        <v/>
      </c>
      <c r="K226" t="str">
        <f>IF(J226&lt;&gt;"",SUM($J$2:J226),"")</f>
        <v/>
      </c>
      <c r="L226">
        <f ca="1" t="shared" si="7"/>
        <v>45942</v>
      </c>
    </row>
    <row r="227" spans="9:12">
      <c r="I227">
        <f>IFERROR(VLOOKUP(H227,Rates!$A$2:$B$3,2,0),1)</f>
        <v>1</v>
      </c>
      <c r="J227" t="str">
        <f t="shared" si="6"/>
        <v/>
      </c>
      <c r="K227" t="str">
        <f>IF(J227&lt;&gt;"",SUM($J$2:J227),"")</f>
        <v/>
      </c>
      <c r="L227">
        <f ca="1" t="shared" si="7"/>
        <v>45942</v>
      </c>
    </row>
    <row r="228" spans="9:12">
      <c r="I228">
        <f>IFERROR(VLOOKUP(H228,Rates!$A$2:$B$3,2,0),1)</f>
        <v>1</v>
      </c>
      <c r="J228" t="str">
        <f t="shared" si="6"/>
        <v/>
      </c>
      <c r="K228" t="str">
        <f>IF(J228&lt;&gt;"",SUM($J$2:J228),"")</f>
        <v/>
      </c>
      <c r="L228">
        <f ca="1" t="shared" si="7"/>
        <v>45942</v>
      </c>
    </row>
    <row r="229" spans="9:12">
      <c r="I229">
        <f>IFERROR(VLOOKUP(H229,Rates!$A$2:$B$3,2,0),1)</f>
        <v>1</v>
      </c>
      <c r="J229" t="str">
        <f t="shared" si="6"/>
        <v/>
      </c>
      <c r="K229" t="str">
        <f>IF(J229&lt;&gt;"",SUM($J$2:J229),"")</f>
        <v/>
      </c>
      <c r="L229">
        <f ca="1" t="shared" si="7"/>
        <v>45942</v>
      </c>
    </row>
    <row r="230" spans="9:12">
      <c r="I230">
        <f>IFERROR(VLOOKUP(H230,Rates!$A$2:$B$3,2,0),1)</f>
        <v>1</v>
      </c>
      <c r="J230" t="str">
        <f t="shared" si="6"/>
        <v/>
      </c>
      <c r="K230" t="str">
        <f>IF(J230&lt;&gt;"",SUM($J$2:J230),"")</f>
        <v/>
      </c>
      <c r="L230">
        <f ca="1" t="shared" si="7"/>
        <v>45942</v>
      </c>
    </row>
    <row r="231" spans="9:12">
      <c r="I231">
        <f>IFERROR(VLOOKUP(H231,Rates!$A$2:$B$3,2,0),1)</f>
        <v>1</v>
      </c>
      <c r="J231" t="str">
        <f t="shared" si="6"/>
        <v/>
      </c>
      <c r="K231" t="str">
        <f>IF(J231&lt;&gt;"",SUM($J$2:J231),"")</f>
        <v/>
      </c>
      <c r="L231">
        <f ca="1" t="shared" si="7"/>
        <v>45942</v>
      </c>
    </row>
    <row r="232" spans="9:12">
      <c r="I232">
        <f>IFERROR(VLOOKUP(H232,Rates!$A$2:$B$3,2,0),1)</f>
        <v>1</v>
      </c>
      <c r="J232" t="str">
        <f t="shared" si="6"/>
        <v/>
      </c>
      <c r="K232" t="str">
        <f>IF(J232&lt;&gt;"",SUM($J$2:J232),"")</f>
        <v/>
      </c>
      <c r="L232">
        <f ca="1" t="shared" si="7"/>
        <v>45942</v>
      </c>
    </row>
    <row r="233" spans="9:12">
      <c r="I233">
        <f>IFERROR(VLOOKUP(H233,Rates!$A$2:$B$3,2,0),1)</f>
        <v>1</v>
      </c>
      <c r="J233" t="str">
        <f t="shared" si="6"/>
        <v/>
      </c>
      <c r="K233" t="str">
        <f>IF(J233&lt;&gt;"",SUM($J$2:J233),"")</f>
        <v/>
      </c>
      <c r="L233">
        <f ca="1" t="shared" si="7"/>
        <v>45942</v>
      </c>
    </row>
    <row r="234" spans="9:12">
      <c r="I234">
        <f>IFERROR(VLOOKUP(H234,Rates!$A$2:$B$3,2,0),1)</f>
        <v>1</v>
      </c>
      <c r="J234" t="str">
        <f t="shared" si="6"/>
        <v/>
      </c>
      <c r="K234" t="str">
        <f>IF(J234&lt;&gt;"",SUM($J$2:J234),"")</f>
        <v/>
      </c>
      <c r="L234">
        <f ca="1" t="shared" si="7"/>
        <v>45942</v>
      </c>
    </row>
    <row r="235" spans="9:12">
      <c r="I235">
        <f>IFERROR(VLOOKUP(H235,Rates!$A$2:$B$3,2,0),1)</f>
        <v>1</v>
      </c>
      <c r="J235" t="str">
        <f t="shared" si="6"/>
        <v/>
      </c>
      <c r="K235" t="str">
        <f>IF(J235&lt;&gt;"",SUM($J$2:J235),"")</f>
        <v/>
      </c>
      <c r="L235">
        <f ca="1" t="shared" si="7"/>
        <v>45942</v>
      </c>
    </row>
    <row r="236" spans="9:12">
      <c r="I236">
        <f>IFERROR(VLOOKUP(H236,Rates!$A$2:$B$3,2,0),1)</f>
        <v>1</v>
      </c>
      <c r="J236" t="str">
        <f t="shared" si="6"/>
        <v/>
      </c>
      <c r="K236" t="str">
        <f>IF(J236&lt;&gt;"",SUM($J$2:J236),"")</f>
        <v/>
      </c>
      <c r="L236">
        <f ca="1" t="shared" si="7"/>
        <v>45942</v>
      </c>
    </row>
    <row r="237" spans="9:12">
      <c r="I237">
        <f>IFERROR(VLOOKUP(H237,Rates!$A$2:$B$3,2,0),1)</f>
        <v>1</v>
      </c>
      <c r="J237" t="str">
        <f t="shared" si="6"/>
        <v/>
      </c>
      <c r="K237" t="str">
        <f>IF(J237&lt;&gt;"",SUM($J$2:J237),"")</f>
        <v/>
      </c>
      <c r="L237">
        <f ca="1" t="shared" si="7"/>
        <v>45942</v>
      </c>
    </row>
    <row r="238" spans="9:12">
      <c r="I238">
        <f>IFERROR(VLOOKUP(H238,Rates!$A$2:$B$3,2,0),1)</f>
        <v>1</v>
      </c>
      <c r="J238" t="str">
        <f t="shared" si="6"/>
        <v/>
      </c>
      <c r="K238" t="str">
        <f>IF(J238&lt;&gt;"",SUM($J$2:J238),"")</f>
        <v/>
      </c>
      <c r="L238">
        <f ca="1" t="shared" si="7"/>
        <v>45942</v>
      </c>
    </row>
    <row r="239" spans="9:12">
      <c r="I239">
        <f>IFERROR(VLOOKUP(H239,Rates!$A$2:$B$3,2,0),1)</f>
        <v>1</v>
      </c>
      <c r="J239" t="str">
        <f t="shared" si="6"/>
        <v/>
      </c>
      <c r="K239" t="str">
        <f>IF(J239&lt;&gt;"",SUM($J$2:J239),"")</f>
        <v/>
      </c>
      <c r="L239">
        <f ca="1" t="shared" si="7"/>
        <v>45942</v>
      </c>
    </row>
    <row r="240" spans="9:12">
      <c r="I240">
        <f>IFERROR(VLOOKUP(H240,Rates!$A$2:$B$3,2,0),1)</f>
        <v>1</v>
      </c>
      <c r="J240" t="str">
        <f t="shared" si="6"/>
        <v/>
      </c>
      <c r="K240" t="str">
        <f>IF(J240&lt;&gt;"",SUM($J$2:J240),"")</f>
        <v/>
      </c>
      <c r="L240">
        <f ca="1" t="shared" si="7"/>
        <v>45942</v>
      </c>
    </row>
    <row r="241" spans="9:12">
      <c r="I241">
        <f>IFERROR(VLOOKUP(H241,Rates!$A$2:$B$3,2,0),1)</f>
        <v>1</v>
      </c>
      <c r="J241" t="str">
        <f t="shared" si="6"/>
        <v/>
      </c>
      <c r="K241" t="str">
        <f>IF(J241&lt;&gt;"",SUM($J$2:J241),"")</f>
        <v/>
      </c>
      <c r="L241">
        <f ca="1" t="shared" si="7"/>
        <v>45942</v>
      </c>
    </row>
    <row r="242" spans="9:12">
      <c r="I242">
        <f>IFERROR(VLOOKUP(H242,Rates!$A$2:$B$3,2,0),1)</f>
        <v>1</v>
      </c>
      <c r="J242" t="str">
        <f t="shared" si="6"/>
        <v/>
      </c>
      <c r="K242" t="str">
        <f>IF(J242&lt;&gt;"",SUM($J$2:J242),"")</f>
        <v/>
      </c>
      <c r="L242">
        <f ca="1" t="shared" si="7"/>
        <v>45942</v>
      </c>
    </row>
    <row r="243" spans="9:12">
      <c r="I243">
        <f>IFERROR(VLOOKUP(H243,Rates!$A$2:$B$3,2,0),1)</f>
        <v>1</v>
      </c>
      <c r="J243" t="str">
        <f t="shared" si="6"/>
        <v/>
      </c>
      <c r="K243" t="str">
        <f>IF(J243&lt;&gt;"",SUM($J$2:J243),"")</f>
        <v/>
      </c>
      <c r="L243">
        <f ca="1" t="shared" si="7"/>
        <v>45942</v>
      </c>
    </row>
    <row r="244" spans="9:12">
      <c r="I244">
        <f>IFERROR(VLOOKUP(H244,Rates!$A$2:$B$3,2,0),1)</f>
        <v>1</v>
      </c>
      <c r="J244" t="str">
        <f t="shared" si="6"/>
        <v/>
      </c>
      <c r="K244" t="str">
        <f>IF(J244&lt;&gt;"",SUM($J$2:J244),"")</f>
        <v/>
      </c>
      <c r="L244">
        <f ca="1" t="shared" si="7"/>
        <v>45942</v>
      </c>
    </row>
    <row r="245" spans="9:12">
      <c r="I245">
        <f>IFERROR(VLOOKUP(H245,Rates!$A$2:$B$3,2,0),1)</f>
        <v>1</v>
      </c>
      <c r="J245" t="str">
        <f t="shared" si="6"/>
        <v/>
      </c>
      <c r="K245" t="str">
        <f>IF(J245&lt;&gt;"",SUM($J$2:J245),"")</f>
        <v/>
      </c>
      <c r="L245">
        <f ca="1" t="shared" si="7"/>
        <v>45942</v>
      </c>
    </row>
    <row r="246" spans="9:12">
      <c r="I246">
        <f>IFERROR(VLOOKUP(H246,Rates!$A$2:$B$3,2,0),1)</f>
        <v>1</v>
      </c>
      <c r="J246" t="str">
        <f t="shared" si="6"/>
        <v/>
      </c>
      <c r="K246" t="str">
        <f>IF(J246&lt;&gt;"",SUM($J$2:J246),"")</f>
        <v/>
      </c>
      <c r="L246">
        <f ca="1" t="shared" si="7"/>
        <v>45942</v>
      </c>
    </row>
    <row r="247" spans="9:12">
      <c r="I247">
        <f>IFERROR(VLOOKUP(H247,Rates!$A$2:$B$3,2,0),1)</f>
        <v>1</v>
      </c>
      <c r="J247" t="str">
        <f t="shared" si="6"/>
        <v/>
      </c>
      <c r="K247" t="str">
        <f>IF(J247&lt;&gt;"",SUM($J$2:J247),"")</f>
        <v/>
      </c>
      <c r="L247">
        <f ca="1" t="shared" si="7"/>
        <v>45942</v>
      </c>
    </row>
    <row r="248" spans="9:12">
      <c r="I248">
        <f>IFERROR(VLOOKUP(H248,Rates!$A$2:$B$3,2,0),1)</f>
        <v>1</v>
      </c>
      <c r="J248" t="str">
        <f t="shared" si="6"/>
        <v/>
      </c>
      <c r="K248" t="str">
        <f>IF(J248&lt;&gt;"",SUM($J$2:J248),"")</f>
        <v/>
      </c>
      <c r="L248">
        <f ca="1" t="shared" si="7"/>
        <v>45942</v>
      </c>
    </row>
    <row r="249" spans="9:12">
      <c r="I249">
        <f>IFERROR(VLOOKUP(H249,Rates!$A$2:$B$3,2,0),1)</f>
        <v>1</v>
      </c>
      <c r="J249" t="str">
        <f t="shared" si="6"/>
        <v/>
      </c>
      <c r="K249" t="str">
        <f>IF(J249&lt;&gt;"",SUM($J$2:J249),"")</f>
        <v/>
      </c>
      <c r="L249">
        <f ca="1" t="shared" si="7"/>
        <v>45942</v>
      </c>
    </row>
    <row r="250" spans="9:12">
      <c r="I250">
        <f>IFERROR(VLOOKUP(H250,Rates!$A$2:$B$3,2,0),1)</f>
        <v>1</v>
      </c>
      <c r="J250" t="str">
        <f t="shared" si="6"/>
        <v/>
      </c>
      <c r="K250" t="str">
        <f>IF(J250&lt;&gt;"",SUM($J$2:J250),"")</f>
        <v/>
      </c>
      <c r="L250">
        <f ca="1" t="shared" si="7"/>
        <v>45942</v>
      </c>
    </row>
    <row r="251" spans="9:12">
      <c r="I251">
        <f>IFERROR(VLOOKUP(H251,Rates!$A$2:$B$3,2,0),1)</f>
        <v>1</v>
      </c>
      <c r="J251" t="str">
        <f t="shared" si="6"/>
        <v/>
      </c>
      <c r="K251" t="str">
        <f>IF(J251&lt;&gt;"",SUM($J$2:J251),"")</f>
        <v/>
      </c>
      <c r="L251">
        <f ca="1" t="shared" si="7"/>
        <v>45942</v>
      </c>
    </row>
    <row r="252" spans="9:12">
      <c r="I252">
        <f>IFERROR(VLOOKUP(H252,Rates!$A$2:$B$3,2,0),1)</f>
        <v>1</v>
      </c>
      <c r="J252" t="str">
        <f t="shared" si="6"/>
        <v/>
      </c>
      <c r="K252" t="str">
        <f>IF(J252&lt;&gt;"",SUM($J$2:J252),"")</f>
        <v/>
      </c>
      <c r="L252">
        <f ca="1" t="shared" si="7"/>
        <v>45942</v>
      </c>
    </row>
    <row r="253" spans="9:12">
      <c r="I253">
        <f>IFERROR(VLOOKUP(H253,Rates!$A$2:$B$3,2,0),1)</f>
        <v>1</v>
      </c>
      <c r="J253" t="str">
        <f t="shared" si="6"/>
        <v/>
      </c>
      <c r="K253" t="str">
        <f>IF(J253&lt;&gt;"",SUM($J$2:J253),"")</f>
        <v/>
      </c>
      <c r="L253">
        <f ca="1" t="shared" si="7"/>
        <v>45942</v>
      </c>
    </row>
    <row r="254" spans="9:12">
      <c r="I254">
        <f>IFERROR(VLOOKUP(H254,Rates!$A$2:$B$3,2,0),1)</f>
        <v>1</v>
      </c>
      <c r="J254" t="str">
        <f t="shared" si="6"/>
        <v/>
      </c>
      <c r="K254" t="str">
        <f>IF(J254&lt;&gt;"",SUM($J$2:J254),"")</f>
        <v/>
      </c>
      <c r="L254">
        <f ca="1" t="shared" si="7"/>
        <v>45942</v>
      </c>
    </row>
    <row r="255" spans="9:12">
      <c r="I255">
        <f>IFERROR(VLOOKUP(H255,Rates!$A$2:$B$3,2,0),1)</f>
        <v>1</v>
      </c>
      <c r="J255" t="str">
        <f t="shared" si="6"/>
        <v/>
      </c>
      <c r="K255" t="str">
        <f>IF(J255&lt;&gt;"",SUM($J$2:J255),"")</f>
        <v/>
      </c>
      <c r="L255">
        <f ca="1" t="shared" si="7"/>
        <v>45942</v>
      </c>
    </row>
    <row r="256" spans="9:12">
      <c r="I256">
        <f>IFERROR(VLOOKUP(H256,Rates!$A$2:$B$3,2,0),1)</f>
        <v>1</v>
      </c>
      <c r="J256" t="str">
        <f t="shared" si="6"/>
        <v/>
      </c>
      <c r="K256" t="str">
        <f>IF(J256&lt;&gt;"",SUM($J$2:J256),"")</f>
        <v/>
      </c>
      <c r="L256">
        <f ca="1" t="shared" si="7"/>
        <v>45942</v>
      </c>
    </row>
    <row r="257" spans="9:12">
      <c r="I257">
        <f>IFERROR(VLOOKUP(H257,Rates!$A$2:$B$3,2,0),1)</f>
        <v>1</v>
      </c>
      <c r="J257" t="str">
        <f t="shared" si="6"/>
        <v/>
      </c>
      <c r="K257" t="str">
        <f>IF(J257&lt;&gt;"",SUM($J$2:J257),"")</f>
        <v/>
      </c>
      <c r="L257">
        <f ca="1" t="shared" si="7"/>
        <v>45942</v>
      </c>
    </row>
    <row r="258" spans="9:12">
      <c r="I258">
        <f>IFERROR(VLOOKUP(H258,Rates!$A$2:$B$3,2,0),1)</f>
        <v>1</v>
      </c>
      <c r="J258" t="str">
        <f t="shared" ref="J258:J301" si="8">IF(G258&lt;&gt;"",G258*I258,"")</f>
        <v/>
      </c>
      <c r="K258" t="str">
        <f>IF(J258&lt;&gt;"",SUM($J$2:J258),"")</f>
        <v/>
      </c>
      <c r="L258">
        <f ca="1" t="shared" ref="L258:L301" si="9">IF(COUNTA(A258:K258)&gt;0,TODAY(),"")</f>
        <v>45942</v>
      </c>
    </row>
    <row r="259" spans="9:12">
      <c r="I259">
        <f>IFERROR(VLOOKUP(H259,Rates!$A$2:$B$3,2,0),1)</f>
        <v>1</v>
      </c>
      <c r="J259" t="str">
        <f t="shared" si="8"/>
        <v/>
      </c>
      <c r="K259" t="str">
        <f>IF(J259&lt;&gt;"",SUM($J$2:J259),"")</f>
        <v/>
      </c>
      <c r="L259">
        <f ca="1" t="shared" si="9"/>
        <v>45942</v>
      </c>
    </row>
    <row r="260" spans="9:12">
      <c r="I260">
        <f>IFERROR(VLOOKUP(H260,Rates!$A$2:$B$3,2,0),1)</f>
        <v>1</v>
      </c>
      <c r="J260" t="str">
        <f t="shared" si="8"/>
        <v/>
      </c>
      <c r="K260" t="str">
        <f>IF(J260&lt;&gt;"",SUM($J$2:J260),"")</f>
        <v/>
      </c>
      <c r="L260">
        <f ca="1" t="shared" si="9"/>
        <v>45942</v>
      </c>
    </row>
    <row r="261" spans="9:12">
      <c r="I261">
        <f>IFERROR(VLOOKUP(H261,Rates!$A$2:$B$3,2,0),1)</f>
        <v>1</v>
      </c>
      <c r="J261" t="str">
        <f t="shared" si="8"/>
        <v/>
      </c>
      <c r="K261" t="str">
        <f>IF(J261&lt;&gt;"",SUM($J$2:J261),"")</f>
        <v/>
      </c>
      <c r="L261">
        <f ca="1" t="shared" si="9"/>
        <v>45942</v>
      </c>
    </row>
    <row r="262" spans="9:12">
      <c r="I262">
        <f>IFERROR(VLOOKUP(H262,Rates!$A$2:$B$3,2,0),1)</f>
        <v>1</v>
      </c>
      <c r="J262" t="str">
        <f t="shared" si="8"/>
        <v/>
      </c>
      <c r="K262" t="str">
        <f>IF(J262&lt;&gt;"",SUM($J$2:J262),"")</f>
        <v/>
      </c>
      <c r="L262">
        <f ca="1" t="shared" si="9"/>
        <v>45942</v>
      </c>
    </row>
    <row r="263" spans="9:12">
      <c r="I263">
        <f>IFERROR(VLOOKUP(H263,Rates!$A$2:$B$3,2,0),1)</f>
        <v>1</v>
      </c>
      <c r="J263" t="str">
        <f t="shared" si="8"/>
        <v/>
      </c>
      <c r="K263" t="str">
        <f>IF(J263&lt;&gt;"",SUM($J$2:J263),"")</f>
        <v/>
      </c>
      <c r="L263">
        <f ca="1" t="shared" si="9"/>
        <v>45942</v>
      </c>
    </row>
    <row r="264" spans="9:12">
      <c r="I264">
        <f>IFERROR(VLOOKUP(H264,Rates!$A$2:$B$3,2,0),1)</f>
        <v>1</v>
      </c>
      <c r="J264" t="str">
        <f t="shared" si="8"/>
        <v/>
      </c>
      <c r="K264" t="str">
        <f>IF(J264&lt;&gt;"",SUM($J$2:J264),"")</f>
        <v/>
      </c>
      <c r="L264">
        <f ca="1" t="shared" si="9"/>
        <v>45942</v>
      </c>
    </row>
    <row r="265" spans="9:12">
      <c r="I265">
        <f>IFERROR(VLOOKUP(H265,Rates!$A$2:$B$3,2,0),1)</f>
        <v>1</v>
      </c>
      <c r="J265" t="str">
        <f t="shared" si="8"/>
        <v/>
      </c>
      <c r="K265" t="str">
        <f>IF(J265&lt;&gt;"",SUM($J$2:J265),"")</f>
        <v/>
      </c>
      <c r="L265">
        <f ca="1" t="shared" si="9"/>
        <v>45942</v>
      </c>
    </row>
    <row r="266" spans="9:12">
      <c r="I266">
        <f>IFERROR(VLOOKUP(H266,Rates!$A$2:$B$3,2,0),1)</f>
        <v>1</v>
      </c>
      <c r="J266" t="str">
        <f t="shared" si="8"/>
        <v/>
      </c>
      <c r="K266" t="str">
        <f>IF(J266&lt;&gt;"",SUM($J$2:J266),"")</f>
        <v/>
      </c>
      <c r="L266">
        <f ca="1" t="shared" si="9"/>
        <v>45942</v>
      </c>
    </row>
    <row r="267" spans="9:12">
      <c r="I267">
        <f>IFERROR(VLOOKUP(H267,Rates!$A$2:$B$3,2,0),1)</f>
        <v>1</v>
      </c>
      <c r="J267" t="str">
        <f t="shared" si="8"/>
        <v/>
      </c>
      <c r="K267" t="str">
        <f>IF(J267&lt;&gt;"",SUM($J$2:J267),"")</f>
        <v/>
      </c>
      <c r="L267">
        <f ca="1" t="shared" si="9"/>
        <v>45942</v>
      </c>
    </row>
    <row r="268" spans="9:12">
      <c r="I268">
        <f>IFERROR(VLOOKUP(H268,Rates!$A$2:$B$3,2,0),1)</f>
        <v>1</v>
      </c>
      <c r="J268" t="str">
        <f t="shared" si="8"/>
        <v/>
      </c>
      <c r="K268" t="str">
        <f>IF(J268&lt;&gt;"",SUM($J$2:J268),"")</f>
        <v/>
      </c>
      <c r="L268">
        <f ca="1" t="shared" si="9"/>
        <v>45942</v>
      </c>
    </row>
    <row r="269" spans="9:12">
      <c r="I269">
        <f>IFERROR(VLOOKUP(H269,Rates!$A$2:$B$3,2,0),1)</f>
        <v>1</v>
      </c>
      <c r="J269" t="str">
        <f t="shared" si="8"/>
        <v/>
      </c>
      <c r="K269" t="str">
        <f>IF(J269&lt;&gt;"",SUM($J$2:J269),"")</f>
        <v/>
      </c>
      <c r="L269">
        <f ca="1" t="shared" si="9"/>
        <v>45942</v>
      </c>
    </row>
    <row r="270" spans="9:12">
      <c r="I270">
        <f>IFERROR(VLOOKUP(H270,Rates!$A$2:$B$3,2,0),1)</f>
        <v>1</v>
      </c>
      <c r="J270" t="str">
        <f t="shared" si="8"/>
        <v/>
      </c>
      <c r="K270" t="str">
        <f>IF(J270&lt;&gt;"",SUM($J$2:J270),"")</f>
        <v/>
      </c>
      <c r="L270">
        <f ca="1" t="shared" si="9"/>
        <v>45942</v>
      </c>
    </row>
    <row r="271" spans="9:12">
      <c r="I271">
        <f>IFERROR(VLOOKUP(H271,Rates!$A$2:$B$3,2,0),1)</f>
        <v>1</v>
      </c>
      <c r="J271" t="str">
        <f t="shared" si="8"/>
        <v/>
      </c>
      <c r="K271" t="str">
        <f>IF(J271&lt;&gt;"",SUM($J$2:J271),"")</f>
        <v/>
      </c>
      <c r="L271">
        <f ca="1" t="shared" si="9"/>
        <v>45942</v>
      </c>
    </row>
    <row r="272" spans="9:12">
      <c r="I272">
        <f>IFERROR(VLOOKUP(H272,Rates!$A$2:$B$3,2,0),1)</f>
        <v>1</v>
      </c>
      <c r="J272" t="str">
        <f t="shared" si="8"/>
        <v/>
      </c>
      <c r="K272" t="str">
        <f>IF(J272&lt;&gt;"",SUM($J$2:J272),"")</f>
        <v/>
      </c>
      <c r="L272">
        <f ca="1" t="shared" si="9"/>
        <v>45942</v>
      </c>
    </row>
    <row r="273" spans="9:12">
      <c r="I273">
        <f>IFERROR(VLOOKUP(H273,Rates!$A$2:$B$3,2,0),1)</f>
        <v>1</v>
      </c>
      <c r="J273" t="str">
        <f t="shared" si="8"/>
        <v/>
      </c>
      <c r="K273" t="str">
        <f>IF(J273&lt;&gt;"",SUM($J$2:J273),"")</f>
        <v/>
      </c>
      <c r="L273">
        <f ca="1" t="shared" si="9"/>
        <v>45942</v>
      </c>
    </row>
    <row r="274" spans="9:12">
      <c r="I274">
        <f>IFERROR(VLOOKUP(H274,Rates!$A$2:$B$3,2,0),1)</f>
        <v>1</v>
      </c>
      <c r="J274" t="str">
        <f t="shared" si="8"/>
        <v/>
      </c>
      <c r="K274" t="str">
        <f>IF(J274&lt;&gt;"",SUM($J$2:J274),"")</f>
        <v/>
      </c>
      <c r="L274">
        <f ca="1" t="shared" si="9"/>
        <v>45942</v>
      </c>
    </row>
    <row r="275" spans="9:12">
      <c r="I275">
        <f>IFERROR(VLOOKUP(H275,Rates!$A$2:$B$3,2,0),1)</f>
        <v>1</v>
      </c>
      <c r="J275" t="str">
        <f t="shared" si="8"/>
        <v/>
      </c>
      <c r="K275" t="str">
        <f>IF(J275&lt;&gt;"",SUM($J$2:J275),"")</f>
        <v/>
      </c>
      <c r="L275">
        <f ca="1" t="shared" si="9"/>
        <v>45942</v>
      </c>
    </row>
    <row r="276" spans="9:12">
      <c r="I276">
        <f>IFERROR(VLOOKUP(H276,Rates!$A$2:$B$3,2,0),1)</f>
        <v>1</v>
      </c>
      <c r="J276" t="str">
        <f t="shared" si="8"/>
        <v/>
      </c>
      <c r="K276" t="str">
        <f>IF(J276&lt;&gt;"",SUM($J$2:J276),"")</f>
        <v/>
      </c>
      <c r="L276">
        <f ca="1" t="shared" si="9"/>
        <v>45942</v>
      </c>
    </row>
    <row r="277" spans="9:12">
      <c r="I277">
        <f>IFERROR(VLOOKUP(H277,Rates!$A$2:$B$3,2,0),1)</f>
        <v>1</v>
      </c>
      <c r="J277" t="str">
        <f t="shared" si="8"/>
        <v/>
      </c>
      <c r="K277" t="str">
        <f>IF(J277&lt;&gt;"",SUM($J$2:J277),"")</f>
        <v/>
      </c>
      <c r="L277">
        <f ca="1" t="shared" si="9"/>
        <v>45942</v>
      </c>
    </row>
    <row r="278" spans="9:12">
      <c r="I278">
        <f>IFERROR(VLOOKUP(H278,Rates!$A$2:$B$3,2,0),1)</f>
        <v>1</v>
      </c>
      <c r="J278" t="str">
        <f t="shared" si="8"/>
        <v/>
      </c>
      <c r="K278" t="str">
        <f>IF(J278&lt;&gt;"",SUM($J$2:J278),"")</f>
        <v/>
      </c>
      <c r="L278">
        <f ca="1" t="shared" si="9"/>
        <v>45942</v>
      </c>
    </row>
    <row r="279" spans="9:12">
      <c r="I279">
        <f>IFERROR(VLOOKUP(H279,Rates!$A$2:$B$3,2,0),1)</f>
        <v>1</v>
      </c>
      <c r="J279" t="str">
        <f t="shared" si="8"/>
        <v/>
      </c>
      <c r="K279" t="str">
        <f>IF(J279&lt;&gt;"",SUM($J$2:J279),"")</f>
        <v/>
      </c>
      <c r="L279">
        <f ca="1" t="shared" si="9"/>
        <v>45942</v>
      </c>
    </row>
    <row r="280" spans="9:12">
      <c r="I280">
        <f>IFERROR(VLOOKUP(H280,Rates!$A$2:$B$3,2,0),1)</f>
        <v>1</v>
      </c>
      <c r="J280" t="str">
        <f t="shared" si="8"/>
        <v/>
      </c>
      <c r="K280" t="str">
        <f>IF(J280&lt;&gt;"",SUM($J$2:J280),"")</f>
        <v/>
      </c>
      <c r="L280">
        <f ca="1" t="shared" si="9"/>
        <v>45942</v>
      </c>
    </row>
    <row r="281" spans="9:12">
      <c r="I281">
        <f>IFERROR(VLOOKUP(H281,Rates!$A$2:$B$3,2,0),1)</f>
        <v>1</v>
      </c>
      <c r="J281" t="str">
        <f t="shared" si="8"/>
        <v/>
      </c>
      <c r="K281" t="str">
        <f>IF(J281&lt;&gt;"",SUM($J$2:J281),"")</f>
        <v/>
      </c>
      <c r="L281">
        <f ca="1" t="shared" si="9"/>
        <v>45942</v>
      </c>
    </row>
    <row r="282" spans="9:12">
      <c r="I282">
        <f>IFERROR(VLOOKUP(H282,Rates!$A$2:$B$3,2,0),1)</f>
        <v>1</v>
      </c>
      <c r="J282" t="str">
        <f t="shared" si="8"/>
        <v/>
      </c>
      <c r="K282" t="str">
        <f>IF(J282&lt;&gt;"",SUM($J$2:J282),"")</f>
        <v/>
      </c>
      <c r="L282">
        <f ca="1" t="shared" si="9"/>
        <v>45942</v>
      </c>
    </row>
    <row r="283" spans="9:12">
      <c r="I283">
        <f>IFERROR(VLOOKUP(H283,Rates!$A$2:$B$3,2,0),1)</f>
        <v>1</v>
      </c>
      <c r="J283" t="str">
        <f t="shared" si="8"/>
        <v/>
      </c>
      <c r="K283" t="str">
        <f>IF(J283&lt;&gt;"",SUM($J$2:J283),"")</f>
        <v/>
      </c>
      <c r="L283">
        <f ca="1" t="shared" si="9"/>
        <v>45942</v>
      </c>
    </row>
    <row r="284" spans="9:12">
      <c r="I284">
        <f>IFERROR(VLOOKUP(H284,Rates!$A$2:$B$3,2,0),1)</f>
        <v>1</v>
      </c>
      <c r="J284" t="str">
        <f t="shared" si="8"/>
        <v/>
      </c>
      <c r="K284" t="str">
        <f>IF(J284&lt;&gt;"",SUM($J$2:J284),"")</f>
        <v/>
      </c>
      <c r="L284">
        <f ca="1" t="shared" si="9"/>
        <v>45942</v>
      </c>
    </row>
    <row r="285" spans="9:12">
      <c r="I285">
        <f>IFERROR(VLOOKUP(H285,Rates!$A$2:$B$3,2,0),1)</f>
        <v>1</v>
      </c>
      <c r="J285" t="str">
        <f t="shared" si="8"/>
        <v/>
      </c>
      <c r="K285" t="str">
        <f>IF(J285&lt;&gt;"",SUM($J$2:J285),"")</f>
        <v/>
      </c>
      <c r="L285">
        <f ca="1" t="shared" si="9"/>
        <v>45942</v>
      </c>
    </row>
    <row r="286" spans="9:12">
      <c r="I286">
        <f>IFERROR(VLOOKUP(H286,Rates!$A$2:$B$3,2,0),1)</f>
        <v>1</v>
      </c>
      <c r="J286" t="str">
        <f t="shared" si="8"/>
        <v/>
      </c>
      <c r="K286" t="str">
        <f>IF(J286&lt;&gt;"",SUM($J$2:J286),"")</f>
        <v/>
      </c>
      <c r="L286">
        <f ca="1" t="shared" si="9"/>
        <v>45942</v>
      </c>
    </row>
    <row r="287" spans="9:12">
      <c r="I287">
        <f>IFERROR(VLOOKUP(H287,Rates!$A$2:$B$3,2,0),1)</f>
        <v>1</v>
      </c>
      <c r="J287" t="str">
        <f t="shared" si="8"/>
        <v/>
      </c>
      <c r="K287" t="str">
        <f>IF(J287&lt;&gt;"",SUM($J$2:J287),"")</f>
        <v/>
      </c>
      <c r="L287">
        <f ca="1" t="shared" si="9"/>
        <v>45942</v>
      </c>
    </row>
    <row r="288" spans="9:12">
      <c r="I288">
        <f>IFERROR(VLOOKUP(H288,Rates!$A$2:$B$3,2,0),1)</f>
        <v>1</v>
      </c>
      <c r="J288" t="str">
        <f t="shared" si="8"/>
        <v/>
      </c>
      <c r="K288" t="str">
        <f>IF(J288&lt;&gt;"",SUM($J$2:J288),"")</f>
        <v/>
      </c>
      <c r="L288">
        <f ca="1" t="shared" si="9"/>
        <v>45942</v>
      </c>
    </row>
    <row r="289" spans="9:12">
      <c r="I289">
        <f>IFERROR(VLOOKUP(H289,Rates!$A$2:$B$3,2,0),1)</f>
        <v>1</v>
      </c>
      <c r="J289" t="str">
        <f t="shared" si="8"/>
        <v/>
      </c>
      <c r="K289" t="str">
        <f>IF(J289&lt;&gt;"",SUM($J$2:J289),"")</f>
        <v/>
      </c>
      <c r="L289">
        <f ca="1" t="shared" si="9"/>
        <v>45942</v>
      </c>
    </row>
    <row r="290" spans="9:12">
      <c r="I290">
        <f>IFERROR(VLOOKUP(H290,Rates!$A$2:$B$3,2,0),1)</f>
        <v>1</v>
      </c>
      <c r="J290" t="str">
        <f t="shared" si="8"/>
        <v/>
      </c>
      <c r="K290" t="str">
        <f>IF(J290&lt;&gt;"",SUM($J$2:J290),"")</f>
        <v/>
      </c>
      <c r="L290">
        <f ca="1" t="shared" si="9"/>
        <v>45942</v>
      </c>
    </row>
    <row r="291" spans="9:12">
      <c r="I291">
        <f>IFERROR(VLOOKUP(H291,Rates!$A$2:$B$3,2,0),1)</f>
        <v>1</v>
      </c>
      <c r="J291" t="str">
        <f t="shared" si="8"/>
        <v/>
      </c>
      <c r="K291" t="str">
        <f>IF(J291&lt;&gt;"",SUM($J$2:J291),"")</f>
        <v/>
      </c>
      <c r="L291">
        <f ca="1" t="shared" si="9"/>
        <v>45942</v>
      </c>
    </row>
    <row r="292" spans="9:12">
      <c r="I292">
        <f>IFERROR(VLOOKUP(H292,Rates!$A$2:$B$3,2,0),1)</f>
        <v>1</v>
      </c>
      <c r="J292" t="str">
        <f t="shared" si="8"/>
        <v/>
      </c>
      <c r="K292" t="str">
        <f>IF(J292&lt;&gt;"",SUM($J$2:J292),"")</f>
        <v/>
      </c>
      <c r="L292">
        <f ca="1" t="shared" si="9"/>
        <v>45942</v>
      </c>
    </row>
    <row r="293" spans="9:12">
      <c r="I293">
        <f>IFERROR(VLOOKUP(H293,Rates!$A$2:$B$3,2,0),1)</f>
        <v>1</v>
      </c>
      <c r="J293" t="str">
        <f t="shared" si="8"/>
        <v/>
      </c>
      <c r="K293" t="str">
        <f>IF(J293&lt;&gt;"",SUM($J$2:J293),"")</f>
        <v/>
      </c>
      <c r="L293">
        <f ca="1" t="shared" si="9"/>
        <v>45942</v>
      </c>
    </row>
    <row r="294" spans="9:12">
      <c r="I294">
        <f>IFERROR(VLOOKUP(H294,Rates!$A$2:$B$3,2,0),1)</f>
        <v>1</v>
      </c>
      <c r="J294" t="str">
        <f t="shared" si="8"/>
        <v/>
      </c>
      <c r="K294" t="str">
        <f>IF(J294&lt;&gt;"",SUM($J$2:J294),"")</f>
        <v/>
      </c>
      <c r="L294">
        <f ca="1" t="shared" si="9"/>
        <v>45942</v>
      </c>
    </row>
    <row r="295" spans="9:12">
      <c r="I295">
        <f>IFERROR(VLOOKUP(H295,Rates!$A$2:$B$3,2,0),1)</f>
        <v>1</v>
      </c>
      <c r="J295" t="str">
        <f t="shared" si="8"/>
        <v/>
      </c>
      <c r="K295" t="str">
        <f>IF(J295&lt;&gt;"",SUM($J$2:J295),"")</f>
        <v/>
      </c>
      <c r="L295">
        <f ca="1" t="shared" si="9"/>
        <v>45942</v>
      </c>
    </row>
    <row r="296" spans="9:12">
      <c r="I296">
        <f>IFERROR(VLOOKUP(H296,Rates!$A$2:$B$3,2,0),1)</f>
        <v>1</v>
      </c>
      <c r="J296" t="str">
        <f t="shared" si="8"/>
        <v/>
      </c>
      <c r="K296" t="str">
        <f>IF(J296&lt;&gt;"",SUM($J$2:J296),"")</f>
        <v/>
      </c>
      <c r="L296">
        <f ca="1" t="shared" si="9"/>
        <v>45942</v>
      </c>
    </row>
    <row r="297" spans="9:12">
      <c r="I297">
        <f>IFERROR(VLOOKUP(H297,Rates!$A$2:$B$3,2,0),1)</f>
        <v>1</v>
      </c>
      <c r="J297" t="str">
        <f t="shared" si="8"/>
        <v/>
      </c>
      <c r="K297" t="str">
        <f>IF(J297&lt;&gt;"",SUM($J$2:J297),"")</f>
        <v/>
      </c>
      <c r="L297">
        <f ca="1" t="shared" si="9"/>
        <v>45942</v>
      </c>
    </row>
    <row r="298" spans="9:12">
      <c r="I298">
        <f>IFERROR(VLOOKUP(H298,Rates!$A$2:$B$3,2,0),1)</f>
        <v>1</v>
      </c>
      <c r="J298" t="str">
        <f t="shared" si="8"/>
        <v/>
      </c>
      <c r="K298" t="str">
        <f>IF(J298&lt;&gt;"",SUM($J$2:J298),"")</f>
        <v/>
      </c>
      <c r="L298">
        <f ca="1" t="shared" si="9"/>
        <v>45942</v>
      </c>
    </row>
    <row r="299" spans="9:12">
      <c r="I299">
        <f>IFERROR(VLOOKUP(H299,Rates!$A$2:$B$3,2,0),1)</f>
        <v>1</v>
      </c>
      <c r="J299" t="str">
        <f t="shared" si="8"/>
        <v/>
      </c>
      <c r="K299" t="str">
        <f>IF(J299&lt;&gt;"",SUM($J$2:J299),"")</f>
        <v/>
      </c>
      <c r="L299">
        <f ca="1" t="shared" si="9"/>
        <v>45942</v>
      </c>
    </row>
    <row r="300" spans="9:12">
      <c r="I300">
        <f>IFERROR(VLOOKUP(H300,Rates!$A$2:$B$3,2,0),1)</f>
        <v>1</v>
      </c>
      <c r="J300" t="str">
        <f t="shared" si="8"/>
        <v/>
      </c>
      <c r="K300" t="str">
        <f>IF(J300&lt;&gt;"",SUM($J$2:J300),"")</f>
        <v/>
      </c>
      <c r="L300">
        <f ca="1" t="shared" si="9"/>
        <v>45942</v>
      </c>
    </row>
    <row r="301" spans="9:12">
      <c r="I301">
        <f>IFERROR(VLOOKUP(H301,Rates!$A$2:$B$3,2,0),1)</f>
        <v>1</v>
      </c>
      <c r="J301" t="str">
        <f t="shared" si="8"/>
        <v/>
      </c>
      <c r="K301" t="str">
        <f>IF(J301&lt;&gt;"",SUM($J$2:J301),"")</f>
        <v/>
      </c>
      <c r="L301">
        <f ca="1" t="shared" si="9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workbookViewId="0">
      <pane ySplit="1" topLeftCell="A2" activePane="bottomLeft" state="frozen"/>
      <selection/>
      <selection pane="bottomLeft" activeCell="G22" sqref="G22"/>
    </sheetView>
  </sheetViews>
  <sheetFormatPr defaultColWidth="9" defaultRowHeight="16.8"/>
  <cols>
    <col min="1" max="1" width="22" customWidth="1"/>
    <col min="2" max="2" width="12" customWidth="1"/>
    <col min="3" max="4" width="16" customWidth="1"/>
    <col min="5" max="5" width="26" customWidth="1"/>
    <col min="6" max="6" width="36" customWidth="1"/>
    <col min="7" max="7" width="12" customWidth="1"/>
    <col min="8" max="9" width="10" customWidth="1"/>
    <col min="10" max="10" width="14" customWidth="1"/>
    <col min="11" max="11" width="16" customWidth="1"/>
    <col min="12" max="12" width="14" customWidth="1"/>
    <col min="14" max="14" width="2" customWidth="1"/>
    <col min="16" max="16" width="2" customWidth="1"/>
  </cols>
  <sheetData>
    <row r="1" spans="1:12">
      <c r="A1" t="s">
        <v>36</v>
      </c>
      <c r="B1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</row>
    <row r="2" spans="1:12">
      <c r="A2" t="s">
        <v>39</v>
      </c>
      <c r="B2" s="10">
        <v>45839</v>
      </c>
      <c r="F2" t="s">
        <v>64</v>
      </c>
      <c r="G2">
        <v>1571</v>
      </c>
      <c r="H2" t="s">
        <v>2</v>
      </c>
      <c r="I2">
        <f>IFERROR(VLOOKUP(H2,Rates!$A$2:$B$3,2,0),1)</f>
        <v>283</v>
      </c>
      <c r="J2">
        <f t="shared" ref="J2:J65" si="0">IF(G2&lt;&gt;"",G2*I2,"")</f>
        <v>444593</v>
      </c>
      <c r="K2">
        <f>IF(J2&lt;&gt;"",J2,"")</f>
        <v>444593</v>
      </c>
      <c r="L2">
        <f ca="1" t="shared" ref="L2:L65" si="1">IF(COUNTA(A2:K2)&gt;0,TODAY(),"")</f>
        <v>45942</v>
      </c>
    </row>
    <row r="3" spans="1:12">
      <c r="A3" t="s">
        <v>39</v>
      </c>
      <c r="B3" s="10">
        <v>45840</v>
      </c>
      <c r="C3" t="s">
        <v>12</v>
      </c>
      <c r="D3" t="s">
        <v>29</v>
      </c>
      <c r="F3" t="s">
        <v>67</v>
      </c>
      <c r="G3">
        <v>-1490</v>
      </c>
      <c r="H3" t="s">
        <v>2</v>
      </c>
      <c r="I3">
        <f>IFERROR(VLOOKUP(H3,Rates!$A$2:$B$3,2,0),1)</f>
        <v>283</v>
      </c>
      <c r="J3">
        <f t="shared" si="0"/>
        <v>-421670</v>
      </c>
      <c r="K3">
        <f>IF(J3&lt;&gt;"",SUM($J$2:J3),"")</f>
        <v>22923</v>
      </c>
      <c r="L3">
        <f ca="1" t="shared" si="1"/>
        <v>45942</v>
      </c>
    </row>
    <row r="4" spans="1:12">
      <c r="A4" t="s">
        <v>39</v>
      </c>
      <c r="B4" s="10">
        <v>45840</v>
      </c>
      <c r="C4" t="s">
        <v>21</v>
      </c>
      <c r="D4" t="s">
        <v>29</v>
      </c>
      <c r="F4" t="s">
        <v>68</v>
      </c>
      <c r="G4">
        <v>-35</v>
      </c>
      <c r="H4" t="s">
        <v>2</v>
      </c>
      <c r="I4">
        <f>IFERROR(VLOOKUP(H4,Rates!$A$2:$B$3,2,0),1)</f>
        <v>283</v>
      </c>
      <c r="J4">
        <f t="shared" si="0"/>
        <v>-9905</v>
      </c>
      <c r="K4">
        <f>IF(J4&lt;&gt;"",SUM($J$2:J4),"")</f>
        <v>13018</v>
      </c>
      <c r="L4">
        <f ca="1" t="shared" si="1"/>
        <v>45942</v>
      </c>
    </row>
    <row r="5" spans="2:2">
      <c r="B5" s="10"/>
    </row>
    <row r="6" spans="2:7">
      <c r="B6" s="10"/>
      <c r="C6"/>
      <c r="G6" s="5"/>
    </row>
    <row r="7" spans="2:7">
      <c r="B7" s="10"/>
      <c r="C7"/>
      <c r="G7" s="5"/>
    </row>
    <row r="8" spans="2:2">
      <c r="B8" s="10"/>
    </row>
    <row r="11" spans="9:12">
      <c r="I11">
        <f>IFERROR(VLOOKUP(H11,Rates!$A$2:$B$3,2,0),1)</f>
        <v>1</v>
      </c>
      <c r="J11" t="str">
        <f t="shared" si="0"/>
        <v/>
      </c>
      <c r="K11" t="str">
        <f>IF(J11&lt;&gt;"",SUM($J$2:J11),"")</f>
        <v/>
      </c>
      <c r="L11">
        <f ca="1" t="shared" si="1"/>
        <v>45942</v>
      </c>
    </row>
    <row r="12" spans="9:12">
      <c r="I12">
        <f>IFERROR(VLOOKUP(H12,Rates!$A$2:$B$3,2,0),1)</f>
        <v>1</v>
      </c>
      <c r="J12" t="str">
        <f t="shared" si="0"/>
        <v/>
      </c>
      <c r="K12" t="str">
        <f>IF(J12&lt;&gt;"",SUM($J$2:J12),"")</f>
        <v/>
      </c>
      <c r="L12">
        <f ca="1" t="shared" si="1"/>
        <v>45942</v>
      </c>
    </row>
    <row r="13" spans="9:12">
      <c r="I13">
        <f>IFERROR(VLOOKUP(H13,Rates!$A$2:$B$3,2,0),1)</f>
        <v>1</v>
      </c>
      <c r="J13" t="str">
        <f t="shared" si="0"/>
        <v/>
      </c>
      <c r="K13" t="str">
        <f>IF(J13&lt;&gt;"",SUM($J$2:J13),"")</f>
        <v/>
      </c>
      <c r="L13">
        <f ca="1" t="shared" si="1"/>
        <v>45942</v>
      </c>
    </row>
    <row r="14" spans="9:12">
      <c r="I14">
        <f>IFERROR(VLOOKUP(H14,Rates!$A$2:$B$3,2,0),1)</f>
        <v>1</v>
      </c>
      <c r="J14" t="str">
        <f t="shared" si="0"/>
        <v/>
      </c>
      <c r="K14" t="str">
        <f>IF(J14&lt;&gt;"",SUM($J$2:J14),"")</f>
        <v/>
      </c>
      <c r="L14">
        <f ca="1" t="shared" si="1"/>
        <v>45942</v>
      </c>
    </row>
    <row r="15" spans="9:12">
      <c r="I15">
        <f>IFERROR(VLOOKUP(H15,Rates!$A$2:$B$3,2,0),1)</f>
        <v>1</v>
      </c>
      <c r="J15" t="str">
        <f t="shared" si="0"/>
        <v/>
      </c>
      <c r="K15" t="str">
        <f>IF(J15&lt;&gt;"",SUM($J$2:J15),"")</f>
        <v/>
      </c>
      <c r="L15">
        <f ca="1" t="shared" si="1"/>
        <v>45942</v>
      </c>
    </row>
    <row r="16" spans="9:12">
      <c r="I16">
        <f>IFERROR(VLOOKUP(H16,Rates!$A$2:$B$3,2,0),1)</f>
        <v>1</v>
      </c>
      <c r="J16" t="str">
        <f t="shared" si="0"/>
        <v/>
      </c>
      <c r="K16" t="str">
        <f>IF(J16&lt;&gt;"",SUM($J$2:J16),"")</f>
        <v/>
      </c>
      <c r="L16">
        <f ca="1" t="shared" si="1"/>
        <v>45942</v>
      </c>
    </row>
    <row r="17" spans="9:12">
      <c r="I17">
        <f>IFERROR(VLOOKUP(H17,Rates!$A$2:$B$3,2,0),1)</f>
        <v>1</v>
      </c>
      <c r="J17" t="str">
        <f t="shared" si="0"/>
        <v/>
      </c>
      <c r="K17" t="str">
        <f>IF(J17&lt;&gt;"",SUM($J$2:J17),"")</f>
        <v/>
      </c>
      <c r="L17">
        <f ca="1" t="shared" si="1"/>
        <v>45942</v>
      </c>
    </row>
    <row r="18" spans="9:12">
      <c r="I18">
        <f>IFERROR(VLOOKUP(H18,Rates!$A$2:$B$3,2,0),1)</f>
        <v>1</v>
      </c>
      <c r="J18" t="str">
        <f t="shared" si="0"/>
        <v/>
      </c>
      <c r="K18" t="str">
        <f>IF(J18&lt;&gt;"",SUM($J$2:J18),"")</f>
        <v/>
      </c>
      <c r="L18">
        <f ca="1" t="shared" si="1"/>
        <v>45942</v>
      </c>
    </row>
    <row r="19" spans="9:12">
      <c r="I19">
        <f>IFERROR(VLOOKUP(H19,Rates!$A$2:$B$3,2,0),1)</f>
        <v>1</v>
      </c>
      <c r="J19" t="str">
        <f t="shared" si="0"/>
        <v/>
      </c>
      <c r="K19" t="str">
        <f>IF(J19&lt;&gt;"",SUM($J$2:J19),"")</f>
        <v/>
      </c>
      <c r="L19">
        <f ca="1" t="shared" si="1"/>
        <v>45942</v>
      </c>
    </row>
    <row r="20" spans="9:12">
      <c r="I20">
        <f>IFERROR(VLOOKUP(H20,Rates!$A$2:$B$3,2,0),1)</f>
        <v>1</v>
      </c>
      <c r="J20" t="str">
        <f t="shared" si="0"/>
        <v/>
      </c>
      <c r="K20" t="str">
        <f>IF(J20&lt;&gt;"",SUM($J$2:J20),"")</f>
        <v/>
      </c>
      <c r="L20">
        <f ca="1" t="shared" si="1"/>
        <v>45942</v>
      </c>
    </row>
    <row r="21" spans="9:12">
      <c r="I21">
        <f>IFERROR(VLOOKUP(H21,Rates!$A$2:$B$3,2,0),1)</f>
        <v>1</v>
      </c>
      <c r="J21" t="str">
        <f t="shared" si="0"/>
        <v/>
      </c>
      <c r="K21" t="str">
        <f>IF(J21&lt;&gt;"",SUM($J$2:J21),"")</f>
        <v/>
      </c>
      <c r="L21">
        <f ca="1" t="shared" si="1"/>
        <v>45942</v>
      </c>
    </row>
    <row r="22" spans="9:12">
      <c r="I22">
        <f>IFERROR(VLOOKUP(H22,Rates!$A$2:$B$3,2,0),1)</f>
        <v>1</v>
      </c>
      <c r="J22" t="str">
        <f t="shared" si="0"/>
        <v/>
      </c>
      <c r="K22" t="str">
        <f>IF(J22&lt;&gt;"",SUM($J$2:J22),"")</f>
        <v/>
      </c>
      <c r="L22">
        <f ca="1" t="shared" si="1"/>
        <v>45942</v>
      </c>
    </row>
    <row r="23" spans="9:12">
      <c r="I23">
        <f>IFERROR(VLOOKUP(H23,Rates!$A$2:$B$3,2,0),1)</f>
        <v>1</v>
      </c>
      <c r="J23" t="str">
        <f t="shared" si="0"/>
        <v/>
      </c>
      <c r="K23" t="str">
        <f>IF(J23&lt;&gt;"",SUM($J$2:J23),"")</f>
        <v/>
      </c>
      <c r="L23">
        <f ca="1" t="shared" si="1"/>
        <v>45942</v>
      </c>
    </row>
    <row r="24" spans="9:12">
      <c r="I24">
        <f>IFERROR(VLOOKUP(H24,Rates!$A$2:$B$3,2,0),1)</f>
        <v>1</v>
      </c>
      <c r="J24" t="str">
        <f t="shared" si="0"/>
        <v/>
      </c>
      <c r="K24" t="str">
        <f>IF(J24&lt;&gt;"",SUM($J$2:J24),"")</f>
        <v/>
      </c>
      <c r="L24">
        <f ca="1" t="shared" si="1"/>
        <v>45942</v>
      </c>
    </row>
    <row r="25" spans="9:12">
      <c r="I25">
        <f>IFERROR(VLOOKUP(H25,Rates!$A$2:$B$3,2,0),1)</f>
        <v>1</v>
      </c>
      <c r="J25" t="str">
        <f t="shared" si="0"/>
        <v/>
      </c>
      <c r="K25" t="str">
        <f>IF(J25&lt;&gt;"",SUM($J$2:J25),"")</f>
        <v/>
      </c>
      <c r="L25">
        <f ca="1" t="shared" si="1"/>
        <v>45942</v>
      </c>
    </row>
    <row r="26" spans="9:12">
      <c r="I26">
        <f>IFERROR(VLOOKUP(H26,Rates!$A$2:$B$3,2,0),1)</f>
        <v>1</v>
      </c>
      <c r="J26" t="str">
        <f t="shared" si="0"/>
        <v/>
      </c>
      <c r="K26" t="str">
        <f>IF(J26&lt;&gt;"",SUM($J$2:J26),"")</f>
        <v/>
      </c>
      <c r="L26">
        <f ca="1" t="shared" si="1"/>
        <v>45942</v>
      </c>
    </row>
    <row r="27" spans="9:12">
      <c r="I27">
        <f>IFERROR(VLOOKUP(H27,Rates!$A$2:$B$3,2,0),1)</f>
        <v>1</v>
      </c>
      <c r="J27" t="str">
        <f t="shared" si="0"/>
        <v/>
      </c>
      <c r="K27" t="str">
        <f>IF(J27&lt;&gt;"",SUM($J$2:J27),"")</f>
        <v/>
      </c>
      <c r="L27">
        <f ca="1" t="shared" si="1"/>
        <v>45942</v>
      </c>
    </row>
    <row r="28" spans="9:12">
      <c r="I28">
        <f>IFERROR(VLOOKUP(H28,Rates!$A$2:$B$3,2,0),1)</f>
        <v>1</v>
      </c>
      <c r="J28" t="str">
        <f t="shared" si="0"/>
        <v/>
      </c>
      <c r="K28" t="str">
        <f>IF(J28&lt;&gt;"",SUM($J$2:J28),"")</f>
        <v/>
      </c>
      <c r="L28">
        <f ca="1" t="shared" si="1"/>
        <v>45942</v>
      </c>
    </row>
    <row r="29" spans="9:12">
      <c r="I29">
        <f>IFERROR(VLOOKUP(H29,Rates!$A$2:$B$3,2,0),1)</f>
        <v>1</v>
      </c>
      <c r="J29" t="str">
        <f t="shared" si="0"/>
        <v/>
      </c>
      <c r="K29" t="str">
        <f>IF(J29&lt;&gt;"",SUM($J$2:J29),"")</f>
        <v/>
      </c>
      <c r="L29">
        <f ca="1" t="shared" si="1"/>
        <v>45942</v>
      </c>
    </row>
    <row r="30" spans="9:12">
      <c r="I30">
        <f>IFERROR(VLOOKUP(H30,Rates!$A$2:$B$3,2,0),1)</f>
        <v>1</v>
      </c>
      <c r="J30" t="str">
        <f t="shared" si="0"/>
        <v/>
      </c>
      <c r="K30" t="str">
        <f>IF(J30&lt;&gt;"",SUM($J$2:J30),"")</f>
        <v/>
      </c>
      <c r="L30">
        <f ca="1" t="shared" si="1"/>
        <v>45942</v>
      </c>
    </row>
    <row r="31" spans="9:12">
      <c r="I31">
        <f>IFERROR(VLOOKUP(H31,Rates!$A$2:$B$3,2,0),1)</f>
        <v>1</v>
      </c>
      <c r="J31" t="str">
        <f t="shared" si="0"/>
        <v/>
      </c>
      <c r="K31" t="str">
        <f>IF(J31&lt;&gt;"",SUM($J$2:J31),"")</f>
        <v/>
      </c>
      <c r="L31">
        <f ca="1" t="shared" si="1"/>
        <v>45942</v>
      </c>
    </row>
    <row r="32" spans="9:12">
      <c r="I32">
        <f>IFERROR(VLOOKUP(H32,Rates!$A$2:$B$3,2,0),1)</f>
        <v>1</v>
      </c>
      <c r="J32" t="str">
        <f t="shared" si="0"/>
        <v/>
      </c>
      <c r="K32" t="str">
        <f>IF(J32&lt;&gt;"",SUM($J$2:J32),"")</f>
        <v/>
      </c>
      <c r="L32">
        <f ca="1" t="shared" si="1"/>
        <v>45942</v>
      </c>
    </row>
    <row r="33" spans="9:12">
      <c r="I33">
        <f>IFERROR(VLOOKUP(H33,Rates!$A$2:$B$3,2,0),1)</f>
        <v>1</v>
      </c>
      <c r="J33" t="str">
        <f t="shared" si="0"/>
        <v/>
      </c>
      <c r="K33" t="str">
        <f>IF(J33&lt;&gt;"",SUM($J$2:J33),"")</f>
        <v/>
      </c>
      <c r="L33">
        <f ca="1" t="shared" si="1"/>
        <v>45942</v>
      </c>
    </row>
    <row r="34" spans="9:12">
      <c r="I34">
        <f>IFERROR(VLOOKUP(H34,Rates!$A$2:$B$3,2,0),1)</f>
        <v>1</v>
      </c>
      <c r="J34" t="str">
        <f t="shared" si="0"/>
        <v/>
      </c>
      <c r="K34" t="str">
        <f>IF(J34&lt;&gt;"",SUM($J$2:J34),"")</f>
        <v/>
      </c>
      <c r="L34">
        <f ca="1" t="shared" si="1"/>
        <v>45942</v>
      </c>
    </row>
    <row r="35" spans="9:12">
      <c r="I35">
        <f>IFERROR(VLOOKUP(H35,Rates!$A$2:$B$3,2,0),1)</f>
        <v>1</v>
      </c>
      <c r="J35" t="str">
        <f t="shared" si="0"/>
        <v/>
      </c>
      <c r="K35" t="str">
        <f>IF(J35&lt;&gt;"",SUM($J$2:J35),"")</f>
        <v/>
      </c>
      <c r="L35">
        <f ca="1" t="shared" si="1"/>
        <v>45942</v>
      </c>
    </row>
    <row r="36" spans="9:12">
      <c r="I36">
        <f>IFERROR(VLOOKUP(H36,Rates!$A$2:$B$3,2,0),1)</f>
        <v>1</v>
      </c>
      <c r="J36" t="str">
        <f t="shared" si="0"/>
        <v/>
      </c>
      <c r="K36" t="str">
        <f>IF(J36&lt;&gt;"",SUM($J$2:J36),"")</f>
        <v/>
      </c>
      <c r="L36">
        <f ca="1" t="shared" si="1"/>
        <v>45942</v>
      </c>
    </row>
    <row r="37" spans="9:12">
      <c r="I37">
        <f>IFERROR(VLOOKUP(H37,Rates!$A$2:$B$3,2,0),1)</f>
        <v>1</v>
      </c>
      <c r="J37" t="str">
        <f t="shared" si="0"/>
        <v/>
      </c>
      <c r="K37" t="str">
        <f>IF(J37&lt;&gt;"",SUM($J$2:J37),"")</f>
        <v/>
      </c>
      <c r="L37">
        <f ca="1" t="shared" si="1"/>
        <v>45942</v>
      </c>
    </row>
    <row r="38" spans="9:12">
      <c r="I38">
        <f>IFERROR(VLOOKUP(H38,Rates!$A$2:$B$3,2,0),1)</f>
        <v>1</v>
      </c>
      <c r="J38" t="str">
        <f t="shared" si="0"/>
        <v/>
      </c>
      <c r="K38" t="str">
        <f>IF(J38&lt;&gt;"",SUM($J$2:J38),"")</f>
        <v/>
      </c>
      <c r="L38">
        <f ca="1" t="shared" si="1"/>
        <v>45942</v>
      </c>
    </row>
    <row r="39" spans="9:12">
      <c r="I39">
        <f>IFERROR(VLOOKUP(H39,Rates!$A$2:$B$3,2,0),1)</f>
        <v>1</v>
      </c>
      <c r="J39" t="str">
        <f t="shared" si="0"/>
        <v/>
      </c>
      <c r="K39" t="str">
        <f>IF(J39&lt;&gt;"",SUM($J$2:J39),"")</f>
        <v/>
      </c>
      <c r="L39">
        <f ca="1" t="shared" si="1"/>
        <v>45942</v>
      </c>
    </row>
    <row r="40" spans="9:12">
      <c r="I40">
        <f>IFERROR(VLOOKUP(H40,Rates!$A$2:$B$3,2,0),1)</f>
        <v>1</v>
      </c>
      <c r="J40" t="str">
        <f t="shared" si="0"/>
        <v/>
      </c>
      <c r="K40" t="str">
        <f>IF(J40&lt;&gt;"",SUM($J$2:J40),"")</f>
        <v/>
      </c>
      <c r="L40">
        <f ca="1" t="shared" si="1"/>
        <v>45942</v>
      </c>
    </row>
    <row r="41" spans="9:12">
      <c r="I41">
        <f>IFERROR(VLOOKUP(H41,Rates!$A$2:$B$3,2,0),1)</f>
        <v>1</v>
      </c>
      <c r="J41" t="str">
        <f t="shared" si="0"/>
        <v/>
      </c>
      <c r="K41" t="str">
        <f>IF(J41&lt;&gt;"",SUM($J$2:J41),"")</f>
        <v/>
      </c>
      <c r="L41">
        <f ca="1" t="shared" si="1"/>
        <v>45942</v>
      </c>
    </row>
    <row r="42" spans="9:12">
      <c r="I42">
        <f>IFERROR(VLOOKUP(H42,Rates!$A$2:$B$3,2,0),1)</f>
        <v>1</v>
      </c>
      <c r="J42" t="str">
        <f t="shared" si="0"/>
        <v/>
      </c>
      <c r="K42" t="str">
        <f>IF(J42&lt;&gt;"",SUM($J$2:J42),"")</f>
        <v/>
      </c>
      <c r="L42">
        <f ca="1" t="shared" si="1"/>
        <v>45942</v>
      </c>
    </row>
    <row r="43" spans="9:12">
      <c r="I43">
        <f>IFERROR(VLOOKUP(H43,Rates!$A$2:$B$3,2,0),1)</f>
        <v>1</v>
      </c>
      <c r="J43" t="str">
        <f t="shared" si="0"/>
        <v/>
      </c>
      <c r="K43" t="str">
        <f>IF(J43&lt;&gt;"",SUM($J$2:J43),"")</f>
        <v/>
      </c>
      <c r="L43">
        <f ca="1" t="shared" si="1"/>
        <v>45942</v>
      </c>
    </row>
    <row r="44" spans="9:12">
      <c r="I44">
        <f>IFERROR(VLOOKUP(H44,Rates!$A$2:$B$3,2,0),1)</f>
        <v>1</v>
      </c>
      <c r="J44" t="str">
        <f t="shared" si="0"/>
        <v/>
      </c>
      <c r="K44" t="str">
        <f>IF(J44&lt;&gt;"",SUM($J$2:J44),"")</f>
        <v/>
      </c>
      <c r="L44">
        <f ca="1" t="shared" si="1"/>
        <v>45942</v>
      </c>
    </row>
    <row r="45" spans="9:12">
      <c r="I45">
        <f>IFERROR(VLOOKUP(H45,Rates!$A$2:$B$3,2,0),1)</f>
        <v>1</v>
      </c>
      <c r="J45" t="str">
        <f t="shared" si="0"/>
        <v/>
      </c>
      <c r="K45" t="str">
        <f>IF(J45&lt;&gt;"",SUM($J$2:J45),"")</f>
        <v/>
      </c>
      <c r="L45">
        <f ca="1" t="shared" si="1"/>
        <v>45942</v>
      </c>
    </row>
    <row r="46" spans="9:12">
      <c r="I46">
        <f>IFERROR(VLOOKUP(H46,Rates!$A$2:$B$3,2,0),1)</f>
        <v>1</v>
      </c>
      <c r="J46" t="str">
        <f t="shared" si="0"/>
        <v/>
      </c>
      <c r="K46" t="str">
        <f>IF(J46&lt;&gt;"",SUM($J$2:J46),"")</f>
        <v/>
      </c>
      <c r="L46">
        <f ca="1" t="shared" si="1"/>
        <v>45942</v>
      </c>
    </row>
    <row r="47" spans="9:12">
      <c r="I47">
        <f>IFERROR(VLOOKUP(H47,Rates!$A$2:$B$3,2,0),1)</f>
        <v>1</v>
      </c>
      <c r="J47" t="str">
        <f t="shared" si="0"/>
        <v/>
      </c>
      <c r="K47" t="str">
        <f>IF(J47&lt;&gt;"",SUM($J$2:J47),"")</f>
        <v/>
      </c>
      <c r="L47">
        <f ca="1" t="shared" si="1"/>
        <v>45942</v>
      </c>
    </row>
    <row r="48" spans="9:12">
      <c r="I48">
        <f>IFERROR(VLOOKUP(H48,Rates!$A$2:$B$3,2,0),1)</f>
        <v>1</v>
      </c>
      <c r="J48" t="str">
        <f t="shared" si="0"/>
        <v/>
      </c>
      <c r="K48" t="str">
        <f>IF(J48&lt;&gt;"",SUM($J$2:J48),"")</f>
        <v/>
      </c>
      <c r="L48">
        <f ca="1" t="shared" si="1"/>
        <v>45942</v>
      </c>
    </row>
    <row r="49" spans="9:12">
      <c r="I49">
        <f>IFERROR(VLOOKUP(H49,Rates!$A$2:$B$3,2,0),1)</f>
        <v>1</v>
      </c>
      <c r="J49" t="str">
        <f t="shared" si="0"/>
        <v/>
      </c>
      <c r="K49" t="str">
        <f>IF(J49&lt;&gt;"",SUM($J$2:J49),"")</f>
        <v/>
      </c>
      <c r="L49">
        <f ca="1" t="shared" si="1"/>
        <v>45942</v>
      </c>
    </row>
    <row r="50" spans="9:12">
      <c r="I50">
        <f>IFERROR(VLOOKUP(H50,Rates!$A$2:$B$3,2,0),1)</f>
        <v>1</v>
      </c>
      <c r="J50" t="str">
        <f t="shared" si="0"/>
        <v/>
      </c>
      <c r="K50" t="str">
        <f>IF(J50&lt;&gt;"",SUM($J$2:J50),"")</f>
        <v/>
      </c>
      <c r="L50">
        <f ca="1" t="shared" si="1"/>
        <v>45942</v>
      </c>
    </row>
    <row r="51" spans="9:12">
      <c r="I51">
        <f>IFERROR(VLOOKUP(H51,Rates!$A$2:$B$3,2,0),1)</f>
        <v>1</v>
      </c>
      <c r="J51" t="str">
        <f t="shared" si="0"/>
        <v/>
      </c>
      <c r="K51" t="str">
        <f>IF(J51&lt;&gt;"",SUM($J$2:J51),"")</f>
        <v/>
      </c>
      <c r="L51">
        <f ca="1" t="shared" si="1"/>
        <v>45942</v>
      </c>
    </row>
    <row r="52" spans="9:12">
      <c r="I52">
        <f>IFERROR(VLOOKUP(H52,Rates!$A$2:$B$3,2,0),1)</f>
        <v>1</v>
      </c>
      <c r="J52" t="str">
        <f t="shared" si="0"/>
        <v/>
      </c>
      <c r="K52" t="str">
        <f>IF(J52&lt;&gt;"",SUM($J$2:J52),"")</f>
        <v/>
      </c>
      <c r="L52">
        <f ca="1" t="shared" si="1"/>
        <v>45942</v>
      </c>
    </row>
    <row r="53" spans="9:12">
      <c r="I53">
        <f>IFERROR(VLOOKUP(H53,Rates!$A$2:$B$3,2,0),1)</f>
        <v>1</v>
      </c>
      <c r="J53" t="str">
        <f t="shared" si="0"/>
        <v/>
      </c>
      <c r="K53" t="str">
        <f>IF(J53&lt;&gt;"",SUM($J$2:J53),"")</f>
        <v/>
      </c>
      <c r="L53">
        <f ca="1" t="shared" si="1"/>
        <v>45942</v>
      </c>
    </row>
    <row r="54" spans="9:12">
      <c r="I54">
        <f>IFERROR(VLOOKUP(H54,Rates!$A$2:$B$3,2,0),1)</f>
        <v>1</v>
      </c>
      <c r="J54" t="str">
        <f t="shared" si="0"/>
        <v/>
      </c>
      <c r="K54" t="str">
        <f>IF(J54&lt;&gt;"",SUM($J$2:J54),"")</f>
        <v/>
      </c>
      <c r="L54">
        <f ca="1" t="shared" si="1"/>
        <v>45942</v>
      </c>
    </row>
    <row r="55" spans="9:12">
      <c r="I55">
        <f>IFERROR(VLOOKUP(H55,Rates!$A$2:$B$3,2,0),1)</f>
        <v>1</v>
      </c>
      <c r="J55" t="str">
        <f t="shared" si="0"/>
        <v/>
      </c>
      <c r="K55" t="str">
        <f>IF(J55&lt;&gt;"",SUM($J$2:J55),"")</f>
        <v/>
      </c>
      <c r="L55">
        <f ca="1" t="shared" si="1"/>
        <v>45942</v>
      </c>
    </row>
    <row r="56" spans="9:12">
      <c r="I56">
        <f>IFERROR(VLOOKUP(H56,Rates!$A$2:$B$3,2,0),1)</f>
        <v>1</v>
      </c>
      <c r="J56" t="str">
        <f t="shared" si="0"/>
        <v/>
      </c>
      <c r="K56" t="str">
        <f>IF(J56&lt;&gt;"",SUM($J$2:J56),"")</f>
        <v/>
      </c>
      <c r="L56">
        <f ca="1" t="shared" si="1"/>
        <v>45942</v>
      </c>
    </row>
    <row r="57" spans="9:12">
      <c r="I57">
        <f>IFERROR(VLOOKUP(H57,Rates!$A$2:$B$3,2,0),1)</f>
        <v>1</v>
      </c>
      <c r="J57" t="str">
        <f t="shared" si="0"/>
        <v/>
      </c>
      <c r="K57" t="str">
        <f>IF(J57&lt;&gt;"",SUM($J$2:J57),"")</f>
        <v/>
      </c>
      <c r="L57">
        <f ca="1" t="shared" si="1"/>
        <v>45942</v>
      </c>
    </row>
    <row r="58" spans="9:12">
      <c r="I58">
        <f>IFERROR(VLOOKUP(H58,Rates!$A$2:$B$3,2,0),1)</f>
        <v>1</v>
      </c>
      <c r="J58" t="str">
        <f t="shared" si="0"/>
        <v/>
      </c>
      <c r="K58" t="str">
        <f>IF(J58&lt;&gt;"",SUM($J$2:J58),"")</f>
        <v/>
      </c>
      <c r="L58">
        <f ca="1" t="shared" si="1"/>
        <v>45942</v>
      </c>
    </row>
    <row r="59" spans="9:12">
      <c r="I59">
        <f>IFERROR(VLOOKUP(H59,Rates!$A$2:$B$3,2,0),1)</f>
        <v>1</v>
      </c>
      <c r="J59" t="str">
        <f t="shared" si="0"/>
        <v/>
      </c>
      <c r="K59" t="str">
        <f>IF(J59&lt;&gt;"",SUM($J$2:J59),"")</f>
        <v/>
      </c>
      <c r="L59">
        <f ca="1" t="shared" si="1"/>
        <v>45942</v>
      </c>
    </row>
    <row r="60" spans="9:12">
      <c r="I60">
        <f>IFERROR(VLOOKUP(H60,Rates!$A$2:$B$3,2,0),1)</f>
        <v>1</v>
      </c>
      <c r="J60" t="str">
        <f t="shared" si="0"/>
        <v/>
      </c>
      <c r="K60" t="str">
        <f>IF(J60&lt;&gt;"",SUM($J$2:J60),"")</f>
        <v/>
      </c>
      <c r="L60">
        <f ca="1" t="shared" si="1"/>
        <v>45942</v>
      </c>
    </row>
    <row r="61" spans="9:12">
      <c r="I61">
        <f>IFERROR(VLOOKUP(H61,Rates!$A$2:$B$3,2,0),1)</f>
        <v>1</v>
      </c>
      <c r="J61" t="str">
        <f t="shared" si="0"/>
        <v/>
      </c>
      <c r="K61" t="str">
        <f>IF(J61&lt;&gt;"",SUM($J$2:J61),"")</f>
        <v/>
      </c>
      <c r="L61">
        <f ca="1" t="shared" si="1"/>
        <v>45942</v>
      </c>
    </row>
    <row r="62" spans="9:12">
      <c r="I62">
        <f>IFERROR(VLOOKUP(H62,Rates!$A$2:$B$3,2,0),1)</f>
        <v>1</v>
      </c>
      <c r="J62" t="str">
        <f t="shared" si="0"/>
        <v/>
      </c>
      <c r="K62" t="str">
        <f>IF(J62&lt;&gt;"",SUM($J$2:J62),"")</f>
        <v/>
      </c>
      <c r="L62">
        <f ca="1" t="shared" si="1"/>
        <v>45942</v>
      </c>
    </row>
    <row r="63" spans="9:12">
      <c r="I63">
        <f>IFERROR(VLOOKUP(H63,Rates!$A$2:$B$3,2,0),1)</f>
        <v>1</v>
      </c>
      <c r="J63" t="str">
        <f t="shared" si="0"/>
        <v/>
      </c>
      <c r="K63" t="str">
        <f>IF(J63&lt;&gt;"",SUM($J$2:J63),"")</f>
        <v/>
      </c>
      <c r="L63">
        <f ca="1" t="shared" si="1"/>
        <v>45942</v>
      </c>
    </row>
    <row r="64" spans="9:12">
      <c r="I64">
        <f>IFERROR(VLOOKUP(H64,Rates!$A$2:$B$3,2,0),1)</f>
        <v>1</v>
      </c>
      <c r="J64" t="str">
        <f t="shared" si="0"/>
        <v/>
      </c>
      <c r="K64" t="str">
        <f>IF(J64&lt;&gt;"",SUM($J$2:J64),"")</f>
        <v/>
      </c>
      <c r="L64">
        <f ca="1" t="shared" si="1"/>
        <v>45942</v>
      </c>
    </row>
    <row r="65" spans="9:12">
      <c r="I65">
        <f>IFERROR(VLOOKUP(H65,Rates!$A$2:$B$3,2,0),1)</f>
        <v>1</v>
      </c>
      <c r="J65" t="str">
        <f t="shared" si="0"/>
        <v/>
      </c>
      <c r="K65" t="str">
        <f>IF(J65&lt;&gt;"",SUM($J$2:J65),"")</f>
        <v/>
      </c>
      <c r="L65">
        <f ca="1" t="shared" si="1"/>
        <v>45942</v>
      </c>
    </row>
    <row r="66" spans="9:12">
      <c r="I66">
        <f>IFERROR(VLOOKUP(H66,Rates!$A$2:$B$3,2,0),1)</f>
        <v>1</v>
      </c>
      <c r="J66" t="str">
        <f t="shared" ref="J66:J129" si="2">IF(G66&lt;&gt;"",G66*I66,"")</f>
        <v/>
      </c>
      <c r="K66" t="str">
        <f>IF(J66&lt;&gt;"",SUM($J$2:J66),"")</f>
        <v/>
      </c>
      <c r="L66">
        <f ca="1" t="shared" ref="L66:L129" si="3">IF(COUNTA(A66:K66)&gt;0,TODAY(),"")</f>
        <v>45942</v>
      </c>
    </row>
    <row r="67" spans="9:12">
      <c r="I67">
        <f>IFERROR(VLOOKUP(H67,Rates!$A$2:$B$3,2,0),1)</f>
        <v>1</v>
      </c>
      <c r="J67" t="str">
        <f t="shared" si="2"/>
        <v/>
      </c>
      <c r="K67" t="str">
        <f>IF(J67&lt;&gt;"",SUM($J$2:J67),"")</f>
        <v/>
      </c>
      <c r="L67">
        <f ca="1" t="shared" si="3"/>
        <v>45942</v>
      </c>
    </row>
    <row r="68" spans="9:12">
      <c r="I68">
        <f>IFERROR(VLOOKUP(H68,Rates!$A$2:$B$3,2,0),1)</f>
        <v>1</v>
      </c>
      <c r="J68" t="str">
        <f t="shared" si="2"/>
        <v/>
      </c>
      <c r="K68" t="str">
        <f>IF(J68&lt;&gt;"",SUM($J$2:J68),"")</f>
        <v/>
      </c>
      <c r="L68">
        <f ca="1" t="shared" si="3"/>
        <v>45942</v>
      </c>
    </row>
    <row r="69" spans="9:12">
      <c r="I69">
        <f>IFERROR(VLOOKUP(H69,Rates!$A$2:$B$3,2,0),1)</f>
        <v>1</v>
      </c>
      <c r="J69" t="str">
        <f t="shared" si="2"/>
        <v/>
      </c>
      <c r="K69" t="str">
        <f>IF(J69&lt;&gt;"",SUM($J$2:J69),"")</f>
        <v/>
      </c>
      <c r="L69">
        <f ca="1" t="shared" si="3"/>
        <v>45942</v>
      </c>
    </row>
    <row r="70" spans="9:12">
      <c r="I70">
        <f>IFERROR(VLOOKUP(H70,Rates!$A$2:$B$3,2,0),1)</f>
        <v>1</v>
      </c>
      <c r="J70" t="str">
        <f t="shared" si="2"/>
        <v/>
      </c>
      <c r="K70" t="str">
        <f>IF(J70&lt;&gt;"",SUM($J$2:J70),"")</f>
        <v/>
      </c>
      <c r="L70">
        <f ca="1" t="shared" si="3"/>
        <v>45942</v>
      </c>
    </row>
    <row r="71" spans="9:12">
      <c r="I71">
        <f>IFERROR(VLOOKUP(H71,Rates!$A$2:$B$3,2,0),1)</f>
        <v>1</v>
      </c>
      <c r="J71" t="str">
        <f t="shared" si="2"/>
        <v/>
      </c>
      <c r="K71" t="str">
        <f>IF(J71&lt;&gt;"",SUM($J$2:J71),"")</f>
        <v/>
      </c>
      <c r="L71">
        <f ca="1" t="shared" si="3"/>
        <v>45942</v>
      </c>
    </row>
    <row r="72" spans="9:12">
      <c r="I72">
        <f>IFERROR(VLOOKUP(H72,Rates!$A$2:$B$3,2,0),1)</f>
        <v>1</v>
      </c>
      <c r="J72" t="str">
        <f t="shared" si="2"/>
        <v/>
      </c>
      <c r="K72" t="str">
        <f>IF(J72&lt;&gt;"",SUM($J$2:J72),"")</f>
        <v/>
      </c>
      <c r="L72">
        <f ca="1" t="shared" si="3"/>
        <v>45942</v>
      </c>
    </row>
    <row r="73" spans="9:12">
      <c r="I73">
        <f>IFERROR(VLOOKUP(H73,Rates!$A$2:$B$3,2,0),1)</f>
        <v>1</v>
      </c>
      <c r="J73" t="str">
        <f t="shared" si="2"/>
        <v/>
      </c>
      <c r="K73" t="str">
        <f>IF(J73&lt;&gt;"",SUM($J$2:J73),"")</f>
        <v/>
      </c>
      <c r="L73">
        <f ca="1" t="shared" si="3"/>
        <v>45942</v>
      </c>
    </row>
    <row r="74" spans="9:12">
      <c r="I74">
        <f>IFERROR(VLOOKUP(H74,Rates!$A$2:$B$3,2,0),1)</f>
        <v>1</v>
      </c>
      <c r="J74" t="str">
        <f t="shared" si="2"/>
        <v/>
      </c>
      <c r="K74" t="str">
        <f>IF(J74&lt;&gt;"",SUM($J$2:J74),"")</f>
        <v/>
      </c>
      <c r="L74">
        <f ca="1" t="shared" si="3"/>
        <v>45942</v>
      </c>
    </row>
    <row r="75" spans="9:12">
      <c r="I75">
        <f>IFERROR(VLOOKUP(H75,Rates!$A$2:$B$3,2,0),1)</f>
        <v>1</v>
      </c>
      <c r="J75" t="str">
        <f t="shared" si="2"/>
        <v/>
      </c>
      <c r="K75" t="str">
        <f>IF(J75&lt;&gt;"",SUM($J$2:J75),"")</f>
        <v/>
      </c>
      <c r="L75">
        <f ca="1" t="shared" si="3"/>
        <v>45942</v>
      </c>
    </row>
    <row r="76" spans="9:12">
      <c r="I76">
        <f>IFERROR(VLOOKUP(H76,Rates!$A$2:$B$3,2,0),1)</f>
        <v>1</v>
      </c>
      <c r="J76" t="str">
        <f t="shared" si="2"/>
        <v/>
      </c>
      <c r="K76" t="str">
        <f>IF(J76&lt;&gt;"",SUM($J$2:J76),"")</f>
        <v/>
      </c>
      <c r="L76">
        <f ca="1" t="shared" si="3"/>
        <v>45942</v>
      </c>
    </row>
    <row r="77" spans="9:12">
      <c r="I77">
        <f>IFERROR(VLOOKUP(H77,Rates!$A$2:$B$3,2,0),1)</f>
        <v>1</v>
      </c>
      <c r="J77" t="str">
        <f t="shared" si="2"/>
        <v/>
      </c>
      <c r="K77" t="str">
        <f>IF(J77&lt;&gt;"",SUM($J$2:J77),"")</f>
        <v/>
      </c>
      <c r="L77">
        <f ca="1" t="shared" si="3"/>
        <v>45942</v>
      </c>
    </row>
    <row r="78" spans="9:12">
      <c r="I78">
        <f>IFERROR(VLOOKUP(H78,Rates!$A$2:$B$3,2,0),1)</f>
        <v>1</v>
      </c>
      <c r="J78" t="str">
        <f t="shared" si="2"/>
        <v/>
      </c>
      <c r="K78" t="str">
        <f>IF(J78&lt;&gt;"",SUM($J$2:J78),"")</f>
        <v/>
      </c>
      <c r="L78">
        <f ca="1" t="shared" si="3"/>
        <v>45942</v>
      </c>
    </row>
    <row r="79" spans="9:12">
      <c r="I79">
        <f>IFERROR(VLOOKUP(H79,Rates!$A$2:$B$3,2,0),1)</f>
        <v>1</v>
      </c>
      <c r="J79" t="str">
        <f t="shared" si="2"/>
        <v/>
      </c>
      <c r="K79" t="str">
        <f>IF(J79&lt;&gt;"",SUM($J$2:J79),"")</f>
        <v/>
      </c>
      <c r="L79">
        <f ca="1" t="shared" si="3"/>
        <v>45942</v>
      </c>
    </row>
    <row r="80" spans="9:12">
      <c r="I80">
        <f>IFERROR(VLOOKUP(H80,Rates!$A$2:$B$3,2,0),1)</f>
        <v>1</v>
      </c>
      <c r="J80" t="str">
        <f t="shared" si="2"/>
        <v/>
      </c>
      <c r="K80" t="str">
        <f>IF(J80&lt;&gt;"",SUM($J$2:J80),"")</f>
        <v/>
      </c>
      <c r="L80">
        <f ca="1" t="shared" si="3"/>
        <v>45942</v>
      </c>
    </row>
    <row r="81" spans="9:12">
      <c r="I81">
        <f>IFERROR(VLOOKUP(H81,Rates!$A$2:$B$3,2,0),1)</f>
        <v>1</v>
      </c>
      <c r="J81" t="str">
        <f t="shared" si="2"/>
        <v/>
      </c>
      <c r="K81" t="str">
        <f>IF(J81&lt;&gt;"",SUM($J$2:J81),"")</f>
        <v/>
      </c>
      <c r="L81">
        <f ca="1" t="shared" si="3"/>
        <v>45942</v>
      </c>
    </row>
    <row r="82" spans="9:12">
      <c r="I82">
        <f>IFERROR(VLOOKUP(H82,Rates!$A$2:$B$3,2,0),1)</f>
        <v>1</v>
      </c>
      <c r="J82" t="str">
        <f t="shared" si="2"/>
        <v/>
      </c>
      <c r="K82" t="str">
        <f>IF(J82&lt;&gt;"",SUM($J$2:J82),"")</f>
        <v/>
      </c>
      <c r="L82">
        <f ca="1" t="shared" si="3"/>
        <v>45942</v>
      </c>
    </row>
    <row r="83" spans="9:12">
      <c r="I83">
        <f>IFERROR(VLOOKUP(H83,Rates!$A$2:$B$3,2,0),1)</f>
        <v>1</v>
      </c>
      <c r="J83" t="str">
        <f t="shared" si="2"/>
        <v/>
      </c>
      <c r="K83" t="str">
        <f>IF(J83&lt;&gt;"",SUM($J$2:J83),"")</f>
        <v/>
      </c>
      <c r="L83">
        <f ca="1" t="shared" si="3"/>
        <v>45942</v>
      </c>
    </row>
    <row r="84" spans="9:12">
      <c r="I84">
        <f>IFERROR(VLOOKUP(H84,Rates!$A$2:$B$3,2,0),1)</f>
        <v>1</v>
      </c>
      <c r="J84" t="str">
        <f t="shared" si="2"/>
        <v/>
      </c>
      <c r="K84" t="str">
        <f>IF(J84&lt;&gt;"",SUM($J$2:J84),"")</f>
        <v/>
      </c>
      <c r="L84">
        <f ca="1" t="shared" si="3"/>
        <v>45942</v>
      </c>
    </row>
    <row r="85" spans="9:12">
      <c r="I85">
        <f>IFERROR(VLOOKUP(H85,Rates!$A$2:$B$3,2,0),1)</f>
        <v>1</v>
      </c>
      <c r="J85" t="str">
        <f t="shared" si="2"/>
        <v/>
      </c>
      <c r="K85" t="str">
        <f>IF(J85&lt;&gt;"",SUM($J$2:J85),"")</f>
        <v/>
      </c>
      <c r="L85">
        <f ca="1" t="shared" si="3"/>
        <v>45942</v>
      </c>
    </row>
    <row r="86" spans="9:12">
      <c r="I86">
        <f>IFERROR(VLOOKUP(H86,Rates!$A$2:$B$3,2,0),1)</f>
        <v>1</v>
      </c>
      <c r="J86" t="str">
        <f t="shared" si="2"/>
        <v/>
      </c>
      <c r="K86" t="str">
        <f>IF(J86&lt;&gt;"",SUM($J$2:J86),"")</f>
        <v/>
      </c>
      <c r="L86">
        <f ca="1" t="shared" si="3"/>
        <v>45942</v>
      </c>
    </row>
    <row r="87" spans="9:12">
      <c r="I87">
        <f>IFERROR(VLOOKUP(H87,Rates!$A$2:$B$3,2,0),1)</f>
        <v>1</v>
      </c>
      <c r="J87" t="str">
        <f t="shared" si="2"/>
        <v/>
      </c>
      <c r="K87" t="str">
        <f>IF(J87&lt;&gt;"",SUM($J$2:J87),"")</f>
        <v/>
      </c>
      <c r="L87">
        <f ca="1" t="shared" si="3"/>
        <v>45942</v>
      </c>
    </row>
    <row r="88" spans="9:12">
      <c r="I88">
        <f>IFERROR(VLOOKUP(H88,Rates!$A$2:$B$3,2,0),1)</f>
        <v>1</v>
      </c>
      <c r="J88" t="str">
        <f t="shared" si="2"/>
        <v/>
      </c>
      <c r="K88" t="str">
        <f>IF(J88&lt;&gt;"",SUM($J$2:J88),"")</f>
        <v/>
      </c>
      <c r="L88">
        <f ca="1" t="shared" si="3"/>
        <v>45942</v>
      </c>
    </row>
    <row r="89" spans="9:12">
      <c r="I89">
        <f>IFERROR(VLOOKUP(H89,Rates!$A$2:$B$3,2,0),1)</f>
        <v>1</v>
      </c>
      <c r="J89" t="str">
        <f t="shared" si="2"/>
        <v/>
      </c>
      <c r="K89" t="str">
        <f>IF(J89&lt;&gt;"",SUM($J$2:J89),"")</f>
        <v/>
      </c>
      <c r="L89">
        <f ca="1" t="shared" si="3"/>
        <v>45942</v>
      </c>
    </row>
    <row r="90" spans="9:12">
      <c r="I90">
        <f>IFERROR(VLOOKUP(H90,Rates!$A$2:$B$3,2,0),1)</f>
        <v>1</v>
      </c>
      <c r="J90" t="str">
        <f t="shared" si="2"/>
        <v/>
      </c>
      <c r="K90" t="str">
        <f>IF(J90&lt;&gt;"",SUM($J$2:J90),"")</f>
        <v/>
      </c>
      <c r="L90">
        <f ca="1" t="shared" si="3"/>
        <v>45942</v>
      </c>
    </row>
    <row r="91" spans="9:12">
      <c r="I91">
        <f>IFERROR(VLOOKUP(H91,Rates!$A$2:$B$3,2,0),1)</f>
        <v>1</v>
      </c>
      <c r="J91" t="str">
        <f t="shared" si="2"/>
        <v/>
      </c>
      <c r="K91" t="str">
        <f>IF(J91&lt;&gt;"",SUM($J$2:J91),"")</f>
        <v/>
      </c>
      <c r="L91">
        <f ca="1" t="shared" si="3"/>
        <v>45942</v>
      </c>
    </row>
    <row r="92" spans="9:12">
      <c r="I92">
        <f>IFERROR(VLOOKUP(H92,Rates!$A$2:$B$3,2,0),1)</f>
        <v>1</v>
      </c>
      <c r="J92" t="str">
        <f t="shared" si="2"/>
        <v/>
      </c>
      <c r="K92" t="str">
        <f>IF(J92&lt;&gt;"",SUM($J$2:J92),"")</f>
        <v/>
      </c>
      <c r="L92">
        <f ca="1" t="shared" si="3"/>
        <v>45942</v>
      </c>
    </row>
    <row r="93" spans="9:12">
      <c r="I93">
        <f>IFERROR(VLOOKUP(H93,Rates!$A$2:$B$3,2,0),1)</f>
        <v>1</v>
      </c>
      <c r="J93" t="str">
        <f t="shared" si="2"/>
        <v/>
      </c>
      <c r="K93" t="str">
        <f>IF(J93&lt;&gt;"",SUM($J$2:J93),"")</f>
        <v/>
      </c>
      <c r="L93">
        <f ca="1" t="shared" si="3"/>
        <v>45942</v>
      </c>
    </row>
    <row r="94" spans="9:12">
      <c r="I94">
        <f>IFERROR(VLOOKUP(H94,Rates!$A$2:$B$3,2,0),1)</f>
        <v>1</v>
      </c>
      <c r="J94" t="str">
        <f t="shared" si="2"/>
        <v/>
      </c>
      <c r="K94" t="str">
        <f>IF(J94&lt;&gt;"",SUM($J$2:J94),"")</f>
        <v/>
      </c>
      <c r="L94">
        <f ca="1" t="shared" si="3"/>
        <v>45942</v>
      </c>
    </row>
    <row r="95" spans="9:12">
      <c r="I95">
        <f>IFERROR(VLOOKUP(H95,Rates!$A$2:$B$3,2,0),1)</f>
        <v>1</v>
      </c>
      <c r="J95" t="str">
        <f t="shared" si="2"/>
        <v/>
      </c>
      <c r="K95" t="str">
        <f>IF(J95&lt;&gt;"",SUM($J$2:J95),"")</f>
        <v/>
      </c>
      <c r="L95">
        <f ca="1" t="shared" si="3"/>
        <v>45942</v>
      </c>
    </row>
    <row r="96" spans="9:12">
      <c r="I96">
        <f>IFERROR(VLOOKUP(H96,Rates!$A$2:$B$3,2,0),1)</f>
        <v>1</v>
      </c>
      <c r="J96" t="str">
        <f t="shared" si="2"/>
        <v/>
      </c>
      <c r="K96" t="str">
        <f>IF(J96&lt;&gt;"",SUM($J$2:J96),"")</f>
        <v/>
      </c>
      <c r="L96">
        <f ca="1" t="shared" si="3"/>
        <v>45942</v>
      </c>
    </row>
    <row r="97" spans="9:12">
      <c r="I97">
        <f>IFERROR(VLOOKUP(H97,Rates!$A$2:$B$3,2,0),1)</f>
        <v>1</v>
      </c>
      <c r="J97" t="str">
        <f t="shared" si="2"/>
        <v/>
      </c>
      <c r="K97" t="str">
        <f>IF(J97&lt;&gt;"",SUM($J$2:J97),"")</f>
        <v/>
      </c>
      <c r="L97">
        <f ca="1" t="shared" si="3"/>
        <v>45942</v>
      </c>
    </row>
    <row r="98" spans="9:12">
      <c r="I98">
        <f>IFERROR(VLOOKUP(H98,Rates!$A$2:$B$3,2,0),1)</f>
        <v>1</v>
      </c>
      <c r="J98" t="str">
        <f t="shared" si="2"/>
        <v/>
      </c>
      <c r="K98" t="str">
        <f>IF(J98&lt;&gt;"",SUM($J$2:J98),"")</f>
        <v/>
      </c>
      <c r="L98">
        <f ca="1" t="shared" si="3"/>
        <v>45942</v>
      </c>
    </row>
    <row r="99" spans="9:12">
      <c r="I99">
        <f>IFERROR(VLOOKUP(H99,Rates!$A$2:$B$3,2,0),1)</f>
        <v>1</v>
      </c>
      <c r="J99" t="str">
        <f t="shared" si="2"/>
        <v/>
      </c>
      <c r="K99" t="str">
        <f>IF(J99&lt;&gt;"",SUM($J$2:J99),"")</f>
        <v/>
      </c>
      <c r="L99">
        <f ca="1" t="shared" si="3"/>
        <v>45942</v>
      </c>
    </row>
    <row r="100" spans="9:12">
      <c r="I100">
        <f>IFERROR(VLOOKUP(H100,Rates!$A$2:$B$3,2,0),1)</f>
        <v>1</v>
      </c>
      <c r="J100" t="str">
        <f t="shared" si="2"/>
        <v/>
      </c>
      <c r="K100" t="str">
        <f>IF(J100&lt;&gt;"",SUM($J$2:J100),"")</f>
        <v/>
      </c>
      <c r="L100">
        <f ca="1" t="shared" si="3"/>
        <v>45942</v>
      </c>
    </row>
    <row r="101" spans="9:12">
      <c r="I101">
        <f>IFERROR(VLOOKUP(H101,Rates!$A$2:$B$3,2,0),1)</f>
        <v>1</v>
      </c>
      <c r="J101" t="str">
        <f t="shared" si="2"/>
        <v/>
      </c>
      <c r="K101" t="str">
        <f>IF(J101&lt;&gt;"",SUM($J$2:J101),"")</f>
        <v/>
      </c>
      <c r="L101">
        <f ca="1" t="shared" si="3"/>
        <v>45942</v>
      </c>
    </row>
    <row r="102" spans="9:12">
      <c r="I102">
        <f>IFERROR(VLOOKUP(H102,Rates!$A$2:$B$3,2,0),1)</f>
        <v>1</v>
      </c>
      <c r="J102" t="str">
        <f t="shared" si="2"/>
        <v/>
      </c>
      <c r="K102" t="str">
        <f>IF(J102&lt;&gt;"",SUM($J$2:J102),"")</f>
        <v/>
      </c>
      <c r="L102">
        <f ca="1" t="shared" si="3"/>
        <v>45942</v>
      </c>
    </row>
    <row r="103" spans="9:12">
      <c r="I103">
        <f>IFERROR(VLOOKUP(H103,Rates!$A$2:$B$3,2,0),1)</f>
        <v>1</v>
      </c>
      <c r="J103" t="str">
        <f t="shared" si="2"/>
        <v/>
      </c>
      <c r="K103" t="str">
        <f>IF(J103&lt;&gt;"",SUM($J$2:J103),"")</f>
        <v/>
      </c>
      <c r="L103">
        <f ca="1" t="shared" si="3"/>
        <v>45942</v>
      </c>
    </row>
    <row r="104" spans="9:12">
      <c r="I104">
        <f>IFERROR(VLOOKUP(H104,Rates!$A$2:$B$3,2,0),1)</f>
        <v>1</v>
      </c>
      <c r="J104" t="str">
        <f t="shared" si="2"/>
        <v/>
      </c>
      <c r="K104" t="str">
        <f>IF(J104&lt;&gt;"",SUM($J$2:J104),"")</f>
        <v/>
      </c>
      <c r="L104">
        <f ca="1" t="shared" si="3"/>
        <v>45942</v>
      </c>
    </row>
    <row r="105" spans="9:12">
      <c r="I105">
        <f>IFERROR(VLOOKUP(H105,Rates!$A$2:$B$3,2,0),1)</f>
        <v>1</v>
      </c>
      <c r="J105" t="str">
        <f t="shared" si="2"/>
        <v/>
      </c>
      <c r="K105" t="str">
        <f>IF(J105&lt;&gt;"",SUM($J$2:J105),"")</f>
        <v/>
      </c>
      <c r="L105">
        <f ca="1" t="shared" si="3"/>
        <v>45942</v>
      </c>
    </row>
    <row r="106" spans="9:12">
      <c r="I106">
        <f>IFERROR(VLOOKUP(H106,Rates!$A$2:$B$3,2,0),1)</f>
        <v>1</v>
      </c>
      <c r="J106" t="str">
        <f t="shared" si="2"/>
        <v/>
      </c>
      <c r="K106" t="str">
        <f>IF(J106&lt;&gt;"",SUM($J$2:J106),"")</f>
        <v/>
      </c>
      <c r="L106">
        <f ca="1" t="shared" si="3"/>
        <v>45942</v>
      </c>
    </row>
    <row r="107" spans="9:12">
      <c r="I107">
        <f>IFERROR(VLOOKUP(H107,Rates!$A$2:$B$3,2,0),1)</f>
        <v>1</v>
      </c>
      <c r="J107" t="str">
        <f t="shared" si="2"/>
        <v/>
      </c>
      <c r="K107" t="str">
        <f>IF(J107&lt;&gt;"",SUM($J$2:J107),"")</f>
        <v/>
      </c>
      <c r="L107">
        <f ca="1" t="shared" si="3"/>
        <v>45942</v>
      </c>
    </row>
    <row r="108" spans="9:12">
      <c r="I108">
        <f>IFERROR(VLOOKUP(H108,Rates!$A$2:$B$3,2,0),1)</f>
        <v>1</v>
      </c>
      <c r="J108" t="str">
        <f t="shared" si="2"/>
        <v/>
      </c>
      <c r="K108" t="str">
        <f>IF(J108&lt;&gt;"",SUM($J$2:J108),"")</f>
        <v/>
      </c>
      <c r="L108">
        <f ca="1" t="shared" si="3"/>
        <v>45942</v>
      </c>
    </row>
    <row r="109" spans="9:12">
      <c r="I109">
        <f>IFERROR(VLOOKUP(H109,Rates!$A$2:$B$3,2,0),1)</f>
        <v>1</v>
      </c>
      <c r="J109" t="str">
        <f t="shared" si="2"/>
        <v/>
      </c>
      <c r="K109" t="str">
        <f>IF(J109&lt;&gt;"",SUM($J$2:J109),"")</f>
        <v/>
      </c>
      <c r="L109">
        <f ca="1" t="shared" si="3"/>
        <v>45942</v>
      </c>
    </row>
    <row r="110" spans="9:12">
      <c r="I110">
        <f>IFERROR(VLOOKUP(H110,Rates!$A$2:$B$3,2,0),1)</f>
        <v>1</v>
      </c>
      <c r="J110" t="str">
        <f t="shared" si="2"/>
        <v/>
      </c>
      <c r="K110" t="str">
        <f>IF(J110&lt;&gt;"",SUM($J$2:J110),"")</f>
        <v/>
      </c>
      <c r="L110">
        <f ca="1" t="shared" si="3"/>
        <v>45942</v>
      </c>
    </row>
    <row r="111" spans="9:12">
      <c r="I111">
        <f>IFERROR(VLOOKUP(H111,Rates!$A$2:$B$3,2,0),1)</f>
        <v>1</v>
      </c>
      <c r="J111" t="str">
        <f t="shared" si="2"/>
        <v/>
      </c>
      <c r="K111" t="str">
        <f>IF(J111&lt;&gt;"",SUM($J$2:J111),"")</f>
        <v/>
      </c>
      <c r="L111">
        <f ca="1" t="shared" si="3"/>
        <v>45942</v>
      </c>
    </row>
    <row r="112" spans="9:12">
      <c r="I112">
        <f>IFERROR(VLOOKUP(H112,Rates!$A$2:$B$3,2,0),1)</f>
        <v>1</v>
      </c>
      <c r="J112" t="str">
        <f t="shared" si="2"/>
        <v/>
      </c>
      <c r="K112" t="str">
        <f>IF(J112&lt;&gt;"",SUM($J$2:J112),"")</f>
        <v/>
      </c>
      <c r="L112">
        <f ca="1" t="shared" si="3"/>
        <v>45942</v>
      </c>
    </row>
    <row r="113" spans="9:12">
      <c r="I113">
        <f>IFERROR(VLOOKUP(H113,Rates!$A$2:$B$3,2,0),1)</f>
        <v>1</v>
      </c>
      <c r="J113" t="str">
        <f t="shared" si="2"/>
        <v/>
      </c>
      <c r="K113" t="str">
        <f>IF(J113&lt;&gt;"",SUM($J$2:J113),"")</f>
        <v/>
      </c>
      <c r="L113">
        <f ca="1" t="shared" si="3"/>
        <v>45942</v>
      </c>
    </row>
    <row r="114" spans="9:12">
      <c r="I114">
        <f>IFERROR(VLOOKUP(H114,Rates!$A$2:$B$3,2,0),1)</f>
        <v>1</v>
      </c>
      <c r="J114" t="str">
        <f t="shared" si="2"/>
        <v/>
      </c>
      <c r="K114" t="str">
        <f>IF(J114&lt;&gt;"",SUM($J$2:J114),"")</f>
        <v/>
      </c>
      <c r="L114">
        <f ca="1" t="shared" si="3"/>
        <v>45942</v>
      </c>
    </row>
    <row r="115" spans="9:12">
      <c r="I115">
        <f>IFERROR(VLOOKUP(H115,Rates!$A$2:$B$3,2,0),1)</f>
        <v>1</v>
      </c>
      <c r="J115" t="str">
        <f t="shared" si="2"/>
        <v/>
      </c>
      <c r="K115" t="str">
        <f>IF(J115&lt;&gt;"",SUM($J$2:J115),"")</f>
        <v/>
      </c>
      <c r="L115">
        <f ca="1" t="shared" si="3"/>
        <v>45942</v>
      </c>
    </row>
    <row r="116" spans="9:12">
      <c r="I116">
        <f>IFERROR(VLOOKUP(H116,Rates!$A$2:$B$3,2,0),1)</f>
        <v>1</v>
      </c>
      <c r="J116" t="str">
        <f t="shared" si="2"/>
        <v/>
      </c>
      <c r="K116" t="str">
        <f>IF(J116&lt;&gt;"",SUM($J$2:J116),"")</f>
        <v/>
      </c>
      <c r="L116">
        <f ca="1" t="shared" si="3"/>
        <v>45942</v>
      </c>
    </row>
    <row r="117" spans="9:12">
      <c r="I117">
        <f>IFERROR(VLOOKUP(H117,Rates!$A$2:$B$3,2,0),1)</f>
        <v>1</v>
      </c>
      <c r="J117" t="str">
        <f t="shared" si="2"/>
        <v/>
      </c>
      <c r="K117" t="str">
        <f>IF(J117&lt;&gt;"",SUM($J$2:J117),"")</f>
        <v/>
      </c>
      <c r="L117">
        <f ca="1" t="shared" si="3"/>
        <v>45942</v>
      </c>
    </row>
    <row r="118" spans="9:12">
      <c r="I118">
        <f>IFERROR(VLOOKUP(H118,Rates!$A$2:$B$3,2,0),1)</f>
        <v>1</v>
      </c>
      <c r="J118" t="str">
        <f t="shared" si="2"/>
        <v/>
      </c>
      <c r="K118" t="str">
        <f>IF(J118&lt;&gt;"",SUM($J$2:J118),"")</f>
        <v/>
      </c>
      <c r="L118">
        <f ca="1" t="shared" si="3"/>
        <v>45942</v>
      </c>
    </row>
    <row r="119" spans="9:12">
      <c r="I119">
        <f>IFERROR(VLOOKUP(H119,Rates!$A$2:$B$3,2,0),1)</f>
        <v>1</v>
      </c>
      <c r="J119" t="str">
        <f t="shared" si="2"/>
        <v/>
      </c>
      <c r="K119" t="str">
        <f>IF(J119&lt;&gt;"",SUM($J$2:J119),"")</f>
        <v/>
      </c>
      <c r="L119">
        <f ca="1" t="shared" si="3"/>
        <v>45942</v>
      </c>
    </row>
    <row r="120" spans="9:12">
      <c r="I120">
        <f>IFERROR(VLOOKUP(H120,Rates!$A$2:$B$3,2,0),1)</f>
        <v>1</v>
      </c>
      <c r="J120" t="str">
        <f t="shared" si="2"/>
        <v/>
      </c>
      <c r="K120" t="str">
        <f>IF(J120&lt;&gt;"",SUM($J$2:J120),"")</f>
        <v/>
      </c>
      <c r="L120">
        <f ca="1" t="shared" si="3"/>
        <v>45942</v>
      </c>
    </row>
    <row r="121" spans="9:12">
      <c r="I121">
        <f>IFERROR(VLOOKUP(H121,Rates!$A$2:$B$3,2,0),1)</f>
        <v>1</v>
      </c>
      <c r="J121" t="str">
        <f t="shared" si="2"/>
        <v/>
      </c>
      <c r="K121" t="str">
        <f>IF(J121&lt;&gt;"",SUM($J$2:J121),"")</f>
        <v/>
      </c>
      <c r="L121">
        <f ca="1" t="shared" si="3"/>
        <v>45942</v>
      </c>
    </row>
    <row r="122" spans="9:12">
      <c r="I122">
        <f>IFERROR(VLOOKUP(H122,Rates!$A$2:$B$3,2,0),1)</f>
        <v>1</v>
      </c>
      <c r="J122" t="str">
        <f t="shared" si="2"/>
        <v/>
      </c>
      <c r="K122" t="str">
        <f>IF(J122&lt;&gt;"",SUM($J$2:J122),"")</f>
        <v/>
      </c>
      <c r="L122">
        <f ca="1" t="shared" si="3"/>
        <v>45942</v>
      </c>
    </row>
    <row r="123" spans="9:12">
      <c r="I123">
        <f>IFERROR(VLOOKUP(H123,Rates!$A$2:$B$3,2,0),1)</f>
        <v>1</v>
      </c>
      <c r="J123" t="str">
        <f t="shared" si="2"/>
        <v/>
      </c>
      <c r="K123" t="str">
        <f>IF(J123&lt;&gt;"",SUM($J$2:J123),"")</f>
        <v/>
      </c>
      <c r="L123">
        <f ca="1" t="shared" si="3"/>
        <v>45942</v>
      </c>
    </row>
    <row r="124" spans="9:12">
      <c r="I124">
        <f>IFERROR(VLOOKUP(H124,Rates!$A$2:$B$3,2,0),1)</f>
        <v>1</v>
      </c>
      <c r="J124" t="str">
        <f t="shared" si="2"/>
        <v/>
      </c>
      <c r="K124" t="str">
        <f>IF(J124&lt;&gt;"",SUM($J$2:J124),"")</f>
        <v/>
      </c>
      <c r="L124">
        <f ca="1" t="shared" si="3"/>
        <v>45942</v>
      </c>
    </row>
    <row r="125" spans="9:12">
      <c r="I125">
        <f>IFERROR(VLOOKUP(H125,Rates!$A$2:$B$3,2,0),1)</f>
        <v>1</v>
      </c>
      <c r="J125" t="str">
        <f t="shared" si="2"/>
        <v/>
      </c>
      <c r="K125" t="str">
        <f>IF(J125&lt;&gt;"",SUM($J$2:J125),"")</f>
        <v/>
      </c>
      <c r="L125">
        <f ca="1" t="shared" si="3"/>
        <v>45942</v>
      </c>
    </row>
    <row r="126" spans="9:12">
      <c r="I126">
        <f>IFERROR(VLOOKUP(H126,Rates!$A$2:$B$3,2,0),1)</f>
        <v>1</v>
      </c>
      <c r="J126" t="str">
        <f t="shared" si="2"/>
        <v/>
      </c>
      <c r="K126" t="str">
        <f>IF(J126&lt;&gt;"",SUM($J$2:J126),"")</f>
        <v/>
      </c>
      <c r="L126">
        <f ca="1" t="shared" si="3"/>
        <v>45942</v>
      </c>
    </row>
    <row r="127" spans="9:12">
      <c r="I127">
        <f>IFERROR(VLOOKUP(H127,Rates!$A$2:$B$3,2,0),1)</f>
        <v>1</v>
      </c>
      <c r="J127" t="str">
        <f t="shared" si="2"/>
        <v/>
      </c>
      <c r="K127" t="str">
        <f>IF(J127&lt;&gt;"",SUM($J$2:J127),"")</f>
        <v/>
      </c>
      <c r="L127">
        <f ca="1" t="shared" si="3"/>
        <v>45942</v>
      </c>
    </row>
    <row r="128" spans="9:12">
      <c r="I128">
        <f>IFERROR(VLOOKUP(H128,Rates!$A$2:$B$3,2,0),1)</f>
        <v>1</v>
      </c>
      <c r="J128" t="str">
        <f t="shared" si="2"/>
        <v/>
      </c>
      <c r="K128" t="str">
        <f>IF(J128&lt;&gt;"",SUM($J$2:J128),"")</f>
        <v/>
      </c>
      <c r="L128">
        <f ca="1" t="shared" si="3"/>
        <v>45942</v>
      </c>
    </row>
    <row r="129" spans="9:12">
      <c r="I129">
        <f>IFERROR(VLOOKUP(H129,Rates!$A$2:$B$3,2,0),1)</f>
        <v>1</v>
      </c>
      <c r="J129" t="str">
        <f t="shared" si="2"/>
        <v/>
      </c>
      <c r="K129" t="str">
        <f>IF(J129&lt;&gt;"",SUM($J$2:J129),"")</f>
        <v/>
      </c>
      <c r="L129">
        <f ca="1" t="shared" si="3"/>
        <v>45942</v>
      </c>
    </row>
    <row r="130" spans="9:12">
      <c r="I130">
        <f>IFERROR(VLOOKUP(H130,Rates!$A$2:$B$3,2,0),1)</f>
        <v>1</v>
      </c>
      <c r="J130" t="str">
        <f t="shared" ref="J130:J193" si="4">IF(G130&lt;&gt;"",G130*I130,"")</f>
        <v/>
      </c>
      <c r="K130" t="str">
        <f>IF(J130&lt;&gt;"",SUM($J$2:J130),"")</f>
        <v/>
      </c>
      <c r="L130">
        <f ca="1" t="shared" ref="L130:L193" si="5">IF(COUNTA(A130:K130)&gt;0,TODAY(),"")</f>
        <v>45942</v>
      </c>
    </row>
    <row r="131" spans="9:12">
      <c r="I131">
        <f>IFERROR(VLOOKUP(H131,Rates!$A$2:$B$3,2,0),1)</f>
        <v>1</v>
      </c>
      <c r="J131" t="str">
        <f t="shared" si="4"/>
        <v/>
      </c>
      <c r="K131" t="str">
        <f>IF(J131&lt;&gt;"",SUM($J$2:J131),"")</f>
        <v/>
      </c>
      <c r="L131">
        <f ca="1" t="shared" si="5"/>
        <v>45942</v>
      </c>
    </row>
    <row r="132" spans="9:12">
      <c r="I132">
        <f>IFERROR(VLOOKUP(H132,Rates!$A$2:$B$3,2,0),1)</f>
        <v>1</v>
      </c>
      <c r="J132" t="str">
        <f t="shared" si="4"/>
        <v/>
      </c>
      <c r="K132" t="str">
        <f>IF(J132&lt;&gt;"",SUM($J$2:J132),"")</f>
        <v/>
      </c>
      <c r="L132">
        <f ca="1" t="shared" si="5"/>
        <v>45942</v>
      </c>
    </row>
    <row r="133" spans="9:12">
      <c r="I133">
        <f>IFERROR(VLOOKUP(H133,Rates!$A$2:$B$3,2,0),1)</f>
        <v>1</v>
      </c>
      <c r="J133" t="str">
        <f t="shared" si="4"/>
        <v/>
      </c>
      <c r="K133" t="str">
        <f>IF(J133&lt;&gt;"",SUM($J$2:J133),"")</f>
        <v/>
      </c>
      <c r="L133">
        <f ca="1" t="shared" si="5"/>
        <v>45942</v>
      </c>
    </row>
    <row r="134" spans="9:12">
      <c r="I134">
        <f>IFERROR(VLOOKUP(H134,Rates!$A$2:$B$3,2,0),1)</f>
        <v>1</v>
      </c>
      <c r="J134" t="str">
        <f t="shared" si="4"/>
        <v/>
      </c>
      <c r="K134" t="str">
        <f>IF(J134&lt;&gt;"",SUM($J$2:J134),"")</f>
        <v/>
      </c>
      <c r="L134">
        <f ca="1" t="shared" si="5"/>
        <v>45942</v>
      </c>
    </row>
    <row r="135" spans="9:12">
      <c r="I135">
        <f>IFERROR(VLOOKUP(H135,Rates!$A$2:$B$3,2,0),1)</f>
        <v>1</v>
      </c>
      <c r="J135" t="str">
        <f t="shared" si="4"/>
        <v/>
      </c>
      <c r="K135" t="str">
        <f>IF(J135&lt;&gt;"",SUM($J$2:J135),"")</f>
        <v/>
      </c>
      <c r="L135">
        <f ca="1" t="shared" si="5"/>
        <v>45942</v>
      </c>
    </row>
    <row r="136" spans="9:12">
      <c r="I136">
        <f>IFERROR(VLOOKUP(H136,Rates!$A$2:$B$3,2,0),1)</f>
        <v>1</v>
      </c>
      <c r="J136" t="str">
        <f t="shared" si="4"/>
        <v/>
      </c>
      <c r="K136" t="str">
        <f>IF(J136&lt;&gt;"",SUM($J$2:J136),"")</f>
        <v/>
      </c>
      <c r="L136">
        <f ca="1" t="shared" si="5"/>
        <v>45942</v>
      </c>
    </row>
    <row r="137" spans="9:12">
      <c r="I137">
        <f>IFERROR(VLOOKUP(H137,Rates!$A$2:$B$3,2,0),1)</f>
        <v>1</v>
      </c>
      <c r="J137" t="str">
        <f t="shared" si="4"/>
        <v/>
      </c>
      <c r="K137" t="str">
        <f>IF(J137&lt;&gt;"",SUM($J$2:J137),"")</f>
        <v/>
      </c>
      <c r="L137">
        <f ca="1" t="shared" si="5"/>
        <v>45942</v>
      </c>
    </row>
    <row r="138" spans="9:12">
      <c r="I138">
        <f>IFERROR(VLOOKUP(H138,Rates!$A$2:$B$3,2,0),1)</f>
        <v>1</v>
      </c>
      <c r="J138" t="str">
        <f t="shared" si="4"/>
        <v/>
      </c>
      <c r="K138" t="str">
        <f>IF(J138&lt;&gt;"",SUM($J$2:J138),"")</f>
        <v/>
      </c>
      <c r="L138">
        <f ca="1" t="shared" si="5"/>
        <v>45942</v>
      </c>
    </row>
    <row r="139" spans="9:12">
      <c r="I139">
        <f>IFERROR(VLOOKUP(H139,Rates!$A$2:$B$3,2,0),1)</f>
        <v>1</v>
      </c>
      <c r="J139" t="str">
        <f t="shared" si="4"/>
        <v/>
      </c>
      <c r="K139" t="str">
        <f>IF(J139&lt;&gt;"",SUM($J$2:J139),"")</f>
        <v/>
      </c>
      <c r="L139">
        <f ca="1" t="shared" si="5"/>
        <v>45942</v>
      </c>
    </row>
    <row r="140" spans="9:12">
      <c r="I140">
        <f>IFERROR(VLOOKUP(H140,Rates!$A$2:$B$3,2,0),1)</f>
        <v>1</v>
      </c>
      <c r="J140" t="str">
        <f t="shared" si="4"/>
        <v/>
      </c>
      <c r="K140" t="str">
        <f>IF(J140&lt;&gt;"",SUM($J$2:J140),"")</f>
        <v/>
      </c>
      <c r="L140">
        <f ca="1" t="shared" si="5"/>
        <v>45942</v>
      </c>
    </row>
    <row r="141" spans="9:12">
      <c r="I141">
        <f>IFERROR(VLOOKUP(H141,Rates!$A$2:$B$3,2,0),1)</f>
        <v>1</v>
      </c>
      <c r="J141" t="str">
        <f t="shared" si="4"/>
        <v/>
      </c>
      <c r="K141" t="str">
        <f>IF(J141&lt;&gt;"",SUM($J$2:J141),"")</f>
        <v/>
      </c>
      <c r="L141">
        <f ca="1" t="shared" si="5"/>
        <v>45942</v>
      </c>
    </row>
    <row r="142" spans="9:12">
      <c r="I142">
        <f>IFERROR(VLOOKUP(H142,Rates!$A$2:$B$3,2,0),1)</f>
        <v>1</v>
      </c>
      <c r="J142" t="str">
        <f t="shared" si="4"/>
        <v/>
      </c>
      <c r="K142" t="str">
        <f>IF(J142&lt;&gt;"",SUM($J$2:J142),"")</f>
        <v/>
      </c>
      <c r="L142">
        <f ca="1" t="shared" si="5"/>
        <v>45942</v>
      </c>
    </row>
    <row r="143" spans="9:12">
      <c r="I143">
        <f>IFERROR(VLOOKUP(H143,Rates!$A$2:$B$3,2,0),1)</f>
        <v>1</v>
      </c>
      <c r="J143" t="str">
        <f t="shared" si="4"/>
        <v/>
      </c>
      <c r="K143" t="str">
        <f>IF(J143&lt;&gt;"",SUM($J$2:J143),"")</f>
        <v/>
      </c>
      <c r="L143">
        <f ca="1" t="shared" si="5"/>
        <v>45942</v>
      </c>
    </row>
    <row r="144" spans="9:12">
      <c r="I144">
        <f>IFERROR(VLOOKUP(H144,Rates!$A$2:$B$3,2,0),1)</f>
        <v>1</v>
      </c>
      <c r="J144" t="str">
        <f t="shared" si="4"/>
        <v/>
      </c>
      <c r="K144" t="str">
        <f>IF(J144&lt;&gt;"",SUM($J$2:J144),"")</f>
        <v/>
      </c>
      <c r="L144">
        <f ca="1" t="shared" si="5"/>
        <v>45942</v>
      </c>
    </row>
    <row r="145" spans="9:12">
      <c r="I145">
        <f>IFERROR(VLOOKUP(H145,Rates!$A$2:$B$3,2,0),1)</f>
        <v>1</v>
      </c>
      <c r="J145" t="str">
        <f t="shared" si="4"/>
        <v/>
      </c>
      <c r="K145" t="str">
        <f>IF(J145&lt;&gt;"",SUM($J$2:J145),"")</f>
        <v/>
      </c>
      <c r="L145">
        <f ca="1" t="shared" si="5"/>
        <v>45942</v>
      </c>
    </row>
    <row r="146" spans="9:12">
      <c r="I146">
        <f>IFERROR(VLOOKUP(H146,Rates!$A$2:$B$3,2,0),1)</f>
        <v>1</v>
      </c>
      <c r="J146" t="str">
        <f t="shared" si="4"/>
        <v/>
      </c>
      <c r="K146" t="str">
        <f>IF(J146&lt;&gt;"",SUM($J$2:J146),"")</f>
        <v/>
      </c>
      <c r="L146">
        <f ca="1" t="shared" si="5"/>
        <v>45942</v>
      </c>
    </row>
    <row r="147" spans="9:12">
      <c r="I147">
        <f>IFERROR(VLOOKUP(H147,Rates!$A$2:$B$3,2,0),1)</f>
        <v>1</v>
      </c>
      <c r="J147" t="str">
        <f t="shared" si="4"/>
        <v/>
      </c>
      <c r="K147" t="str">
        <f>IF(J147&lt;&gt;"",SUM($J$2:J147),"")</f>
        <v/>
      </c>
      <c r="L147">
        <f ca="1" t="shared" si="5"/>
        <v>45942</v>
      </c>
    </row>
    <row r="148" spans="9:12">
      <c r="I148">
        <f>IFERROR(VLOOKUP(H148,Rates!$A$2:$B$3,2,0),1)</f>
        <v>1</v>
      </c>
      <c r="J148" t="str">
        <f t="shared" si="4"/>
        <v/>
      </c>
      <c r="K148" t="str">
        <f>IF(J148&lt;&gt;"",SUM($J$2:J148),"")</f>
        <v/>
      </c>
      <c r="L148">
        <f ca="1" t="shared" si="5"/>
        <v>45942</v>
      </c>
    </row>
    <row r="149" spans="9:12">
      <c r="I149">
        <f>IFERROR(VLOOKUP(H149,Rates!$A$2:$B$3,2,0),1)</f>
        <v>1</v>
      </c>
      <c r="J149" t="str">
        <f t="shared" si="4"/>
        <v/>
      </c>
      <c r="K149" t="str">
        <f>IF(J149&lt;&gt;"",SUM($J$2:J149),"")</f>
        <v/>
      </c>
      <c r="L149">
        <f ca="1" t="shared" si="5"/>
        <v>45942</v>
      </c>
    </row>
    <row r="150" spans="9:12">
      <c r="I150">
        <f>IFERROR(VLOOKUP(H150,Rates!$A$2:$B$3,2,0),1)</f>
        <v>1</v>
      </c>
      <c r="J150" t="str">
        <f t="shared" si="4"/>
        <v/>
      </c>
      <c r="K150" t="str">
        <f>IF(J150&lt;&gt;"",SUM($J$2:J150),"")</f>
        <v/>
      </c>
      <c r="L150">
        <f ca="1" t="shared" si="5"/>
        <v>45942</v>
      </c>
    </row>
    <row r="151" spans="9:12">
      <c r="I151">
        <f>IFERROR(VLOOKUP(H151,Rates!$A$2:$B$3,2,0),1)</f>
        <v>1</v>
      </c>
      <c r="J151" t="str">
        <f t="shared" si="4"/>
        <v/>
      </c>
      <c r="K151" t="str">
        <f>IF(J151&lt;&gt;"",SUM($J$2:J151),"")</f>
        <v/>
      </c>
      <c r="L151">
        <f ca="1" t="shared" si="5"/>
        <v>45942</v>
      </c>
    </row>
    <row r="152" spans="9:12">
      <c r="I152">
        <f>IFERROR(VLOOKUP(H152,Rates!$A$2:$B$3,2,0),1)</f>
        <v>1</v>
      </c>
      <c r="J152" t="str">
        <f t="shared" si="4"/>
        <v/>
      </c>
      <c r="K152" t="str">
        <f>IF(J152&lt;&gt;"",SUM($J$2:J152),"")</f>
        <v/>
      </c>
      <c r="L152">
        <f ca="1" t="shared" si="5"/>
        <v>45942</v>
      </c>
    </row>
    <row r="153" spans="9:12">
      <c r="I153">
        <f>IFERROR(VLOOKUP(H153,Rates!$A$2:$B$3,2,0),1)</f>
        <v>1</v>
      </c>
      <c r="J153" t="str">
        <f t="shared" si="4"/>
        <v/>
      </c>
      <c r="K153" t="str">
        <f>IF(J153&lt;&gt;"",SUM($J$2:J153),"")</f>
        <v/>
      </c>
      <c r="L153">
        <f ca="1" t="shared" si="5"/>
        <v>45942</v>
      </c>
    </row>
    <row r="154" spans="9:12">
      <c r="I154">
        <f>IFERROR(VLOOKUP(H154,Rates!$A$2:$B$3,2,0),1)</f>
        <v>1</v>
      </c>
      <c r="J154" t="str">
        <f t="shared" si="4"/>
        <v/>
      </c>
      <c r="K154" t="str">
        <f>IF(J154&lt;&gt;"",SUM($J$2:J154),"")</f>
        <v/>
      </c>
      <c r="L154">
        <f ca="1" t="shared" si="5"/>
        <v>45942</v>
      </c>
    </row>
    <row r="155" spans="9:12">
      <c r="I155">
        <f>IFERROR(VLOOKUP(H155,Rates!$A$2:$B$3,2,0),1)</f>
        <v>1</v>
      </c>
      <c r="J155" t="str">
        <f t="shared" si="4"/>
        <v/>
      </c>
      <c r="K155" t="str">
        <f>IF(J155&lt;&gt;"",SUM($J$2:J155),"")</f>
        <v/>
      </c>
      <c r="L155">
        <f ca="1" t="shared" si="5"/>
        <v>45942</v>
      </c>
    </row>
    <row r="156" spans="9:12">
      <c r="I156">
        <f>IFERROR(VLOOKUP(H156,Rates!$A$2:$B$3,2,0),1)</f>
        <v>1</v>
      </c>
      <c r="J156" t="str">
        <f t="shared" si="4"/>
        <v/>
      </c>
      <c r="K156" t="str">
        <f>IF(J156&lt;&gt;"",SUM($J$2:J156),"")</f>
        <v/>
      </c>
      <c r="L156">
        <f ca="1" t="shared" si="5"/>
        <v>45942</v>
      </c>
    </row>
    <row r="157" spans="9:12">
      <c r="I157">
        <f>IFERROR(VLOOKUP(H157,Rates!$A$2:$B$3,2,0),1)</f>
        <v>1</v>
      </c>
      <c r="J157" t="str">
        <f t="shared" si="4"/>
        <v/>
      </c>
      <c r="K157" t="str">
        <f>IF(J157&lt;&gt;"",SUM($J$2:J157),"")</f>
        <v/>
      </c>
      <c r="L157">
        <f ca="1" t="shared" si="5"/>
        <v>45942</v>
      </c>
    </row>
    <row r="158" spans="9:12">
      <c r="I158">
        <f>IFERROR(VLOOKUP(H158,Rates!$A$2:$B$3,2,0),1)</f>
        <v>1</v>
      </c>
      <c r="J158" t="str">
        <f t="shared" si="4"/>
        <v/>
      </c>
      <c r="K158" t="str">
        <f>IF(J158&lt;&gt;"",SUM($J$2:J158),"")</f>
        <v/>
      </c>
      <c r="L158">
        <f ca="1" t="shared" si="5"/>
        <v>45942</v>
      </c>
    </row>
    <row r="159" spans="9:12">
      <c r="I159">
        <f>IFERROR(VLOOKUP(H159,Rates!$A$2:$B$3,2,0),1)</f>
        <v>1</v>
      </c>
      <c r="J159" t="str">
        <f t="shared" si="4"/>
        <v/>
      </c>
      <c r="K159" t="str">
        <f>IF(J159&lt;&gt;"",SUM($J$2:J159),"")</f>
        <v/>
      </c>
      <c r="L159">
        <f ca="1" t="shared" si="5"/>
        <v>45942</v>
      </c>
    </row>
    <row r="160" spans="9:12">
      <c r="I160">
        <f>IFERROR(VLOOKUP(H160,Rates!$A$2:$B$3,2,0),1)</f>
        <v>1</v>
      </c>
      <c r="J160" t="str">
        <f t="shared" si="4"/>
        <v/>
      </c>
      <c r="K160" t="str">
        <f>IF(J160&lt;&gt;"",SUM($J$2:J160),"")</f>
        <v/>
      </c>
      <c r="L160">
        <f ca="1" t="shared" si="5"/>
        <v>45942</v>
      </c>
    </row>
    <row r="161" spans="9:12">
      <c r="I161">
        <f>IFERROR(VLOOKUP(H161,Rates!$A$2:$B$3,2,0),1)</f>
        <v>1</v>
      </c>
      <c r="J161" t="str">
        <f t="shared" si="4"/>
        <v/>
      </c>
      <c r="K161" t="str">
        <f>IF(J161&lt;&gt;"",SUM($J$2:J161),"")</f>
        <v/>
      </c>
      <c r="L161">
        <f ca="1" t="shared" si="5"/>
        <v>45942</v>
      </c>
    </row>
    <row r="162" spans="9:12">
      <c r="I162">
        <f>IFERROR(VLOOKUP(H162,Rates!$A$2:$B$3,2,0),1)</f>
        <v>1</v>
      </c>
      <c r="J162" t="str">
        <f t="shared" si="4"/>
        <v/>
      </c>
      <c r="K162" t="str">
        <f>IF(J162&lt;&gt;"",SUM($J$2:J162),"")</f>
        <v/>
      </c>
      <c r="L162">
        <f ca="1" t="shared" si="5"/>
        <v>45942</v>
      </c>
    </row>
    <row r="163" spans="9:12">
      <c r="I163">
        <f>IFERROR(VLOOKUP(H163,Rates!$A$2:$B$3,2,0),1)</f>
        <v>1</v>
      </c>
      <c r="J163" t="str">
        <f t="shared" si="4"/>
        <v/>
      </c>
      <c r="K163" t="str">
        <f>IF(J163&lt;&gt;"",SUM($J$2:J163),"")</f>
        <v/>
      </c>
      <c r="L163">
        <f ca="1" t="shared" si="5"/>
        <v>45942</v>
      </c>
    </row>
    <row r="164" spans="9:12">
      <c r="I164">
        <f>IFERROR(VLOOKUP(H164,Rates!$A$2:$B$3,2,0),1)</f>
        <v>1</v>
      </c>
      <c r="J164" t="str">
        <f t="shared" si="4"/>
        <v/>
      </c>
      <c r="K164" t="str">
        <f>IF(J164&lt;&gt;"",SUM($J$2:J164),"")</f>
        <v/>
      </c>
      <c r="L164">
        <f ca="1" t="shared" si="5"/>
        <v>45942</v>
      </c>
    </row>
    <row r="165" spans="9:12">
      <c r="I165">
        <f>IFERROR(VLOOKUP(H165,Rates!$A$2:$B$3,2,0),1)</f>
        <v>1</v>
      </c>
      <c r="J165" t="str">
        <f t="shared" si="4"/>
        <v/>
      </c>
      <c r="K165" t="str">
        <f>IF(J165&lt;&gt;"",SUM($J$2:J165),"")</f>
        <v/>
      </c>
      <c r="L165">
        <f ca="1" t="shared" si="5"/>
        <v>45942</v>
      </c>
    </row>
    <row r="166" spans="9:12">
      <c r="I166">
        <f>IFERROR(VLOOKUP(H166,Rates!$A$2:$B$3,2,0),1)</f>
        <v>1</v>
      </c>
      <c r="J166" t="str">
        <f t="shared" si="4"/>
        <v/>
      </c>
      <c r="K166" t="str">
        <f>IF(J166&lt;&gt;"",SUM($J$2:J166),"")</f>
        <v/>
      </c>
      <c r="L166">
        <f ca="1" t="shared" si="5"/>
        <v>45942</v>
      </c>
    </row>
    <row r="167" spans="9:12">
      <c r="I167">
        <f>IFERROR(VLOOKUP(H167,Rates!$A$2:$B$3,2,0),1)</f>
        <v>1</v>
      </c>
      <c r="J167" t="str">
        <f t="shared" si="4"/>
        <v/>
      </c>
      <c r="K167" t="str">
        <f>IF(J167&lt;&gt;"",SUM($J$2:J167),"")</f>
        <v/>
      </c>
      <c r="L167">
        <f ca="1" t="shared" si="5"/>
        <v>45942</v>
      </c>
    </row>
    <row r="168" spans="9:12">
      <c r="I168">
        <f>IFERROR(VLOOKUP(H168,Rates!$A$2:$B$3,2,0),1)</f>
        <v>1</v>
      </c>
      <c r="J168" t="str">
        <f t="shared" si="4"/>
        <v/>
      </c>
      <c r="K168" t="str">
        <f>IF(J168&lt;&gt;"",SUM($J$2:J168),"")</f>
        <v/>
      </c>
      <c r="L168">
        <f ca="1" t="shared" si="5"/>
        <v>45942</v>
      </c>
    </row>
    <row r="169" spans="9:12">
      <c r="I169">
        <f>IFERROR(VLOOKUP(H169,Rates!$A$2:$B$3,2,0),1)</f>
        <v>1</v>
      </c>
      <c r="J169" t="str">
        <f t="shared" si="4"/>
        <v/>
      </c>
      <c r="K169" t="str">
        <f>IF(J169&lt;&gt;"",SUM($J$2:J169),"")</f>
        <v/>
      </c>
      <c r="L169">
        <f ca="1" t="shared" si="5"/>
        <v>45942</v>
      </c>
    </row>
    <row r="170" spans="9:12">
      <c r="I170">
        <f>IFERROR(VLOOKUP(H170,Rates!$A$2:$B$3,2,0),1)</f>
        <v>1</v>
      </c>
      <c r="J170" t="str">
        <f t="shared" si="4"/>
        <v/>
      </c>
      <c r="K170" t="str">
        <f>IF(J170&lt;&gt;"",SUM($J$2:J170),"")</f>
        <v/>
      </c>
      <c r="L170">
        <f ca="1" t="shared" si="5"/>
        <v>45942</v>
      </c>
    </row>
    <row r="171" spans="9:12">
      <c r="I171">
        <f>IFERROR(VLOOKUP(H171,Rates!$A$2:$B$3,2,0),1)</f>
        <v>1</v>
      </c>
      <c r="J171" t="str">
        <f t="shared" si="4"/>
        <v/>
      </c>
      <c r="K171" t="str">
        <f>IF(J171&lt;&gt;"",SUM($J$2:J171),"")</f>
        <v/>
      </c>
      <c r="L171">
        <f ca="1" t="shared" si="5"/>
        <v>45942</v>
      </c>
    </row>
    <row r="172" spans="9:12">
      <c r="I172">
        <f>IFERROR(VLOOKUP(H172,Rates!$A$2:$B$3,2,0),1)</f>
        <v>1</v>
      </c>
      <c r="J172" t="str">
        <f t="shared" si="4"/>
        <v/>
      </c>
      <c r="K172" t="str">
        <f>IF(J172&lt;&gt;"",SUM($J$2:J172),"")</f>
        <v/>
      </c>
      <c r="L172">
        <f ca="1" t="shared" si="5"/>
        <v>45942</v>
      </c>
    </row>
    <row r="173" spans="9:12">
      <c r="I173">
        <f>IFERROR(VLOOKUP(H173,Rates!$A$2:$B$3,2,0),1)</f>
        <v>1</v>
      </c>
      <c r="J173" t="str">
        <f t="shared" si="4"/>
        <v/>
      </c>
      <c r="K173" t="str">
        <f>IF(J173&lt;&gt;"",SUM($J$2:J173),"")</f>
        <v/>
      </c>
      <c r="L173">
        <f ca="1" t="shared" si="5"/>
        <v>45942</v>
      </c>
    </row>
    <row r="174" spans="9:12">
      <c r="I174">
        <f>IFERROR(VLOOKUP(H174,Rates!$A$2:$B$3,2,0),1)</f>
        <v>1</v>
      </c>
      <c r="J174" t="str">
        <f t="shared" si="4"/>
        <v/>
      </c>
      <c r="K174" t="str">
        <f>IF(J174&lt;&gt;"",SUM($J$2:J174),"")</f>
        <v/>
      </c>
      <c r="L174">
        <f ca="1" t="shared" si="5"/>
        <v>45942</v>
      </c>
    </row>
    <row r="175" spans="9:12">
      <c r="I175">
        <f>IFERROR(VLOOKUP(H175,Rates!$A$2:$B$3,2,0),1)</f>
        <v>1</v>
      </c>
      <c r="J175" t="str">
        <f t="shared" si="4"/>
        <v/>
      </c>
      <c r="K175" t="str">
        <f>IF(J175&lt;&gt;"",SUM($J$2:J175),"")</f>
        <v/>
      </c>
      <c r="L175">
        <f ca="1" t="shared" si="5"/>
        <v>45942</v>
      </c>
    </row>
    <row r="176" spans="9:12">
      <c r="I176">
        <f>IFERROR(VLOOKUP(H176,Rates!$A$2:$B$3,2,0),1)</f>
        <v>1</v>
      </c>
      <c r="J176" t="str">
        <f t="shared" si="4"/>
        <v/>
      </c>
      <c r="K176" t="str">
        <f>IF(J176&lt;&gt;"",SUM($J$2:J176),"")</f>
        <v/>
      </c>
      <c r="L176">
        <f ca="1" t="shared" si="5"/>
        <v>45942</v>
      </c>
    </row>
    <row r="177" spans="9:12">
      <c r="I177">
        <f>IFERROR(VLOOKUP(H177,Rates!$A$2:$B$3,2,0),1)</f>
        <v>1</v>
      </c>
      <c r="J177" t="str">
        <f t="shared" si="4"/>
        <v/>
      </c>
      <c r="K177" t="str">
        <f>IF(J177&lt;&gt;"",SUM($J$2:J177),"")</f>
        <v/>
      </c>
      <c r="L177">
        <f ca="1" t="shared" si="5"/>
        <v>45942</v>
      </c>
    </row>
    <row r="178" spans="9:12">
      <c r="I178">
        <f>IFERROR(VLOOKUP(H178,Rates!$A$2:$B$3,2,0),1)</f>
        <v>1</v>
      </c>
      <c r="J178" t="str">
        <f t="shared" si="4"/>
        <v/>
      </c>
      <c r="K178" t="str">
        <f>IF(J178&lt;&gt;"",SUM($J$2:J178),"")</f>
        <v/>
      </c>
      <c r="L178">
        <f ca="1" t="shared" si="5"/>
        <v>45942</v>
      </c>
    </row>
    <row r="179" spans="9:12">
      <c r="I179">
        <f>IFERROR(VLOOKUP(H179,Rates!$A$2:$B$3,2,0),1)</f>
        <v>1</v>
      </c>
      <c r="J179" t="str">
        <f t="shared" si="4"/>
        <v/>
      </c>
      <c r="K179" t="str">
        <f>IF(J179&lt;&gt;"",SUM($J$2:J179),"")</f>
        <v/>
      </c>
      <c r="L179">
        <f ca="1" t="shared" si="5"/>
        <v>45942</v>
      </c>
    </row>
    <row r="180" spans="9:12">
      <c r="I180">
        <f>IFERROR(VLOOKUP(H180,Rates!$A$2:$B$3,2,0),1)</f>
        <v>1</v>
      </c>
      <c r="J180" t="str">
        <f t="shared" si="4"/>
        <v/>
      </c>
      <c r="K180" t="str">
        <f>IF(J180&lt;&gt;"",SUM($J$2:J180),"")</f>
        <v/>
      </c>
      <c r="L180">
        <f ca="1" t="shared" si="5"/>
        <v>45942</v>
      </c>
    </row>
    <row r="181" spans="9:12">
      <c r="I181">
        <f>IFERROR(VLOOKUP(H181,Rates!$A$2:$B$3,2,0),1)</f>
        <v>1</v>
      </c>
      <c r="J181" t="str">
        <f t="shared" si="4"/>
        <v/>
      </c>
      <c r="K181" t="str">
        <f>IF(J181&lt;&gt;"",SUM($J$2:J181),"")</f>
        <v/>
      </c>
      <c r="L181">
        <f ca="1" t="shared" si="5"/>
        <v>45942</v>
      </c>
    </row>
    <row r="182" spans="9:12">
      <c r="I182">
        <f>IFERROR(VLOOKUP(H182,Rates!$A$2:$B$3,2,0),1)</f>
        <v>1</v>
      </c>
      <c r="J182" t="str">
        <f t="shared" si="4"/>
        <v/>
      </c>
      <c r="K182" t="str">
        <f>IF(J182&lt;&gt;"",SUM($J$2:J182),"")</f>
        <v/>
      </c>
      <c r="L182">
        <f ca="1" t="shared" si="5"/>
        <v>45942</v>
      </c>
    </row>
    <row r="183" spans="9:12">
      <c r="I183">
        <f>IFERROR(VLOOKUP(H183,Rates!$A$2:$B$3,2,0),1)</f>
        <v>1</v>
      </c>
      <c r="J183" t="str">
        <f t="shared" si="4"/>
        <v/>
      </c>
      <c r="K183" t="str">
        <f>IF(J183&lt;&gt;"",SUM($J$2:J183),"")</f>
        <v/>
      </c>
      <c r="L183">
        <f ca="1" t="shared" si="5"/>
        <v>45942</v>
      </c>
    </row>
    <row r="184" spans="9:12">
      <c r="I184">
        <f>IFERROR(VLOOKUP(H184,Rates!$A$2:$B$3,2,0),1)</f>
        <v>1</v>
      </c>
      <c r="J184" t="str">
        <f t="shared" si="4"/>
        <v/>
      </c>
      <c r="K184" t="str">
        <f>IF(J184&lt;&gt;"",SUM($J$2:J184),"")</f>
        <v/>
      </c>
      <c r="L184">
        <f ca="1" t="shared" si="5"/>
        <v>45942</v>
      </c>
    </row>
    <row r="185" spans="9:12">
      <c r="I185">
        <f>IFERROR(VLOOKUP(H185,Rates!$A$2:$B$3,2,0),1)</f>
        <v>1</v>
      </c>
      <c r="J185" t="str">
        <f t="shared" si="4"/>
        <v/>
      </c>
      <c r="K185" t="str">
        <f>IF(J185&lt;&gt;"",SUM($J$2:J185),"")</f>
        <v/>
      </c>
      <c r="L185">
        <f ca="1" t="shared" si="5"/>
        <v>45942</v>
      </c>
    </row>
    <row r="186" spans="9:12">
      <c r="I186">
        <f>IFERROR(VLOOKUP(H186,Rates!$A$2:$B$3,2,0),1)</f>
        <v>1</v>
      </c>
      <c r="J186" t="str">
        <f t="shared" si="4"/>
        <v/>
      </c>
      <c r="K186" t="str">
        <f>IF(J186&lt;&gt;"",SUM($J$2:J186),"")</f>
        <v/>
      </c>
      <c r="L186">
        <f ca="1" t="shared" si="5"/>
        <v>45942</v>
      </c>
    </row>
    <row r="187" spans="9:12">
      <c r="I187">
        <f>IFERROR(VLOOKUP(H187,Rates!$A$2:$B$3,2,0),1)</f>
        <v>1</v>
      </c>
      <c r="J187" t="str">
        <f t="shared" si="4"/>
        <v/>
      </c>
      <c r="K187" t="str">
        <f>IF(J187&lt;&gt;"",SUM($J$2:J187),"")</f>
        <v/>
      </c>
      <c r="L187">
        <f ca="1" t="shared" si="5"/>
        <v>45942</v>
      </c>
    </row>
    <row r="188" spans="9:12">
      <c r="I188">
        <f>IFERROR(VLOOKUP(H188,Rates!$A$2:$B$3,2,0),1)</f>
        <v>1</v>
      </c>
      <c r="J188" t="str">
        <f t="shared" si="4"/>
        <v/>
      </c>
      <c r="K188" t="str">
        <f>IF(J188&lt;&gt;"",SUM($J$2:J188),"")</f>
        <v/>
      </c>
      <c r="L188">
        <f ca="1" t="shared" si="5"/>
        <v>45942</v>
      </c>
    </row>
    <row r="189" spans="9:12">
      <c r="I189">
        <f>IFERROR(VLOOKUP(H189,Rates!$A$2:$B$3,2,0),1)</f>
        <v>1</v>
      </c>
      <c r="J189" t="str">
        <f t="shared" si="4"/>
        <v/>
      </c>
      <c r="K189" t="str">
        <f>IF(J189&lt;&gt;"",SUM($J$2:J189),"")</f>
        <v/>
      </c>
      <c r="L189">
        <f ca="1" t="shared" si="5"/>
        <v>45942</v>
      </c>
    </row>
    <row r="190" spans="9:12">
      <c r="I190">
        <f>IFERROR(VLOOKUP(H190,Rates!$A$2:$B$3,2,0),1)</f>
        <v>1</v>
      </c>
      <c r="J190" t="str">
        <f t="shared" si="4"/>
        <v/>
      </c>
      <c r="K190" t="str">
        <f>IF(J190&lt;&gt;"",SUM($J$2:J190),"")</f>
        <v/>
      </c>
      <c r="L190">
        <f ca="1" t="shared" si="5"/>
        <v>45942</v>
      </c>
    </row>
    <row r="191" spans="9:12">
      <c r="I191">
        <f>IFERROR(VLOOKUP(H191,Rates!$A$2:$B$3,2,0),1)</f>
        <v>1</v>
      </c>
      <c r="J191" t="str">
        <f t="shared" si="4"/>
        <v/>
      </c>
      <c r="K191" t="str">
        <f>IF(J191&lt;&gt;"",SUM($J$2:J191),"")</f>
        <v/>
      </c>
      <c r="L191">
        <f ca="1" t="shared" si="5"/>
        <v>45942</v>
      </c>
    </row>
    <row r="192" spans="9:12">
      <c r="I192">
        <f>IFERROR(VLOOKUP(H192,Rates!$A$2:$B$3,2,0),1)</f>
        <v>1</v>
      </c>
      <c r="J192" t="str">
        <f t="shared" si="4"/>
        <v/>
      </c>
      <c r="K192" t="str">
        <f>IF(J192&lt;&gt;"",SUM($J$2:J192),"")</f>
        <v/>
      </c>
      <c r="L192">
        <f ca="1" t="shared" si="5"/>
        <v>45942</v>
      </c>
    </row>
    <row r="193" spans="9:12">
      <c r="I193">
        <f>IFERROR(VLOOKUP(H193,Rates!$A$2:$B$3,2,0),1)</f>
        <v>1</v>
      </c>
      <c r="J193" t="str">
        <f t="shared" si="4"/>
        <v/>
      </c>
      <c r="K193" t="str">
        <f>IF(J193&lt;&gt;"",SUM($J$2:J193),"")</f>
        <v/>
      </c>
      <c r="L193">
        <f ca="1" t="shared" si="5"/>
        <v>45942</v>
      </c>
    </row>
    <row r="194" spans="9:12">
      <c r="I194">
        <f>IFERROR(VLOOKUP(H194,Rates!$A$2:$B$3,2,0),1)</f>
        <v>1</v>
      </c>
      <c r="J194" t="str">
        <f t="shared" ref="J194:J257" si="6">IF(G194&lt;&gt;"",G194*I194,"")</f>
        <v/>
      </c>
      <c r="K194" t="str">
        <f>IF(J194&lt;&gt;"",SUM($J$2:J194),"")</f>
        <v/>
      </c>
      <c r="L194">
        <f ca="1" t="shared" ref="L194:L257" si="7">IF(COUNTA(A194:K194)&gt;0,TODAY(),"")</f>
        <v>45942</v>
      </c>
    </row>
    <row r="195" spans="9:12">
      <c r="I195">
        <f>IFERROR(VLOOKUP(H195,Rates!$A$2:$B$3,2,0),1)</f>
        <v>1</v>
      </c>
      <c r="J195" t="str">
        <f t="shared" si="6"/>
        <v/>
      </c>
      <c r="K195" t="str">
        <f>IF(J195&lt;&gt;"",SUM($J$2:J195),"")</f>
        <v/>
      </c>
      <c r="L195">
        <f ca="1" t="shared" si="7"/>
        <v>45942</v>
      </c>
    </row>
    <row r="196" spans="9:12">
      <c r="I196">
        <f>IFERROR(VLOOKUP(H196,Rates!$A$2:$B$3,2,0),1)</f>
        <v>1</v>
      </c>
      <c r="J196" t="str">
        <f t="shared" si="6"/>
        <v/>
      </c>
      <c r="K196" t="str">
        <f>IF(J196&lt;&gt;"",SUM($J$2:J196),"")</f>
        <v/>
      </c>
      <c r="L196">
        <f ca="1" t="shared" si="7"/>
        <v>45942</v>
      </c>
    </row>
    <row r="197" spans="9:12">
      <c r="I197">
        <f>IFERROR(VLOOKUP(H197,Rates!$A$2:$B$3,2,0),1)</f>
        <v>1</v>
      </c>
      <c r="J197" t="str">
        <f t="shared" si="6"/>
        <v/>
      </c>
      <c r="K197" t="str">
        <f>IF(J197&lt;&gt;"",SUM($J$2:J197),"")</f>
        <v/>
      </c>
      <c r="L197">
        <f ca="1" t="shared" si="7"/>
        <v>45942</v>
      </c>
    </row>
    <row r="198" spans="9:12">
      <c r="I198">
        <f>IFERROR(VLOOKUP(H198,Rates!$A$2:$B$3,2,0),1)</f>
        <v>1</v>
      </c>
      <c r="J198" t="str">
        <f t="shared" si="6"/>
        <v/>
      </c>
      <c r="K198" t="str">
        <f>IF(J198&lt;&gt;"",SUM($J$2:J198),"")</f>
        <v/>
      </c>
      <c r="L198">
        <f ca="1" t="shared" si="7"/>
        <v>45942</v>
      </c>
    </row>
    <row r="199" spans="9:12">
      <c r="I199">
        <f>IFERROR(VLOOKUP(H199,Rates!$A$2:$B$3,2,0),1)</f>
        <v>1</v>
      </c>
      <c r="J199" t="str">
        <f t="shared" si="6"/>
        <v/>
      </c>
      <c r="K199" t="str">
        <f>IF(J199&lt;&gt;"",SUM($J$2:J199),"")</f>
        <v/>
      </c>
      <c r="L199">
        <f ca="1" t="shared" si="7"/>
        <v>45942</v>
      </c>
    </row>
    <row r="200" spans="9:12">
      <c r="I200">
        <f>IFERROR(VLOOKUP(H200,Rates!$A$2:$B$3,2,0),1)</f>
        <v>1</v>
      </c>
      <c r="J200" t="str">
        <f t="shared" si="6"/>
        <v/>
      </c>
      <c r="K200" t="str">
        <f>IF(J200&lt;&gt;"",SUM($J$2:J200),"")</f>
        <v/>
      </c>
      <c r="L200">
        <f ca="1" t="shared" si="7"/>
        <v>45942</v>
      </c>
    </row>
    <row r="201" spans="9:12">
      <c r="I201">
        <f>IFERROR(VLOOKUP(H201,Rates!$A$2:$B$3,2,0),1)</f>
        <v>1</v>
      </c>
      <c r="J201" t="str">
        <f t="shared" si="6"/>
        <v/>
      </c>
      <c r="K201" t="str">
        <f>IF(J201&lt;&gt;"",SUM($J$2:J201),"")</f>
        <v/>
      </c>
      <c r="L201">
        <f ca="1" t="shared" si="7"/>
        <v>45942</v>
      </c>
    </row>
    <row r="202" spans="9:12">
      <c r="I202">
        <f>IFERROR(VLOOKUP(H202,Rates!$A$2:$B$3,2,0),1)</f>
        <v>1</v>
      </c>
      <c r="J202" t="str">
        <f t="shared" si="6"/>
        <v/>
      </c>
      <c r="K202" t="str">
        <f>IF(J202&lt;&gt;"",SUM($J$2:J202),"")</f>
        <v/>
      </c>
      <c r="L202">
        <f ca="1" t="shared" si="7"/>
        <v>45942</v>
      </c>
    </row>
    <row r="203" spans="9:12">
      <c r="I203">
        <f>IFERROR(VLOOKUP(H203,Rates!$A$2:$B$3,2,0),1)</f>
        <v>1</v>
      </c>
      <c r="J203" t="str">
        <f t="shared" si="6"/>
        <v/>
      </c>
      <c r="K203" t="str">
        <f>IF(J203&lt;&gt;"",SUM($J$2:J203),"")</f>
        <v/>
      </c>
      <c r="L203">
        <f ca="1" t="shared" si="7"/>
        <v>45942</v>
      </c>
    </row>
    <row r="204" spans="9:12">
      <c r="I204">
        <f>IFERROR(VLOOKUP(H204,Rates!$A$2:$B$3,2,0),1)</f>
        <v>1</v>
      </c>
      <c r="J204" t="str">
        <f t="shared" si="6"/>
        <v/>
      </c>
      <c r="K204" t="str">
        <f>IF(J204&lt;&gt;"",SUM($J$2:J204),"")</f>
        <v/>
      </c>
      <c r="L204">
        <f ca="1" t="shared" si="7"/>
        <v>45942</v>
      </c>
    </row>
    <row r="205" spans="9:12">
      <c r="I205">
        <f>IFERROR(VLOOKUP(H205,Rates!$A$2:$B$3,2,0),1)</f>
        <v>1</v>
      </c>
      <c r="J205" t="str">
        <f t="shared" si="6"/>
        <v/>
      </c>
      <c r="K205" t="str">
        <f>IF(J205&lt;&gt;"",SUM($J$2:J205),"")</f>
        <v/>
      </c>
      <c r="L205">
        <f ca="1" t="shared" si="7"/>
        <v>45942</v>
      </c>
    </row>
    <row r="206" spans="9:12">
      <c r="I206">
        <f>IFERROR(VLOOKUP(H206,Rates!$A$2:$B$3,2,0),1)</f>
        <v>1</v>
      </c>
      <c r="J206" t="str">
        <f t="shared" si="6"/>
        <v/>
      </c>
      <c r="K206" t="str">
        <f>IF(J206&lt;&gt;"",SUM($J$2:J206),"")</f>
        <v/>
      </c>
      <c r="L206">
        <f ca="1" t="shared" si="7"/>
        <v>45942</v>
      </c>
    </row>
    <row r="207" spans="9:12">
      <c r="I207">
        <f>IFERROR(VLOOKUP(H207,Rates!$A$2:$B$3,2,0),1)</f>
        <v>1</v>
      </c>
      <c r="J207" t="str">
        <f t="shared" si="6"/>
        <v/>
      </c>
      <c r="K207" t="str">
        <f>IF(J207&lt;&gt;"",SUM($J$2:J207),"")</f>
        <v/>
      </c>
      <c r="L207">
        <f ca="1" t="shared" si="7"/>
        <v>45942</v>
      </c>
    </row>
    <row r="208" spans="9:12">
      <c r="I208">
        <f>IFERROR(VLOOKUP(H208,Rates!$A$2:$B$3,2,0),1)</f>
        <v>1</v>
      </c>
      <c r="J208" t="str">
        <f t="shared" si="6"/>
        <v/>
      </c>
      <c r="K208" t="str">
        <f>IF(J208&lt;&gt;"",SUM($J$2:J208),"")</f>
        <v/>
      </c>
      <c r="L208">
        <f ca="1" t="shared" si="7"/>
        <v>45942</v>
      </c>
    </row>
    <row r="209" spans="9:12">
      <c r="I209">
        <f>IFERROR(VLOOKUP(H209,Rates!$A$2:$B$3,2,0),1)</f>
        <v>1</v>
      </c>
      <c r="J209" t="str">
        <f t="shared" si="6"/>
        <v/>
      </c>
      <c r="K209" t="str">
        <f>IF(J209&lt;&gt;"",SUM($J$2:J209),"")</f>
        <v/>
      </c>
      <c r="L209">
        <f ca="1" t="shared" si="7"/>
        <v>45942</v>
      </c>
    </row>
    <row r="210" spans="9:12">
      <c r="I210">
        <f>IFERROR(VLOOKUP(H210,Rates!$A$2:$B$3,2,0),1)</f>
        <v>1</v>
      </c>
      <c r="J210" t="str">
        <f t="shared" si="6"/>
        <v/>
      </c>
      <c r="K210" t="str">
        <f>IF(J210&lt;&gt;"",SUM($J$2:J210),"")</f>
        <v/>
      </c>
      <c r="L210">
        <f ca="1" t="shared" si="7"/>
        <v>45942</v>
      </c>
    </row>
    <row r="211" spans="9:12">
      <c r="I211">
        <f>IFERROR(VLOOKUP(H211,Rates!$A$2:$B$3,2,0),1)</f>
        <v>1</v>
      </c>
      <c r="J211" t="str">
        <f t="shared" si="6"/>
        <v/>
      </c>
      <c r="K211" t="str">
        <f>IF(J211&lt;&gt;"",SUM($J$2:J211),"")</f>
        <v/>
      </c>
      <c r="L211">
        <f ca="1" t="shared" si="7"/>
        <v>45942</v>
      </c>
    </row>
    <row r="212" spans="9:12">
      <c r="I212">
        <f>IFERROR(VLOOKUP(H212,Rates!$A$2:$B$3,2,0),1)</f>
        <v>1</v>
      </c>
      <c r="J212" t="str">
        <f t="shared" si="6"/>
        <v/>
      </c>
      <c r="K212" t="str">
        <f>IF(J212&lt;&gt;"",SUM($J$2:J212),"")</f>
        <v/>
      </c>
      <c r="L212">
        <f ca="1" t="shared" si="7"/>
        <v>45942</v>
      </c>
    </row>
    <row r="213" spans="9:12">
      <c r="I213">
        <f>IFERROR(VLOOKUP(H213,Rates!$A$2:$B$3,2,0),1)</f>
        <v>1</v>
      </c>
      <c r="J213" t="str">
        <f t="shared" si="6"/>
        <v/>
      </c>
      <c r="K213" t="str">
        <f>IF(J213&lt;&gt;"",SUM($J$2:J213),"")</f>
        <v/>
      </c>
      <c r="L213">
        <f ca="1" t="shared" si="7"/>
        <v>45942</v>
      </c>
    </row>
    <row r="214" spans="9:12">
      <c r="I214">
        <f>IFERROR(VLOOKUP(H214,Rates!$A$2:$B$3,2,0),1)</f>
        <v>1</v>
      </c>
      <c r="J214" t="str">
        <f t="shared" si="6"/>
        <v/>
      </c>
      <c r="K214" t="str">
        <f>IF(J214&lt;&gt;"",SUM($J$2:J214),"")</f>
        <v/>
      </c>
      <c r="L214">
        <f ca="1" t="shared" si="7"/>
        <v>45942</v>
      </c>
    </row>
    <row r="215" spans="9:12">
      <c r="I215">
        <f>IFERROR(VLOOKUP(H215,Rates!$A$2:$B$3,2,0),1)</f>
        <v>1</v>
      </c>
      <c r="J215" t="str">
        <f t="shared" si="6"/>
        <v/>
      </c>
      <c r="K215" t="str">
        <f>IF(J215&lt;&gt;"",SUM($J$2:J215),"")</f>
        <v/>
      </c>
      <c r="L215">
        <f ca="1" t="shared" si="7"/>
        <v>45942</v>
      </c>
    </row>
    <row r="216" spans="9:12">
      <c r="I216">
        <f>IFERROR(VLOOKUP(H216,Rates!$A$2:$B$3,2,0),1)</f>
        <v>1</v>
      </c>
      <c r="J216" t="str">
        <f t="shared" si="6"/>
        <v/>
      </c>
      <c r="K216" t="str">
        <f>IF(J216&lt;&gt;"",SUM($J$2:J216),"")</f>
        <v/>
      </c>
      <c r="L216">
        <f ca="1" t="shared" si="7"/>
        <v>45942</v>
      </c>
    </row>
    <row r="217" spans="9:12">
      <c r="I217">
        <f>IFERROR(VLOOKUP(H217,Rates!$A$2:$B$3,2,0),1)</f>
        <v>1</v>
      </c>
      <c r="J217" t="str">
        <f t="shared" si="6"/>
        <v/>
      </c>
      <c r="K217" t="str">
        <f>IF(J217&lt;&gt;"",SUM($J$2:J217),"")</f>
        <v/>
      </c>
      <c r="L217">
        <f ca="1" t="shared" si="7"/>
        <v>45942</v>
      </c>
    </row>
    <row r="218" spans="9:12">
      <c r="I218">
        <f>IFERROR(VLOOKUP(H218,Rates!$A$2:$B$3,2,0),1)</f>
        <v>1</v>
      </c>
      <c r="J218" t="str">
        <f t="shared" si="6"/>
        <v/>
      </c>
      <c r="K218" t="str">
        <f>IF(J218&lt;&gt;"",SUM($J$2:J218),"")</f>
        <v/>
      </c>
      <c r="L218">
        <f ca="1" t="shared" si="7"/>
        <v>45942</v>
      </c>
    </row>
    <row r="219" spans="9:12">
      <c r="I219">
        <f>IFERROR(VLOOKUP(H219,Rates!$A$2:$B$3,2,0),1)</f>
        <v>1</v>
      </c>
      <c r="J219" t="str">
        <f t="shared" si="6"/>
        <v/>
      </c>
      <c r="K219" t="str">
        <f>IF(J219&lt;&gt;"",SUM($J$2:J219),"")</f>
        <v/>
      </c>
      <c r="L219">
        <f ca="1" t="shared" si="7"/>
        <v>45942</v>
      </c>
    </row>
    <row r="220" spans="9:12">
      <c r="I220">
        <f>IFERROR(VLOOKUP(H220,Rates!$A$2:$B$3,2,0),1)</f>
        <v>1</v>
      </c>
      <c r="J220" t="str">
        <f t="shared" si="6"/>
        <v/>
      </c>
      <c r="K220" t="str">
        <f>IF(J220&lt;&gt;"",SUM($J$2:J220),"")</f>
        <v/>
      </c>
      <c r="L220">
        <f ca="1" t="shared" si="7"/>
        <v>45942</v>
      </c>
    </row>
    <row r="221" spans="9:12">
      <c r="I221">
        <f>IFERROR(VLOOKUP(H221,Rates!$A$2:$B$3,2,0),1)</f>
        <v>1</v>
      </c>
      <c r="J221" t="str">
        <f t="shared" si="6"/>
        <v/>
      </c>
      <c r="K221" t="str">
        <f>IF(J221&lt;&gt;"",SUM($J$2:J221),"")</f>
        <v/>
      </c>
      <c r="L221">
        <f ca="1" t="shared" si="7"/>
        <v>45942</v>
      </c>
    </row>
    <row r="222" spans="9:12">
      <c r="I222">
        <f>IFERROR(VLOOKUP(H222,Rates!$A$2:$B$3,2,0),1)</f>
        <v>1</v>
      </c>
      <c r="J222" t="str">
        <f t="shared" si="6"/>
        <v/>
      </c>
      <c r="K222" t="str">
        <f>IF(J222&lt;&gt;"",SUM($J$2:J222),"")</f>
        <v/>
      </c>
      <c r="L222">
        <f ca="1" t="shared" si="7"/>
        <v>45942</v>
      </c>
    </row>
    <row r="223" spans="9:12">
      <c r="I223">
        <f>IFERROR(VLOOKUP(H223,Rates!$A$2:$B$3,2,0),1)</f>
        <v>1</v>
      </c>
      <c r="J223" t="str">
        <f t="shared" si="6"/>
        <v/>
      </c>
      <c r="K223" t="str">
        <f>IF(J223&lt;&gt;"",SUM($J$2:J223),"")</f>
        <v/>
      </c>
      <c r="L223">
        <f ca="1" t="shared" si="7"/>
        <v>45942</v>
      </c>
    </row>
    <row r="224" spans="9:12">
      <c r="I224">
        <f>IFERROR(VLOOKUP(H224,Rates!$A$2:$B$3,2,0),1)</f>
        <v>1</v>
      </c>
      <c r="J224" t="str">
        <f t="shared" si="6"/>
        <v/>
      </c>
      <c r="K224" t="str">
        <f>IF(J224&lt;&gt;"",SUM($J$2:J224),"")</f>
        <v/>
      </c>
      <c r="L224">
        <f ca="1" t="shared" si="7"/>
        <v>45942</v>
      </c>
    </row>
    <row r="225" spans="9:12">
      <c r="I225">
        <f>IFERROR(VLOOKUP(H225,Rates!$A$2:$B$3,2,0),1)</f>
        <v>1</v>
      </c>
      <c r="J225" t="str">
        <f t="shared" si="6"/>
        <v/>
      </c>
      <c r="K225" t="str">
        <f>IF(J225&lt;&gt;"",SUM($J$2:J225),"")</f>
        <v/>
      </c>
      <c r="L225">
        <f ca="1" t="shared" si="7"/>
        <v>45942</v>
      </c>
    </row>
    <row r="226" spans="9:12">
      <c r="I226">
        <f>IFERROR(VLOOKUP(H226,Rates!$A$2:$B$3,2,0),1)</f>
        <v>1</v>
      </c>
      <c r="J226" t="str">
        <f t="shared" si="6"/>
        <v/>
      </c>
      <c r="K226" t="str">
        <f>IF(J226&lt;&gt;"",SUM($J$2:J226),"")</f>
        <v/>
      </c>
      <c r="L226">
        <f ca="1" t="shared" si="7"/>
        <v>45942</v>
      </c>
    </row>
    <row r="227" spans="9:12">
      <c r="I227">
        <f>IFERROR(VLOOKUP(H227,Rates!$A$2:$B$3,2,0),1)</f>
        <v>1</v>
      </c>
      <c r="J227" t="str">
        <f t="shared" si="6"/>
        <v/>
      </c>
      <c r="K227" t="str">
        <f>IF(J227&lt;&gt;"",SUM($J$2:J227),"")</f>
        <v/>
      </c>
      <c r="L227">
        <f ca="1" t="shared" si="7"/>
        <v>45942</v>
      </c>
    </row>
    <row r="228" spans="9:12">
      <c r="I228">
        <f>IFERROR(VLOOKUP(H228,Rates!$A$2:$B$3,2,0),1)</f>
        <v>1</v>
      </c>
      <c r="J228" t="str">
        <f t="shared" si="6"/>
        <v/>
      </c>
      <c r="K228" t="str">
        <f>IF(J228&lt;&gt;"",SUM($J$2:J228),"")</f>
        <v/>
      </c>
      <c r="L228">
        <f ca="1" t="shared" si="7"/>
        <v>45942</v>
      </c>
    </row>
    <row r="229" spans="9:12">
      <c r="I229">
        <f>IFERROR(VLOOKUP(H229,Rates!$A$2:$B$3,2,0),1)</f>
        <v>1</v>
      </c>
      <c r="J229" t="str">
        <f t="shared" si="6"/>
        <v/>
      </c>
      <c r="K229" t="str">
        <f>IF(J229&lt;&gt;"",SUM($J$2:J229),"")</f>
        <v/>
      </c>
      <c r="L229">
        <f ca="1" t="shared" si="7"/>
        <v>45942</v>
      </c>
    </row>
    <row r="230" spans="9:12">
      <c r="I230">
        <f>IFERROR(VLOOKUP(H230,Rates!$A$2:$B$3,2,0),1)</f>
        <v>1</v>
      </c>
      <c r="J230" t="str">
        <f t="shared" si="6"/>
        <v/>
      </c>
      <c r="K230" t="str">
        <f>IF(J230&lt;&gt;"",SUM($J$2:J230),"")</f>
        <v/>
      </c>
      <c r="L230">
        <f ca="1" t="shared" si="7"/>
        <v>45942</v>
      </c>
    </row>
    <row r="231" spans="9:12">
      <c r="I231">
        <f>IFERROR(VLOOKUP(H231,Rates!$A$2:$B$3,2,0),1)</f>
        <v>1</v>
      </c>
      <c r="J231" t="str">
        <f t="shared" si="6"/>
        <v/>
      </c>
      <c r="K231" t="str">
        <f>IF(J231&lt;&gt;"",SUM($J$2:J231),"")</f>
        <v/>
      </c>
      <c r="L231">
        <f ca="1" t="shared" si="7"/>
        <v>45942</v>
      </c>
    </row>
    <row r="232" spans="9:12">
      <c r="I232">
        <f>IFERROR(VLOOKUP(H232,Rates!$A$2:$B$3,2,0),1)</f>
        <v>1</v>
      </c>
      <c r="J232" t="str">
        <f t="shared" si="6"/>
        <v/>
      </c>
      <c r="K232" t="str">
        <f>IF(J232&lt;&gt;"",SUM($J$2:J232),"")</f>
        <v/>
      </c>
      <c r="L232">
        <f ca="1" t="shared" si="7"/>
        <v>45942</v>
      </c>
    </row>
    <row r="233" spans="9:12">
      <c r="I233">
        <f>IFERROR(VLOOKUP(H233,Rates!$A$2:$B$3,2,0),1)</f>
        <v>1</v>
      </c>
      <c r="J233" t="str">
        <f t="shared" si="6"/>
        <v/>
      </c>
      <c r="K233" t="str">
        <f>IF(J233&lt;&gt;"",SUM($J$2:J233),"")</f>
        <v/>
      </c>
      <c r="L233">
        <f ca="1" t="shared" si="7"/>
        <v>45942</v>
      </c>
    </row>
    <row r="234" spans="9:12">
      <c r="I234">
        <f>IFERROR(VLOOKUP(H234,Rates!$A$2:$B$3,2,0),1)</f>
        <v>1</v>
      </c>
      <c r="J234" t="str">
        <f t="shared" si="6"/>
        <v/>
      </c>
      <c r="K234" t="str">
        <f>IF(J234&lt;&gt;"",SUM($J$2:J234),"")</f>
        <v/>
      </c>
      <c r="L234">
        <f ca="1" t="shared" si="7"/>
        <v>45942</v>
      </c>
    </row>
    <row r="235" spans="9:12">
      <c r="I235">
        <f>IFERROR(VLOOKUP(H235,Rates!$A$2:$B$3,2,0),1)</f>
        <v>1</v>
      </c>
      <c r="J235" t="str">
        <f t="shared" si="6"/>
        <v/>
      </c>
      <c r="K235" t="str">
        <f>IF(J235&lt;&gt;"",SUM($J$2:J235),"")</f>
        <v/>
      </c>
      <c r="L235">
        <f ca="1" t="shared" si="7"/>
        <v>45942</v>
      </c>
    </row>
    <row r="236" spans="9:12">
      <c r="I236">
        <f>IFERROR(VLOOKUP(H236,Rates!$A$2:$B$3,2,0),1)</f>
        <v>1</v>
      </c>
      <c r="J236" t="str">
        <f t="shared" si="6"/>
        <v/>
      </c>
      <c r="K236" t="str">
        <f>IF(J236&lt;&gt;"",SUM($J$2:J236),"")</f>
        <v/>
      </c>
      <c r="L236">
        <f ca="1" t="shared" si="7"/>
        <v>45942</v>
      </c>
    </row>
    <row r="237" spans="9:12">
      <c r="I237">
        <f>IFERROR(VLOOKUP(H237,Rates!$A$2:$B$3,2,0),1)</f>
        <v>1</v>
      </c>
      <c r="J237" t="str">
        <f t="shared" si="6"/>
        <v/>
      </c>
      <c r="K237" t="str">
        <f>IF(J237&lt;&gt;"",SUM($J$2:J237),"")</f>
        <v/>
      </c>
      <c r="L237">
        <f ca="1" t="shared" si="7"/>
        <v>45942</v>
      </c>
    </row>
    <row r="238" spans="9:12">
      <c r="I238">
        <f>IFERROR(VLOOKUP(H238,Rates!$A$2:$B$3,2,0),1)</f>
        <v>1</v>
      </c>
      <c r="J238" t="str">
        <f t="shared" si="6"/>
        <v/>
      </c>
      <c r="K238" t="str">
        <f>IF(J238&lt;&gt;"",SUM($J$2:J238),"")</f>
        <v/>
      </c>
      <c r="L238">
        <f ca="1" t="shared" si="7"/>
        <v>45942</v>
      </c>
    </row>
    <row r="239" spans="9:12">
      <c r="I239">
        <f>IFERROR(VLOOKUP(H239,Rates!$A$2:$B$3,2,0),1)</f>
        <v>1</v>
      </c>
      <c r="J239" t="str">
        <f t="shared" si="6"/>
        <v/>
      </c>
      <c r="K239" t="str">
        <f>IF(J239&lt;&gt;"",SUM($J$2:J239),"")</f>
        <v/>
      </c>
      <c r="L239">
        <f ca="1" t="shared" si="7"/>
        <v>45942</v>
      </c>
    </row>
    <row r="240" spans="9:12">
      <c r="I240">
        <f>IFERROR(VLOOKUP(H240,Rates!$A$2:$B$3,2,0),1)</f>
        <v>1</v>
      </c>
      <c r="J240" t="str">
        <f t="shared" si="6"/>
        <v/>
      </c>
      <c r="K240" t="str">
        <f>IF(J240&lt;&gt;"",SUM($J$2:J240),"")</f>
        <v/>
      </c>
      <c r="L240">
        <f ca="1" t="shared" si="7"/>
        <v>45942</v>
      </c>
    </row>
    <row r="241" spans="9:12">
      <c r="I241">
        <f>IFERROR(VLOOKUP(H241,Rates!$A$2:$B$3,2,0),1)</f>
        <v>1</v>
      </c>
      <c r="J241" t="str">
        <f t="shared" si="6"/>
        <v/>
      </c>
      <c r="K241" t="str">
        <f>IF(J241&lt;&gt;"",SUM($J$2:J241),"")</f>
        <v/>
      </c>
      <c r="L241">
        <f ca="1" t="shared" si="7"/>
        <v>45942</v>
      </c>
    </row>
    <row r="242" spans="9:12">
      <c r="I242">
        <f>IFERROR(VLOOKUP(H242,Rates!$A$2:$B$3,2,0),1)</f>
        <v>1</v>
      </c>
      <c r="J242" t="str">
        <f t="shared" si="6"/>
        <v/>
      </c>
      <c r="K242" t="str">
        <f>IF(J242&lt;&gt;"",SUM($J$2:J242),"")</f>
        <v/>
      </c>
      <c r="L242">
        <f ca="1" t="shared" si="7"/>
        <v>45942</v>
      </c>
    </row>
    <row r="243" spans="9:12">
      <c r="I243">
        <f>IFERROR(VLOOKUP(H243,Rates!$A$2:$B$3,2,0),1)</f>
        <v>1</v>
      </c>
      <c r="J243" t="str">
        <f t="shared" si="6"/>
        <v/>
      </c>
      <c r="K243" t="str">
        <f>IF(J243&lt;&gt;"",SUM($J$2:J243),"")</f>
        <v/>
      </c>
      <c r="L243">
        <f ca="1" t="shared" si="7"/>
        <v>45942</v>
      </c>
    </row>
    <row r="244" spans="9:12">
      <c r="I244">
        <f>IFERROR(VLOOKUP(H244,Rates!$A$2:$B$3,2,0),1)</f>
        <v>1</v>
      </c>
      <c r="J244" t="str">
        <f t="shared" si="6"/>
        <v/>
      </c>
      <c r="K244" t="str">
        <f>IF(J244&lt;&gt;"",SUM($J$2:J244),"")</f>
        <v/>
      </c>
      <c r="L244">
        <f ca="1" t="shared" si="7"/>
        <v>45942</v>
      </c>
    </row>
    <row r="245" spans="9:12">
      <c r="I245">
        <f>IFERROR(VLOOKUP(H245,Rates!$A$2:$B$3,2,0),1)</f>
        <v>1</v>
      </c>
      <c r="J245" t="str">
        <f t="shared" si="6"/>
        <v/>
      </c>
      <c r="K245" t="str">
        <f>IF(J245&lt;&gt;"",SUM($J$2:J245),"")</f>
        <v/>
      </c>
      <c r="L245">
        <f ca="1" t="shared" si="7"/>
        <v>45942</v>
      </c>
    </row>
    <row r="246" spans="9:12">
      <c r="I246">
        <f>IFERROR(VLOOKUP(H246,Rates!$A$2:$B$3,2,0),1)</f>
        <v>1</v>
      </c>
      <c r="J246" t="str">
        <f t="shared" si="6"/>
        <v/>
      </c>
      <c r="K246" t="str">
        <f>IF(J246&lt;&gt;"",SUM($J$2:J246),"")</f>
        <v/>
      </c>
      <c r="L246">
        <f ca="1" t="shared" si="7"/>
        <v>45942</v>
      </c>
    </row>
    <row r="247" spans="9:12">
      <c r="I247">
        <f>IFERROR(VLOOKUP(H247,Rates!$A$2:$B$3,2,0),1)</f>
        <v>1</v>
      </c>
      <c r="J247" t="str">
        <f t="shared" si="6"/>
        <v/>
      </c>
      <c r="K247" t="str">
        <f>IF(J247&lt;&gt;"",SUM($J$2:J247),"")</f>
        <v/>
      </c>
      <c r="L247">
        <f ca="1" t="shared" si="7"/>
        <v>45942</v>
      </c>
    </row>
    <row r="248" spans="9:12">
      <c r="I248">
        <f>IFERROR(VLOOKUP(H248,Rates!$A$2:$B$3,2,0),1)</f>
        <v>1</v>
      </c>
      <c r="J248" t="str">
        <f t="shared" si="6"/>
        <v/>
      </c>
      <c r="K248" t="str">
        <f>IF(J248&lt;&gt;"",SUM($J$2:J248),"")</f>
        <v/>
      </c>
      <c r="L248">
        <f ca="1" t="shared" si="7"/>
        <v>45942</v>
      </c>
    </row>
    <row r="249" spans="9:12">
      <c r="I249">
        <f>IFERROR(VLOOKUP(H249,Rates!$A$2:$B$3,2,0),1)</f>
        <v>1</v>
      </c>
      <c r="J249" t="str">
        <f t="shared" si="6"/>
        <v/>
      </c>
      <c r="K249" t="str">
        <f>IF(J249&lt;&gt;"",SUM($J$2:J249),"")</f>
        <v/>
      </c>
      <c r="L249">
        <f ca="1" t="shared" si="7"/>
        <v>45942</v>
      </c>
    </row>
    <row r="250" spans="9:12">
      <c r="I250">
        <f>IFERROR(VLOOKUP(H250,Rates!$A$2:$B$3,2,0),1)</f>
        <v>1</v>
      </c>
      <c r="J250" t="str">
        <f t="shared" si="6"/>
        <v/>
      </c>
      <c r="K250" t="str">
        <f>IF(J250&lt;&gt;"",SUM($J$2:J250),"")</f>
        <v/>
      </c>
      <c r="L250">
        <f ca="1" t="shared" si="7"/>
        <v>45942</v>
      </c>
    </row>
    <row r="251" spans="9:12">
      <c r="I251">
        <f>IFERROR(VLOOKUP(H251,Rates!$A$2:$B$3,2,0),1)</f>
        <v>1</v>
      </c>
      <c r="J251" t="str">
        <f t="shared" si="6"/>
        <v/>
      </c>
      <c r="K251" t="str">
        <f>IF(J251&lt;&gt;"",SUM($J$2:J251),"")</f>
        <v/>
      </c>
      <c r="L251">
        <f ca="1" t="shared" si="7"/>
        <v>45942</v>
      </c>
    </row>
    <row r="252" spans="9:12">
      <c r="I252">
        <f>IFERROR(VLOOKUP(H252,Rates!$A$2:$B$3,2,0),1)</f>
        <v>1</v>
      </c>
      <c r="J252" t="str">
        <f t="shared" si="6"/>
        <v/>
      </c>
      <c r="K252" t="str">
        <f>IF(J252&lt;&gt;"",SUM($J$2:J252),"")</f>
        <v/>
      </c>
      <c r="L252">
        <f ca="1" t="shared" si="7"/>
        <v>45942</v>
      </c>
    </row>
    <row r="253" spans="9:12">
      <c r="I253">
        <f>IFERROR(VLOOKUP(H253,Rates!$A$2:$B$3,2,0),1)</f>
        <v>1</v>
      </c>
      <c r="J253" t="str">
        <f t="shared" si="6"/>
        <v/>
      </c>
      <c r="K253" t="str">
        <f>IF(J253&lt;&gt;"",SUM($J$2:J253),"")</f>
        <v/>
      </c>
      <c r="L253">
        <f ca="1" t="shared" si="7"/>
        <v>45942</v>
      </c>
    </row>
    <row r="254" spans="9:12">
      <c r="I254">
        <f>IFERROR(VLOOKUP(H254,Rates!$A$2:$B$3,2,0),1)</f>
        <v>1</v>
      </c>
      <c r="J254" t="str">
        <f t="shared" si="6"/>
        <v/>
      </c>
      <c r="K254" t="str">
        <f>IF(J254&lt;&gt;"",SUM($J$2:J254),"")</f>
        <v/>
      </c>
      <c r="L254">
        <f ca="1" t="shared" si="7"/>
        <v>45942</v>
      </c>
    </row>
    <row r="255" spans="9:12">
      <c r="I255">
        <f>IFERROR(VLOOKUP(H255,Rates!$A$2:$B$3,2,0),1)</f>
        <v>1</v>
      </c>
      <c r="J255" t="str">
        <f t="shared" si="6"/>
        <v/>
      </c>
      <c r="K255" t="str">
        <f>IF(J255&lt;&gt;"",SUM($J$2:J255),"")</f>
        <v/>
      </c>
      <c r="L255">
        <f ca="1" t="shared" si="7"/>
        <v>45942</v>
      </c>
    </row>
    <row r="256" spans="9:12">
      <c r="I256">
        <f>IFERROR(VLOOKUP(H256,Rates!$A$2:$B$3,2,0),1)</f>
        <v>1</v>
      </c>
      <c r="J256" t="str">
        <f t="shared" si="6"/>
        <v/>
      </c>
      <c r="K256" t="str">
        <f>IF(J256&lt;&gt;"",SUM($J$2:J256),"")</f>
        <v/>
      </c>
      <c r="L256">
        <f ca="1" t="shared" si="7"/>
        <v>45942</v>
      </c>
    </row>
    <row r="257" spans="9:12">
      <c r="I257">
        <f>IFERROR(VLOOKUP(H257,Rates!$A$2:$B$3,2,0),1)</f>
        <v>1</v>
      </c>
      <c r="J257" t="str">
        <f t="shared" si="6"/>
        <v/>
      </c>
      <c r="K257" t="str">
        <f>IF(J257&lt;&gt;"",SUM($J$2:J257),"")</f>
        <v/>
      </c>
      <c r="L257">
        <f ca="1" t="shared" si="7"/>
        <v>45942</v>
      </c>
    </row>
    <row r="258" spans="9:12">
      <c r="I258">
        <f>IFERROR(VLOOKUP(H258,Rates!$A$2:$B$3,2,0),1)</f>
        <v>1</v>
      </c>
      <c r="J258" t="str">
        <f t="shared" ref="J258:J301" si="8">IF(G258&lt;&gt;"",G258*I258,"")</f>
        <v/>
      </c>
      <c r="K258" t="str">
        <f>IF(J258&lt;&gt;"",SUM($J$2:J258),"")</f>
        <v/>
      </c>
      <c r="L258">
        <f ca="1" t="shared" ref="L258:L301" si="9">IF(COUNTA(A258:K258)&gt;0,TODAY(),"")</f>
        <v>45942</v>
      </c>
    </row>
    <row r="259" spans="9:12">
      <c r="I259">
        <f>IFERROR(VLOOKUP(H259,Rates!$A$2:$B$3,2,0),1)</f>
        <v>1</v>
      </c>
      <c r="J259" t="str">
        <f t="shared" si="8"/>
        <v/>
      </c>
      <c r="K259" t="str">
        <f>IF(J259&lt;&gt;"",SUM($J$2:J259),"")</f>
        <v/>
      </c>
      <c r="L259">
        <f ca="1" t="shared" si="9"/>
        <v>45942</v>
      </c>
    </row>
    <row r="260" spans="9:12">
      <c r="I260">
        <f>IFERROR(VLOOKUP(H260,Rates!$A$2:$B$3,2,0),1)</f>
        <v>1</v>
      </c>
      <c r="J260" t="str">
        <f t="shared" si="8"/>
        <v/>
      </c>
      <c r="K260" t="str">
        <f>IF(J260&lt;&gt;"",SUM($J$2:J260),"")</f>
        <v/>
      </c>
      <c r="L260">
        <f ca="1" t="shared" si="9"/>
        <v>45942</v>
      </c>
    </row>
    <row r="261" spans="9:12">
      <c r="I261">
        <f>IFERROR(VLOOKUP(H261,Rates!$A$2:$B$3,2,0),1)</f>
        <v>1</v>
      </c>
      <c r="J261" t="str">
        <f t="shared" si="8"/>
        <v/>
      </c>
      <c r="K261" t="str">
        <f>IF(J261&lt;&gt;"",SUM($J$2:J261),"")</f>
        <v/>
      </c>
      <c r="L261">
        <f ca="1" t="shared" si="9"/>
        <v>45942</v>
      </c>
    </row>
    <row r="262" spans="9:12">
      <c r="I262">
        <f>IFERROR(VLOOKUP(H262,Rates!$A$2:$B$3,2,0),1)</f>
        <v>1</v>
      </c>
      <c r="J262" t="str">
        <f t="shared" si="8"/>
        <v/>
      </c>
      <c r="K262" t="str">
        <f>IF(J262&lt;&gt;"",SUM($J$2:J262),"")</f>
        <v/>
      </c>
      <c r="L262">
        <f ca="1" t="shared" si="9"/>
        <v>45942</v>
      </c>
    </row>
    <row r="263" spans="9:12">
      <c r="I263">
        <f>IFERROR(VLOOKUP(H263,Rates!$A$2:$B$3,2,0),1)</f>
        <v>1</v>
      </c>
      <c r="J263" t="str">
        <f t="shared" si="8"/>
        <v/>
      </c>
      <c r="K263" t="str">
        <f>IF(J263&lt;&gt;"",SUM($J$2:J263),"")</f>
        <v/>
      </c>
      <c r="L263">
        <f ca="1" t="shared" si="9"/>
        <v>45942</v>
      </c>
    </row>
    <row r="264" spans="9:12">
      <c r="I264">
        <f>IFERROR(VLOOKUP(H264,Rates!$A$2:$B$3,2,0),1)</f>
        <v>1</v>
      </c>
      <c r="J264" t="str">
        <f t="shared" si="8"/>
        <v/>
      </c>
      <c r="K264" t="str">
        <f>IF(J264&lt;&gt;"",SUM($J$2:J264),"")</f>
        <v/>
      </c>
      <c r="L264">
        <f ca="1" t="shared" si="9"/>
        <v>45942</v>
      </c>
    </row>
    <row r="265" spans="9:12">
      <c r="I265">
        <f>IFERROR(VLOOKUP(H265,Rates!$A$2:$B$3,2,0),1)</f>
        <v>1</v>
      </c>
      <c r="J265" t="str">
        <f t="shared" si="8"/>
        <v/>
      </c>
      <c r="K265" t="str">
        <f>IF(J265&lt;&gt;"",SUM($J$2:J265),"")</f>
        <v/>
      </c>
      <c r="L265">
        <f ca="1" t="shared" si="9"/>
        <v>45942</v>
      </c>
    </row>
    <row r="266" spans="9:12">
      <c r="I266">
        <f>IFERROR(VLOOKUP(H266,Rates!$A$2:$B$3,2,0),1)</f>
        <v>1</v>
      </c>
      <c r="J266" t="str">
        <f t="shared" si="8"/>
        <v/>
      </c>
      <c r="K266" t="str">
        <f>IF(J266&lt;&gt;"",SUM($J$2:J266),"")</f>
        <v/>
      </c>
      <c r="L266">
        <f ca="1" t="shared" si="9"/>
        <v>45942</v>
      </c>
    </row>
    <row r="267" spans="9:12">
      <c r="I267">
        <f>IFERROR(VLOOKUP(H267,Rates!$A$2:$B$3,2,0),1)</f>
        <v>1</v>
      </c>
      <c r="J267" t="str">
        <f t="shared" si="8"/>
        <v/>
      </c>
      <c r="K267" t="str">
        <f>IF(J267&lt;&gt;"",SUM($J$2:J267),"")</f>
        <v/>
      </c>
      <c r="L267">
        <f ca="1" t="shared" si="9"/>
        <v>45942</v>
      </c>
    </row>
    <row r="268" spans="9:12">
      <c r="I268">
        <f>IFERROR(VLOOKUP(H268,Rates!$A$2:$B$3,2,0),1)</f>
        <v>1</v>
      </c>
      <c r="J268" t="str">
        <f t="shared" si="8"/>
        <v/>
      </c>
      <c r="K268" t="str">
        <f>IF(J268&lt;&gt;"",SUM($J$2:J268),"")</f>
        <v/>
      </c>
      <c r="L268">
        <f ca="1" t="shared" si="9"/>
        <v>45942</v>
      </c>
    </row>
    <row r="269" spans="9:12">
      <c r="I269">
        <f>IFERROR(VLOOKUP(H269,Rates!$A$2:$B$3,2,0),1)</f>
        <v>1</v>
      </c>
      <c r="J269" t="str">
        <f t="shared" si="8"/>
        <v/>
      </c>
      <c r="K269" t="str">
        <f>IF(J269&lt;&gt;"",SUM($J$2:J269),"")</f>
        <v/>
      </c>
      <c r="L269">
        <f ca="1" t="shared" si="9"/>
        <v>45942</v>
      </c>
    </row>
    <row r="270" spans="9:12">
      <c r="I270">
        <f>IFERROR(VLOOKUP(H270,Rates!$A$2:$B$3,2,0),1)</f>
        <v>1</v>
      </c>
      <c r="J270" t="str">
        <f t="shared" si="8"/>
        <v/>
      </c>
      <c r="K270" t="str">
        <f>IF(J270&lt;&gt;"",SUM($J$2:J270),"")</f>
        <v/>
      </c>
      <c r="L270">
        <f ca="1" t="shared" si="9"/>
        <v>45942</v>
      </c>
    </row>
    <row r="271" spans="9:12">
      <c r="I271">
        <f>IFERROR(VLOOKUP(H271,Rates!$A$2:$B$3,2,0),1)</f>
        <v>1</v>
      </c>
      <c r="J271" t="str">
        <f t="shared" si="8"/>
        <v/>
      </c>
      <c r="K271" t="str">
        <f>IF(J271&lt;&gt;"",SUM($J$2:J271),"")</f>
        <v/>
      </c>
      <c r="L271">
        <f ca="1" t="shared" si="9"/>
        <v>45942</v>
      </c>
    </row>
    <row r="272" spans="9:12">
      <c r="I272">
        <f>IFERROR(VLOOKUP(H272,Rates!$A$2:$B$3,2,0),1)</f>
        <v>1</v>
      </c>
      <c r="J272" t="str">
        <f t="shared" si="8"/>
        <v/>
      </c>
      <c r="K272" t="str">
        <f>IF(J272&lt;&gt;"",SUM($J$2:J272),"")</f>
        <v/>
      </c>
      <c r="L272">
        <f ca="1" t="shared" si="9"/>
        <v>45942</v>
      </c>
    </row>
    <row r="273" spans="9:12">
      <c r="I273">
        <f>IFERROR(VLOOKUP(H273,Rates!$A$2:$B$3,2,0),1)</f>
        <v>1</v>
      </c>
      <c r="J273" t="str">
        <f t="shared" si="8"/>
        <v/>
      </c>
      <c r="K273" t="str">
        <f>IF(J273&lt;&gt;"",SUM($J$2:J273),"")</f>
        <v/>
      </c>
      <c r="L273">
        <f ca="1" t="shared" si="9"/>
        <v>45942</v>
      </c>
    </row>
    <row r="274" spans="9:12">
      <c r="I274">
        <f>IFERROR(VLOOKUP(H274,Rates!$A$2:$B$3,2,0),1)</f>
        <v>1</v>
      </c>
      <c r="J274" t="str">
        <f t="shared" si="8"/>
        <v/>
      </c>
      <c r="K274" t="str">
        <f>IF(J274&lt;&gt;"",SUM($J$2:J274),"")</f>
        <v/>
      </c>
      <c r="L274">
        <f ca="1" t="shared" si="9"/>
        <v>45942</v>
      </c>
    </row>
    <row r="275" spans="9:12">
      <c r="I275">
        <f>IFERROR(VLOOKUP(H275,Rates!$A$2:$B$3,2,0),1)</f>
        <v>1</v>
      </c>
      <c r="J275" t="str">
        <f t="shared" si="8"/>
        <v/>
      </c>
      <c r="K275" t="str">
        <f>IF(J275&lt;&gt;"",SUM($J$2:J275),"")</f>
        <v/>
      </c>
      <c r="L275">
        <f ca="1" t="shared" si="9"/>
        <v>45942</v>
      </c>
    </row>
    <row r="276" spans="9:12">
      <c r="I276">
        <f>IFERROR(VLOOKUP(H276,Rates!$A$2:$B$3,2,0),1)</f>
        <v>1</v>
      </c>
      <c r="J276" t="str">
        <f t="shared" si="8"/>
        <v/>
      </c>
      <c r="K276" t="str">
        <f>IF(J276&lt;&gt;"",SUM($J$2:J276),"")</f>
        <v/>
      </c>
      <c r="L276">
        <f ca="1" t="shared" si="9"/>
        <v>45942</v>
      </c>
    </row>
    <row r="277" spans="9:12">
      <c r="I277">
        <f>IFERROR(VLOOKUP(H277,Rates!$A$2:$B$3,2,0),1)</f>
        <v>1</v>
      </c>
      <c r="J277" t="str">
        <f t="shared" si="8"/>
        <v/>
      </c>
      <c r="K277" t="str">
        <f>IF(J277&lt;&gt;"",SUM($J$2:J277),"")</f>
        <v/>
      </c>
      <c r="L277">
        <f ca="1" t="shared" si="9"/>
        <v>45942</v>
      </c>
    </row>
    <row r="278" spans="9:12">
      <c r="I278">
        <f>IFERROR(VLOOKUP(H278,Rates!$A$2:$B$3,2,0),1)</f>
        <v>1</v>
      </c>
      <c r="J278" t="str">
        <f t="shared" si="8"/>
        <v/>
      </c>
      <c r="K278" t="str">
        <f>IF(J278&lt;&gt;"",SUM($J$2:J278),"")</f>
        <v/>
      </c>
      <c r="L278">
        <f ca="1" t="shared" si="9"/>
        <v>45942</v>
      </c>
    </row>
    <row r="279" spans="9:12">
      <c r="I279">
        <f>IFERROR(VLOOKUP(H279,Rates!$A$2:$B$3,2,0),1)</f>
        <v>1</v>
      </c>
      <c r="J279" t="str">
        <f t="shared" si="8"/>
        <v/>
      </c>
      <c r="K279" t="str">
        <f>IF(J279&lt;&gt;"",SUM($J$2:J279),"")</f>
        <v/>
      </c>
      <c r="L279">
        <f ca="1" t="shared" si="9"/>
        <v>45942</v>
      </c>
    </row>
    <row r="280" spans="9:12">
      <c r="I280">
        <f>IFERROR(VLOOKUP(H280,Rates!$A$2:$B$3,2,0),1)</f>
        <v>1</v>
      </c>
      <c r="J280" t="str">
        <f t="shared" si="8"/>
        <v/>
      </c>
      <c r="K280" t="str">
        <f>IF(J280&lt;&gt;"",SUM($J$2:J280),"")</f>
        <v/>
      </c>
      <c r="L280">
        <f ca="1" t="shared" si="9"/>
        <v>45942</v>
      </c>
    </row>
    <row r="281" spans="9:12">
      <c r="I281">
        <f>IFERROR(VLOOKUP(H281,Rates!$A$2:$B$3,2,0),1)</f>
        <v>1</v>
      </c>
      <c r="J281" t="str">
        <f t="shared" si="8"/>
        <v/>
      </c>
      <c r="K281" t="str">
        <f>IF(J281&lt;&gt;"",SUM($J$2:J281),"")</f>
        <v/>
      </c>
      <c r="L281">
        <f ca="1" t="shared" si="9"/>
        <v>45942</v>
      </c>
    </row>
    <row r="282" spans="9:12">
      <c r="I282">
        <f>IFERROR(VLOOKUP(H282,Rates!$A$2:$B$3,2,0),1)</f>
        <v>1</v>
      </c>
      <c r="J282" t="str">
        <f t="shared" si="8"/>
        <v/>
      </c>
      <c r="K282" t="str">
        <f>IF(J282&lt;&gt;"",SUM($J$2:J282),"")</f>
        <v/>
      </c>
      <c r="L282">
        <f ca="1" t="shared" si="9"/>
        <v>45942</v>
      </c>
    </row>
    <row r="283" spans="9:12">
      <c r="I283">
        <f>IFERROR(VLOOKUP(H283,Rates!$A$2:$B$3,2,0),1)</f>
        <v>1</v>
      </c>
      <c r="J283" t="str">
        <f t="shared" si="8"/>
        <v/>
      </c>
      <c r="K283" t="str">
        <f>IF(J283&lt;&gt;"",SUM($J$2:J283),"")</f>
        <v/>
      </c>
      <c r="L283">
        <f ca="1" t="shared" si="9"/>
        <v>45942</v>
      </c>
    </row>
    <row r="284" spans="9:12">
      <c r="I284">
        <f>IFERROR(VLOOKUP(H284,Rates!$A$2:$B$3,2,0),1)</f>
        <v>1</v>
      </c>
      <c r="J284" t="str">
        <f t="shared" si="8"/>
        <v/>
      </c>
      <c r="K284" t="str">
        <f>IF(J284&lt;&gt;"",SUM($J$2:J284),"")</f>
        <v/>
      </c>
      <c r="L284">
        <f ca="1" t="shared" si="9"/>
        <v>45942</v>
      </c>
    </row>
    <row r="285" spans="9:12">
      <c r="I285">
        <f>IFERROR(VLOOKUP(H285,Rates!$A$2:$B$3,2,0),1)</f>
        <v>1</v>
      </c>
      <c r="J285" t="str">
        <f t="shared" si="8"/>
        <v/>
      </c>
      <c r="K285" t="str">
        <f>IF(J285&lt;&gt;"",SUM($J$2:J285),"")</f>
        <v/>
      </c>
      <c r="L285">
        <f ca="1" t="shared" si="9"/>
        <v>45942</v>
      </c>
    </row>
    <row r="286" spans="9:12">
      <c r="I286">
        <f>IFERROR(VLOOKUP(H286,Rates!$A$2:$B$3,2,0),1)</f>
        <v>1</v>
      </c>
      <c r="J286" t="str">
        <f t="shared" si="8"/>
        <v/>
      </c>
      <c r="K286" t="str">
        <f>IF(J286&lt;&gt;"",SUM($J$2:J286),"")</f>
        <v/>
      </c>
      <c r="L286">
        <f ca="1" t="shared" si="9"/>
        <v>45942</v>
      </c>
    </row>
    <row r="287" spans="9:12">
      <c r="I287">
        <f>IFERROR(VLOOKUP(H287,Rates!$A$2:$B$3,2,0),1)</f>
        <v>1</v>
      </c>
      <c r="J287" t="str">
        <f t="shared" si="8"/>
        <v/>
      </c>
      <c r="K287" t="str">
        <f>IF(J287&lt;&gt;"",SUM($J$2:J287),"")</f>
        <v/>
      </c>
      <c r="L287">
        <f ca="1" t="shared" si="9"/>
        <v>45942</v>
      </c>
    </row>
    <row r="288" spans="9:12">
      <c r="I288">
        <f>IFERROR(VLOOKUP(H288,Rates!$A$2:$B$3,2,0),1)</f>
        <v>1</v>
      </c>
      <c r="J288" t="str">
        <f t="shared" si="8"/>
        <v/>
      </c>
      <c r="K288" t="str">
        <f>IF(J288&lt;&gt;"",SUM($J$2:J288),"")</f>
        <v/>
      </c>
      <c r="L288">
        <f ca="1" t="shared" si="9"/>
        <v>45942</v>
      </c>
    </row>
    <row r="289" spans="9:12">
      <c r="I289">
        <f>IFERROR(VLOOKUP(H289,Rates!$A$2:$B$3,2,0),1)</f>
        <v>1</v>
      </c>
      <c r="J289" t="str">
        <f t="shared" si="8"/>
        <v/>
      </c>
      <c r="K289" t="str">
        <f>IF(J289&lt;&gt;"",SUM($J$2:J289),"")</f>
        <v/>
      </c>
      <c r="L289">
        <f ca="1" t="shared" si="9"/>
        <v>45942</v>
      </c>
    </row>
    <row r="290" spans="9:12">
      <c r="I290">
        <f>IFERROR(VLOOKUP(H290,Rates!$A$2:$B$3,2,0),1)</f>
        <v>1</v>
      </c>
      <c r="J290" t="str">
        <f t="shared" si="8"/>
        <v/>
      </c>
      <c r="K290" t="str">
        <f>IF(J290&lt;&gt;"",SUM($J$2:J290),"")</f>
        <v/>
      </c>
      <c r="L290">
        <f ca="1" t="shared" si="9"/>
        <v>45942</v>
      </c>
    </row>
    <row r="291" spans="9:12">
      <c r="I291">
        <f>IFERROR(VLOOKUP(H291,Rates!$A$2:$B$3,2,0),1)</f>
        <v>1</v>
      </c>
      <c r="J291" t="str">
        <f t="shared" si="8"/>
        <v/>
      </c>
      <c r="K291" t="str">
        <f>IF(J291&lt;&gt;"",SUM($J$2:J291),"")</f>
        <v/>
      </c>
      <c r="L291">
        <f ca="1" t="shared" si="9"/>
        <v>45942</v>
      </c>
    </row>
    <row r="292" spans="9:12">
      <c r="I292">
        <f>IFERROR(VLOOKUP(H292,Rates!$A$2:$B$3,2,0),1)</f>
        <v>1</v>
      </c>
      <c r="J292" t="str">
        <f t="shared" si="8"/>
        <v/>
      </c>
      <c r="K292" t="str">
        <f>IF(J292&lt;&gt;"",SUM($J$2:J292),"")</f>
        <v/>
      </c>
      <c r="L292">
        <f ca="1" t="shared" si="9"/>
        <v>45942</v>
      </c>
    </row>
    <row r="293" spans="9:12">
      <c r="I293">
        <f>IFERROR(VLOOKUP(H293,Rates!$A$2:$B$3,2,0),1)</f>
        <v>1</v>
      </c>
      <c r="J293" t="str">
        <f t="shared" si="8"/>
        <v/>
      </c>
      <c r="K293" t="str">
        <f>IF(J293&lt;&gt;"",SUM($J$2:J293),"")</f>
        <v/>
      </c>
      <c r="L293">
        <f ca="1" t="shared" si="9"/>
        <v>45942</v>
      </c>
    </row>
    <row r="294" spans="9:12">
      <c r="I294">
        <f>IFERROR(VLOOKUP(H294,Rates!$A$2:$B$3,2,0),1)</f>
        <v>1</v>
      </c>
      <c r="J294" t="str">
        <f t="shared" si="8"/>
        <v/>
      </c>
      <c r="K294" t="str">
        <f>IF(J294&lt;&gt;"",SUM($J$2:J294),"")</f>
        <v/>
      </c>
      <c r="L294">
        <f ca="1" t="shared" si="9"/>
        <v>45942</v>
      </c>
    </row>
    <row r="295" spans="9:12">
      <c r="I295">
        <f>IFERROR(VLOOKUP(H295,Rates!$A$2:$B$3,2,0),1)</f>
        <v>1</v>
      </c>
      <c r="J295" t="str">
        <f t="shared" si="8"/>
        <v/>
      </c>
      <c r="K295" t="str">
        <f>IF(J295&lt;&gt;"",SUM($J$2:J295),"")</f>
        <v/>
      </c>
      <c r="L295">
        <f ca="1" t="shared" si="9"/>
        <v>45942</v>
      </c>
    </row>
    <row r="296" spans="9:12">
      <c r="I296">
        <f>IFERROR(VLOOKUP(H296,Rates!$A$2:$B$3,2,0),1)</f>
        <v>1</v>
      </c>
      <c r="J296" t="str">
        <f t="shared" si="8"/>
        <v/>
      </c>
      <c r="K296" t="str">
        <f>IF(J296&lt;&gt;"",SUM($J$2:J296),"")</f>
        <v/>
      </c>
      <c r="L296">
        <f ca="1" t="shared" si="9"/>
        <v>45942</v>
      </c>
    </row>
    <row r="297" spans="9:12">
      <c r="I297">
        <f>IFERROR(VLOOKUP(H297,Rates!$A$2:$B$3,2,0),1)</f>
        <v>1</v>
      </c>
      <c r="J297" t="str">
        <f t="shared" si="8"/>
        <v/>
      </c>
      <c r="K297" t="str">
        <f>IF(J297&lt;&gt;"",SUM($J$2:J297),"")</f>
        <v/>
      </c>
      <c r="L297">
        <f ca="1" t="shared" si="9"/>
        <v>45942</v>
      </c>
    </row>
    <row r="298" spans="9:12">
      <c r="I298">
        <f>IFERROR(VLOOKUP(H298,Rates!$A$2:$B$3,2,0),1)</f>
        <v>1</v>
      </c>
      <c r="J298" t="str">
        <f t="shared" si="8"/>
        <v/>
      </c>
      <c r="K298" t="str">
        <f>IF(J298&lt;&gt;"",SUM($J$2:J298),"")</f>
        <v/>
      </c>
      <c r="L298">
        <f ca="1" t="shared" si="9"/>
        <v>45942</v>
      </c>
    </row>
    <row r="299" spans="9:12">
      <c r="I299">
        <f>IFERROR(VLOOKUP(H299,Rates!$A$2:$B$3,2,0),1)</f>
        <v>1</v>
      </c>
      <c r="J299" t="str">
        <f t="shared" si="8"/>
        <v/>
      </c>
      <c r="K299" t="str">
        <f>IF(J299&lt;&gt;"",SUM($J$2:J299),"")</f>
        <v/>
      </c>
      <c r="L299">
        <f ca="1" t="shared" si="9"/>
        <v>45942</v>
      </c>
    </row>
    <row r="300" spans="9:12">
      <c r="I300">
        <f>IFERROR(VLOOKUP(H300,Rates!$A$2:$B$3,2,0),1)</f>
        <v>1</v>
      </c>
      <c r="J300" t="str">
        <f t="shared" si="8"/>
        <v/>
      </c>
      <c r="K300" t="str">
        <f>IF(J300&lt;&gt;"",SUM($J$2:J300),"")</f>
        <v/>
      </c>
      <c r="L300">
        <f ca="1" t="shared" si="9"/>
        <v>45942</v>
      </c>
    </row>
    <row r="301" spans="9:12">
      <c r="I301">
        <f>IFERROR(VLOOKUP(H301,Rates!$A$2:$B$3,2,0),1)</f>
        <v>1</v>
      </c>
      <c r="J301" t="str">
        <f t="shared" si="8"/>
        <v/>
      </c>
      <c r="K301" t="str">
        <f>IF(J301&lt;&gt;"",SUM($J$2:J301),"")</f>
        <v/>
      </c>
      <c r="L301">
        <f ca="1" t="shared" si="9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workbookViewId="0">
      <pane ySplit="1" topLeftCell="A2" activePane="bottomLeft" state="frozen"/>
      <selection/>
      <selection pane="bottomLeft" activeCell="A8" sqref="A8:L28"/>
    </sheetView>
  </sheetViews>
  <sheetFormatPr defaultColWidth="9" defaultRowHeight="16.8"/>
  <cols>
    <col min="1" max="1" width="22" customWidth="1"/>
    <col min="2" max="2" width="12" customWidth="1"/>
    <col min="3" max="4" width="16" customWidth="1"/>
    <col min="5" max="5" width="26" customWidth="1"/>
    <col min="6" max="6" width="36" customWidth="1"/>
    <col min="7" max="7" width="12" customWidth="1"/>
    <col min="8" max="9" width="10" customWidth="1"/>
    <col min="10" max="10" width="14" customWidth="1"/>
    <col min="11" max="11" width="16" customWidth="1"/>
    <col min="12" max="12" width="14" customWidth="1"/>
    <col min="14" max="14" width="2" customWidth="1"/>
    <col min="16" max="16" width="2" customWidth="1"/>
  </cols>
  <sheetData>
    <row r="1" spans="1:12">
      <c r="A1" t="s">
        <v>36</v>
      </c>
      <c r="B1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</row>
    <row r="2" spans="1:12">
      <c r="A2" t="s">
        <v>40</v>
      </c>
      <c r="B2" s="11">
        <v>45664</v>
      </c>
      <c r="C2" t="s">
        <v>23</v>
      </c>
      <c r="D2" t="s">
        <v>29</v>
      </c>
      <c r="F2" t="s">
        <v>69</v>
      </c>
      <c r="G2">
        <v>-160</v>
      </c>
      <c r="H2" t="s">
        <v>2</v>
      </c>
      <c r="I2">
        <f>IFERROR(VLOOKUP(H2,Rates!$A$2:$B$3,2,0),1)</f>
        <v>283</v>
      </c>
      <c r="J2">
        <f t="shared" ref="J2:J65" si="0">IF(G2&lt;&gt;"",G2*I2,"")</f>
        <v>-45280</v>
      </c>
      <c r="K2">
        <f>IF(J2&lt;&gt;"",J2,"")</f>
        <v>-45280</v>
      </c>
      <c r="L2">
        <f ca="1" t="shared" ref="L2:L65" si="1">IF(COUNTA(A2:K2)&gt;0,TODAY(),"")</f>
        <v>45942</v>
      </c>
    </row>
    <row r="3" spans="1:12">
      <c r="A3" t="s">
        <v>40</v>
      </c>
      <c r="B3" s="11">
        <v>45664</v>
      </c>
      <c r="C3" t="s">
        <v>22</v>
      </c>
      <c r="D3" t="s">
        <v>32</v>
      </c>
      <c r="F3" t="s">
        <v>70</v>
      </c>
      <c r="G3">
        <v>-2000</v>
      </c>
      <c r="H3" t="s">
        <v>2</v>
      </c>
      <c r="I3">
        <f>IFERROR(VLOOKUP(H3,Rates!$A$2:$B$3,2,0),1)</f>
        <v>283</v>
      </c>
      <c r="J3">
        <f t="shared" si="0"/>
        <v>-566000</v>
      </c>
      <c r="K3">
        <f>IF(J3&lt;&gt;"",SUM($J$2:J3),"")</f>
        <v>-611280</v>
      </c>
      <c r="L3">
        <f ca="1" t="shared" si="1"/>
        <v>45942</v>
      </c>
    </row>
    <row r="4" spans="1:12">
      <c r="A4" t="s">
        <v>40</v>
      </c>
      <c r="B4" s="11">
        <v>45664</v>
      </c>
      <c r="C4" t="s">
        <v>21</v>
      </c>
      <c r="D4" t="s">
        <v>32</v>
      </c>
      <c r="F4" t="s">
        <v>71</v>
      </c>
      <c r="G4">
        <v>-60</v>
      </c>
      <c r="H4" t="s">
        <v>2</v>
      </c>
      <c r="I4">
        <f>IFERROR(VLOOKUP(H4,Rates!$A$2:$B$3,2,0),1)</f>
        <v>283</v>
      </c>
      <c r="J4">
        <f t="shared" si="0"/>
        <v>-16980</v>
      </c>
      <c r="K4">
        <f>IF(J4&lt;&gt;"",SUM($J$2:J4),"")</f>
        <v>-628260</v>
      </c>
      <c r="L4">
        <f ca="1" t="shared" si="1"/>
        <v>45942</v>
      </c>
    </row>
    <row r="5" spans="1:12">
      <c r="A5" t="s">
        <v>40</v>
      </c>
      <c r="B5" s="11">
        <v>45664</v>
      </c>
      <c r="C5" t="s">
        <v>10</v>
      </c>
      <c r="D5" t="s">
        <v>29</v>
      </c>
      <c r="F5" t="s">
        <v>72</v>
      </c>
      <c r="G5">
        <v>-2.99</v>
      </c>
      <c r="H5" t="s">
        <v>2</v>
      </c>
      <c r="I5">
        <f>IFERROR(VLOOKUP(H5,Rates!$A$2:$B$3,2,0),1)</f>
        <v>283</v>
      </c>
      <c r="J5">
        <f t="shared" si="0"/>
        <v>-846.17</v>
      </c>
      <c r="K5">
        <f>IF(J5&lt;&gt;"",SUM($J$2:J5),"")</f>
        <v>-629106.17</v>
      </c>
      <c r="L5">
        <f ca="1" t="shared" si="1"/>
        <v>45942</v>
      </c>
    </row>
    <row r="6" spans="1:12">
      <c r="A6" t="s">
        <v>40</v>
      </c>
      <c r="B6" s="11">
        <v>45664</v>
      </c>
      <c r="C6" t="s">
        <v>12</v>
      </c>
      <c r="D6" t="s">
        <v>30</v>
      </c>
      <c r="F6" t="s">
        <v>71</v>
      </c>
      <c r="G6">
        <v>-2</v>
      </c>
      <c r="H6" t="s">
        <v>2</v>
      </c>
      <c r="I6">
        <f>IFERROR(VLOOKUP(H6,Rates!$A$2:$B$3,2,0),1)</f>
        <v>283</v>
      </c>
      <c r="J6">
        <f t="shared" si="0"/>
        <v>-566</v>
      </c>
      <c r="K6">
        <f>IF(J6&lt;&gt;"",SUM($J$2:J6),"")</f>
        <v>-629672.17</v>
      </c>
      <c r="L6">
        <f ca="1" t="shared" si="1"/>
        <v>45942</v>
      </c>
    </row>
    <row r="7" spans="1:12">
      <c r="A7" t="s">
        <v>40</v>
      </c>
      <c r="B7" s="11">
        <v>45845</v>
      </c>
      <c r="C7" t="s">
        <v>22</v>
      </c>
      <c r="D7" t="s">
        <v>30</v>
      </c>
      <c r="F7" t="s">
        <v>73</v>
      </c>
      <c r="G7">
        <v>-2931</v>
      </c>
      <c r="H7" t="s">
        <v>2</v>
      </c>
      <c r="I7">
        <f>IFERROR(VLOOKUP(H7,Rates!$A$2:$B$3,2,0),1)</f>
        <v>283</v>
      </c>
      <c r="J7">
        <f t="shared" si="0"/>
        <v>-829473</v>
      </c>
      <c r="K7">
        <f>IF(J7&lt;&gt;"",SUM($J$2:J7),"")</f>
        <v>-1459145.17</v>
      </c>
      <c r="L7">
        <f ca="1" t="shared" si="1"/>
        <v>45942</v>
      </c>
    </row>
    <row r="8" spans="2:2">
      <c r="B8" s="11"/>
    </row>
    <row r="9" spans="2:2">
      <c r="B9" s="11"/>
    </row>
    <row r="10" spans="2:2">
      <c r="B10" s="11"/>
    </row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  <row r="21" spans="2:2">
      <c r="B21" s="11"/>
    </row>
    <row r="22" spans="2:2">
      <c r="B22" s="11"/>
    </row>
    <row r="23" spans="2:2">
      <c r="B23" s="11"/>
    </row>
    <row r="24" spans="2:2">
      <c r="B24" s="11"/>
    </row>
    <row r="25" spans="2:2">
      <c r="B25" s="11"/>
    </row>
    <row r="26" spans="2:2">
      <c r="B26" s="11"/>
    </row>
    <row r="27" spans="2:2">
      <c r="B27" s="11"/>
    </row>
    <row r="29" spans="9:12">
      <c r="I29">
        <f>IFERROR(VLOOKUP(H29,Rates!$A$2:$B$3,2,0),1)</f>
        <v>1</v>
      </c>
      <c r="J29" t="str">
        <f t="shared" si="0"/>
        <v/>
      </c>
      <c r="K29" t="str">
        <f>IF(J29&lt;&gt;"",SUM($J$2:J29),"")</f>
        <v/>
      </c>
      <c r="L29">
        <f ca="1" t="shared" si="1"/>
        <v>45942</v>
      </c>
    </row>
    <row r="30" spans="9:12">
      <c r="I30">
        <f>IFERROR(VLOOKUP(H30,Rates!$A$2:$B$3,2,0),1)</f>
        <v>1</v>
      </c>
      <c r="J30" t="str">
        <f t="shared" si="0"/>
        <v/>
      </c>
      <c r="K30" t="str">
        <f>IF(J30&lt;&gt;"",SUM($J$2:J30),"")</f>
        <v/>
      </c>
      <c r="L30">
        <f ca="1" t="shared" si="1"/>
        <v>45942</v>
      </c>
    </row>
    <row r="31" spans="9:12">
      <c r="I31">
        <f>IFERROR(VLOOKUP(H31,Rates!$A$2:$B$3,2,0),1)</f>
        <v>1</v>
      </c>
      <c r="J31" t="str">
        <f t="shared" si="0"/>
        <v/>
      </c>
      <c r="K31" t="str">
        <f>IF(J31&lt;&gt;"",SUM($J$2:J31),"")</f>
        <v/>
      </c>
      <c r="L31">
        <f ca="1" t="shared" si="1"/>
        <v>45942</v>
      </c>
    </row>
    <row r="32" spans="9:12">
      <c r="I32">
        <f>IFERROR(VLOOKUP(H32,Rates!$A$2:$B$3,2,0),1)</f>
        <v>1</v>
      </c>
      <c r="J32" t="str">
        <f t="shared" si="0"/>
        <v/>
      </c>
      <c r="K32" t="str">
        <f>IF(J32&lt;&gt;"",SUM($J$2:J32),"")</f>
        <v/>
      </c>
      <c r="L32">
        <f ca="1" t="shared" si="1"/>
        <v>45942</v>
      </c>
    </row>
    <row r="33" spans="9:12">
      <c r="I33">
        <f>IFERROR(VLOOKUP(H33,Rates!$A$2:$B$3,2,0),1)</f>
        <v>1</v>
      </c>
      <c r="J33" t="str">
        <f t="shared" si="0"/>
        <v/>
      </c>
      <c r="K33" t="str">
        <f>IF(J33&lt;&gt;"",SUM($J$2:J33),"")</f>
        <v/>
      </c>
      <c r="L33">
        <f ca="1" t="shared" si="1"/>
        <v>45942</v>
      </c>
    </row>
    <row r="34" spans="9:12">
      <c r="I34">
        <f>IFERROR(VLOOKUP(H34,Rates!$A$2:$B$3,2,0),1)</f>
        <v>1</v>
      </c>
      <c r="J34" t="str">
        <f t="shared" si="0"/>
        <v/>
      </c>
      <c r="K34" t="str">
        <f>IF(J34&lt;&gt;"",SUM($J$2:J34),"")</f>
        <v/>
      </c>
      <c r="L34">
        <f ca="1" t="shared" si="1"/>
        <v>45942</v>
      </c>
    </row>
    <row r="35" spans="9:12">
      <c r="I35">
        <f>IFERROR(VLOOKUP(H35,Rates!$A$2:$B$3,2,0),1)</f>
        <v>1</v>
      </c>
      <c r="J35" t="str">
        <f t="shared" si="0"/>
        <v/>
      </c>
      <c r="K35" t="str">
        <f>IF(J35&lt;&gt;"",SUM($J$2:J35),"")</f>
        <v/>
      </c>
      <c r="L35">
        <f ca="1" t="shared" si="1"/>
        <v>45942</v>
      </c>
    </row>
    <row r="36" spans="9:12">
      <c r="I36">
        <f>IFERROR(VLOOKUP(H36,Rates!$A$2:$B$3,2,0),1)</f>
        <v>1</v>
      </c>
      <c r="J36" t="str">
        <f t="shared" si="0"/>
        <v/>
      </c>
      <c r="K36" t="str">
        <f>IF(J36&lt;&gt;"",SUM($J$2:J36),"")</f>
        <v/>
      </c>
      <c r="L36">
        <f ca="1" t="shared" si="1"/>
        <v>45942</v>
      </c>
    </row>
    <row r="37" spans="9:12">
      <c r="I37">
        <f>IFERROR(VLOOKUP(H37,Rates!$A$2:$B$3,2,0),1)</f>
        <v>1</v>
      </c>
      <c r="J37" t="str">
        <f t="shared" si="0"/>
        <v/>
      </c>
      <c r="K37" t="str">
        <f>IF(J37&lt;&gt;"",SUM($J$2:J37),"")</f>
        <v/>
      </c>
      <c r="L37">
        <f ca="1" t="shared" si="1"/>
        <v>45942</v>
      </c>
    </row>
    <row r="38" spans="9:12">
      <c r="I38">
        <f>IFERROR(VLOOKUP(H38,Rates!$A$2:$B$3,2,0),1)</f>
        <v>1</v>
      </c>
      <c r="J38" t="str">
        <f t="shared" si="0"/>
        <v/>
      </c>
      <c r="K38" t="str">
        <f>IF(J38&lt;&gt;"",SUM($J$2:J38),"")</f>
        <v/>
      </c>
      <c r="L38">
        <f ca="1" t="shared" si="1"/>
        <v>45942</v>
      </c>
    </row>
    <row r="39" spans="9:12">
      <c r="I39">
        <f>IFERROR(VLOOKUP(H39,Rates!$A$2:$B$3,2,0),1)</f>
        <v>1</v>
      </c>
      <c r="J39" t="str">
        <f t="shared" si="0"/>
        <v/>
      </c>
      <c r="K39" t="str">
        <f>IF(J39&lt;&gt;"",SUM($J$2:J39),"")</f>
        <v/>
      </c>
      <c r="L39">
        <f ca="1" t="shared" si="1"/>
        <v>45942</v>
      </c>
    </row>
    <row r="40" spans="9:12">
      <c r="I40">
        <f>IFERROR(VLOOKUP(H40,Rates!$A$2:$B$3,2,0),1)</f>
        <v>1</v>
      </c>
      <c r="J40" t="str">
        <f t="shared" si="0"/>
        <v/>
      </c>
      <c r="K40" t="str">
        <f>IF(J40&lt;&gt;"",SUM($J$2:J40),"")</f>
        <v/>
      </c>
      <c r="L40">
        <f ca="1" t="shared" si="1"/>
        <v>45942</v>
      </c>
    </row>
    <row r="41" spans="9:12">
      <c r="I41">
        <f>IFERROR(VLOOKUP(H41,Rates!$A$2:$B$3,2,0),1)</f>
        <v>1</v>
      </c>
      <c r="J41" t="str">
        <f t="shared" si="0"/>
        <v/>
      </c>
      <c r="K41" t="str">
        <f>IF(J41&lt;&gt;"",SUM($J$2:J41),"")</f>
        <v/>
      </c>
      <c r="L41">
        <f ca="1" t="shared" si="1"/>
        <v>45942</v>
      </c>
    </row>
    <row r="42" spans="9:12">
      <c r="I42">
        <f>IFERROR(VLOOKUP(H42,Rates!$A$2:$B$3,2,0),1)</f>
        <v>1</v>
      </c>
      <c r="J42" t="str">
        <f t="shared" si="0"/>
        <v/>
      </c>
      <c r="K42" t="str">
        <f>IF(J42&lt;&gt;"",SUM($J$2:J42),"")</f>
        <v/>
      </c>
      <c r="L42">
        <f ca="1" t="shared" si="1"/>
        <v>45942</v>
      </c>
    </row>
    <row r="43" spans="9:12">
      <c r="I43">
        <f>IFERROR(VLOOKUP(H43,Rates!$A$2:$B$3,2,0),1)</f>
        <v>1</v>
      </c>
      <c r="J43" t="str">
        <f t="shared" si="0"/>
        <v/>
      </c>
      <c r="K43" t="str">
        <f>IF(J43&lt;&gt;"",SUM($J$2:J43),"")</f>
        <v/>
      </c>
      <c r="L43">
        <f ca="1" t="shared" si="1"/>
        <v>45942</v>
      </c>
    </row>
    <row r="44" spans="9:12">
      <c r="I44">
        <f>IFERROR(VLOOKUP(H44,Rates!$A$2:$B$3,2,0),1)</f>
        <v>1</v>
      </c>
      <c r="J44" t="str">
        <f t="shared" si="0"/>
        <v/>
      </c>
      <c r="K44" t="str">
        <f>IF(J44&lt;&gt;"",SUM($J$2:J44),"")</f>
        <v/>
      </c>
      <c r="L44">
        <f ca="1" t="shared" si="1"/>
        <v>45942</v>
      </c>
    </row>
    <row r="45" spans="9:12">
      <c r="I45">
        <f>IFERROR(VLOOKUP(H45,Rates!$A$2:$B$3,2,0),1)</f>
        <v>1</v>
      </c>
      <c r="J45" t="str">
        <f t="shared" si="0"/>
        <v/>
      </c>
      <c r="K45" t="str">
        <f>IF(J45&lt;&gt;"",SUM($J$2:J45),"")</f>
        <v/>
      </c>
      <c r="L45">
        <f ca="1" t="shared" si="1"/>
        <v>45942</v>
      </c>
    </row>
    <row r="46" spans="9:12">
      <c r="I46">
        <f>IFERROR(VLOOKUP(H46,Rates!$A$2:$B$3,2,0),1)</f>
        <v>1</v>
      </c>
      <c r="J46" t="str">
        <f t="shared" si="0"/>
        <v/>
      </c>
      <c r="K46" t="str">
        <f>IF(J46&lt;&gt;"",SUM($J$2:J46),"")</f>
        <v/>
      </c>
      <c r="L46">
        <f ca="1" t="shared" si="1"/>
        <v>45942</v>
      </c>
    </row>
    <row r="47" spans="9:12">
      <c r="I47">
        <f>IFERROR(VLOOKUP(H47,Rates!$A$2:$B$3,2,0),1)</f>
        <v>1</v>
      </c>
      <c r="J47" t="str">
        <f t="shared" si="0"/>
        <v/>
      </c>
      <c r="K47" t="str">
        <f>IF(J47&lt;&gt;"",SUM($J$2:J47),"")</f>
        <v/>
      </c>
      <c r="L47">
        <f ca="1" t="shared" si="1"/>
        <v>45942</v>
      </c>
    </row>
    <row r="48" spans="9:12">
      <c r="I48">
        <f>IFERROR(VLOOKUP(H48,Rates!$A$2:$B$3,2,0),1)</f>
        <v>1</v>
      </c>
      <c r="J48" t="str">
        <f t="shared" si="0"/>
        <v/>
      </c>
      <c r="K48" t="str">
        <f>IF(J48&lt;&gt;"",SUM($J$2:J48),"")</f>
        <v/>
      </c>
      <c r="L48">
        <f ca="1" t="shared" si="1"/>
        <v>45942</v>
      </c>
    </row>
    <row r="49" spans="9:12">
      <c r="I49">
        <f>IFERROR(VLOOKUP(H49,Rates!$A$2:$B$3,2,0),1)</f>
        <v>1</v>
      </c>
      <c r="J49" t="str">
        <f t="shared" si="0"/>
        <v/>
      </c>
      <c r="K49" t="str">
        <f>IF(J49&lt;&gt;"",SUM($J$2:J49),"")</f>
        <v/>
      </c>
      <c r="L49">
        <f ca="1" t="shared" si="1"/>
        <v>45942</v>
      </c>
    </row>
    <row r="50" spans="9:12">
      <c r="I50">
        <f>IFERROR(VLOOKUP(H50,Rates!$A$2:$B$3,2,0),1)</f>
        <v>1</v>
      </c>
      <c r="J50" t="str">
        <f t="shared" si="0"/>
        <v/>
      </c>
      <c r="K50" t="str">
        <f>IF(J50&lt;&gt;"",SUM($J$2:J50),"")</f>
        <v/>
      </c>
      <c r="L50">
        <f ca="1" t="shared" si="1"/>
        <v>45942</v>
      </c>
    </row>
    <row r="51" spans="9:12">
      <c r="I51">
        <f>IFERROR(VLOOKUP(H51,Rates!$A$2:$B$3,2,0),1)</f>
        <v>1</v>
      </c>
      <c r="J51" t="str">
        <f t="shared" si="0"/>
        <v/>
      </c>
      <c r="K51" t="str">
        <f>IF(J51&lt;&gt;"",SUM($J$2:J51),"")</f>
        <v/>
      </c>
      <c r="L51">
        <f ca="1" t="shared" si="1"/>
        <v>45942</v>
      </c>
    </row>
    <row r="52" spans="9:12">
      <c r="I52">
        <f>IFERROR(VLOOKUP(H52,Rates!$A$2:$B$3,2,0),1)</f>
        <v>1</v>
      </c>
      <c r="J52" t="str">
        <f t="shared" si="0"/>
        <v/>
      </c>
      <c r="K52" t="str">
        <f>IF(J52&lt;&gt;"",SUM($J$2:J52),"")</f>
        <v/>
      </c>
      <c r="L52">
        <f ca="1" t="shared" si="1"/>
        <v>45942</v>
      </c>
    </row>
    <row r="53" spans="9:12">
      <c r="I53">
        <f>IFERROR(VLOOKUP(H53,Rates!$A$2:$B$3,2,0),1)</f>
        <v>1</v>
      </c>
      <c r="J53" t="str">
        <f t="shared" si="0"/>
        <v/>
      </c>
      <c r="K53" t="str">
        <f>IF(J53&lt;&gt;"",SUM($J$2:J53),"")</f>
        <v/>
      </c>
      <c r="L53">
        <f ca="1" t="shared" si="1"/>
        <v>45942</v>
      </c>
    </row>
    <row r="54" spans="9:12">
      <c r="I54">
        <f>IFERROR(VLOOKUP(H54,Rates!$A$2:$B$3,2,0),1)</f>
        <v>1</v>
      </c>
      <c r="J54" t="str">
        <f t="shared" si="0"/>
        <v/>
      </c>
      <c r="K54" t="str">
        <f>IF(J54&lt;&gt;"",SUM($J$2:J54),"")</f>
        <v/>
      </c>
      <c r="L54">
        <f ca="1" t="shared" si="1"/>
        <v>45942</v>
      </c>
    </row>
    <row r="55" spans="9:12">
      <c r="I55">
        <f>IFERROR(VLOOKUP(H55,Rates!$A$2:$B$3,2,0),1)</f>
        <v>1</v>
      </c>
      <c r="J55" t="str">
        <f t="shared" si="0"/>
        <v/>
      </c>
      <c r="K55" t="str">
        <f>IF(J55&lt;&gt;"",SUM($J$2:J55),"")</f>
        <v/>
      </c>
      <c r="L55">
        <f ca="1" t="shared" si="1"/>
        <v>45942</v>
      </c>
    </row>
    <row r="56" spans="9:12">
      <c r="I56">
        <f>IFERROR(VLOOKUP(H56,Rates!$A$2:$B$3,2,0),1)</f>
        <v>1</v>
      </c>
      <c r="J56" t="str">
        <f t="shared" si="0"/>
        <v/>
      </c>
      <c r="K56" t="str">
        <f>IF(J56&lt;&gt;"",SUM($J$2:J56),"")</f>
        <v/>
      </c>
      <c r="L56">
        <f ca="1" t="shared" si="1"/>
        <v>45942</v>
      </c>
    </row>
    <row r="57" spans="9:12">
      <c r="I57">
        <f>IFERROR(VLOOKUP(H57,Rates!$A$2:$B$3,2,0),1)</f>
        <v>1</v>
      </c>
      <c r="J57" t="str">
        <f t="shared" si="0"/>
        <v/>
      </c>
      <c r="K57" t="str">
        <f>IF(J57&lt;&gt;"",SUM($J$2:J57),"")</f>
        <v/>
      </c>
      <c r="L57">
        <f ca="1" t="shared" si="1"/>
        <v>45942</v>
      </c>
    </row>
    <row r="58" spans="9:12">
      <c r="I58">
        <f>IFERROR(VLOOKUP(H58,Rates!$A$2:$B$3,2,0),1)</f>
        <v>1</v>
      </c>
      <c r="J58" t="str">
        <f t="shared" si="0"/>
        <v/>
      </c>
      <c r="K58" t="str">
        <f>IF(J58&lt;&gt;"",SUM($J$2:J58),"")</f>
        <v/>
      </c>
      <c r="L58">
        <f ca="1" t="shared" si="1"/>
        <v>45942</v>
      </c>
    </row>
    <row r="59" spans="9:12">
      <c r="I59">
        <f>IFERROR(VLOOKUP(H59,Rates!$A$2:$B$3,2,0),1)</f>
        <v>1</v>
      </c>
      <c r="J59" t="str">
        <f t="shared" si="0"/>
        <v/>
      </c>
      <c r="K59" t="str">
        <f>IF(J59&lt;&gt;"",SUM($J$2:J59),"")</f>
        <v/>
      </c>
      <c r="L59">
        <f ca="1" t="shared" si="1"/>
        <v>45942</v>
      </c>
    </row>
    <row r="60" spans="9:12">
      <c r="I60">
        <f>IFERROR(VLOOKUP(H60,Rates!$A$2:$B$3,2,0),1)</f>
        <v>1</v>
      </c>
      <c r="J60" t="str">
        <f t="shared" si="0"/>
        <v/>
      </c>
      <c r="K60" t="str">
        <f>IF(J60&lt;&gt;"",SUM($J$2:J60),"")</f>
        <v/>
      </c>
      <c r="L60">
        <f ca="1" t="shared" si="1"/>
        <v>45942</v>
      </c>
    </row>
    <row r="61" spans="9:12">
      <c r="I61">
        <f>IFERROR(VLOOKUP(H61,Rates!$A$2:$B$3,2,0),1)</f>
        <v>1</v>
      </c>
      <c r="J61" t="str">
        <f t="shared" si="0"/>
        <v/>
      </c>
      <c r="K61" t="str">
        <f>IF(J61&lt;&gt;"",SUM($J$2:J61),"")</f>
        <v/>
      </c>
      <c r="L61">
        <f ca="1" t="shared" si="1"/>
        <v>45942</v>
      </c>
    </row>
    <row r="62" spans="9:12">
      <c r="I62">
        <f>IFERROR(VLOOKUP(H62,Rates!$A$2:$B$3,2,0),1)</f>
        <v>1</v>
      </c>
      <c r="J62" t="str">
        <f t="shared" si="0"/>
        <v/>
      </c>
      <c r="K62" t="str">
        <f>IF(J62&lt;&gt;"",SUM($J$2:J62),"")</f>
        <v/>
      </c>
      <c r="L62">
        <f ca="1" t="shared" si="1"/>
        <v>45942</v>
      </c>
    </row>
    <row r="63" spans="9:12">
      <c r="I63">
        <f>IFERROR(VLOOKUP(H63,Rates!$A$2:$B$3,2,0),1)</f>
        <v>1</v>
      </c>
      <c r="J63" t="str">
        <f t="shared" si="0"/>
        <v/>
      </c>
      <c r="K63" t="str">
        <f>IF(J63&lt;&gt;"",SUM($J$2:J63),"")</f>
        <v/>
      </c>
      <c r="L63">
        <f ca="1" t="shared" si="1"/>
        <v>45942</v>
      </c>
    </row>
    <row r="64" spans="9:12">
      <c r="I64">
        <f>IFERROR(VLOOKUP(H64,Rates!$A$2:$B$3,2,0),1)</f>
        <v>1</v>
      </c>
      <c r="J64" t="str">
        <f t="shared" si="0"/>
        <v/>
      </c>
      <c r="K64" t="str">
        <f>IF(J64&lt;&gt;"",SUM($J$2:J64),"")</f>
        <v/>
      </c>
      <c r="L64">
        <f ca="1" t="shared" si="1"/>
        <v>45942</v>
      </c>
    </row>
    <row r="65" spans="9:12">
      <c r="I65">
        <f>IFERROR(VLOOKUP(H65,Rates!$A$2:$B$3,2,0),1)</f>
        <v>1</v>
      </c>
      <c r="J65" t="str">
        <f t="shared" si="0"/>
        <v/>
      </c>
      <c r="K65" t="str">
        <f>IF(J65&lt;&gt;"",SUM($J$2:J65),"")</f>
        <v/>
      </c>
      <c r="L65">
        <f ca="1" t="shared" si="1"/>
        <v>45942</v>
      </c>
    </row>
    <row r="66" spans="9:12">
      <c r="I66">
        <f>IFERROR(VLOOKUP(H66,Rates!$A$2:$B$3,2,0),1)</f>
        <v>1</v>
      </c>
      <c r="J66" t="str">
        <f t="shared" ref="J66:J129" si="2">IF(G66&lt;&gt;"",G66*I66,"")</f>
        <v/>
      </c>
      <c r="K66" t="str">
        <f>IF(J66&lt;&gt;"",SUM($J$2:J66),"")</f>
        <v/>
      </c>
      <c r="L66">
        <f ca="1" t="shared" ref="L66:L129" si="3">IF(COUNTA(A66:K66)&gt;0,TODAY(),"")</f>
        <v>45942</v>
      </c>
    </row>
    <row r="67" spans="9:12">
      <c r="I67">
        <f>IFERROR(VLOOKUP(H67,Rates!$A$2:$B$3,2,0),1)</f>
        <v>1</v>
      </c>
      <c r="J67" t="str">
        <f t="shared" si="2"/>
        <v/>
      </c>
      <c r="K67" t="str">
        <f>IF(J67&lt;&gt;"",SUM($J$2:J67),"")</f>
        <v/>
      </c>
      <c r="L67">
        <f ca="1" t="shared" si="3"/>
        <v>45942</v>
      </c>
    </row>
    <row r="68" spans="9:12">
      <c r="I68">
        <f>IFERROR(VLOOKUP(H68,Rates!$A$2:$B$3,2,0),1)</f>
        <v>1</v>
      </c>
      <c r="J68" t="str">
        <f t="shared" si="2"/>
        <v/>
      </c>
      <c r="K68" t="str">
        <f>IF(J68&lt;&gt;"",SUM($J$2:J68),"")</f>
        <v/>
      </c>
      <c r="L68">
        <f ca="1" t="shared" si="3"/>
        <v>45942</v>
      </c>
    </row>
    <row r="69" spans="9:12">
      <c r="I69">
        <f>IFERROR(VLOOKUP(H69,Rates!$A$2:$B$3,2,0),1)</f>
        <v>1</v>
      </c>
      <c r="J69" t="str">
        <f t="shared" si="2"/>
        <v/>
      </c>
      <c r="K69" t="str">
        <f>IF(J69&lt;&gt;"",SUM($J$2:J69),"")</f>
        <v/>
      </c>
      <c r="L69">
        <f ca="1" t="shared" si="3"/>
        <v>45942</v>
      </c>
    </row>
    <row r="70" spans="9:12">
      <c r="I70">
        <f>IFERROR(VLOOKUP(H70,Rates!$A$2:$B$3,2,0),1)</f>
        <v>1</v>
      </c>
      <c r="J70" t="str">
        <f t="shared" si="2"/>
        <v/>
      </c>
      <c r="K70" t="str">
        <f>IF(J70&lt;&gt;"",SUM($J$2:J70),"")</f>
        <v/>
      </c>
      <c r="L70">
        <f ca="1" t="shared" si="3"/>
        <v>45942</v>
      </c>
    </row>
    <row r="71" spans="9:12">
      <c r="I71">
        <f>IFERROR(VLOOKUP(H71,Rates!$A$2:$B$3,2,0),1)</f>
        <v>1</v>
      </c>
      <c r="J71" t="str">
        <f t="shared" si="2"/>
        <v/>
      </c>
      <c r="K71" t="str">
        <f>IF(J71&lt;&gt;"",SUM($J$2:J71),"")</f>
        <v/>
      </c>
      <c r="L71">
        <f ca="1" t="shared" si="3"/>
        <v>45942</v>
      </c>
    </row>
    <row r="72" spans="9:12">
      <c r="I72">
        <f>IFERROR(VLOOKUP(H72,Rates!$A$2:$B$3,2,0),1)</f>
        <v>1</v>
      </c>
      <c r="J72" t="str">
        <f t="shared" si="2"/>
        <v/>
      </c>
      <c r="K72" t="str">
        <f>IF(J72&lt;&gt;"",SUM($J$2:J72),"")</f>
        <v/>
      </c>
      <c r="L72">
        <f ca="1" t="shared" si="3"/>
        <v>45942</v>
      </c>
    </row>
    <row r="73" spans="9:12">
      <c r="I73">
        <f>IFERROR(VLOOKUP(H73,Rates!$A$2:$B$3,2,0),1)</f>
        <v>1</v>
      </c>
      <c r="J73" t="str">
        <f t="shared" si="2"/>
        <v/>
      </c>
      <c r="K73" t="str">
        <f>IF(J73&lt;&gt;"",SUM($J$2:J73),"")</f>
        <v/>
      </c>
      <c r="L73">
        <f ca="1" t="shared" si="3"/>
        <v>45942</v>
      </c>
    </row>
    <row r="74" spans="9:12">
      <c r="I74">
        <f>IFERROR(VLOOKUP(H74,Rates!$A$2:$B$3,2,0),1)</f>
        <v>1</v>
      </c>
      <c r="J74" t="str">
        <f t="shared" si="2"/>
        <v/>
      </c>
      <c r="K74" t="str">
        <f>IF(J74&lt;&gt;"",SUM($J$2:J74),"")</f>
        <v/>
      </c>
      <c r="L74">
        <f ca="1" t="shared" si="3"/>
        <v>45942</v>
      </c>
    </row>
    <row r="75" spans="9:12">
      <c r="I75">
        <f>IFERROR(VLOOKUP(H75,Rates!$A$2:$B$3,2,0),1)</f>
        <v>1</v>
      </c>
      <c r="J75" t="str">
        <f t="shared" si="2"/>
        <v/>
      </c>
      <c r="K75" t="str">
        <f>IF(J75&lt;&gt;"",SUM($J$2:J75),"")</f>
        <v/>
      </c>
      <c r="L75">
        <f ca="1" t="shared" si="3"/>
        <v>45942</v>
      </c>
    </row>
    <row r="76" spans="9:12">
      <c r="I76">
        <f>IFERROR(VLOOKUP(H76,Rates!$A$2:$B$3,2,0),1)</f>
        <v>1</v>
      </c>
      <c r="J76" t="str">
        <f t="shared" si="2"/>
        <v/>
      </c>
      <c r="K76" t="str">
        <f>IF(J76&lt;&gt;"",SUM($J$2:J76),"")</f>
        <v/>
      </c>
      <c r="L76">
        <f ca="1" t="shared" si="3"/>
        <v>45942</v>
      </c>
    </row>
    <row r="77" spans="9:12">
      <c r="I77">
        <f>IFERROR(VLOOKUP(H77,Rates!$A$2:$B$3,2,0),1)</f>
        <v>1</v>
      </c>
      <c r="J77" t="str">
        <f t="shared" si="2"/>
        <v/>
      </c>
      <c r="K77" t="str">
        <f>IF(J77&lt;&gt;"",SUM($J$2:J77),"")</f>
        <v/>
      </c>
      <c r="L77">
        <f ca="1" t="shared" si="3"/>
        <v>45942</v>
      </c>
    </row>
    <row r="78" spans="9:12">
      <c r="I78">
        <f>IFERROR(VLOOKUP(H78,Rates!$A$2:$B$3,2,0),1)</f>
        <v>1</v>
      </c>
      <c r="J78" t="str">
        <f t="shared" si="2"/>
        <v/>
      </c>
      <c r="K78" t="str">
        <f>IF(J78&lt;&gt;"",SUM($J$2:J78),"")</f>
        <v/>
      </c>
      <c r="L78">
        <f ca="1" t="shared" si="3"/>
        <v>45942</v>
      </c>
    </row>
    <row r="79" spans="9:12">
      <c r="I79">
        <f>IFERROR(VLOOKUP(H79,Rates!$A$2:$B$3,2,0),1)</f>
        <v>1</v>
      </c>
      <c r="J79" t="str">
        <f t="shared" si="2"/>
        <v/>
      </c>
      <c r="K79" t="str">
        <f>IF(J79&lt;&gt;"",SUM($J$2:J79),"")</f>
        <v/>
      </c>
      <c r="L79">
        <f ca="1" t="shared" si="3"/>
        <v>45942</v>
      </c>
    </row>
    <row r="80" spans="9:12">
      <c r="I80">
        <f>IFERROR(VLOOKUP(H80,Rates!$A$2:$B$3,2,0),1)</f>
        <v>1</v>
      </c>
      <c r="J80" t="str">
        <f t="shared" si="2"/>
        <v/>
      </c>
      <c r="K80" t="str">
        <f>IF(J80&lt;&gt;"",SUM($J$2:J80),"")</f>
        <v/>
      </c>
      <c r="L80">
        <f ca="1" t="shared" si="3"/>
        <v>45942</v>
      </c>
    </row>
    <row r="81" spans="9:12">
      <c r="I81">
        <f>IFERROR(VLOOKUP(H81,Rates!$A$2:$B$3,2,0),1)</f>
        <v>1</v>
      </c>
      <c r="J81" t="str">
        <f t="shared" si="2"/>
        <v/>
      </c>
      <c r="K81" t="str">
        <f>IF(J81&lt;&gt;"",SUM($J$2:J81),"")</f>
        <v/>
      </c>
      <c r="L81">
        <f ca="1" t="shared" si="3"/>
        <v>45942</v>
      </c>
    </row>
    <row r="82" spans="9:12">
      <c r="I82">
        <f>IFERROR(VLOOKUP(H82,Rates!$A$2:$B$3,2,0),1)</f>
        <v>1</v>
      </c>
      <c r="J82" t="str">
        <f t="shared" si="2"/>
        <v/>
      </c>
      <c r="K82" t="str">
        <f>IF(J82&lt;&gt;"",SUM($J$2:J82),"")</f>
        <v/>
      </c>
      <c r="L82">
        <f ca="1" t="shared" si="3"/>
        <v>45942</v>
      </c>
    </row>
    <row r="83" spans="9:12">
      <c r="I83">
        <f>IFERROR(VLOOKUP(H83,Rates!$A$2:$B$3,2,0),1)</f>
        <v>1</v>
      </c>
      <c r="J83" t="str">
        <f t="shared" si="2"/>
        <v/>
      </c>
      <c r="K83" t="str">
        <f>IF(J83&lt;&gt;"",SUM($J$2:J83),"")</f>
        <v/>
      </c>
      <c r="L83">
        <f ca="1" t="shared" si="3"/>
        <v>45942</v>
      </c>
    </row>
    <row r="84" spans="9:12">
      <c r="I84">
        <f>IFERROR(VLOOKUP(H84,Rates!$A$2:$B$3,2,0),1)</f>
        <v>1</v>
      </c>
      <c r="J84" t="str">
        <f t="shared" si="2"/>
        <v/>
      </c>
      <c r="K84" t="str">
        <f>IF(J84&lt;&gt;"",SUM($J$2:J84),"")</f>
        <v/>
      </c>
      <c r="L84">
        <f ca="1" t="shared" si="3"/>
        <v>45942</v>
      </c>
    </row>
    <row r="85" spans="9:12">
      <c r="I85">
        <f>IFERROR(VLOOKUP(H85,Rates!$A$2:$B$3,2,0),1)</f>
        <v>1</v>
      </c>
      <c r="J85" t="str">
        <f t="shared" si="2"/>
        <v/>
      </c>
      <c r="K85" t="str">
        <f>IF(J85&lt;&gt;"",SUM($J$2:J85),"")</f>
        <v/>
      </c>
      <c r="L85">
        <f ca="1" t="shared" si="3"/>
        <v>45942</v>
      </c>
    </row>
    <row r="86" spans="9:12">
      <c r="I86">
        <f>IFERROR(VLOOKUP(H86,Rates!$A$2:$B$3,2,0),1)</f>
        <v>1</v>
      </c>
      <c r="J86" t="str">
        <f t="shared" si="2"/>
        <v/>
      </c>
      <c r="K86" t="str">
        <f>IF(J86&lt;&gt;"",SUM($J$2:J86),"")</f>
        <v/>
      </c>
      <c r="L86">
        <f ca="1" t="shared" si="3"/>
        <v>45942</v>
      </c>
    </row>
    <row r="87" spans="9:12">
      <c r="I87">
        <f>IFERROR(VLOOKUP(H87,Rates!$A$2:$B$3,2,0),1)</f>
        <v>1</v>
      </c>
      <c r="J87" t="str">
        <f t="shared" si="2"/>
        <v/>
      </c>
      <c r="K87" t="str">
        <f>IF(J87&lt;&gt;"",SUM($J$2:J87),"")</f>
        <v/>
      </c>
      <c r="L87">
        <f ca="1" t="shared" si="3"/>
        <v>45942</v>
      </c>
    </row>
    <row r="88" spans="9:12">
      <c r="I88">
        <f>IFERROR(VLOOKUP(H88,Rates!$A$2:$B$3,2,0),1)</f>
        <v>1</v>
      </c>
      <c r="J88" t="str">
        <f t="shared" si="2"/>
        <v/>
      </c>
      <c r="K88" t="str">
        <f>IF(J88&lt;&gt;"",SUM($J$2:J88),"")</f>
        <v/>
      </c>
      <c r="L88">
        <f ca="1" t="shared" si="3"/>
        <v>45942</v>
      </c>
    </row>
    <row r="89" spans="9:12">
      <c r="I89">
        <f>IFERROR(VLOOKUP(H89,Rates!$A$2:$B$3,2,0),1)</f>
        <v>1</v>
      </c>
      <c r="J89" t="str">
        <f t="shared" si="2"/>
        <v/>
      </c>
      <c r="K89" t="str">
        <f>IF(J89&lt;&gt;"",SUM($J$2:J89),"")</f>
        <v/>
      </c>
      <c r="L89">
        <f ca="1" t="shared" si="3"/>
        <v>45942</v>
      </c>
    </row>
    <row r="90" spans="9:12">
      <c r="I90">
        <f>IFERROR(VLOOKUP(H90,Rates!$A$2:$B$3,2,0),1)</f>
        <v>1</v>
      </c>
      <c r="J90" t="str">
        <f t="shared" si="2"/>
        <v/>
      </c>
      <c r="K90" t="str">
        <f>IF(J90&lt;&gt;"",SUM($J$2:J90),"")</f>
        <v/>
      </c>
      <c r="L90">
        <f ca="1" t="shared" si="3"/>
        <v>45942</v>
      </c>
    </row>
    <row r="91" spans="9:12">
      <c r="I91">
        <f>IFERROR(VLOOKUP(H91,Rates!$A$2:$B$3,2,0),1)</f>
        <v>1</v>
      </c>
      <c r="J91" t="str">
        <f t="shared" si="2"/>
        <v/>
      </c>
      <c r="K91" t="str">
        <f>IF(J91&lt;&gt;"",SUM($J$2:J91),"")</f>
        <v/>
      </c>
      <c r="L91">
        <f ca="1" t="shared" si="3"/>
        <v>45942</v>
      </c>
    </row>
    <row r="92" spans="9:12">
      <c r="I92">
        <f>IFERROR(VLOOKUP(H92,Rates!$A$2:$B$3,2,0),1)</f>
        <v>1</v>
      </c>
      <c r="J92" t="str">
        <f t="shared" si="2"/>
        <v/>
      </c>
      <c r="K92" t="str">
        <f>IF(J92&lt;&gt;"",SUM($J$2:J92),"")</f>
        <v/>
      </c>
      <c r="L92">
        <f ca="1" t="shared" si="3"/>
        <v>45942</v>
      </c>
    </row>
    <row r="93" spans="9:12">
      <c r="I93">
        <f>IFERROR(VLOOKUP(H93,Rates!$A$2:$B$3,2,0),1)</f>
        <v>1</v>
      </c>
      <c r="J93" t="str">
        <f t="shared" si="2"/>
        <v/>
      </c>
      <c r="K93" t="str">
        <f>IF(J93&lt;&gt;"",SUM($J$2:J93),"")</f>
        <v/>
      </c>
      <c r="L93">
        <f ca="1" t="shared" si="3"/>
        <v>45942</v>
      </c>
    </row>
    <row r="94" spans="9:12">
      <c r="I94">
        <f>IFERROR(VLOOKUP(H94,Rates!$A$2:$B$3,2,0),1)</f>
        <v>1</v>
      </c>
      <c r="J94" t="str">
        <f t="shared" si="2"/>
        <v/>
      </c>
      <c r="K94" t="str">
        <f>IF(J94&lt;&gt;"",SUM($J$2:J94),"")</f>
        <v/>
      </c>
      <c r="L94">
        <f ca="1" t="shared" si="3"/>
        <v>45942</v>
      </c>
    </row>
    <row r="95" spans="9:12">
      <c r="I95">
        <f>IFERROR(VLOOKUP(H95,Rates!$A$2:$B$3,2,0),1)</f>
        <v>1</v>
      </c>
      <c r="J95" t="str">
        <f t="shared" si="2"/>
        <v/>
      </c>
      <c r="K95" t="str">
        <f>IF(J95&lt;&gt;"",SUM($J$2:J95),"")</f>
        <v/>
      </c>
      <c r="L95">
        <f ca="1" t="shared" si="3"/>
        <v>45942</v>
      </c>
    </row>
    <row r="96" spans="9:12">
      <c r="I96">
        <f>IFERROR(VLOOKUP(H96,Rates!$A$2:$B$3,2,0),1)</f>
        <v>1</v>
      </c>
      <c r="J96" t="str">
        <f t="shared" si="2"/>
        <v/>
      </c>
      <c r="K96" t="str">
        <f>IF(J96&lt;&gt;"",SUM($J$2:J96),"")</f>
        <v/>
      </c>
      <c r="L96">
        <f ca="1" t="shared" si="3"/>
        <v>45942</v>
      </c>
    </row>
    <row r="97" spans="9:12">
      <c r="I97">
        <f>IFERROR(VLOOKUP(H97,Rates!$A$2:$B$3,2,0),1)</f>
        <v>1</v>
      </c>
      <c r="J97" t="str">
        <f t="shared" si="2"/>
        <v/>
      </c>
      <c r="K97" t="str">
        <f>IF(J97&lt;&gt;"",SUM($J$2:J97),"")</f>
        <v/>
      </c>
      <c r="L97">
        <f ca="1" t="shared" si="3"/>
        <v>45942</v>
      </c>
    </row>
    <row r="98" spans="9:12">
      <c r="I98">
        <f>IFERROR(VLOOKUP(H98,Rates!$A$2:$B$3,2,0),1)</f>
        <v>1</v>
      </c>
      <c r="J98" t="str">
        <f t="shared" si="2"/>
        <v/>
      </c>
      <c r="K98" t="str">
        <f>IF(J98&lt;&gt;"",SUM($J$2:J98),"")</f>
        <v/>
      </c>
      <c r="L98">
        <f ca="1" t="shared" si="3"/>
        <v>45942</v>
      </c>
    </row>
    <row r="99" spans="9:12">
      <c r="I99">
        <f>IFERROR(VLOOKUP(H99,Rates!$A$2:$B$3,2,0),1)</f>
        <v>1</v>
      </c>
      <c r="J99" t="str">
        <f t="shared" si="2"/>
        <v/>
      </c>
      <c r="K99" t="str">
        <f>IF(J99&lt;&gt;"",SUM($J$2:J99),"")</f>
        <v/>
      </c>
      <c r="L99">
        <f ca="1" t="shared" si="3"/>
        <v>45942</v>
      </c>
    </row>
    <row r="100" spans="9:12">
      <c r="I100">
        <f>IFERROR(VLOOKUP(H100,Rates!$A$2:$B$3,2,0),1)</f>
        <v>1</v>
      </c>
      <c r="J100" t="str">
        <f t="shared" si="2"/>
        <v/>
      </c>
      <c r="K100" t="str">
        <f>IF(J100&lt;&gt;"",SUM($J$2:J100),"")</f>
        <v/>
      </c>
      <c r="L100">
        <f ca="1" t="shared" si="3"/>
        <v>45942</v>
      </c>
    </row>
    <row r="101" spans="9:12">
      <c r="I101">
        <f>IFERROR(VLOOKUP(H101,Rates!$A$2:$B$3,2,0),1)</f>
        <v>1</v>
      </c>
      <c r="J101" t="str">
        <f t="shared" si="2"/>
        <v/>
      </c>
      <c r="K101" t="str">
        <f>IF(J101&lt;&gt;"",SUM($J$2:J101),"")</f>
        <v/>
      </c>
      <c r="L101">
        <f ca="1" t="shared" si="3"/>
        <v>45942</v>
      </c>
    </row>
    <row r="102" spans="9:12">
      <c r="I102">
        <f>IFERROR(VLOOKUP(H102,Rates!$A$2:$B$3,2,0),1)</f>
        <v>1</v>
      </c>
      <c r="J102" t="str">
        <f t="shared" si="2"/>
        <v/>
      </c>
      <c r="K102" t="str">
        <f>IF(J102&lt;&gt;"",SUM($J$2:J102),"")</f>
        <v/>
      </c>
      <c r="L102">
        <f ca="1" t="shared" si="3"/>
        <v>45942</v>
      </c>
    </row>
    <row r="103" spans="9:12">
      <c r="I103">
        <f>IFERROR(VLOOKUP(H103,Rates!$A$2:$B$3,2,0),1)</f>
        <v>1</v>
      </c>
      <c r="J103" t="str">
        <f t="shared" si="2"/>
        <v/>
      </c>
      <c r="K103" t="str">
        <f>IF(J103&lt;&gt;"",SUM($J$2:J103),"")</f>
        <v/>
      </c>
      <c r="L103">
        <f ca="1" t="shared" si="3"/>
        <v>45942</v>
      </c>
    </row>
    <row r="104" spans="9:12">
      <c r="I104">
        <f>IFERROR(VLOOKUP(H104,Rates!$A$2:$B$3,2,0),1)</f>
        <v>1</v>
      </c>
      <c r="J104" t="str">
        <f t="shared" si="2"/>
        <v/>
      </c>
      <c r="K104" t="str">
        <f>IF(J104&lt;&gt;"",SUM($J$2:J104),"")</f>
        <v/>
      </c>
      <c r="L104">
        <f ca="1" t="shared" si="3"/>
        <v>45942</v>
      </c>
    </row>
    <row r="105" spans="9:12">
      <c r="I105">
        <f>IFERROR(VLOOKUP(H105,Rates!$A$2:$B$3,2,0),1)</f>
        <v>1</v>
      </c>
      <c r="J105" t="str">
        <f t="shared" si="2"/>
        <v/>
      </c>
      <c r="K105" t="str">
        <f>IF(J105&lt;&gt;"",SUM($J$2:J105),"")</f>
        <v/>
      </c>
      <c r="L105">
        <f ca="1" t="shared" si="3"/>
        <v>45942</v>
      </c>
    </row>
    <row r="106" spans="9:12">
      <c r="I106">
        <f>IFERROR(VLOOKUP(H106,Rates!$A$2:$B$3,2,0),1)</f>
        <v>1</v>
      </c>
      <c r="J106" t="str">
        <f t="shared" si="2"/>
        <v/>
      </c>
      <c r="K106" t="str">
        <f>IF(J106&lt;&gt;"",SUM($J$2:J106),"")</f>
        <v/>
      </c>
      <c r="L106">
        <f ca="1" t="shared" si="3"/>
        <v>45942</v>
      </c>
    </row>
    <row r="107" spans="9:12">
      <c r="I107">
        <f>IFERROR(VLOOKUP(H107,Rates!$A$2:$B$3,2,0),1)</f>
        <v>1</v>
      </c>
      <c r="J107" t="str">
        <f t="shared" si="2"/>
        <v/>
      </c>
      <c r="K107" t="str">
        <f>IF(J107&lt;&gt;"",SUM($J$2:J107),"")</f>
        <v/>
      </c>
      <c r="L107">
        <f ca="1" t="shared" si="3"/>
        <v>45942</v>
      </c>
    </row>
    <row r="108" spans="9:12">
      <c r="I108">
        <f>IFERROR(VLOOKUP(H108,Rates!$A$2:$B$3,2,0),1)</f>
        <v>1</v>
      </c>
      <c r="J108" t="str">
        <f t="shared" si="2"/>
        <v/>
      </c>
      <c r="K108" t="str">
        <f>IF(J108&lt;&gt;"",SUM($J$2:J108),"")</f>
        <v/>
      </c>
      <c r="L108">
        <f ca="1" t="shared" si="3"/>
        <v>45942</v>
      </c>
    </row>
    <row r="109" spans="9:12">
      <c r="I109">
        <f>IFERROR(VLOOKUP(H109,Rates!$A$2:$B$3,2,0),1)</f>
        <v>1</v>
      </c>
      <c r="J109" t="str">
        <f t="shared" si="2"/>
        <v/>
      </c>
      <c r="K109" t="str">
        <f>IF(J109&lt;&gt;"",SUM($J$2:J109),"")</f>
        <v/>
      </c>
      <c r="L109">
        <f ca="1" t="shared" si="3"/>
        <v>45942</v>
      </c>
    </row>
    <row r="110" spans="9:12">
      <c r="I110">
        <f>IFERROR(VLOOKUP(H110,Rates!$A$2:$B$3,2,0),1)</f>
        <v>1</v>
      </c>
      <c r="J110" t="str">
        <f t="shared" si="2"/>
        <v/>
      </c>
      <c r="K110" t="str">
        <f>IF(J110&lt;&gt;"",SUM($J$2:J110),"")</f>
        <v/>
      </c>
      <c r="L110">
        <f ca="1" t="shared" si="3"/>
        <v>45942</v>
      </c>
    </row>
    <row r="111" spans="9:12">
      <c r="I111">
        <f>IFERROR(VLOOKUP(H111,Rates!$A$2:$B$3,2,0),1)</f>
        <v>1</v>
      </c>
      <c r="J111" t="str">
        <f t="shared" si="2"/>
        <v/>
      </c>
      <c r="K111" t="str">
        <f>IF(J111&lt;&gt;"",SUM($J$2:J111),"")</f>
        <v/>
      </c>
      <c r="L111">
        <f ca="1" t="shared" si="3"/>
        <v>45942</v>
      </c>
    </row>
    <row r="112" spans="9:12">
      <c r="I112">
        <f>IFERROR(VLOOKUP(H112,Rates!$A$2:$B$3,2,0),1)</f>
        <v>1</v>
      </c>
      <c r="J112" t="str">
        <f t="shared" si="2"/>
        <v/>
      </c>
      <c r="K112" t="str">
        <f>IF(J112&lt;&gt;"",SUM($J$2:J112),"")</f>
        <v/>
      </c>
      <c r="L112">
        <f ca="1" t="shared" si="3"/>
        <v>45942</v>
      </c>
    </row>
    <row r="113" spans="9:12">
      <c r="I113">
        <f>IFERROR(VLOOKUP(H113,Rates!$A$2:$B$3,2,0),1)</f>
        <v>1</v>
      </c>
      <c r="J113" t="str">
        <f t="shared" si="2"/>
        <v/>
      </c>
      <c r="K113" t="str">
        <f>IF(J113&lt;&gt;"",SUM($J$2:J113),"")</f>
        <v/>
      </c>
      <c r="L113">
        <f ca="1" t="shared" si="3"/>
        <v>45942</v>
      </c>
    </row>
    <row r="114" spans="9:12">
      <c r="I114">
        <f>IFERROR(VLOOKUP(H114,Rates!$A$2:$B$3,2,0),1)</f>
        <v>1</v>
      </c>
      <c r="J114" t="str">
        <f t="shared" si="2"/>
        <v/>
      </c>
      <c r="K114" t="str">
        <f>IF(J114&lt;&gt;"",SUM($J$2:J114),"")</f>
        <v/>
      </c>
      <c r="L114">
        <f ca="1" t="shared" si="3"/>
        <v>45942</v>
      </c>
    </row>
    <row r="115" spans="9:12">
      <c r="I115">
        <f>IFERROR(VLOOKUP(H115,Rates!$A$2:$B$3,2,0),1)</f>
        <v>1</v>
      </c>
      <c r="J115" t="str">
        <f t="shared" si="2"/>
        <v/>
      </c>
      <c r="K115" t="str">
        <f>IF(J115&lt;&gt;"",SUM($J$2:J115),"")</f>
        <v/>
      </c>
      <c r="L115">
        <f ca="1" t="shared" si="3"/>
        <v>45942</v>
      </c>
    </row>
    <row r="116" spans="9:12">
      <c r="I116">
        <f>IFERROR(VLOOKUP(H116,Rates!$A$2:$B$3,2,0),1)</f>
        <v>1</v>
      </c>
      <c r="J116" t="str">
        <f t="shared" si="2"/>
        <v/>
      </c>
      <c r="K116" t="str">
        <f>IF(J116&lt;&gt;"",SUM($J$2:J116),"")</f>
        <v/>
      </c>
      <c r="L116">
        <f ca="1" t="shared" si="3"/>
        <v>45942</v>
      </c>
    </row>
    <row r="117" spans="9:12">
      <c r="I117">
        <f>IFERROR(VLOOKUP(H117,Rates!$A$2:$B$3,2,0),1)</f>
        <v>1</v>
      </c>
      <c r="J117" t="str">
        <f t="shared" si="2"/>
        <v/>
      </c>
      <c r="K117" t="str">
        <f>IF(J117&lt;&gt;"",SUM($J$2:J117),"")</f>
        <v/>
      </c>
      <c r="L117">
        <f ca="1" t="shared" si="3"/>
        <v>45942</v>
      </c>
    </row>
    <row r="118" spans="9:12">
      <c r="I118">
        <f>IFERROR(VLOOKUP(H118,Rates!$A$2:$B$3,2,0),1)</f>
        <v>1</v>
      </c>
      <c r="J118" t="str">
        <f t="shared" si="2"/>
        <v/>
      </c>
      <c r="K118" t="str">
        <f>IF(J118&lt;&gt;"",SUM($J$2:J118),"")</f>
        <v/>
      </c>
      <c r="L118">
        <f ca="1" t="shared" si="3"/>
        <v>45942</v>
      </c>
    </row>
    <row r="119" spans="9:12">
      <c r="I119">
        <f>IFERROR(VLOOKUP(H119,Rates!$A$2:$B$3,2,0),1)</f>
        <v>1</v>
      </c>
      <c r="J119" t="str">
        <f t="shared" si="2"/>
        <v/>
      </c>
      <c r="K119" t="str">
        <f>IF(J119&lt;&gt;"",SUM($J$2:J119),"")</f>
        <v/>
      </c>
      <c r="L119">
        <f ca="1" t="shared" si="3"/>
        <v>45942</v>
      </c>
    </row>
    <row r="120" spans="9:12">
      <c r="I120">
        <f>IFERROR(VLOOKUP(H120,Rates!$A$2:$B$3,2,0),1)</f>
        <v>1</v>
      </c>
      <c r="J120" t="str">
        <f t="shared" si="2"/>
        <v/>
      </c>
      <c r="K120" t="str">
        <f>IF(J120&lt;&gt;"",SUM($J$2:J120),"")</f>
        <v/>
      </c>
      <c r="L120">
        <f ca="1" t="shared" si="3"/>
        <v>45942</v>
      </c>
    </row>
    <row r="121" spans="9:12">
      <c r="I121">
        <f>IFERROR(VLOOKUP(H121,Rates!$A$2:$B$3,2,0),1)</f>
        <v>1</v>
      </c>
      <c r="J121" t="str">
        <f t="shared" si="2"/>
        <v/>
      </c>
      <c r="K121" t="str">
        <f>IF(J121&lt;&gt;"",SUM($J$2:J121),"")</f>
        <v/>
      </c>
      <c r="L121">
        <f ca="1" t="shared" si="3"/>
        <v>45942</v>
      </c>
    </row>
    <row r="122" spans="9:12">
      <c r="I122">
        <f>IFERROR(VLOOKUP(H122,Rates!$A$2:$B$3,2,0),1)</f>
        <v>1</v>
      </c>
      <c r="J122" t="str">
        <f t="shared" si="2"/>
        <v/>
      </c>
      <c r="K122" t="str">
        <f>IF(J122&lt;&gt;"",SUM($J$2:J122),"")</f>
        <v/>
      </c>
      <c r="L122">
        <f ca="1" t="shared" si="3"/>
        <v>45942</v>
      </c>
    </row>
    <row r="123" spans="9:12">
      <c r="I123">
        <f>IFERROR(VLOOKUP(H123,Rates!$A$2:$B$3,2,0),1)</f>
        <v>1</v>
      </c>
      <c r="J123" t="str">
        <f t="shared" si="2"/>
        <v/>
      </c>
      <c r="K123" t="str">
        <f>IF(J123&lt;&gt;"",SUM($J$2:J123),"")</f>
        <v/>
      </c>
      <c r="L123">
        <f ca="1" t="shared" si="3"/>
        <v>45942</v>
      </c>
    </row>
    <row r="124" spans="9:12">
      <c r="I124">
        <f>IFERROR(VLOOKUP(H124,Rates!$A$2:$B$3,2,0),1)</f>
        <v>1</v>
      </c>
      <c r="J124" t="str">
        <f t="shared" si="2"/>
        <v/>
      </c>
      <c r="K124" t="str">
        <f>IF(J124&lt;&gt;"",SUM($J$2:J124),"")</f>
        <v/>
      </c>
      <c r="L124">
        <f ca="1" t="shared" si="3"/>
        <v>45942</v>
      </c>
    </row>
    <row r="125" spans="9:12">
      <c r="I125">
        <f>IFERROR(VLOOKUP(H125,Rates!$A$2:$B$3,2,0),1)</f>
        <v>1</v>
      </c>
      <c r="J125" t="str">
        <f t="shared" si="2"/>
        <v/>
      </c>
      <c r="K125" t="str">
        <f>IF(J125&lt;&gt;"",SUM($J$2:J125),"")</f>
        <v/>
      </c>
      <c r="L125">
        <f ca="1" t="shared" si="3"/>
        <v>45942</v>
      </c>
    </row>
    <row r="126" spans="9:12">
      <c r="I126">
        <f>IFERROR(VLOOKUP(H126,Rates!$A$2:$B$3,2,0),1)</f>
        <v>1</v>
      </c>
      <c r="J126" t="str">
        <f t="shared" si="2"/>
        <v/>
      </c>
      <c r="K126" t="str">
        <f>IF(J126&lt;&gt;"",SUM($J$2:J126),"")</f>
        <v/>
      </c>
      <c r="L126">
        <f ca="1" t="shared" si="3"/>
        <v>45942</v>
      </c>
    </row>
    <row r="127" spans="9:12">
      <c r="I127">
        <f>IFERROR(VLOOKUP(H127,Rates!$A$2:$B$3,2,0),1)</f>
        <v>1</v>
      </c>
      <c r="J127" t="str">
        <f t="shared" si="2"/>
        <v/>
      </c>
      <c r="K127" t="str">
        <f>IF(J127&lt;&gt;"",SUM($J$2:J127),"")</f>
        <v/>
      </c>
      <c r="L127">
        <f ca="1" t="shared" si="3"/>
        <v>45942</v>
      </c>
    </row>
    <row r="128" spans="9:12">
      <c r="I128">
        <f>IFERROR(VLOOKUP(H128,Rates!$A$2:$B$3,2,0),1)</f>
        <v>1</v>
      </c>
      <c r="J128" t="str">
        <f t="shared" si="2"/>
        <v/>
      </c>
      <c r="K128" t="str">
        <f>IF(J128&lt;&gt;"",SUM($J$2:J128),"")</f>
        <v/>
      </c>
      <c r="L128">
        <f ca="1" t="shared" si="3"/>
        <v>45942</v>
      </c>
    </row>
    <row r="129" spans="9:12">
      <c r="I129">
        <f>IFERROR(VLOOKUP(H129,Rates!$A$2:$B$3,2,0),1)</f>
        <v>1</v>
      </c>
      <c r="J129" t="str">
        <f t="shared" si="2"/>
        <v/>
      </c>
      <c r="K129" t="str">
        <f>IF(J129&lt;&gt;"",SUM($J$2:J129),"")</f>
        <v/>
      </c>
      <c r="L129">
        <f ca="1" t="shared" si="3"/>
        <v>45942</v>
      </c>
    </row>
    <row r="130" spans="9:12">
      <c r="I130">
        <f>IFERROR(VLOOKUP(H130,Rates!$A$2:$B$3,2,0),1)</f>
        <v>1</v>
      </c>
      <c r="J130" t="str">
        <f t="shared" ref="J130:J193" si="4">IF(G130&lt;&gt;"",G130*I130,"")</f>
        <v/>
      </c>
      <c r="K130" t="str">
        <f>IF(J130&lt;&gt;"",SUM($J$2:J130),"")</f>
        <v/>
      </c>
      <c r="L130">
        <f ca="1" t="shared" ref="L130:L193" si="5">IF(COUNTA(A130:K130)&gt;0,TODAY(),"")</f>
        <v>45942</v>
      </c>
    </row>
    <row r="131" spans="9:12">
      <c r="I131">
        <f>IFERROR(VLOOKUP(H131,Rates!$A$2:$B$3,2,0),1)</f>
        <v>1</v>
      </c>
      <c r="J131" t="str">
        <f t="shared" si="4"/>
        <v/>
      </c>
      <c r="K131" t="str">
        <f>IF(J131&lt;&gt;"",SUM($J$2:J131),"")</f>
        <v/>
      </c>
      <c r="L131">
        <f ca="1" t="shared" si="5"/>
        <v>45942</v>
      </c>
    </row>
    <row r="132" spans="9:12">
      <c r="I132">
        <f>IFERROR(VLOOKUP(H132,Rates!$A$2:$B$3,2,0),1)</f>
        <v>1</v>
      </c>
      <c r="J132" t="str">
        <f t="shared" si="4"/>
        <v/>
      </c>
      <c r="K132" t="str">
        <f>IF(J132&lt;&gt;"",SUM($J$2:J132),"")</f>
        <v/>
      </c>
      <c r="L132">
        <f ca="1" t="shared" si="5"/>
        <v>45942</v>
      </c>
    </row>
    <row r="133" spans="9:12">
      <c r="I133">
        <f>IFERROR(VLOOKUP(H133,Rates!$A$2:$B$3,2,0),1)</f>
        <v>1</v>
      </c>
      <c r="J133" t="str">
        <f t="shared" si="4"/>
        <v/>
      </c>
      <c r="K133" t="str">
        <f>IF(J133&lt;&gt;"",SUM($J$2:J133),"")</f>
        <v/>
      </c>
      <c r="L133">
        <f ca="1" t="shared" si="5"/>
        <v>45942</v>
      </c>
    </row>
    <row r="134" spans="9:12">
      <c r="I134">
        <f>IFERROR(VLOOKUP(H134,Rates!$A$2:$B$3,2,0),1)</f>
        <v>1</v>
      </c>
      <c r="J134" t="str">
        <f t="shared" si="4"/>
        <v/>
      </c>
      <c r="K134" t="str">
        <f>IF(J134&lt;&gt;"",SUM($J$2:J134),"")</f>
        <v/>
      </c>
      <c r="L134">
        <f ca="1" t="shared" si="5"/>
        <v>45942</v>
      </c>
    </row>
    <row r="135" spans="9:12">
      <c r="I135">
        <f>IFERROR(VLOOKUP(H135,Rates!$A$2:$B$3,2,0),1)</f>
        <v>1</v>
      </c>
      <c r="J135" t="str">
        <f t="shared" si="4"/>
        <v/>
      </c>
      <c r="K135" t="str">
        <f>IF(J135&lt;&gt;"",SUM($J$2:J135),"")</f>
        <v/>
      </c>
      <c r="L135">
        <f ca="1" t="shared" si="5"/>
        <v>45942</v>
      </c>
    </row>
    <row r="136" spans="9:12">
      <c r="I136">
        <f>IFERROR(VLOOKUP(H136,Rates!$A$2:$B$3,2,0),1)</f>
        <v>1</v>
      </c>
      <c r="J136" t="str">
        <f t="shared" si="4"/>
        <v/>
      </c>
      <c r="K136" t="str">
        <f>IF(J136&lt;&gt;"",SUM($J$2:J136),"")</f>
        <v/>
      </c>
      <c r="L136">
        <f ca="1" t="shared" si="5"/>
        <v>45942</v>
      </c>
    </row>
    <row r="137" spans="9:12">
      <c r="I137">
        <f>IFERROR(VLOOKUP(H137,Rates!$A$2:$B$3,2,0),1)</f>
        <v>1</v>
      </c>
      <c r="J137" t="str">
        <f t="shared" si="4"/>
        <v/>
      </c>
      <c r="K137" t="str">
        <f>IF(J137&lt;&gt;"",SUM($J$2:J137),"")</f>
        <v/>
      </c>
      <c r="L137">
        <f ca="1" t="shared" si="5"/>
        <v>45942</v>
      </c>
    </row>
    <row r="138" spans="9:12">
      <c r="I138">
        <f>IFERROR(VLOOKUP(H138,Rates!$A$2:$B$3,2,0),1)</f>
        <v>1</v>
      </c>
      <c r="J138" t="str">
        <f t="shared" si="4"/>
        <v/>
      </c>
      <c r="K138" t="str">
        <f>IF(J138&lt;&gt;"",SUM($J$2:J138),"")</f>
        <v/>
      </c>
      <c r="L138">
        <f ca="1" t="shared" si="5"/>
        <v>45942</v>
      </c>
    </row>
    <row r="139" spans="9:12">
      <c r="I139">
        <f>IFERROR(VLOOKUP(H139,Rates!$A$2:$B$3,2,0),1)</f>
        <v>1</v>
      </c>
      <c r="J139" t="str">
        <f t="shared" si="4"/>
        <v/>
      </c>
      <c r="K139" t="str">
        <f>IF(J139&lt;&gt;"",SUM($J$2:J139),"")</f>
        <v/>
      </c>
      <c r="L139">
        <f ca="1" t="shared" si="5"/>
        <v>45942</v>
      </c>
    </row>
    <row r="140" spans="9:12">
      <c r="I140">
        <f>IFERROR(VLOOKUP(H140,Rates!$A$2:$B$3,2,0),1)</f>
        <v>1</v>
      </c>
      <c r="J140" t="str">
        <f t="shared" si="4"/>
        <v/>
      </c>
      <c r="K140" t="str">
        <f>IF(J140&lt;&gt;"",SUM($J$2:J140),"")</f>
        <v/>
      </c>
      <c r="L140">
        <f ca="1" t="shared" si="5"/>
        <v>45942</v>
      </c>
    </row>
    <row r="141" spans="9:12">
      <c r="I141">
        <f>IFERROR(VLOOKUP(H141,Rates!$A$2:$B$3,2,0),1)</f>
        <v>1</v>
      </c>
      <c r="J141" t="str">
        <f t="shared" si="4"/>
        <v/>
      </c>
      <c r="K141" t="str">
        <f>IF(J141&lt;&gt;"",SUM($J$2:J141),"")</f>
        <v/>
      </c>
      <c r="L141">
        <f ca="1" t="shared" si="5"/>
        <v>45942</v>
      </c>
    </row>
    <row r="142" spans="9:12">
      <c r="I142">
        <f>IFERROR(VLOOKUP(H142,Rates!$A$2:$B$3,2,0),1)</f>
        <v>1</v>
      </c>
      <c r="J142" t="str">
        <f t="shared" si="4"/>
        <v/>
      </c>
      <c r="K142" t="str">
        <f>IF(J142&lt;&gt;"",SUM($J$2:J142),"")</f>
        <v/>
      </c>
      <c r="L142">
        <f ca="1" t="shared" si="5"/>
        <v>45942</v>
      </c>
    </row>
    <row r="143" spans="9:12">
      <c r="I143">
        <f>IFERROR(VLOOKUP(H143,Rates!$A$2:$B$3,2,0),1)</f>
        <v>1</v>
      </c>
      <c r="J143" t="str">
        <f t="shared" si="4"/>
        <v/>
      </c>
      <c r="K143" t="str">
        <f>IF(J143&lt;&gt;"",SUM($J$2:J143),"")</f>
        <v/>
      </c>
      <c r="L143">
        <f ca="1" t="shared" si="5"/>
        <v>45942</v>
      </c>
    </row>
    <row r="144" spans="9:12">
      <c r="I144">
        <f>IFERROR(VLOOKUP(H144,Rates!$A$2:$B$3,2,0),1)</f>
        <v>1</v>
      </c>
      <c r="J144" t="str">
        <f t="shared" si="4"/>
        <v/>
      </c>
      <c r="K144" t="str">
        <f>IF(J144&lt;&gt;"",SUM($J$2:J144),"")</f>
        <v/>
      </c>
      <c r="L144">
        <f ca="1" t="shared" si="5"/>
        <v>45942</v>
      </c>
    </row>
    <row r="145" spans="9:12">
      <c r="I145">
        <f>IFERROR(VLOOKUP(H145,Rates!$A$2:$B$3,2,0),1)</f>
        <v>1</v>
      </c>
      <c r="J145" t="str">
        <f t="shared" si="4"/>
        <v/>
      </c>
      <c r="K145" t="str">
        <f>IF(J145&lt;&gt;"",SUM($J$2:J145),"")</f>
        <v/>
      </c>
      <c r="L145">
        <f ca="1" t="shared" si="5"/>
        <v>45942</v>
      </c>
    </row>
    <row r="146" spans="9:12">
      <c r="I146">
        <f>IFERROR(VLOOKUP(H146,Rates!$A$2:$B$3,2,0),1)</f>
        <v>1</v>
      </c>
      <c r="J146" t="str">
        <f t="shared" si="4"/>
        <v/>
      </c>
      <c r="K146" t="str">
        <f>IF(J146&lt;&gt;"",SUM($J$2:J146),"")</f>
        <v/>
      </c>
      <c r="L146">
        <f ca="1" t="shared" si="5"/>
        <v>45942</v>
      </c>
    </row>
    <row r="147" spans="9:12">
      <c r="I147">
        <f>IFERROR(VLOOKUP(H147,Rates!$A$2:$B$3,2,0),1)</f>
        <v>1</v>
      </c>
      <c r="J147" t="str">
        <f t="shared" si="4"/>
        <v/>
      </c>
      <c r="K147" t="str">
        <f>IF(J147&lt;&gt;"",SUM($J$2:J147),"")</f>
        <v/>
      </c>
      <c r="L147">
        <f ca="1" t="shared" si="5"/>
        <v>45942</v>
      </c>
    </row>
    <row r="148" spans="9:12">
      <c r="I148">
        <f>IFERROR(VLOOKUP(H148,Rates!$A$2:$B$3,2,0),1)</f>
        <v>1</v>
      </c>
      <c r="J148" t="str">
        <f t="shared" si="4"/>
        <v/>
      </c>
      <c r="K148" t="str">
        <f>IF(J148&lt;&gt;"",SUM($J$2:J148),"")</f>
        <v/>
      </c>
      <c r="L148">
        <f ca="1" t="shared" si="5"/>
        <v>45942</v>
      </c>
    </row>
    <row r="149" spans="9:12">
      <c r="I149">
        <f>IFERROR(VLOOKUP(H149,Rates!$A$2:$B$3,2,0),1)</f>
        <v>1</v>
      </c>
      <c r="J149" t="str">
        <f t="shared" si="4"/>
        <v/>
      </c>
      <c r="K149" t="str">
        <f>IF(J149&lt;&gt;"",SUM($J$2:J149),"")</f>
        <v/>
      </c>
      <c r="L149">
        <f ca="1" t="shared" si="5"/>
        <v>45942</v>
      </c>
    </row>
    <row r="150" spans="9:12">
      <c r="I150">
        <f>IFERROR(VLOOKUP(H150,Rates!$A$2:$B$3,2,0),1)</f>
        <v>1</v>
      </c>
      <c r="J150" t="str">
        <f t="shared" si="4"/>
        <v/>
      </c>
      <c r="K150" t="str">
        <f>IF(J150&lt;&gt;"",SUM($J$2:J150),"")</f>
        <v/>
      </c>
      <c r="L150">
        <f ca="1" t="shared" si="5"/>
        <v>45942</v>
      </c>
    </row>
    <row r="151" spans="9:12">
      <c r="I151">
        <f>IFERROR(VLOOKUP(H151,Rates!$A$2:$B$3,2,0),1)</f>
        <v>1</v>
      </c>
      <c r="J151" t="str">
        <f t="shared" si="4"/>
        <v/>
      </c>
      <c r="K151" t="str">
        <f>IF(J151&lt;&gt;"",SUM($J$2:J151),"")</f>
        <v/>
      </c>
      <c r="L151">
        <f ca="1" t="shared" si="5"/>
        <v>45942</v>
      </c>
    </row>
    <row r="152" spans="9:12">
      <c r="I152">
        <f>IFERROR(VLOOKUP(H152,Rates!$A$2:$B$3,2,0),1)</f>
        <v>1</v>
      </c>
      <c r="J152" t="str">
        <f t="shared" si="4"/>
        <v/>
      </c>
      <c r="K152" t="str">
        <f>IF(J152&lt;&gt;"",SUM($J$2:J152),"")</f>
        <v/>
      </c>
      <c r="L152">
        <f ca="1" t="shared" si="5"/>
        <v>45942</v>
      </c>
    </row>
    <row r="153" spans="9:12">
      <c r="I153">
        <f>IFERROR(VLOOKUP(H153,Rates!$A$2:$B$3,2,0),1)</f>
        <v>1</v>
      </c>
      <c r="J153" t="str">
        <f t="shared" si="4"/>
        <v/>
      </c>
      <c r="K153" t="str">
        <f>IF(J153&lt;&gt;"",SUM($J$2:J153),"")</f>
        <v/>
      </c>
      <c r="L153">
        <f ca="1" t="shared" si="5"/>
        <v>45942</v>
      </c>
    </row>
    <row r="154" spans="9:12">
      <c r="I154">
        <f>IFERROR(VLOOKUP(H154,Rates!$A$2:$B$3,2,0),1)</f>
        <v>1</v>
      </c>
      <c r="J154" t="str">
        <f t="shared" si="4"/>
        <v/>
      </c>
      <c r="K154" t="str">
        <f>IF(J154&lt;&gt;"",SUM($J$2:J154),"")</f>
        <v/>
      </c>
      <c r="L154">
        <f ca="1" t="shared" si="5"/>
        <v>45942</v>
      </c>
    </row>
    <row r="155" spans="9:12">
      <c r="I155">
        <f>IFERROR(VLOOKUP(H155,Rates!$A$2:$B$3,2,0),1)</f>
        <v>1</v>
      </c>
      <c r="J155" t="str">
        <f t="shared" si="4"/>
        <v/>
      </c>
      <c r="K155" t="str">
        <f>IF(J155&lt;&gt;"",SUM($J$2:J155),"")</f>
        <v/>
      </c>
      <c r="L155">
        <f ca="1" t="shared" si="5"/>
        <v>45942</v>
      </c>
    </row>
    <row r="156" spans="9:12">
      <c r="I156">
        <f>IFERROR(VLOOKUP(H156,Rates!$A$2:$B$3,2,0),1)</f>
        <v>1</v>
      </c>
      <c r="J156" t="str">
        <f t="shared" si="4"/>
        <v/>
      </c>
      <c r="K156" t="str">
        <f>IF(J156&lt;&gt;"",SUM($J$2:J156),"")</f>
        <v/>
      </c>
      <c r="L156">
        <f ca="1" t="shared" si="5"/>
        <v>45942</v>
      </c>
    </row>
    <row r="157" spans="9:12">
      <c r="I157">
        <f>IFERROR(VLOOKUP(H157,Rates!$A$2:$B$3,2,0),1)</f>
        <v>1</v>
      </c>
      <c r="J157" t="str">
        <f t="shared" si="4"/>
        <v/>
      </c>
      <c r="K157" t="str">
        <f>IF(J157&lt;&gt;"",SUM($J$2:J157),"")</f>
        <v/>
      </c>
      <c r="L157">
        <f ca="1" t="shared" si="5"/>
        <v>45942</v>
      </c>
    </row>
    <row r="158" spans="9:12">
      <c r="I158">
        <f>IFERROR(VLOOKUP(H158,Rates!$A$2:$B$3,2,0),1)</f>
        <v>1</v>
      </c>
      <c r="J158" t="str">
        <f t="shared" si="4"/>
        <v/>
      </c>
      <c r="K158" t="str">
        <f>IF(J158&lt;&gt;"",SUM($J$2:J158),"")</f>
        <v/>
      </c>
      <c r="L158">
        <f ca="1" t="shared" si="5"/>
        <v>45942</v>
      </c>
    </row>
    <row r="159" spans="9:12">
      <c r="I159">
        <f>IFERROR(VLOOKUP(H159,Rates!$A$2:$B$3,2,0),1)</f>
        <v>1</v>
      </c>
      <c r="J159" t="str">
        <f t="shared" si="4"/>
        <v/>
      </c>
      <c r="K159" t="str">
        <f>IF(J159&lt;&gt;"",SUM($J$2:J159),"")</f>
        <v/>
      </c>
      <c r="L159">
        <f ca="1" t="shared" si="5"/>
        <v>45942</v>
      </c>
    </row>
    <row r="160" spans="9:12">
      <c r="I160">
        <f>IFERROR(VLOOKUP(H160,Rates!$A$2:$B$3,2,0),1)</f>
        <v>1</v>
      </c>
      <c r="J160" t="str">
        <f t="shared" si="4"/>
        <v/>
      </c>
      <c r="K160" t="str">
        <f>IF(J160&lt;&gt;"",SUM($J$2:J160),"")</f>
        <v/>
      </c>
      <c r="L160">
        <f ca="1" t="shared" si="5"/>
        <v>45942</v>
      </c>
    </row>
    <row r="161" spans="9:12">
      <c r="I161">
        <f>IFERROR(VLOOKUP(H161,Rates!$A$2:$B$3,2,0),1)</f>
        <v>1</v>
      </c>
      <c r="J161" t="str">
        <f t="shared" si="4"/>
        <v/>
      </c>
      <c r="K161" t="str">
        <f>IF(J161&lt;&gt;"",SUM($J$2:J161),"")</f>
        <v/>
      </c>
      <c r="L161">
        <f ca="1" t="shared" si="5"/>
        <v>45942</v>
      </c>
    </row>
    <row r="162" spans="9:12">
      <c r="I162">
        <f>IFERROR(VLOOKUP(H162,Rates!$A$2:$B$3,2,0),1)</f>
        <v>1</v>
      </c>
      <c r="J162" t="str">
        <f t="shared" si="4"/>
        <v/>
      </c>
      <c r="K162" t="str">
        <f>IF(J162&lt;&gt;"",SUM($J$2:J162),"")</f>
        <v/>
      </c>
      <c r="L162">
        <f ca="1" t="shared" si="5"/>
        <v>45942</v>
      </c>
    </row>
    <row r="163" spans="9:12">
      <c r="I163">
        <f>IFERROR(VLOOKUP(H163,Rates!$A$2:$B$3,2,0),1)</f>
        <v>1</v>
      </c>
      <c r="J163" t="str">
        <f t="shared" si="4"/>
        <v/>
      </c>
      <c r="K163" t="str">
        <f>IF(J163&lt;&gt;"",SUM($J$2:J163),"")</f>
        <v/>
      </c>
      <c r="L163">
        <f ca="1" t="shared" si="5"/>
        <v>45942</v>
      </c>
    </row>
    <row r="164" spans="9:12">
      <c r="I164">
        <f>IFERROR(VLOOKUP(H164,Rates!$A$2:$B$3,2,0),1)</f>
        <v>1</v>
      </c>
      <c r="J164" t="str">
        <f t="shared" si="4"/>
        <v/>
      </c>
      <c r="K164" t="str">
        <f>IF(J164&lt;&gt;"",SUM($J$2:J164),"")</f>
        <v/>
      </c>
      <c r="L164">
        <f ca="1" t="shared" si="5"/>
        <v>45942</v>
      </c>
    </row>
    <row r="165" spans="9:12">
      <c r="I165">
        <f>IFERROR(VLOOKUP(H165,Rates!$A$2:$B$3,2,0),1)</f>
        <v>1</v>
      </c>
      <c r="J165" t="str">
        <f t="shared" si="4"/>
        <v/>
      </c>
      <c r="K165" t="str">
        <f>IF(J165&lt;&gt;"",SUM($J$2:J165),"")</f>
        <v/>
      </c>
      <c r="L165">
        <f ca="1" t="shared" si="5"/>
        <v>45942</v>
      </c>
    </row>
    <row r="166" spans="9:12">
      <c r="I166">
        <f>IFERROR(VLOOKUP(H166,Rates!$A$2:$B$3,2,0),1)</f>
        <v>1</v>
      </c>
      <c r="J166" t="str">
        <f t="shared" si="4"/>
        <v/>
      </c>
      <c r="K166" t="str">
        <f>IF(J166&lt;&gt;"",SUM($J$2:J166),"")</f>
        <v/>
      </c>
      <c r="L166">
        <f ca="1" t="shared" si="5"/>
        <v>45942</v>
      </c>
    </row>
    <row r="167" spans="9:12">
      <c r="I167">
        <f>IFERROR(VLOOKUP(H167,Rates!$A$2:$B$3,2,0),1)</f>
        <v>1</v>
      </c>
      <c r="J167" t="str">
        <f t="shared" si="4"/>
        <v/>
      </c>
      <c r="K167" t="str">
        <f>IF(J167&lt;&gt;"",SUM($J$2:J167),"")</f>
        <v/>
      </c>
      <c r="L167">
        <f ca="1" t="shared" si="5"/>
        <v>45942</v>
      </c>
    </row>
    <row r="168" spans="9:12">
      <c r="I168">
        <f>IFERROR(VLOOKUP(H168,Rates!$A$2:$B$3,2,0),1)</f>
        <v>1</v>
      </c>
      <c r="J168" t="str">
        <f t="shared" si="4"/>
        <v/>
      </c>
      <c r="K168" t="str">
        <f>IF(J168&lt;&gt;"",SUM($J$2:J168),"")</f>
        <v/>
      </c>
      <c r="L168">
        <f ca="1" t="shared" si="5"/>
        <v>45942</v>
      </c>
    </row>
    <row r="169" spans="9:12">
      <c r="I169">
        <f>IFERROR(VLOOKUP(H169,Rates!$A$2:$B$3,2,0),1)</f>
        <v>1</v>
      </c>
      <c r="J169" t="str">
        <f t="shared" si="4"/>
        <v/>
      </c>
      <c r="K169" t="str">
        <f>IF(J169&lt;&gt;"",SUM($J$2:J169),"")</f>
        <v/>
      </c>
      <c r="L169">
        <f ca="1" t="shared" si="5"/>
        <v>45942</v>
      </c>
    </row>
    <row r="170" spans="9:12">
      <c r="I170">
        <f>IFERROR(VLOOKUP(H170,Rates!$A$2:$B$3,2,0),1)</f>
        <v>1</v>
      </c>
      <c r="J170" t="str">
        <f t="shared" si="4"/>
        <v/>
      </c>
      <c r="K170" t="str">
        <f>IF(J170&lt;&gt;"",SUM($J$2:J170),"")</f>
        <v/>
      </c>
      <c r="L170">
        <f ca="1" t="shared" si="5"/>
        <v>45942</v>
      </c>
    </row>
    <row r="171" spans="9:12">
      <c r="I171">
        <f>IFERROR(VLOOKUP(H171,Rates!$A$2:$B$3,2,0),1)</f>
        <v>1</v>
      </c>
      <c r="J171" t="str">
        <f t="shared" si="4"/>
        <v/>
      </c>
      <c r="K171" t="str">
        <f>IF(J171&lt;&gt;"",SUM($J$2:J171),"")</f>
        <v/>
      </c>
      <c r="L171">
        <f ca="1" t="shared" si="5"/>
        <v>45942</v>
      </c>
    </row>
    <row r="172" spans="9:12">
      <c r="I172">
        <f>IFERROR(VLOOKUP(H172,Rates!$A$2:$B$3,2,0),1)</f>
        <v>1</v>
      </c>
      <c r="J172" t="str">
        <f t="shared" si="4"/>
        <v/>
      </c>
      <c r="K172" t="str">
        <f>IF(J172&lt;&gt;"",SUM($J$2:J172),"")</f>
        <v/>
      </c>
      <c r="L172">
        <f ca="1" t="shared" si="5"/>
        <v>45942</v>
      </c>
    </row>
    <row r="173" spans="9:12">
      <c r="I173">
        <f>IFERROR(VLOOKUP(H173,Rates!$A$2:$B$3,2,0),1)</f>
        <v>1</v>
      </c>
      <c r="J173" t="str">
        <f t="shared" si="4"/>
        <v/>
      </c>
      <c r="K173" t="str">
        <f>IF(J173&lt;&gt;"",SUM($J$2:J173),"")</f>
        <v/>
      </c>
      <c r="L173">
        <f ca="1" t="shared" si="5"/>
        <v>45942</v>
      </c>
    </row>
    <row r="174" spans="9:12">
      <c r="I174">
        <f>IFERROR(VLOOKUP(H174,Rates!$A$2:$B$3,2,0),1)</f>
        <v>1</v>
      </c>
      <c r="J174" t="str">
        <f t="shared" si="4"/>
        <v/>
      </c>
      <c r="K174" t="str">
        <f>IF(J174&lt;&gt;"",SUM($J$2:J174),"")</f>
        <v/>
      </c>
      <c r="L174">
        <f ca="1" t="shared" si="5"/>
        <v>45942</v>
      </c>
    </row>
    <row r="175" spans="9:12">
      <c r="I175">
        <f>IFERROR(VLOOKUP(H175,Rates!$A$2:$B$3,2,0),1)</f>
        <v>1</v>
      </c>
      <c r="J175" t="str">
        <f t="shared" si="4"/>
        <v/>
      </c>
      <c r="K175" t="str">
        <f>IF(J175&lt;&gt;"",SUM($J$2:J175),"")</f>
        <v/>
      </c>
      <c r="L175">
        <f ca="1" t="shared" si="5"/>
        <v>45942</v>
      </c>
    </row>
    <row r="176" spans="9:12">
      <c r="I176">
        <f>IFERROR(VLOOKUP(H176,Rates!$A$2:$B$3,2,0),1)</f>
        <v>1</v>
      </c>
      <c r="J176" t="str">
        <f t="shared" si="4"/>
        <v/>
      </c>
      <c r="K176" t="str">
        <f>IF(J176&lt;&gt;"",SUM($J$2:J176),"")</f>
        <v/>
      </c>
      <c r="L176">
        <f ca="1" t="shared" si="5"/>
        <v>45942</v>
      </c>
    </row>
    <row r="177" spans="9:12">
      <c r="I177">
        <f>IFERROR(VLOOKUP(H177,Rates!$A$2:$B$3,2,0),1)</f>
        <v>1</v>
      </c>
      <c r="J177" t="str">
        <f t="shared" si="4"/>
        <v/>
      </c>
      <c r="K177" t="str">
        <f>IF(J177&lt;&gt;"",SUM($J$2:J177),"")</f>
        <v/>
      </c>
      <c r="L177">
        <f ca="1" t="shared" si="5"/>
        <v>45942</v>
      </c>
    </row>
    <row r="178" spans="9:12">
      <c r="I178">
        <f>IFERROR(VLOOKUP(H178,Rates!$A$2:$B$3,2,0),1)</f>
        <v>1</v>
      </c>
      <c r="J178" t="str">
        <f t="shared" si="4"/>
        <v/>
      </c>
      <c r="K178" t="str">
        <f>IF(J178&lt;&gt;"",SUM($J$2:J178),"")</f>
        <v/>
      </c>
      <c r="L178">
        <f ca="1" t="shared" si="5"/>
        <v>45942</v>
      </c>
    </row>
    <row r="179" spans="9:12">
      <c r="I179">
        <f>IFERROR(VLOOKUP(H179,Rates!$A$2:$B$3,2,0),1)</f>
        <v>1</v>
      </c>
      <c r="J179" t="str">
        <f t="shared" si="4"/>
        <v/>
      </c>
      <c r="K179" t="str">
        <f>IF(J179&lt;&gt;"",SUM($J$2:J179),"")</f>
        <v/>
      </c>
      <c r="L179">
        <f ca="1" t="shared" si="5"/>
        <v>45942</v>
      </c>
    </row>
    <row r="180" spans="9:12">
      <c r="I180">
        <f>IFERROR(VLOOKUP(H180,Rates!$A$2:$B$3,2,0),1)</f>
        <v>1</v>
      </c>
      <c r="J180" t="str">
        <f t="shared" si="4"/>
        <v/>
      </c>
      <c r="K180" t="str">
        <f>IF(J180&lt;&gt;"",SUM($J$2:J180),"")</f>
        <v/>
      </c>
      <c r="L180">
        <f ca="1" t="shared" si="5"/>
        <v>45942</v>
      </c>
    </row>
    <row r="181" spans="9:12">
      <c r="I181">
        <f>IFERROR(VLOOKUP(H181,Rates!$A$2:$B$3,2,0),1)</f>
        <v>1</v>
      </c>
      <c r="J181" t="str">
        <f t="shared" si="4"/>
        <v/>
      </c>
      <c r="K181" t="str">
        <f>IF(J181&lt;&gt;"",SUM($J$2:J181),"")</f>
        <v/>
      </c>
      <c r="L181">
        <f ca="1" t="shared" si="5"/>
        <v>45942</v>
      </c>
    </row>
    <row r="182" spans="9:12">
      <c r="I182">
        <f>IFERROR(VLOOKUP(H182,Rates!$A$2:$B$3,2,0),1)</f>
        <v>1</v>
      </c>
      <c r="J182" t="str">
        <f t="shared" si="4"/>
        <v/>
      </c>
      <c r="K182" t="str">
        <f>IF(J182&lt;&gt;"",SUM($J$2:J182),"")</f>
        <v/>
      </c>
      <c r="L182">
        <f ca="1" t="shared" si="5"/>
        <v>45942</v>
      </c>
    </row>
    <row r="183" spans="9:12">
      <c r="I183">
        <f>IFERROR(VLOOKUP(H183,Rates!$A$2:$B$3,2,0),1)</f>
        <v>1</v>
      </c>
      <c r="J183" t="str">
        <f t="shared" si="4"/>
        <v/>
      </c>
      <c r="K183" t="str">
        <f>IF(J183&lt;&gt;"",SUM($J$2:J183),"")</f>
        <v/>
      </c>
      <c r="L183">
        <f ca="1" t="shared" si="5"/>
        <v>45942</v>
      </c>
    </row>
    <row r="184" spans="9:12">
      <c r="I184">
        <f>IFERROR(VLOOKUP(H184,Rates!$A$2:$B$3,2,0),1)</f>
        <v>1</v>
      </c>
      <c r="J184" t="str">
        <f t="shared" si="4"/>
        <v/>
      </c>
      <c r="K184" t="str">
        <f>IF(J184&lt;&gt;"",SUM($J$2:J184),"")</f>
        <v/>
      </c>
      <c r="L184">
        <f ca="1" t="shared" si="5"/>
        <v>45942</v>
      </c>
    </row>
    <row r="185" spans="9:12">
      <c r="I185">
        <f>IFERROR(VLOOKUP(H185,Rates!$A$2:$B$3,2,0),1)</f>
        <v>1</v>
      </c>
      <c r="J185" t="str">
        <f t="shared" si="4"/>
        <v/>
      </c>
      <c r="K185" t="str">
        <f>IF(J185&lt;&gt;"",SUM($J$2:J185),"")</f>
        <v/>
      </c>
      <c r="L185">
        <f ca="1" t="shared" si="5"/>
        <v>45942</v>
      </c>
    </row>
    <row r="186" spans="9:12">
      <c r="I186">
        <f>IFERROR(VLOOKUP(H186,Rates!$A$2:$B$3,2,0),1)</f>
        <v>1</v>
      </c>
      <c r="J186" t="str">
        <f t="shared" si="4"/>
        <v/>
      </c>
      <c r="K186" t="str">
        <f>IF(J186&lt;&gt;"",SUM($J$2:J186),"")</f>
        <v/>
      </c>
      <c r="L186">
        <f ca="1" t="shared" si="5"/>
        <v>45942</v>
      </c>
    </row>
    <row r="187" spans="9:12">
      <c r="I187">
        <f>IFERROR(VLOOKUP(H187,Rates!$A$2:$B$3,2,0),1)</f>
        <v>1</v>
      </c>
      <c r="J187" t="str">
        <f t="shared" si="4"/>
        <v/>
      </c>
      <c r="K187" t="str">
        <f>IF(J187&lt;&gt;"",SUM($J$2:J187),"")</f>
        <v/>
      </c>
      <c r="L187">
        <f ca="1" t="shared" si="5"/>
        <v>45942</v>
      </c>
    </row>
    <row r="188" spans="9:12">
      <c r="I188">
        <f>IFERROR(VLOOKUP(H188,Rates!$A$2:$B$3,2,0),1)</f>
        <v>1</v>
      </c>
      <c r="J188" t="str">
        <f t="shared" si="4"/>
        <v/>
      </c>
      <c r="K188" t="str">
        <f>IF(J188&lt;&gt;"",SUM($J$2:J188),"")</f>
        <v/>
      </c>
      <c r="L188">
        <f ca="1" t="shared" si="5"/>
        <v>45942</v>
      </c>
    </row>
    <row r="189" spans="9:12">
      <c r="I189">
        <f>IFERROR(VLOOKUP(H189,Rates!$A$2:$B$3,2,0),1)</f>
        <v>1</v>
      </c>
      <c r="J189" t="str">
        <f t="shared" si="4"/>
        <v/>
      </c>
      <c r="K189" t="str">
        <f>IF(J189&lt;&gt;"",SUM($J$2:J189),"")</f>
        <v/>
      </c>
      <c r="L189">
        <f ca="1" t="shared" si="5"/>
        <v>45942</v>
      </c>
    </row>
    <row r="190" spans="9:12">
      <c r="I190">
        <f>IFERROR(VLOOKUP(H190,Rates!$A$2:$B$3,2,0),1)</f>
        <v>1</v>
      </c>
      <c r="J190" t="str">
        <f t="shared" si="4"/>
        <v/>
      </c>
      <c r="K190" t="str">
        <f>IF(J190&lt;&gt;"",SUM($J$2:J190),"")</f>
        <v/>
      </c>
      <c r="L190">
        <f ca="1" t="shared" si="5"/>
        <v>45942</v>
      </c>
    </row>
    <row r="191" spans="9:12">
      <c r="I191">
        <f>IFERROR(VLOOKUP(H191,Rates!$A$2:$B$3,2,0),1)</f>
        <v>1</v>
      </c>
      <c r="J191" t="str">
        <f t="shared" si="4"/>
        <v/>
      </c>
      <c r="K191" t="str">
        <f>IF(J191&lt;&gt;"",SUM($J$2:J191),"")</f>
        <v/>
      </c>
      <c r="L191">
        <f ca="1" t="shared" si="5"/>
        <v>45942</v>
      </c>
    </row>
    <row r="192" spans="9:12">
      <c r="I192">
        <f>IFERROR(VLOOKUP(H192,Rates!$A$2:$B$3,2,0),1)</f>
        <v>1</v>
      </c>
      <c r="J192" t="str">
        <f t="shared" si="4"/>
        <v/>
      </c>
      <c r="K192" t="str">
        <f>IF(J192&lt;&gt;"",SUM($J$2:J192),"")</f>
        <v/>
      </c>
      <c r="L192">
        <f ca="1" t="shared" si="5"/>
        <v>45942</v>
      </c>
    </row>
    <row r="193" spans="9:12">
      <c r="I193">
        <f>IFERROR(VLOOKUP(H193,Rates!$A$2:$B$3,2,0),1)</f>
        <v>1</v>
      </c>
      <c r="J193" t="str">
        <f t="shared" si="4"/>
        <v/>
      </c>
      <c r="K193" t="str">
        <f>IF(J193&lt;&gt;"",SUM($J$2:J193),"")</f>
        <v/>
      </c>
      <c r="L193">
        <f ca="1" t="shared" si="5"/>
        <v>45942</v>
      </c>
    </row>
    <row r="194" spans="9:12">
      <c r="I194">
        <f>IFERROR(VLOOKUP(H194,Rates!$A$2:$B$3,2,0),1)</f>
        <v>1</v>
      </c>
      <c r="J194" t="str">
        <f t="shared" ref="J194:J257" si="6">IF(G194&lt;&gt;"",G194*I194,"")</f>
        <v/>
      </c>
      <c r="K194" t="str">
        <f>IF(J194&lt;&gt;"",SUM($J$2:J194),"")</f>
        <v/>
      </c>
      <c r="L194">
        <f ca="1" t="shared" ref="L194:L257" si="7">IF(COUNTA(A194:K194)&gt;0,TODAY(),"")</f>
        <v>45942</v>
      </c>
    </row>
    <row r="195" spans="9:12">
      <c r="I195">
        <f>IFERROR(VLOOKUP(H195,Rates!$A$2:$B$3,2,0),1)</f>
        <v>1</v>
      </c>
      <c r="J195" t="str">
        <f t="shared" si="6"/>
        <v/>
      </c>
      <c r="K195" t="str">
        <f>IF(J195&lt;&gt;"",SUM($J$2:J195),"")</f>
        <v/>
      </c>
      <c r="L195">
        <f ca="1" t="shared" si="7"/>
        <v>45942</v>
      </c>
    </row>
    <row r="196" spans="9:12">
      <c r="I196">
        <f>IFERROR(VLOOKUP(H196,Rates!$A$2:$B$3,2,0),1)</f>
        <v>1</v>
      </c>
      <c r="J196" t="str">
        <f t="shared" si="6"/>
        <v/>
      </c>
      <c r="K196" t="str">
        <f>IF(J196&lt;&gt;"",SUM($J$2:J196),"")</f>
        <v/>
      </c>
      <c r="L196">
        <f ca="1" t="shared" si="7"/>
        <v>45942</v>
      </c>
    </row>
    <row r="197" spans="9:12">
      <c r="I197">
        <f>IFERROR(VLOOKUP(H197,Rates!$A$2:$B$3,2,0),1)</f>
        <v>1</v>
      </c>
      <c r="J197" t="str">
        <f t="shared" si="6"/>
        <v/>
      </c>
      <c r="K197" t="str">
        <f>IF(J197&lt;&gt;"",SUM($J$2:J197),"")</f>
        <v/>
      </c>
      <c r="L197">
        <f ca="1" t="shared" si="7"/>
        <v>45942</v>
      </c>
    </row>
    <row r="198" spans="9:12">
      <c r="I198">
        <f>IFERROR(VLOOKUP(H198,Rates!$A$2:$B$3,2,0),1)</f>
        <v>1</v>
      </c>
      <c r="J198" t="str">
        <f t="shared" si="6"/>
        <v/>
      </c>
      <c r="K198" t="str">
        <f>IF(J198&lt;&gt;"",SUM($J$2:J198),"")</f>
        <v/>
      </c>
      <c r="L198">
        <f ca="1" t="shared" si="7"/>
        <v>45942</v>
      </c>
    </row>
    <row r="199" spans="9:12">
      <c r="I199">
        <f>IFERROR(VLOOKUP(H199,Rates!$A$2:$B$3,2,0),1)</f>
        <v>1</v>
      </c>
      <c r="J199" t="str">
        <f t="shared" si="6"/>
        <v/>
      </c>
      <c r="K199" t="str">
        <f>IF(J199&lt;&gt;"",SUM($J$2:J199),"")</f>
        <v/>
      </c>
      <c r="L199">
        <f ca="1" t="shared" si="7"/>
        <v>45942</v>
      </c>
    </row>
    <row r="200" spans="9:12">
      <c r="I200">
        <f>IFERROR(VLOOKUP(H200,Rates!$A$2:$B$3,2,0),1)</f>
        <v>1</v>
      </c>
      <c r="J200" t="str">
        <f t="shared" si="6"/>
        <v/>
      </c>
      <c r="K200" t="str">
        <f>IF(J200&lt;&gt;"",SUM($J$2:J200),"")</f>
        <v/>
      </c>
      <c r="L200">
        <f ca="1" t="shared" si="7"/>
        <v>45942</v>
      </c>
    </row>
    <row r="201" spans="9:12">
      <c r="I201">
        <f>IFERROR(VLOOKUP(H201,Rates!$A$2:$B$3,2,0),1)</f>
        <v>1</v>
      </c>
      <c r="J201" t="str">
        <f t="shared" si="6"/>
        <v/>
      </c>
      <c r="K201" t="str">
        <f>IF(J201&lt;&gt;"",SUM($J$2:J201),"")</f>
        <v/>
      </c>
      <c r="L201">
        <f ca="1" t="shared" si="7"/>
        <v>45942</v>
      </c>
    </row>
    <row r="202" spans="9:12">
      <c r="I202">
        <f>IFERROR(VLOOKUP(H202,Rates!$A$2:$B$3,2,0),1)</f>
        <v>1</v>
      </c>
      <c r="J202" t="str">
        <f t="shared" si="6"/>
        <v/>
      </c>
      <c r="K202" t="str">
        <f>IF(J202&lt;&gt;"",SUM($J$2:J202),"")</f>
        <v/>
      </c>
      <c r="L202">
        <f ca="1" t="shared" si="7"/>
        <v>45942</v>
      </c>
    </row>
    <row r="203" spans="9:12">
      <c r="I203">
        <f>IFERROR(VLOOKUP(H203,Rates!$A$2:$B$3,2,0),1)</f>
        <v>1</v>
      </c>
      <c r="J203" t="str">
        <f t="shared" si="6"/>
        <v/>
      </c>
      <c r="K203" t="str">
        <f>IF(J203&lt;&gt;"",SUM($J$2:J203),"")</f>
        <v/>
      </c>
      <c r="L203">
        <f ca="1" t="shared" si="7"/>
        <v>45942</v>
      </c>
    </row>
    <row r="204" spans="9:12">
      <c r="I204">
        <f>IFERROR(VLOOKUP(H204,Rates!$A$2:$B$3,2,0),1)</f>
        <v>1</v>
      </c>
      <c r="J204" t="str">
        <f t="shared" si="6"/>
        <v/>
      </c>
      <c r="K204" t="str">
        <f>IF(J204&lt;&gt;"",SUM($J$2:J204),"")</f>
        <v/>
      </c>
      <c r="L204">
        <f ca="1" t="shared" si="7"/>
        <v>45942</v>
      </c>
    </row>
    <row r="205" spans="9:12">
      <c r="I205">
        <f>IFERROR(VLOOKUP(H205,Rates!$A$2:$B$3,2,0),1)</f>
        <v>1</v>
      </c>
      <c r="J205" t="str">
        <f t="shared" si="6"/>
        <v/>
      </c>
      <c r="K205" t="str">
        <f>IF(J205&lt;&gt;"",SUM($J$2:J205),"")</f>
        <v/>
      </c>
      <c r="L205">
        <f ca="1" t="shared" si="7"/>
        <v>45942</v>
      </c>
    </row>
    <row r="206" spans="9:12">
      <c r="I206">
        <f>IFERROR(VLOOKUP(H206,Rates!$A$2:$B$3,2,0),1)</f>
        <v>1</v>
      </c>
      <c r="J206" t="str">
        <f t="shared" si="6"/>
        <v/>
      </c>
      <c r="K206" t="str">
        <f>IF(J206&lt;&gt;"",SUM($J$2:J206),"")</f>
        <v/>
      </c>
      <c r="L206">
        <f ca="1" t="shared" si="7"/>
        <v>45942</v>
      </c>
    </row>
    <row r="207" spans="9:12">
      <c r="I207">
        <f>IFERROR(VLOOKUP(H207,Rates!$A$2:$B$3,2,0),1)</f>
        <v>1</v>
      </c>
      <c r="J207" t="str">
        <f t="shared" si="6"/>
        <v/>
      </c>
      <c r="K207" t="str">
        <f>IF(J207&lt;&gt;"",SUM($J$2:J207),"")</f>
        <v/>
      </c>
      <c r="L207">
        <f ca="1" t="shared" si="7"/>
        <v>45942</v>
      </c>
    </row>
    <row r="208" spans="9:12">
      <c r="I208">
        <f>IFERROR(VLOOKUP(H208,Rates!$A$2:$B$3,2,0),1)</f>
        <v>1</v>
      </c>
      <c r="J208" t="str">
        <f t="shared" si="6"/>
        <v/>
      </c>
      <c r="K208" t="str">
        <f>IF(J208&lt;&gt;"",SUM($J$2:J208),"")</f>
        <v/>
      </c>
      <c r="L208">
        <f ca="1" t="shared" si="7"/>
        <v>45942</v>
      </c>
    </row>
    <row r="209" spans="9:12">
      <c r="I209">
        <f>IFERROR(VLOOKUP(H209,Rates!$A$2:$B$3,2,0),1)</f>
        <v>1</v>
      </c>
      <c r="J209" t="str">
        <f t="shared" si="6"/>
        <v/>
      </c>
      <c r="K209" t="str">
        <f>IF(J209&lt;&gt;"",SUM($J$2:J209),"")</f>
        <v/>
      </c>
      <c r="L209">
        <f ca="1" t="shared" si="7"/>
        <v>45942</v>
      </c>
    </row>
    <row r="210" spans="9:12">
      <c r="I210">
        <f>IFERROR(VLOOKUP(H210,Rates!$A$2:$B$3,2,0),1)</f>
        <v>1</v>
      </c>
      <c r="J210" t="str">
        <f t="shared" si="6"/>
        <v/>
      </c>
      <c r="K210" t="str">
        <f>IF(J210&lt;&gt;"",SUM($J$2:J210),"")</f>
        <v/>
      </c>
      <c r="L210">
        <f ca="1" t="shared" si="7"/>
        <v>45942</v>
      </c>
    </row>
    <row r="211" spans="9:12">
      <c r="I211">
        <f>IFERROR(VLOOKUP(H211,Rates!$A$2:$B$3,2,0),1)</f>
        <v>1</v>
      </c>
      <c r="J211" t="str">
        <f t="shared" si="6"/>
        <v/>
      </c>
      <c r="K211" t="str">
        <f>IF(J211&lt;&gt;"",SUM($J$2:J211),"")</f>
        <v/>
      </c>
      <c r="L211">
        <f ca="1" t="shared" si="7"/>
        <v>45942</v>
      </c>
    </row>
    <row r="212" spans="9:12">
      <c r="I212">
        <f>IFERROR(VLOOKUP(H212,Rates!$A$2:$B$3,2,0),1)</f>
        <v>1</v>
      </c>
      <c r="J212" t="str">
        <f t="shared" si="6"/>
        <v/>
      </c>
      <c r="K212" t="str">
        <f>IF(J212&lt;&gt;"",SUM($J$2:J212),"")</f>
        <v/>
      </c>
      <c r="L212">
        <f ca="1" t="shared" si="7"/>
        <v>45942</v>
      </c>
    </row>
    <row r="213" spans="9:12">
      <c r="I213">
        <f>IFERROR(VLOOKUP(H213,Rates!$A$2:$B$3,2,0),1)</f>
        <v>1</v>
      </c>
      <c r="J213" t="str">
        <f t="shared" si="6"/>
        <v/>
      </c>
      <c r="K213" t="str">
        <f>IF(J213&lt;&gt;"",SUM($J$2:J213),"")</f>
        <v/>
      </c>
      <c r="L213">
        <f ca="1" t="shared" si="7"/>
        <v>45942</v>
      </c>
    </row>
    <row r="214" spans="9:12">
      <c r="I214">
        <f>IFERROR(VLOOKUP(H214,Rates!$A$2:$B$3,2,0),1)</f>
        <v>1</v>
      </c>
      <c r="J214" t="str">
        <f t="shared" si="6"/>
        <v/>
      </c>
      <c r="K214" t="str">
        <f>IF(J214&lt;&gt;"",SUM($J$2:J214),"")</f>
        <v/>
      </c>
      <c r="L214">
        <f ca="1" t="shared" si="7"/>
        <v>45942</v>
      </c>
    </row>
    <row r="215" spans="9:12">
      <c r="I215">
        <f>IFERROR(VLOOKUP(H215,Rates!$A$2:$B$3,2,0),1)</f>
        <v>1</v>
      </c>
      <c r="J215" t="str">
        <f t="shared" si="6"/>
        <v/>
      </c>
      <c r="K215" t="str">
        <f>IF(J215&lt;&gt;"",SUM($J$2:J215),"")</f>
        <v/>
      </c>
      <c r="L215">
        <f ca="1" t="shared" si="7"/>
        <v>45942</v>
      </c>
    </row>
    <row r="216" spans="9:12">
      <c r="I216">
        <f>IFERROR(VLOOKUP(H216,Rates!$A$2:$B$3,2,0),1)</f>
        <v>1</v>
      </c>
      <c r="J216" t="str">
        <f t="shared" si="6"/>
        <v/>
      </c>
      <c r="K216" t="str">
        <f>IF(J216&lt;&gt;"",SUM($J$2:J216),"")</f>
        <v/>
      </c>
      <c r="L216">
        <f ca="1" t="shared" si="7"/>
        <v>45942</v>
      </c>
    </row>
    <row r="217" spans="9:12">
      <c r="I217">
        <f>IFERROR(VLOOKUP(H217,Rates!$A$2:$B$3,2,0),1)</f>
        <v>1</v>
      </c>
      <c r="J217" t="str">
        <f t="shared" si="6"/>
        <v/>
      </c>
      <c r="K217" t="str">
        <f>IF(J217&lt;&gt;"",SUM($J$2:J217),"")</f>
        <v/>
      </c>
      <c r="L217">
        <f ca="1" t="shared" si="7"/>
        <v>45942</v>
      </c>
    </row>
    <row r="218" spans="9:12">
      <c r="I218">
        <f>IFERROR(VLOOKUP(H218,Rates!$A$2:$B$3,2,0),1)</f>
        <v>1</v>
      </c>
      <c r="J218" t="str">
        <f t="shared" si="6"/>
        <v/>
      </c>
      <c r="K218" t="str">
        <f>IF(J218&lt;&gt;"",SUM($J$2:J218),"")</f>
        <v/>
      </c>
      <c r="L218">
        <f ca="1" t="shared" si="7"/>
        <v>45942</v>
      </c>
    </row>
    <row r="219" spans="9:12">
      <c r="I219">
        <f>IFERROR(VLOOKUP(H219,Rates!$A$2:$B$3,2,0),1)</f>
        <v>1</v>
      </c>
      <c r="J219" t="str">
        <f t="shared" si="6"/>
        <v/>
      </c>
      <c r="K219" t="str">
        <f>IF(J219&lt;&gt;"",SUM($J$2:J219),"")</f>
        <v/>
      </c>
      <c r="L219">
        <f ca="1" t="shared" si="7"/>
        <v>45942</v>
      </c>
    </row>
    <row r="220" spans="9:12">
      <c r="I220">
        <f>IFERROR(VLOOKUP(H220,Rates!$A$2:$B$3,2,0),1)</f>
        <v>1</v>
      </c>
      <c r="J220" t="str">
        <f t="shared" si="6"/>
        <v/>
      </c>
      <c r="K220" t="str">
        <f>IF(J220&lt;&gt;"",SUM($J$2:J220),"")</f>
        <v/>
      </c>
      <c r="L220">
        <f ca="1" t="shared" si="7"/>
        <v>45942</v>
      </c>
    </row>
    <row r="221" spans="9:12">
      <c r="I221">
        <f>IFERROR(VLOOKUP(H221,Rates!$A$2:$B$3,2,0),1)</f>
        <v>1</v>
      </c>
      <c r="J221" t="str">
        <f t="shared" si="6"/>
        <v/>
      </c>
      <c r="K221" t="str">
        <f>IF(J221&lt;&gt;"",SUM($J$2:J221),"")</f>
        <v/>
      </c>
      <c r="L221">
        <f ca="1" t="shared" si="7"/>
        <v>45942</v>
      </c>
    </row>
    <row r="222" spans="9:12">
      <c r="I222">
        <f>IFERROR(VLOOKUP(H222,Rates!$A$2:$B$3,2,0),1)</f>
        <v>1</v>
      </c>
      <c r="J222" t="str">
        <f t="shared" si="6"/>
        <v/>
      </c>
      <c r="K222" t="str">
        <f>IF(J222&lt;&gt;"",SUM($J$2:J222),"")</f>
        <v/>
      </c>
      <c r="L222">
        <f ca="1" t="shared" si="7"/>
        <v>45942</v>
      </c>
    </row>
    <row r="223" spans="9:12">
      <c r="I223">
        <f>IFERROR(VLOOKUP(H223,Rates!$A$2:$B$3,2,0),1)</f>
        <v>1</v>
      </c>
      <c r="J223" t="str">
        <f t="shared" si="6"/>
        <v/>
      </c>
      <c r="K223" t="str">
        <f>IF(J223&lt;&gt;"",SUM($J$2:J223),"")</f>
        <v/>
      </c>
      <c r="L223">
        <f ca="1" t="shared" si="7"/>
        <v>45942</v>
      </c>
    </row>
    <row r="224" spans="9:12">
      <c r="I224">
        <f>IFERROR(VLOOKUP(H224,Rates!$A$2:$B$3,2,0),1)</f>
        <v>1</v>
      </c>
      <c r="J224" t="str">
        <f t="shared" si="6"/>
        <v/>
      </c>
      <c r="K224" t="str">
        <f>IF(J224&lt;&gt;"",SUM($J$2:J224),"")</f>
        <v/>
      </c>
      <c r="L224">
        <f ca="1" t="shared" si="7"/>
        <v>45942</v>
      </c>
    </row>
    <row r="225" spans="9:12">
      <c r="I225">
        <f>IFERROR(VLOOKUP(H225,Rates!$A$2:$B$3,2,0),1)</f>
        <v>1</v>
      </c>
      <c r="J225" t="str">
        <f t="shared" si="6"/>
        <v/>
      </c>
      <c r="K225" t="str">
        <f>IF(J225&lt;&gt;"",SUM($J$2:J225),"")</f>
        <v/>
      </c>
      <c r="L225">
        <f ca="1" t="shared" si="7"/>
        <v>45942</v>
      </c>
    </row>
    <row r="226" spans="9:12">
      <c r="I226">
        <f>IFERROR(VLOOKUP(H226,Rates!$A$2:$B$3,2,0),1)</f>
        <v>1</v>
      </c>
      <c r="J226" t="str">
        <f t="shared" si="6"/>
        <v/>
      </c>
      <c r="K226" t="str">
        <f>IF(J226&lt;&gt;"",SUM($J$2:J226),"")</f>
        <v/>
      </c>
      <c r="L226">
        <f ca="1" t="shared" si="7"/>
        <v>45942</v>
      </c>
    </row>
    <row r="227" spans="9:12">
      <c r="I227">
        <f>IFERROR(VLOOKUP(H227,Rates!$A$2:$B$3,2,0),1)</f>
        <v>1</v>
      </c>
      <c r="J227" t="str">
        <f t="shared" si="6"/>
        <v/>
      </c>
      <c r="K227" t="str">
        <f>IF(J227&lt;&gt;"",SUM($J$2:J227),"")</f>
        <v/>
      </c>
      <c r="L227">
        <f ca="1" t="shared" si="7"/>
        <v>45942</v>
      </c>
    </row>
    <row r="228" spans="9:12">
      <c r="I228">
        <f>IFERROR(VLOOKUP(H228,Rates!$A$2:$B$3,2,0),1)</f>
        <v>1</v>
      </c>
      <c r="J228" t="str">
        <f t="shared" si="6"/>
        <v/>
      </c>
      <c r="K228" t="str">
        <f>IF(J228&lt;&gt;"",SUM($J$2:J228),"")</f>
        <v/>
      </c>
      <c r="L228">
        <f ca="1" t="shared" si="7"/>
        <v>45942</v>
      </c>
    </row>
    <row r="229" spans="9:12">
      <c r="I229">
        <f>IFERROR(VLOOKUP(H229,Rates!$A$2:$B$3,2,0),1)</f>
        <v>1</v>
      </c>
      <c r="J229" t="str">
        <f t="shared" si="6"/>
        <v/>
      </c>
      <c r="K229" t="str">
        <f>IF(J229&lt;&gt;"",SUM($J$2:J229),"")</f>
        <v/>
      </c>
      <c r="L229">
        <f ca="1" t="shared" si="7"/>
        <v>45942</v>
      </c>
    </row>
    <row r="230" spans="9:12">
      <c r="I230">
        <f>IFERROR(VLOOKUP(H230,Rates!$A$2:$B$3,2,0),1)</f>
        <v>1</v>
      </c>
      <c r="J230" t="str">
        <f t="shared" si="6"/>
        <v/>
      </c>
      <c r="K230" t="str">
        <f>IF(J230&lt;&gt;"",SUM($J$2:J230),"")</f>
        <v/>
      </c>
      <c r="L230">
        <f ca="1" t="shared" si="7"/>
        <v>45942</v>
      </c>
    </row>
    <row r="231" spans="9:12">
      <c r="I231">
        <f>IFERROR(VLOOKUP(H231,Rates!$A$2:$B$3,2,0),1)</f>
        <v>1</v>
      </c>
      <c r="J231" t="str">
        <f t="shared" si="6"/>
        <v/>
      </c>
      <c r="K231" t="str">
        <f>IF(J231&lt;&gt;"",SUM($J$2:J231),"")</f>
        <v/>
      </c>
      <c r="L231">
        <f ca="1" t="shared" si="7"/>
        <v>45942</v>
      </c>
    </row>
    <row r="232" spans="9:12">
      <c r="I232">
        <f>IFERROR(VLOOKUP(H232,Rates!$A$2:$B$3,2,0),1)</f>
        <v>1</v>
      </c>
      <c r="J232" t="str">
        <f t="shared" si="6"/>
        <v/>
      </c>
      <c r="K232" t="str">
        <f>IF(J232&lt;&gt;"",SUM($J$2:J232),"")</f>
        <v/>
      </c>
      <c r="L232">
        <f ca="1" t="shared" si="7"/>
        <v>45942</v>
      </c>
    </row>
    <row r="233" spans="9:12">
      <c r="I233">
        <f>IFERROR(VLOOKUP(H233,Rates!$A$2:$B$3,2,0),1)</f>
        <v>1</v>
      </c>
      <c r="J233" t="str">
        <f t="shared" si="6"/>
        <v/>
      </c>
      <c r="K233" t="str">
        <f>IF(J233&lt;&gt;"",SUM($J$2:J233),"")</f>
        <v/>
      </c>
      <c r="L233">
        <f ca="1" t="shared" si="7"/>
        <v>45942</v>
      </c>
    </row>
    <row r="234" spans="9:12">
      <c r="I234">
        <f>IFERROR(VLOOKUP(H234,Rates!$A$2:$B$3,2,0),1)</f>
        <v>1</v>
      </c>
      <c r="J234" t="str">
        <f t="shared" si="6"/>
        <v/>
      </c>
      <c r="K234" t="str">
        <f>IF(J234&lt;&gt;"",SUM($J$2:J234),"")</f>
        <v/>
      </c>
      <c r="L234">
        <f ca="1" t="shared" si="7"/>
        <v>45942</v>
      </c>
    </row>
    <row r="235" spans="9:12">
      <c r="I235">
        <f>IFERROR(VLOOKUP(H235,Rates!$A$2:$B$3,2,0),1)</f>
        <v>1</v>
      </c>
      <c r="J235" t="str">
        <f t="shared" si="6"/>
        <v/>
      </c>
      <c r="K235" t="str">
        <f>IF(J235&lt;&gt;"",SUM($J$2:J235),"")</f>
        <v/>
      </c>
      <c r="L235">
        <f ca="1" t="shared" si="7"/>
        <v>45942</v>
      </c>
    </row>
    <row r="236" spans="9:12">
      <c r="I236">
        <f>IFERROR(VLOOKUP(H236,Rates!$A$2:$B$3,2,0),1)</f>
        <v>1</v>
      </c>
      <c r="J236" t="str">
        <f t="shared" si="6"/>
        <v/>
      </c>
      <c r="K236" t="str">
        <f>IF(J236&lt;&gt;"",SUM($J$2:J236),"")</f>
        <v/>
      </c>
      <c r="L236">
        <f ca="1" t="shared" si="7"/>
        <v>45942</v>
      </c>
    </row>
    <row r="237" spans="9:12">
      <c r="I237">
        <f>IFERROR(VLOOKUP(H237,Rates!$A$2:$B$3,2,0),1)</f>
        <v>1</v>
      </c>
      <c r="J237" t="str">
        <f t="shared" si="6"/>
        <v/>
      </c>
      <c r="K237" t="str">
        <f>IF(J237&lt;&gt;"",SUM($J$2:J237),"")</f>
        <v/>
      </c>
      <c r="L237">
        <f ca="1" t="shared" si="7"/>
        <v>45942</v>
      </c>
    </row>
    <row r="238" spans="9:12">
      <c r="I238">
        <f>IFERROR(VLOOKUP(H238,Rates!$A$2:$B$3,2,0),1)</f>
        <v>1</v>
      </c>
      <c r="J238" t="str">
        <f t="shared" si="6"/>
        <v/>
      </c>
      <c r="K238" t="str">
        <f>IF(J238&lt;&gt;"",SUM($J$2:J238),"")</f>
        <v/>
      </c>
      <c r="L238">
        <f ca="1" t="shared" si="7"/>
        <v>45942</v>
      </c>
    </row>
    <row r="239" spans="9:12">
      <c r="I239">
        <f>IFERROR(VLOOKUP(H239,Rates!$A$2:$B$3,2,0),1)</f>
        <v>1</v>
      </c>
      <c r="J239" t="str">
        <f t="shared" si="6"/>
        <v/>
      </c>
      <c r="K239" t="str">
        <f>IF(J239&lt;&gt;"",SUM($J$2:J239),"")</f>
        <v/>
      </c>
      <c r="L239">
        <f ca="1" t="shared" si="7"/>
        <v>45942</v>
      </c>
    </row>
    <row r="240" spans="9:12">
      <c r="I240">
        <f>IFERROR(VLOOKUP(H240,Rates!$A$2:$B$3,2,0),1)</f>
        <v>1</v>
      </c>
      <c r="J240" t="str">
        <f t="shared" si="6"/>
        <v/>
      </c>
      <c r="K240" t="str">
        <f>IF(J240&lt;&gt;"",SUM($J$2:J240),"")</f>
        <v/>
      </c>
      <c r="L240">
        <f ca="1" t="shared" si="7"/>
        <v>45942</v>
      </c>
    </row>
    <row r="241" spans="9:12">
      <c r="I241">
        <f>IFERROR(VLOOKUP(H241,Rates!$A$2:$B$3,2,0),1)</f>
        <v>1</v>
      </c>
      <c r="J241" t="str">
        <f t="shared" si="6"/>
        <v/>
      </c>
      <c r="K241" t="str">
        <f>IF(J241&lt;&gt;"",SUM($J$2:J241),"")</f>
        <v/>
      </c>
      <c r="L241">
        <f ca="1" t="shared" si="7"/>
        <v>45942</v>
      </c>
    </row>
    <row r="242" spans="9:12">
      <c r="I242">
        <f>IFERROR(VLOOKUP(H242,Rates!$A$2:$B$3,2,0),1)</f>
        <v>1</v>
      </c>
      <c r="J242" t="str">
        <f t="shared" si="6"/>
        <v/>
      </c>
      <c r="K242" t="str">
        <f>IF(J242&lt;&gt;"",SUM($J$2:J242),"")</f>
        <v/>
      </c>
      <c r="L242">
        <f ca="1" t="shared" si="7"/>
        <v>45942</v>
      </c>
    </row>
    <row r="243" spans="9:12">
      <c r="I243">
        <f>IFERROR(VLOOKUP(H243,Rates!$A$2:$B$3,2,0),1)</f>
        <v>1</v>
      </c>
      <c r="J243" t="str">
        <f t="shared" si="6"/>
        <v/>
      </c>
      <c r="K243" t="str">
        <f>IF(J243&lt;&gt;"",SUM($J$2:J243),"")</f>
        <v/>
      </c>
      <c r="L243">
        <f ca="1" t="shared" si="7"/>
        <v>45942</v>
      </c>
    </row>
    <row r="244" spans="9:12">
      <c r="I244">
        <f>IFERROR(VLOOKUP(H244,Rates!$A$2:$B$3,2,0),1)</f>
        <v>1</v>
      </c>
      <c r="J244" t="str">
        <f t="shared" si="6"/>
        <v/>
      </c>
      <c r="K244" t="str">
        <f>IF(J244&lt;&gt;"",SUM($J$2:J244),"")</f>
        <v/>
      </c>
      <c r="L244">
        <f ca="1" t="shared" si="7"/>
        <v>45942</v>
      </c>
    </row>
    <row r="245" spans="9:12">
      <c r="I245">
        <f>IFERROR(VLOOKUP(H245,Rates!$A$2:$B$3,2,0),1)</f>
        <v>1</v>
      </c>
      <c r="J245" t="str">
        <f t="shared" si="6"/>
        <v/>
      </c>
      <c r="K245" t="str">
        <f>IF(J245&lt;&gt;"",SUM($J$2:J245),"")</f>
        <v/>
      </c>
      <c r="L245">
        <f ca="1" t="shared" si="7"/>
        <v>45942</v>
      </c>
    </row>
    <row r="246" spans="9:12">
      <c r="I246">
        <f>IFERROR(VLOOKUP(H246,Rates!$A$2:$B$3,2,0),1)</f>
        <v>1</v>
      </c>
      <c r="J246" t="str">
        <f t="shared" si="6"/>
        <v/>
      </c>
      <c r="K246" t="str">
        <f>IF(J246&lt;&gt;"",SUM($J$2:J246),"")</f>
        <v/>
      </c>
      <c r="L246">
        <f ca="1" t="shared" si="7"/>
        <v>45942</v>
      </c>
    </row>
    <row r="247" spans="9:12">
      <c r="I247">
        <f>IFERROR(VLOOKUP(H247,Rates!$A$2:$B$3,2,0),1)</f>
        <v>1</v>
      </c>
      <c r="J247" t="str">
        <f t="shared" si="6"/>
        <v/>
      </c>
      <c r="K247" t="str">
        <f>IF(J247&lt;&gt;"",SUM($J$2:J247),"")</f>
        <v/>
      </c>
      <c r="L247">
        <f ca="1" t="shared" si="7"/>
        <v>45942</v>
      </c>
    </row>
    <row r="248" spans="9:12">
      <c r="I248">
        <f>IFERROR(VLOOKUP(H248,Rates!$A$2:$B$3,2,0),1)</f>
        <v>1</v>
      </c>
      <c r="J248" t="str">
        <f t="shared" si="6"/>
        <v/>
      </c>
      <c r="K248" t="str">
        <f>IF(J248&lt;&gt;"",SUM($J$2:J248),"")</f>
        <v/>
      </c>
      <c r="L248">
        <f ca="1" t="shared" si="7"/>
        <v>45942</v>
      </c>
    </row>
    <row r="249" spans="9:12">
      <c r="I249">
        <f>IFERROR(VLOOKUP(H249,Rates!$A$2:$B$3,2,0),1)</f>
        <v>1</v>
      </c>
      <c r="J249" t="str">
        <f t="shared" si="6"/>
        <v/>
      </c>
      <c r="K249" t="str">
        <f>IF(J249&lt;&gt;"",SUM($J$2:J249),"")</f>
        <v/>
      </c>
      <c r="L249">
        <f ca="1" t="shared" si="7"/>
        <v>45942</v>
      </c>
    </row>
    <row r="250" spans="9:12">
      <c r="I250">
        <f>IFERROR(VLOOKUP(H250,Rates!$A$2:$B$3,2,0),1)</f>
        <v>1</v>
      </c>
      <c r="J250" t="str">
        <f t="shared" si="6"/>
        <v/>
      </c>
      <c r="K250" t="str">
        <f>IF(J250&lt;&gt;"",SUM($J$2:J250),"")</f>
        <v/>
      </c>
      <c r="L250">
        <f ca="1" t="shared" si="7"/>
        <v>45942</v>
      </c>
    </row>
    <row r="251" spans="9:12">
      <c r="I251">
        <f>IFERROR(VLOOKUP(H251,Rates!$A$2:$B$3,2,0),1)</f>
        <v>1</v>
      </c>
      <c r="J251" t="str">
        <f t="shared" si="6"/>
        <v/>
      </c>
      <c r="K251" t="str">
        <f>IF(J251&lt;&gt;"",SUM($J$2:J251),"")</f>
        <v/>
      </c>
      <c r="L251">
        <f ca="1" t="shared" si="7"/>
        <v>45942</v>
      </c>
    </row>
    <row r="252" spans="9:12">
      <c r="I252">
        <f>IFERROR(VLOOKUP(H252,Rates!$A$2:$B$3,2,0),1)</f>
        <v>1</v>
      </c>
      <c r="J252" t="str">
        <f t="shared" si="6"/>
        <v/>
      </c>
      <c r="K252" t="str">
        <f>IF(J252&lt;&gt;"",SUM($J$2:J252),"")</f>
        <v/>
      </c>
      <c r="L252">
        <f ca="1" t="shared" si="7"/>
        <v>45942</v>
      </c>
    </row>
    <row r="253" spans="9:12">
      <c r="I253">
        <f>IFERROR(VLOOKUP(H253,Rates!$A$2:$B$3,2,0),1)</f>
        <v>1</v>
      </c>
      <c r="J253" t="str">
        <f t="shared" si="6"/>
        <v/>
      </c>
      <c r="K253" t="str">
        <f>IF(J253&lt;&gt;"",SUM($J$2:J253),"")</f>
        <v/>
      </c>
      <c r="L253">
        <f ca="1" t="shared" si="7"/>
        <v>45942</v>
      </c>
    </row>
    <row r="254" spans="9:12">
      <c r="I254">
        <f>IFERROR(VLOOKUP(H254,Rates!$A$2:$B$3,2,0),1)</f>
        <v>1</v>
      </c>
      <c r="J254" t="str">
        <f t="shared" si="6"/>
        <v/>
      </c>
      <c r="K254" t="str">
        <f>IF(J254&lt;&gt;"",SUM($J$2:J254),"")</f>
        <v/>
      </c>
      <c r="L254">
        <f ca="1" t="shared" si="7"/>
        <v>45942</v>
      </c>
    </row>
    <row r="255" spans="9:12">
      <c r="I255">
        <f>IFERROR(VLOOKUP(H255,Rates!$A$2:$B$3,2,0),1)</f>
        <v>1</v>
      </c>
      <c r="J255" t="str">
        <f t="shared" si="6"/>
        <v/>
      </c>
      <c r="K255" t="str">
        <f>IF(J255&lt;&gt;"",SUM($J$2:J255),"")</f>
        <v/>
      </c>
      <c r="L255">
        <f ca="1" t="shared" si="7"/>
        <v>45942</v>
      </c>
    </row>
    <row r="256" spans="9:12">
      <c r="I256">
        <f>IFERROR(VLOOKUP(H256,Rates!$A$2:$B$3,2,0),1)</f>
        <v>1</v>
      </c>
      <c r="J256" t="str">
        <f t="shared" si="6"/>
        <v/>
      </c>
      <c r="K256" t="str">
        <f>IF(J256&lt;&gt;"",SUM($J$2:J256),"")</f>
        <v/>
      </c>
      <c r="L256">
        <f ca="1" t="shared" si="7"/>
        <v>45942</v>
      </c>
    </row>
    <row r="257" spans="9:12">
      <c r="I257">
        <f>IFERROR(VLOOKUP(H257,Rates!$A$2:$B$3,2,0),1)</f>
        <v>1</v>
      </c>
      <c r="J257" t="str">
        <f t="shared" si="6"/>
        <v/>
      </c>
      <c r="K257" t="str">
        <f>IF(J257&lt;&gt;"",SUM($J$2:J257),"")</f>
        <v/>
      </c>
      <c r="L257">
        <f ca="1" t="shared" si="7"/>
        <v>45942</v>
      </c>
    </row>
    <row r="258" spans="9:12">
      <c r="I258">
        <f>IFERROR(VLOOKUP(H258,Rates!$A$2:$B$3,2,0),1)</f>
        <v>1</v>
      </c>
      <c r="J258" t="str">
        <f t="shared" ref="J258:J301" si="8">IF(G258&lt;&gt;"",G258*I258,"")</f>
        <v/>
      </c>
      <c r="K258" t="str">
        <f>IF(J258&lt;&gt;"",SUM($J$2:J258),"")</f>
        <v/>
      </c>
      <c r="L258">
        <f ca="1" t="shared" ref="L258:L301" si="9">IF(COUNTA(A258:K258)&gt;0,TODAY(),"")</f>
        <v>45942</v>
      </c>
    </row>
    <row r="259" spans="9:12">
      <c r="I259">
        <f>IFERROR(VLOOKUP(H259,Rates!$A$2:$B$3,2,0),1)</f>
        <v>1</v>
      </c>
      <c r="J259" t="str">
        <f t="shared" si="8"/>
        <v/>
      </c>
      <c r="K259" t="str">
        <f>IF(J259&lt;&gt;"",SUM($J$2:J259),"")</f>
        <v/>
      </c>
      <c r="L259">
        <f ca="1" t="shared" si="9"/>
        <v>45942</v>
      </c>
    </row>
    <row r="260" spans="9:12">
      <c r="I260">
        <f>IFERROR(VLOOKUP(H260,Rates!$A$2:$B$3,2,0),1)</f>
        <v>1</v>
      </c>
      <c r="J260" t="str">
        <f t="shared" si="8"/>
        <v/>
      </c>
      <c r="K260" t="str">
        <f>IF(J260&lt;&gt;"",SUM($J$2:J260),"")</f>
        <v/>
      </c>
      <c r="L260">
        <f ca="1" t="shared" si="9"/>
        <v>45942</v>
      </c>
    </row>
    <row r="261" spans="9:12">
      <c r="I261">
        <f>IFERROR(VLOOKUP(H261,Rates!$A$2:$B$3,2,0),1)</f>
        <v>1</v>
      </c>
      <c r="J261" t="str">
        <f t="shared" si="8"/>
        <v/>
      </c>
      <c r="K261" t="str">
        <f>IF(J261&lt;&gt;"",SUM($J$2:J261),"")</f>
        <v/>
      </c>
      <c r="L261">
        <f ca="1" t="shared" si="9"/>
        <v>45942</v>
      </c>
    </row>
    <row r="262" spans="9:12">
      <c r="I262">
        <f>IFERROR(VLOOKUP(H262,Rates!$A$2:$B$3,2,0),1)</f>
        <v>1</v>
      </c>
      <c r="J262" t="str">
        <f t="shared" si="8"/>
        <v/>
      </c>
      <c r="K262" t="str">
        <f>IF(J262&lt;&gt;"",SUM($J$2:J262),"")</f>
        <v/>
      </c>
      <c r="L262">
        <f ca="1" t="shared" si="9"/>
        <v>45942</v>
      </c>
    </row>
    <row r="263" spans="9:12">
      <c r="I263">
        <f>IFERROR(VLOOKUP(H263,Rates!$A$2:$B$3,2,0),1)</f>
        <v>1</v>
      </c>
      <c r="J263" t="str">
        <f t="shared" si="8"/>
        <v/>
      </c>
      <c r="K263" t="str">
        <f>IF(J263&lt;&gt;"",SUM($J$2:J263),"")</f>
        <v/>
      </c>
      <c r="L263">
        <f ca="1" t="shared" si="9"/>
        <v>45942</v>
      </c>
    </row>
    <row r="264" spans="9:12">
      <c r="I264">
        <f>IFERROR(VLOOKUP(H264,Rates!$A$2:$B$3,2,0),1)</f>
        <v>1</v>
      </c>
      <c r="J264" t="str">
        <f t="shared" si="8"/>
        <v/>
      </c>
      <c r="K264" t="str">
        <f>IF(J264&lt;&gt;"",SUM($J$2:J264),"")</f>
        <v/>
      </c>
      <c r="L264">
        <f ca="1" t="shared" si="9"/>
        <v>45942</v>
      </c>
    </row>
    <row r="265" spans="9:12">
      <c r="I265">
        <f>IFERROR(VLOOKUP(H265,Rates!$A$2:$B$3,2,0),1)</f>
        <v>1</v>
      </c>
      <c r="J265" t="str">
        <f t="shared" si="8"/>
        <v/>
      </c>
      <c r="K265" t="str">
        <f>IF(J265&lt;&gt;"",SUM($J$2:J265),"")</f>
        <v/>
      </c>
      <c r="L265">
        <f ca="1" t="shared" si="9"/>
        <v>45942</v>
      </c>
    </row>
    <row r="266" spans="9:12">
      <c r="I266">
        <f>IFERROR(VLOOKUP(H266,Rates!$A$2:$B$3,2,0),1)</f>
        <v>1</v>
      </c>
      <c r="J266" t="str">
        <f t="shared" si="8"/>
        <v/>
      </c>
      <c r="K266" t="str">
        <f>IF(J266&lt;&gt;"",SUM($J$2:J266),"")</f>
        <v/>
      </c>
      <c r="L266">
        <f ca="1" t="shared" si="9"/>
        <v>45942</v>
      </c>
    </row>
    <row r="267" spans="9:12">
      <c r="I267">
        <f>IFERROR(VLOOKUP(H267,Rates!$A$2:$B$3,2,0),1)</f>
        <v>1</v>
      </c>
      <c r="J267" t="str">
        <f t="shared" si="8"/>
        <v/>
      </c>
      <c r="K267" t="str">
        <f>IF(J267&lt;&gt;"",SUM($J$2:J267),"")</f>
        <v/>
      </c>
      <c r="L267">
        <f ca="1" t="shared" si="9"/>
        <v>45942</v>
      </c>
    </row>
    <row r="268" spans="9:12">
      <c r="I268">
        <f>IFERROR(VLOOKUP(H268,Rates!$A$2:$B$3,2,0),1)</f>
        <v>1</v>
      </c>
      <c r="J268" t="str">
        <f t="shared" si="8"/>
        <v/>
      </c>
      <c r="K268" t="str">
        <f>IF(J268&lt;&gt;"",SUM($J$2:J268),"")</f>
        <v/>
      </c>
      <c r="L268">
        <f ca="1" t="shared" si="9"/>
        <v>45942</v>
      </c>
    </row>
    <row r="269" spans="9:12">
      <c r="I269">
        <f>IFERROR(VLOOKUP(H269,Rates!$A$2:$B$3,2,0),1)</f>
        <v>1</v>
      </c>
      <c r="J269" t="str">
        <f t="shared" si="8"/>
        <v/>
      </c>
      <c r="K269" t="str">
        <f>IF(J269&lt;&gt;"",SUM($J$2:J269),"")</f>
        <v/>
      </c>
      <c r="L269">
        <f ca="1" t="shared" si="9"/>
        <v>45942</v>
      </c>
    </row>
    <row r="270" spans="9:12">
      <c r="I270">
        <f>IFERROR(VLOOKUP(H270,Rates!$A$2:$B$3,2,0),1)</f>
        <v>1</v>
      </c>
      <c r="J270" t="str">
        <f t="shared" si="8"/>
        <v/>
      </c>
      <c r="K270" t="str">
        <f>IF(J270&lt;&gt;"",SUM($J$2:J270),"")</f>
        <v/>
      </c>
      <c r="L270">
        <f ca="1" t="shared" si="9"/>
        <v>45942</v>
      </c>
    </row>
    <row r="271" spans="9:12">
      <c r="I271">
        <f>IFERROR(VLOOKUP(H271,Rates!$A$2:$B$3,2,0),1)</f>
        <v>1</v>
      </c>
      <c r="J271" t="str">
        <f t="shared" si="8"/>
        <v/>
      </c>
      <c r="K271" t="str">
        <f>IF(J271&lt;&gt;"",SUM($J$2:J271),"")</f>
        <v/>
      </c>
      <c r="L271">
        <f ca="1" t="shared" si="9"/>
        <v>45942</v>
      </c>
    </row>
    <row r="272" spans="9:12">
      <c r="I272">
        <f>IFERROR(VLOOKUP(H272,Rates!$A$2:$B$3,2,0),1)</f>
        <v>1</v>
      </c>
      <c r="J272" t="str">
        <f t="shared" si="8"/>
        <v/>
      </c>
      <c r="K272" t="str">
        <f>IF(J272&lt;&gt;"",SUM($J$2:J272),"")</f>
        <v/>
      </c>
      <c r="L272">
        <f ca="1" t="shared" si="9"/>
        <v>45942</v>
      </c>
    </row>
    <row r="273" spans="9:12">
      <c r="I273">
        <f>IFERROR(VLOOKUP(H273,Rates!$A$2:$B$3,2,0),1)</f>
        <v>1</v>
      </c>
      <c r="J273" t="str">
        <f t="shared" si="8"/>
        <v/>
      </c>
      <c r="K273" t="str">
        <f>IF(J273&lt;&gt;"",SUM($J$2:J273),"")</f>
        <v/>
      </c>
      <c r="L273">
        <f ca="1" t="shared" si="9"/>
        <v>45942</v>
      </c>
    </row>
    <row r="274" spans="9:12">
      <c r="I274">
        <f>IFERROR(VLOOKUP(H274,Rates!$A$2:$B$3,2,0),1)</f>
        <v>1</v>
      </c>
      <c r="J274" t="str">
        <f t="shared" si="8"/>
        <v/>
      </c>
      <c r="K274" t="str">
        <f>IF(J274&lt;&gt;"",SUM($J$2:J274),"")</f>
        <v/>
      </c>
      <c r="L274">
        <f ca="1" t="shared" si="9"/>
        <v>45942</v>
      </c>
    </row>
    <row r="275" spans="9:12">
      <c r="I275">
        <f>IFERROR(VLOOKUP(H275,Rates!$A$2:$B$3,2,0),1)</f>
        <v>1</v>
      </c>
      <c r="J275" t="str">
        <f t="shared" si="8"/>
        <v/>
      </c>
      <c r="K275" t="str">
        <f>IF(J275&lt;&gt;"",SUM($J$2:J275),"")</f>
        <v/>
      </c>
      <c r="L275">
        <f ca="1" t="shared" si="9"/>
        <v>45942</v>
      </c>
    </row>
    <row r="276" spans="9:12">
      <c r="I276">
        <f>IFERROR(VLOOKUP(H276,Rates!$A$2:$B$3,2,0),1)</f>
        <v>1</v>
      </c>
      <c r="J276" t="str">
        <f t="shared" si="8"/>
        <v/>
      </c>
      <c r="K276" t="str">
        <f>IF(J276&lt;&gt;"",SUM($J$2:J276),"")</f>
        <v/>
      </c>
      <c r="L276">
        <f ca="1" t="shared" si="9"/>
        <v>45942</v>
      </c>
    </row>
    <row r="277" spans="9:12">
      <c r="I277">
        <f>IFERROR(VLOOKUP(H277,Rates!$A$2:$B$3,2,0),1)</f>
        <v>1</v>
      </c>
      <c r="J277" t="str">
        <f t="shared" si="8"/>
        <v/>
      </c>
      <c r="K277" t="str">
        <f>IF(J277&lt;&gt;"",SUM($J$2:J277),"")</f>
        <v/>
      </c>
      <c r="L277">
        <f ca="1" t="shared" si="9"/>
        <v>45942</v>
      </c>
    </row>
    <row r="278" spans="9:12">
      <c r="I278">
        <f>IFERROR(VLOOKUP(H278,Rates!$A$2:$B$3,2,0),1)</f>
        <v>1</v>
      </c>
      <c r="J278" t="str">
        <f t="shared" si="8"/>
        <v/>
      </c>
      <c r="K278" t="str">
        <f>IF(J278&lt;&gt;"",SUM($J$2:J278),"")</f>
        <v/>
      </c>
      <c r="L278">
        <f ca="1" t="shared" si="9"/>
        <v>45942</v>
      </c>
    </row>
    <row r="279" spans="9:12">
      <c r="I279">
        <f>IFERROR(VLOOKUP(H279,Rates!$A$2:$B$3,2,0),1)</f>
        <v>1</v>
      </c>
      <c r="J279" t="str">
        <f t="shared" si="8"/>
        <v/>
      </c>
      <c r="K279" t="str">
        <f>IF(J279&lt;&gt;"",SUM($J$2:J279),"")</f>
        <v/>
      </c>
      <c r="L279">
        <f ca="1" t="shared" si="9"/>
        <v>45942</v>
      </c>
    </row>
    <row r="280" spans="9:12">
      <c r="I280">
        <f>IFERROR(VLOOKUP(H280,Rates!$A$2:$B$3,2,0),1)</f>
        <v>1</v>
      </c>
      <c r="J280" t="str">
        <f t="shared" si="8"/>
        <v/>
      </c>
      <c r="K280" t="str">
        <f>IF(J280&lt;&gt;"",SUM($J$2:J280),"")</f>
        <v/>
      </c>
      <c r="L280">
        <f ca="1" t="shared" si="9"/>
        <v>45942</v>
      </c>
    </row>
    <row r="281" spans="9:12">
      <c r="I281">
        <f>IFERROR(VLOOKUP(H281,Rates!$A$2:$B$3,2,0),1)</f>
        <v>1</v>
      </c>
      <c r="J281" t="str">
        <f t="shared" si="8"/>
        <v/>
      </c>
      <c r="K281" t="str">
        <f>IF(J281&lt;&gt;"",SUM($J$2:J281),"")</f>
        <v/>
      </c>
      <c r="L281">
        <f ca="1" t="shared" si="9"/>
        <v>45942</v>
      </c>
    </row>
    <row r="282" spans="9:12">
      <c r="I282">
        <f>IFERROR(VLOOKUP(H282,Rates!$A$2:$B$3,2,0),1)</f>
        <v>1</v>
      </c>
      <c r="J282" t="str">
        <f t="shared" si="8"/>
        <v/>
      </c>
      <c r="K282" t="str">
        <f>IF(J282&lt;&gt;"",SUM($J$2:J282),"")</f>
        <v/>
      </c>
      <c r="L282">
        <f ca="1" t="shared" si="9"/>
        <v>45942</v>
      </c>
    </row>
    <row r="283" spans="9:12">
      <c r="I283">
        <f>IFERROR(VLOOKUP(H283,Rates!$A$2:$B$3,2,0),1)</f>
        <v>1</v>
      </c>
      <c r="J283" t="str">
        <f t="shared" si="8"/>
        <v/>
      </c>
      <c r="K283" t="str">
        <f>IF(J283&lt;&gt;"",SUM($J$2:J283),"")</f>
        <v/>
      </c>
      <c r="L283">
        <f ca="1" t="shared" si="9"/>
        <v>45942</v>
      </c>
    </row>
    <row r="284" spans="9:12">
      <c r="I284">
        <f>IFERROR(VLOOKUP(H284,Rates!$A$2:$B$3,2,0),1)</f>
        <v>1</v>
      </c>
      <c r="J284" t="str">
        <f t="shared" si="8"/>
        <v/>
      </c>
      <c r="K284" t="str">
        <f>IF(J284&lt;&gt;"",SUM($J$2:J284),"")</f>
        <v/>
      </c>
      <c r="L284">
        <f ca="1" t="shared" si="9"/>
        <v>45942</v>
      </c>
    </row>
    <row r="285" spans="9:12">
      <c r="I285">
        <f>IFERROR(VLOOKUP(H285,Rates!$A$2:$B$3,2,0),1)</f>
        <v>1</v>
      </c>
      <c r="J285" t="str">
        <f t="shared" si="8"/>
        <v/>
      </c>
      <c r="K285" t="str">
        <f>IF(J285&lt;&gt;"",SUM($J$2:J285),"")</f>
        <v/>
      </c>
      <c r="L285">
        <f ca="1" t="shared" si="9"/>
        <v>45942</v>
      </c>
    </row>
    <row r="286" spans="9:12">
      <c r="I286">
        <f>IFERROR(VLOOKUP(H286,Rates!$A$2:$B$3,2,0),1)</f>
        <v>1</v>
      </c>
      <c r="J286" t="str">
        <f t="shared" si="8"/>
        <v/>
      </c>
      <c r="K286" t="str">
        <f>IF(J286&lt;&gt;"",SUM($J$2:J286),"")</f>
        <v/>
      </c>
      <c r="L286">
        <f ca="1" t="shared" si="9"/>
        <v>45942</v>
      </c>
    </row>
    <row r="287" spans="9:12">
      <c r="I287">
        <f>IFERROR(VLOOKUP(H287,Rates!$A$2:$B$3,2,0),1)</f>
        <v>1</v>
      </c>
      <c r="J287" t="str">
        <f t="shared" si="8"/>
        <v/>
      </c>
      <c r="K287" t="str">
        <f>IF(J287&lt;&gt;"",SUM($J$2:J287),"")</f>
        <v/>
      </c>
      <c r="L287">
        <f ca="1" t="shared" si="9"/>
        <v>45942</v>
      </c>
    </row>
    <row r="288" spans="9:12">
      <c r="I288">
        <f>IFERROR(VLOOKUP(H288,Rates!$A$2:$B$3,2,0),1)</f>
        <v>1</v>
      </c>
      <c r="J288" t="str">
        <f t="shared" si="8"/>
        <v/>
      </c>
      <c r="K288" t="str">
        <f>IF(J288&lt;&gt;"",SUM($J$2:J288),"")</f>
        <v/>
      </c>
      <c r="L288">
        <f ca="1" t="shared" si="9"/>
        <v>45942</v>
      </c>
    </row>
    <row r="289" spans="9:12">
      <c r="I289">
        <f>IFERROR(VLOOKUP(H289,Rates!$A$2:$B$3,2,0),1)</f>
        <v>1</v>
      </c>
      <c r="J289" t="str">
        <f t="shared" si="8"/>
        <v/>
      </c>
      <c r="K289" t="str">
        <f>IF(J289&lt;&gt;"",SUM($J$2:J289),"")</f>
        <v/>
      </c>
      <c r="L289">
        <f ca="1" t="shared" si="9"/>
        <v>45942</v>
      </c>
    </row>
    <row r="290" spans="9:12">
      <c r="I290">
        <f>IFERROR(VLOOKUP(H290,Rates!$A$2:$B$3,2,0),1)</f>
        <v>1</v>
      </c>
      <c r="J290" t="str">
        <f t="shared" si="8"/>
        <v/>
      </c>
      <c r="K290" t="str">
        <f>IF(J290&lt;&gt;"",SUM($J$2:J290),"")</f>
        <v/>
      </c>
      <c r="L290">
        <f ca="1" t="shared" si="9"/>
        <v>45942</v>
      </c>
    </row>
    <row r="291" spans="9:12">
      <c r="I291">
        <f>IFERROR(VLOOKUP(H291,Rates!$A$2:$B$3,2,0),1)</f>
        <v>1</v>
      </c>
      <c r="J291" t="str">
        <f t="shared" si="8"/>
        <v/>
      </c>
      <c r="K291" t="str">
        <f>IF(J291&lt;&gt;"",SUM($J$2:J291),"")</f>
        <v/>
      </c>
      <c r="L291">
        <f ca="1" t="shared" si="9"/>
        <v>45942</v>
      </c>
    </row>
    <row r="292" spans="9:12">
      <c r="I292">
        <f>IFERROR(VLOOKUP(H292,Rates!$A$2:$B$3,2,0),1)</f>
        <v>1</v>
      </c>
      <c r="J292" t="str">
        <f t="shared" si="8"/>
        <v/>
      </c>
      <c r="K292" t="str">
        <f>IF(J292&lt;&gt;"",SUM($J$2:J292),"")</f>
        <v/>
      </c>
      <c r="L292">
        <f ca="1" t="shared" si="9"/>
        <v>45942</v>
      </c>
    </row>
    <row r="293" spans="9:12">
      <c r="I293">
        <f>IFERROR(VLOOKUP(H293,Rates!$A$2:$B$3,2,0),1)</f>
        <v>1</v>
      </c>
      <c r="J293" t="str">
        <f t="shared" si="8"/>
        <v/>
      </c>
      <c r="K293" t="str">
        <f>IF(J293&lt;&gt;"",SUM($J$2:J293),"")</f>
        <v/>
      </c>
      <c r="L293">
        <f ca="1" t="shared" si="9"/>
        <v>45942</v>
      </c>
    </row>
    <row r="294" spans="9:12">
      <c r="I294">
        <f>IFERROR(VLOOKUP(H294,Rates!$A$2:$B$3,2,0),1)</f>
        <v>1</v>
      </c>
      <c r="J294" t="str">
        <f t="shared" si="8"/>
        <v/>
      </c>
      <c r="K294" t="str">
        <f>IF(J294&lt;&gt;"",SUM($J$2:J294),"")</f>
        <v/>
      </c>
      <c r="L294">
        <f ca="1" t="shared" si="9"/>
        <v>45942</v>
      </c>
    </row>
    <row r="295" spans="9:12">
      <c r="I295">
        <f>IFERROR(VLOOKUP(H295,Rates!$A$2:$B$3,2,0),1)</f>
        <v>1</v>
      </c>
      <c r="J295" t="str">
        <f t="shared" si="8"/>
        <v/>
      </c>
      <c r="K295" t="str">
        <f>IF(J295&lt;&gt;"",SUM($J$2:J295),"")</f>
        <v/>
      </c>
      <c r="L295">
        <f ca="1" t="shared" si="9"/>
        <v>45942</v>
      </c>
    </row>
    <row r="296" spans="9:12">
      <c r="I296">
        <f>IFERROR(VLOOKUP(H296,Rates!$A$2:$B$3,2,0),1)</f>
        <v>1</v>
      </c>
      <c r="J296" t="str">
        <f t="shared" si="8"/>
        <v/>
      </c>
      <c r="K296" t="str">
        <f>IF(J296&lt;&gt;"",SUM($J$2:J296),"")</f>
        <v/>
      </c>
      <c r="L296">
        <f ca="1" t="shared" si="9"/>
        <v>45942</v>
      </c>
    </row>
    <row r="297" spans="9:12">
      <c r="I297">
        <f>IFERROR(VLOOKUP(H297,Rates!$A$2:$B$3,2,0),1)</f>
        <v>1</v>
      </c>
      <c r="J297" t="str">
        <f t="shared" si="8"/>
        <v/>
      </c>
      <c r="K297" t="str">
        <f>IF(J297&lt;&gt;"",SUM($J$2:J297),"")</f>
        <v/>
      </c>
      <c r="L297">
        <f ca="1" t="shared" si="9"/>
        <v>45942</v>
      </c>
    </row>
    <row r="298" spans="9:12">
      <c r="I298">
        <f>IFERROR(VLOOKUP(H298,Rates!$A$2:$B$3,2,0),1)</f>
        <v>1</v>
      </c>
      <c r="J298" t="str">
        <f t="shared" si="8"/>
        <v/>
      </c>
      <c r="K298" t="str">
        <f>IF(J298&lt;&gt;"",SUM($J$2:J298),"")</f>
        <v/>
      </c>
      <c r="L298">
        <f ca="1" t="shared" si="9"/>
        <v>45942</v>
      </c>
    </row>
    <row r="299" spans="9:12">
      <c r="I299">
        <f>IFERROR(VLOOKUP(H299,Rates!$A$2:$B$3,2,0),1)</f>
        <v>1</v>
      </c>
      <c r="J299" t="str">
        <f t="shared" si="8"/>
        <v/>
      </c>
      <c r="K299" t="str">
        <f>IF(J299&lt;&gt;"",SUM($J$2:J299),"")</f>
        <v/>
      </c>
      <c r="L299">
        <f ca="1" t="shared" si="9"/>
        <v>45942</v>
      </c>
    </row>
    <row r="300" spans="9:12">
      <c r="I300">
        <f>IFERROR(VLOOKUP(H300,Rates!$A$2:$B$3,2,0),1)</f>
        <v>1</v>
      </c>
      <c r="J300" t="str">
        <f t="shared" si="8"/>
        <v/>
      </c>
      <c r="K300" t="str">
        <f>IF(J300&lt;&gt;"",SUM($J$2:J300),"")</f>
        <v/>
      </c>
      <c r="L300">
        <f ca="1" t="shared" si="9"/>
        <v>45942</v>
      </c>
    </row>
    <row r="301" spans="9:12">
      <c r="I301">
        <f>IFERROR(VLOOKUP(H301,Rates!$A$2:$B$3,2,0),1)</f>
        <v>1</v>
      </c>
      <c r="J301" t="str">
        <f t="shared" si="8"/>
        <v/>
      </c>
      <c r="K301" t="str">
        <f>IF(J301&lt;&gt;"",SUM($J$2:J301),"")</f>
        <v/>
      </c>
      <c r="L301">
        <f ca="1" t="shared" si="9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5"/>
  <sheetViews>
    <sheetView zoomScale="80" zoomScaleNormal="80" topLeftCell="C1" workbookViewId="0">
      <pane ySplit="1" topLeftCell="A2" activePane="bottomLeft" state="frozen"/>
      <selection/>
      <selection pane="bottomLeft" activeCell="A6" sqref="A6:L23"/>
    </sheetView>
  </sheetViews>
  <sheetFormatPr defaultColWidth="9" defaultRowHeight="16.8"/>
  <cols>
    <col min="1" max="1" width="22" customWidth="1"/>
    <col min="2" max="2" width="12" style="7" customWidth="1"/>
    <col min="3" max="4" width="16" customWidth="1"/>
    <col min="5" max="5" width="26" customWidth="1"/>
    <col min="6" max="6" width="77.875" customWidth="1"/>
    <col min="7" max="7" width="12" customWidth="1"/>
    <col min="8" max="9" width="10" customWidth="1"/>
    <col min="10" max="10" width="14" customWidth="1"/>
    <col min="11" max="11" width="16" customWidth="1"/>
    <col min="12" max="12" width="14" customWidth="1"/>
    <col min="14" max="14" width="2" customWidth="1"/>
    <col min="16" max="16" width="2" customWidth="1"/>
  </cols>
  <sheetData>
    <row r="1" spans="1:12">
      <c r="A1" t="s">
        <v>36</v>
      </c>
      <c r="B1" s="7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</row>
    <row r="2" ht="21" customHeight="1" spans="1:12">
      <c r="A2" t="s">
        <v>41</v>
      </c>
      <c r="B2" s="4">
        <v>45664</v>
      </c>
      <c r="C2" t="s">
        <v>19</v>
      </c>
      <c r="F2" t="s">
        <v>64</v>
      </c>
      <c r="G2" s="8">
        <v>1277.5</v>
      </c>
      <c r="H2" t="s">
        <v>2</v>
      </c>
      <c r="I2">
        <f>IFERROR(VLOOKUP(H2,Rates!$A$2:$B$3,2,0),1)</f>
        <v>283</v>
      </c>
      <c r="J2">
        <f t="shared" ref="J2:J65" si="0">IF(G2&lt;&gt;"",G2*I2,"")</f>
        <v>361532.5</v>
      </c>
      <c r="K2">
        <f>IF(J2&lt;&gt;"",SUM($J$2:J2),"")</f>
        <v>361532.5</v>
      </c>
      <c r="L2">
        <f ca="1" t="shared" ref="L2:L65" si="1">IF(COUNTA(A2:K2)&gt;0,TODAY(),"")</f>
        <v>45942</v>
      </c>
    </row>
    <row r="3" spans="1:12">
      <c r="A3" t="s">
        <v>41</v>
      </c>
      <c r="B3" s="4">
        <v>45664</v>
      </c>
      <c r="C3" t="s">
        <v>22</v>
      </c>
      <c r="D3" t="s">
        <v>31</v>
      </c>
      <c r="F3" s="8" t="s">
        <v>74</v>
      </c>
      <c r="G3" s="8">
        <v>-134.15</v>
      </c>
      <c r="H3" t="s">
        <v>2</v>
      </c>
      <c r="I3">
        <f>IFERROR(VLOOKUP(H3,Rates!$A$2:$B$3,2,0),1)</f>
        <v>283</v>
      </c>
      <c r="J3">
        <f t="shared" si="0"/>
        <v>-37964.45</v>
      </c>
      <c r="K3">
        <f>IF(J3&lt;&gt;"",SUM($J$3:J4),"")</f>
        <v>-20047.72</v>
      </c>
      <c r="L3">
        <f ca="1" t="shared" si="1"/>
        <v>45942</v>
      </c>
    </row>
    <row r="4" spans="1:12">
      <c r="A4" t="s">
        <v>41</v>
      </c>
      <c r="B4" s="4">
        <v>45664</v>
      </c>
      <c r="C4" t="s">
        <v>19</v>
      </c>
      <c r="D4" t="s">
        <v>29</v>
      </c>
      <c r="F4" s="8" t="s">
        <v>75</v>
      </c>
      <c r="G4" s="8">
        <v>63.31</v>
      </c>
      <c r="H4" t="s">
        <v>2</v>
      </c>
      <c r="I4">
        <f>IFERROR(VLOOKUP(H4,Rates!$A$2:$B$3,2,0),1)</f>
        <v>283</v>
      </c>
      <c r="J4">
        <f t="shared" si="0"/>
        <v>17916.73</v>
      </c>
      <c r="K4">
        <f>IF(J4&lt;&gt;"",SUM($J$4:J4),"")</f>
        <v>17916.73</v>
      </c>
      <c r="L4">
        <f ca="1" t="shared" si="1"/>
        <v>45942</v>
      </c>
    </row>
    <row r="5" spans="1:12">
      <c r="A5" t="s">
        <v>41</v>
      </c>
      <c r="B5" s="4">
        <v>45937</v>
      </c>
      <c r="C5" t="s">
        <v>12</v>
      </c>
      <c r="F5" s="8" t="s">
        <v>76</v>
      </c>
      <c r="G5" s="8">
        <v>-1019.68</v>
      </c>
      <c r="H5" t="s">
        <v>2</v>
      </c>
      <c r="I5">
        <f>IFERROR(VLOOKUP(H5,Rates!$A$2:$B$3,2,0),1)</f>
        <v>283</v>
      </c>
      <c r="J5">
        <f t="shared" si="0"/>
        <v>-288569.44</v>
      </c>
      <c r="K5">
        <f>IF(J5&lt;&gt;"",SUM($J$4:J5),"")</f>
        <v>-270652.71</v>
      </c>
      <c r="L5">
        <f ca="1" t="shared" si="1"/>
        <v>45942</v>
      </c>
    </row>
    <row r="6" spans="2:7">
      <c r="B6" s="4"/>
      <c r="C6"/>
      <c r="F6" s="8"/>
      <c r="G6" s="8"/>
    </row>
    <row r="7" spans="2:7">
      <c r="B7" s="4"/>
      <c r="C7"/>
      <c r="F7" s="8"/>
      <c r="G7" s="8"/>
    </row>
    <row r="8" spans="6:7">
      <c r="F8" s="8"/>
      <c r="G8" s="8"/>
    </row>
    <row r="9" spans="6:7">
      <c r="F9" s="8"/>
      <c r="G9" s="8"/>
    </row>
    <row r="10" spans="6:7">
      <c r="F10" s="8"/>
      <c r="G10" s="8"/>
    </row>
    <row r="11" spans="6:7">
      <c r="F11" s="8"/>
      <c r="G11" s="8"/>
    </row>
    <row r="12" spans="6:7">
      <c r="F12" s="8"/>
      <c r="G12" s="8"/>
    </row>
    <row r="13" spans="6:7">
      <c r="F13" s="8"/>
      <c r="G13" s="8"/>
    </row>
    <row r="14" spans="6:7">
      <c r="F14" s="8"/>
      <c r="G14" s="8"/>
    </row>
    <row r="15" spans="6:7">
      <c r="F15" s="8"/>
      <c r="G15" s="8"/>
    </row>
    <row r="16" spans="6:7">
      <c r="F16" s="8"/>
      <c r="G16" s="8"/>
    </row>
    <row r="17" spans="6:7">
      <c r="F17" s="8"/>
      <c r="G17" s="8"/>
    </row>
    <row r="18" spans="6:7">
      <c r="F18" s="8"/>
      <c r="G18" s="8"/>
    </row>
    <row r="19" spans="6:7">
      <c r="F19" s="8"/>
      <c r="G19" s="8"/>
    </row>
    <row r="20" spans="6:7">
      <c r="F20" s="8"/>
      <c r="G20" s="8"/>
    </row>
    <row r="21" spans="6:7">
      <c r="F21" s="8"/>
      <c r="G21" s="8"/>
    </row>
    <row r="22" spans="6:7">
      <c r="F22" s="8"/>
      <c r="G22" s="8"/>
    </row>
    <row r="24" spans="9:12">
      <c r="I24">
        <f>IFERROR(VLOOKUP(H24,Rates!$A$2:$B$3,2,0),1)</f>
        <v>1</v>
      </c>
      <c r="J24" t="str">
        <f t="shared" si="0"/>
        <v/>
      </c>
      <c r="K24" t="str">
        <f>IF(J24&lt;&gt;"",SUM($J$2:J24),"")</f>
        <v/>
      </c>
      <c r="L24">
        <f ca="1" t="shared" si="1"/>
        <v>45942</v>
      </c>
    </row>
    <row r="25" spans="9:12">
      <c r="I25">
        <f>IFERROR(VLOOKUP(H25,Rates!$A$2:$B$3,2,0),1)</f>
        <v>1</v>
      </c>
      <c r="J25" t="str">
        <f t="shared" si="0"/>
        <v/>
      </c>
      <c r="K25" t="str">
        <f>IF(J25&lt;&gt;"",SUM($J$2:J25),"")</f>
        <v/>
      </c>
      <c r="L25">
        <f ca="1" t="shared" si="1"/>
        <v>45942</v>
      </c>
    </row>
    <row r="26" spans="9:12">
      <c r="I26">
        <f>IFERROR(VLOOKUP(H26,Rates!$A$2:$B$3,2,0),1)</f>
        <v>1</v>
      </c>
      <c r="J26" t="str">
        <f t="shared" si="0"/>
        <v/>
      </c>
      <c r="K26" t="str">
        <f>IF(J26&lt;&gt;"",SUM($J$2:J26),"")</f>
        <v/>
      </c>
      <c r="L26">
        <f ca="1" t="shared" si="1"/>
        <v>45942</v>
      </c>
    </row>
    <row r="27" spans="9:12">
      <c r="I27">
        <f>IFERROR(VLOOKUP(H27,Rates!$A$2:$B$3,2,0),1)</f>
        <v>1</v>
      </c>
      <c r="J27" t="str">
        <f t="shared" si="0"/>
        <v/>
      </c>
      <c r="K27" t="str">
        <f>IF(J27&lt;&gt;"",SUM($J$2:J27),"")</f>
        <v/>
      </c>
      <c r="L27">
        <f ca="1" t="shared" si="1"/>
        <v>45942</v>
      </c>
    </row>
    <row r="28" spans="9:12">
      <c r="I28">
        <f>IFERROR(VLOOKUP(H28,Rates!$A$2:$B$3,2,0),1)</f>
        <v>1</v>
      </c>
      <c r="J28" t="str">
        <f t="shared" si="0"/>
        <v/>
      </c>
      <c r="K28" t="str">
        <f>IF(J28&lt;&gt;"",SUM($J$2:J28),"")</f>
        <v/>
      </c>
      <c r="L28">
        <f ca="1" t="shared" si="1"/>
        <v>45942</v>
      </c>
    </row>
    <row r="29" spans="9:12">
      <c r="I29">
        <f>IFERROR(VLOOKUP(H29,Rates!$A$2:$B$3,2,0),1)</f>
        <v>1</v>
      </c>
      <c r="J29" t="str">
        <f t="shared" si="0"/>
        <v/>
      </c>
      <c r="K29" t="str">
        <f>IF(J29&lt;&gt;"",SUM($J$2:J29),"")</f>
        <v/>
      </c>
      <c r="L29">
        <f ca="1" t="shared" si="1"/>
        <v>45942</v>
      </c>
    </row>
    <row r="30" spans="9:12">
      <c r="I30">
        <f>IFERROR(VLOOKUP(H30,Rates!$A$2:$B$3,2,0),1)</f>
        <v>1</v>
      </c>
      <c r="J30" t="str">
        <f t="shared" si="0"/>
        <v/>
      </c>
      <c r="K30" t="str">
        <f>IF(J30&lt;&gt;"",SUM($J$2:J30),"")</f>
        <v/>
      </c>
      <c r="L30">
        <f ca="1" t="shared" si="1"/>
        <v>45942</v>
      </c>
    </row>
    <row r="31" spans="9:12">
      <c r="I31">
        <f>IFERROR(VLOOKUP(H31,Rates!$A$2:$B$3,2,0),1)</f>
        <v>1</v>
      </c>
      <c r="J31" t="str">
        <f t="shared" si="0"/>
        <v/>
      </c>
      <c r="K31" t="str">
        <f>IF(J31&lt;&gt;"",SUM($J$2:J31),"")</f>
        <v/>
      </c>
      <c r="L31">
        <f ca="1" t="shared" si="1"/>
        <v>45942</v>
      </c>
    </row>
    <row r="32" spans="9:12">
      <c r="I32">
        <f>IFERROR(VLOOKUP(H32,Rates!$A$2:$B$3,2,0),1)</f>
        <v>1</v>
      </c>
      <c r="J32" t="str">
        <f t="shared" si="0"/>
        <v/>
      </c>
      <c r="K32" t="str">
        <f>IF(J32&lt;&gt;"",SUM($J$2:J32),"")</f>
        <v/>
      </c>
      <c r="L32">
        <f ca="1" t="shared" si="1"/>
        <v>45942</v>
      </c>
    </row>
    <row r="33" spans="9:12">
      <c r="I33">
        <f>IFERROR(VLOOKUP(H33,Rates!$A$2:$B$3,2,0),1)</f>
        <v>1</v>
      </c>
      <c r="J33" t="str">
        <f t="shared" si="0"/>
        <v/>
      </c>
      <c r="K33" t="str">
        <f>IF(J33&lt;&gt;"",SUM($J$2:J33),"")</f>
        <v/>
      </c>
      <c r="L33">
        <f ca="1" t="shared" si="1"/>
        <v>45942</v>
      </c>
    </row>
    <row r="34" spans="9:12">
      <c r="I34">
        <f>IFERROR(VLOOKUP(H34,Rates!$A$2:$B$3,2,0),1)</f>
        <v>1</v>
      </c>
      <c r="J34" t="str">
        <f t="shared" si="0"/>
        <v/>
      </c>
      <c r="K34" t="str">
        <f>IF(J34&lt;&gt;"",SUM($J$2:J34),"")</f>
        <v/>
      </c>
      <c r="L34">
        <f ca="1" t="shared" si="1"/>
        <v>45942</v>
      </c>
    </row>
    <row r="35" spans="9:12">
      <c r="I35">
        <f>IFERROR(VLOOKUP(H35,Rates!$A$2:$B$3,2,0),1)</f>
        <v>1</v>
      </c>
      <c r="J35" t="str">
        <f t="shared" si="0"/>
        <v/>
      </c>
      <c r="K35" t="str">
        <f>IF(J35&lt;&gt;"",SUM($J$2:J35),"")</f>
        <v/>
      </c>
      <c r="L35">
        <f ca="1" t="shared" si="1"/>
        <v>45942</v>
      </c>
    </row>
    <row r="36" spans="9:12">
      <c r="I36">
        <f>IFERROR(VLOOKUP(H36,Rates!$A$2:$B$3,2,0),1)</f>
        <v>1</v>
      </c>
      <c r="J36" t="str">
        <f t="shared" si="0"/>
        <v/>
      </c>
      <c r="K36" t="str">
        <f>IF(J36&lt;&gt;"",SUM($J$2:J36),"")</f>
        <v/>
      </c>
      <c r="L36">
        <f ca="1" t="shared" si="1"/>
        <v>45942</v>
      </c>
    </row>
    <row r="37" spans="9:12">
      <c r="I37">
        <f>IFERROR(VLOOKUP(H37,Rates!$A$2:$B$3,2,0),1)</f>
        <v>1</v>
      </c>
      <c r="J37" t="str">
        <f t="shared" si="0"/>
        <v/>
      </c>
      <c r="K37" t="str">
        <f>IF(J37&lt;&gt;"",SUM($J$2:J37),"")</f>
        <v/>
      </c>
      <c r="L37">
        <f ca="1" t="shared" si="1"/>
        <v>45942</v>
      </c>
    </row>
    <row r="38" spans="9:12">
      <c r="I38">
        <f>IFERROR(VLOOKUP(H38,Rates!$A$2:$B$3,2,0),1)</f>
        <v>1</v>
      </c>
      <c r="J38" t="str">
        <f t="shared" si="0"/>
        <v/>
      </c>
      <c r="K38" t="str">
        <f>IF(J38&lt;&gt;"",SUM($J$2:J38),"")</f>
        <v/>
      </c>
      <c r="L38">
        <f ca="1" t="shared" si="1"/>
        <v>45942</v>
      </c>
    </row>
    <row r="39" spans="9:12">
      <c r="I39">
        <f>IFERROR(VLOOKUP(H39,Rates!$A$2:$B$3,2,0),1)</f>
        <v>1</v>
      </c>
      <c r="J39" t="str">
        <f t="shared" si="0"/>
        <v/>
      </c>
      <c r="K39" t="str">
        <f>IF(J39&lt;&gt;"",SUM($J$2:J39),"")</f>
        <v/>
      </c>
      <c r="L39">
        <f ca="1" t="shared" si="1"/>
        <v>45942</v>
      </c>
    </row>
    <row r="40" spans="9:12">
      <c r="I40">
        <f>IFERROR(VLOOKUP(H40,Rates!$A$2:$B$3,2,0),1)</f>
        <v>1</v>
      </c>
      <c r="J40" t="str">
        <f t="shared" si="0"/>
        <v/>
      </c>
      <c r="K40" t="str">
        <f>IF(J40&lt;&gt;"",SUM($J$2:J40),"")</f>
        <v/>
      </c>
      <c r="L40">
        <f ca="1" t="shared" si="1"/>
        <v>45942</v>
      </c>
    </row>
    <row r="41" spans="9:12">
      <c r="I41">
        <f>IFERROR(VLOOKUP(H41,Rates!$A$2:$B$3,2,0),1)</f>
        <v>1</v>
      </c>
      <c r="J41" t="str">
        <f t="shared" si="0"/>
        <v/>
      </c>
      <c r="K41" t="str">
        <f>IF(J41&lt;&gt;"",SUM($J$2:J41),"")</f>
        <v/>
      </c>
      <c r="L41">
        <f ca="1" t="shared" si="1"/>
        <v>45942</v>
      </c>
    </row>
    <row r="42" spans="9:12">
      <c r="I42">
        <f>IFERROR(VLOOKUP(H42,Rates!$A$2:$B$3,2,0),1)</f>
        <v>1</v>
      </c>
      <c r="J42" t="str">
        <f t="shared" si="0"/>
        <v/>
      </c>
      <c r="K42" t="str">
        <f>IF(J42&lt;&gt;"",SUM($J$2:J42),"")</f>
        <v/>
      </c>
      <c r="L42">
        <f ca="1" t="shared" si="1"/>
        <v>45942</v>
      </c>
    </row>
    <row r="43" spans="9:12">
      <c r="I43">
        <f>IFERROR(VLOOKUP(H43,Rates!$A$2:$B$3,2,0),1)</f>
        <v>1</v>
      </c>
      <c r="J43" t="str">
        <f t="shared" si="0"/>
        <v/>
      </c>
      <c r="K43" t="str">
        <f>IF(J43&lt;&gt;"",SUM($J$2:J43),"")</f>
        <v/>
      </c>
      <c r="L43">
        <f ca="1" t="shared" si="1"/>
        <v>45942</v>
      </c>
    </row>
    <row r="44" spans="9:12">
      <c r="I44">
        <f>IFERROR(VLOOKUP(H44,Rates!$A$2:$B$3,2,0),1)</f>
        <v>1</v>
      </c>
      <c r="J44" t="str">
        <f t="shared" si="0"/>
        <v/>
      </c>
      <c r="K44" t="str">
        <f>IF(J44&lt;&gt;"",SUM($J$2:J44),"")</f>
        <v/>
      </c>
      <c r="L44">
        <f ca="1" t="shared" si="1"/>
        <v>45942</v>
      </c>
    </row>
    <row r="45" spans="9:12">
      <c r="I45">
        <f>IFERROR(VLOOKUP(H45,Rates!$A$2:$B$3,2,0),1)</f>
        <v>1</v>
      </c>
      <c r="J45" t="str">
        <f t="shared" si="0"/>
        <v/>
      </c>
      <c r="K45" t="str">
        <f>IF(J45&lt;&gt;"",SUM($J$2:J45),"")</f>
        <v/>
      </c>
      <c r="L45">
        <f ca="1" t="shared" si="1"/>
        <v>45942</v>
      </c>
    </row>
    <row r="46" spans="9:12">
      <c r="I46">
        <f>IFERROR(VLOOKUP(H46,Rates!$A$2:$B$3,2,0),1)</f>
        <v>1</v>
      </c>
      <c r="J46" t="str">
        <f t="shared" si="0"/>
        <v/>
      </c>
      <c r="K46" t="str">
        <f>IF(J46&lt;&gt;"",SUM($J$2:J46),"")</f>
        <v/>
      </c>
      <c r="L46">
        <f ca="1" t="shared" si="1"/>
        <v>45942</v>
      </c>
    </row>
    <row r="47" spans="9:12">
      <c r="I47">
        <f>IFERROR(VLOOKUP(H47,Rates!$A$2:$B$3,2,0),1)</f>
        <v>1</v>
      </c>
      <c r="J47" t="str">
        <f t="shared" si="0"/>
        <v/>
      </c>
      <c r="K47" t="str">
        <f>IF(J47&lt;&gt;"",SUM($J$2:J47),"")</f>
        <v/>
      </c>
      <c r="L47">
        <f ca="1" t="shared" si="1"/>
        <v>45942</v>
      </c>
    </row>
    <row r="48" spans="9:12">
      <c r="I48">
        <f>IFERROR(VLOOKUP(H48,Rates!$A$2:$B$3,2,0),1)</f>
        <v>1</v>
      </c>
      <c r="J48" t="str">
        <f t="shared" si="0"/>
        <v/>
      </c>
      <c r="K48" t="str">
        <f>IF(J48&lt;&gt;"",SUM($J$2:J48),"")</f>
        <v/>
      </c>
      <c r="L48">
        <f ca="1" t="shared" si="1"/>
        <v>45942</v>
      </c>
    </row>
    <row r="49" spans="9:12">
      <c r="I49">
        <f>IFERROR(VLOOKUP(H49,Rates!$A$2:$B$3,2,0),1)</f>
        <v>1</v>
      </c>
      <c r="J49" t="str">
        <f t="shared" si="0"/>
        <v/>
      </c>
      <c r="K49" t="str">
        <f>IF(J49&lt;&gt;"",SUM($J$2:J49),"")</f>
        <v/>
      </c>
      <c r="L49">
        <f ca="1" t="shared" si="1"/>
        <v>45942</v>
      </c>
    </row>
    <row r="50" spans="9:12">
      <c r="I50">
        <f>IFERROR(VLOOKUP(H50,Rates!$A$2:$B$3,2,0),1)</f>
        <v>1</v>
      </c>
      <c r="J50" t="str">
        <f t="shared" si="0"/>
        <v/>
      </c>
      <c r="K50" t="str">
        <f>IF(J50&lt;&gt;"",SUM($J$2:J50),"")</f>
        <v/>
      </c>
      <c r="L50">
        <f ca="1" t="shared" si="1"/>
        <v>45942</v>
      </c>
    </row>
    <row r="51" spans="9:12">
      <c r="I51">
        <f>IFERROR(VLOOKUP(H51,Rates!$A$2:$B$3,2,0),1)</f>
        <v>1</v>
      </c>
      <c r="J51" t="str">
        <f t="shared" si="0"/>
        <v/>
      </c>
      <c r="K51" t="str">
        <f>IF(J51&lt;&gt;"",SUM($J$2:J51),"")</f>
        <v/>
      </c>
      <c r="L51">
        <f ca="1" t="shared" si="1"/>
        <v>45942</v>
      </c>
    </row>
    <row r="52" spans="9:12">
      <c r="I52">
        <f>IFERROR(VLOOKUP(H52,Rates!$A$2:$B$3,2,0),1)</f>
        <v>1</v>
      </c>
      <c r="J52" t="str">
        <f t="shared" si="0"/>
        <v/>
      </c>
      <c r="K52" t="str">
        <f>IF(J52&lt;&gt;"",SUM($J$2:J52),"")</f>
        <v/>
      </c>
      <c r="L52">
        <f ca="1" t="shared" si="1"/>
        <v>45942</v>
      </c>
    </row>
    <row r="53" spans="9:12">
      <c r="I53">
        <f>IFERROR(VLOOKUP(H53,Rates!$A$2:$B$3,2,0),1)</f>
        <v>1</v>
      </c>
      <c r="J53" t="str">
        <f t="shared" si="0"/>
        <v/>
      </c>
      <c r="K53" t="str">
        <f>IF(J53&lt;&gt;"",SUM($J$2:J53),"")</f>
        <v/>
      </c>
      <c r="L53">
        <f ca="1" t="shared" si="1"/>
        <v>45942</v>
      </c>
    </row>
    <row r="54" spans="9:12">
      <c r="I54">
        <f>IFERROR(VLOOKUP(H54,Rates!$A$2:$B$3,2,0),1)</f>
        <v>1</v>
      </c>
      <c r="J54" t="str">
        <f t="shared" si="0"/>
        <v/>
      </c>
      <c r="K54" t="str">
        <f>IF(J54&lt;&gt;"",SUM($J$2:J54),"")</f>
        <v/>
      </c>
      <c r="L54">
        <f ca="1" t="shared" si="1"/>
        <v>45942</v>
      </c>
    </row>
    <row r="55" spans="9:12">
      <c r="I55">
        <f>IFERROR(VLOOKUP(H55,Rates!$A$2:$B$3,2,0),1)</f>
        <v>1</v>
      </c>
      <c r="J55" t="str">
        <f t="shared" si="0"/>
        <v/>
      </c>
      <c r="K55" t="str">
        <f>IF(J55&lt;&gt;"",SUM($J$2:J55),"")</f>
        <v/>
      </c>
      <c r="L55">
        <f ca="1" t="shared" si="1"/>
        <v>45942</v>
      </c>
    </row>
    <row r="56" spans="9:12">
      <c r="I56">
        <f>IFERROR(VLOOKUP(H56,Rates!$A$2:$B$3,2,0),1)</f>
        <v>1</v>
      </c>
      <c r="J56" t="str">
        <f t="shared" si="0"/>
        <v/>
      </c>
      <c r="K56" t="str">
        <f>IF(J56&lt;&gt;"",SUM($J$2:J56),"")</f>
        <v/>
      </c>
      <c r="L56">
        <f ca="1" t="shared" si="1"/>
        <v>45942</v>
      </c>
    </row>
    <row r="57" spans="9:12">
      <c r="I57">
        <f>IFERROR(VLOOKUP(H57,Rates!$A$2:$B$3,2,0),1)</f>
        <v>1</v>
      </c>
      <c r="J57" t="str">
        <f t="shared" si="0"/>
        <v/>
      </c>
      <c r="K57" t="str">
        <f>IF(J57&lt;&gt;"",SUM($J$2:J57),"")</f>
        <v/>
      </c>
      <c r="L57">
        <f ca="1" t="shared" si="1"/>
        <v>45942</v>
      </c>
    </row>
    <row r="58" spans="9:12">
      <c r="I58">
        <f>IFERROR(VLOOKUP(H58,Rates!$A$2:$B$3,2,0),1)</f>
        <v>1</v>
      </c>
      <c r="J58" t="str">
        <f t="shared" si="0"/>
        <v/>
      </c>
      <c r="K58" t="str">
        <f>IF(J58&lt;&gt;"",SUM($J$2:J58),"")</f>
        <v/>
      </c>
      <c r="L58">
        <f ca="1" t="shared" si="1"/>
        <v>45942</v>
      </c>
    </row>
    <row r="59" spans="9:12">
      <c r="I59">
        <f>IFERROR(VLOOKUP(H59,Rates!$A$2:$B$3,2,0),1)</f>
        <v>1</v>
      </c>
      <c r="J59" t="str">
        <f t="shared" si="0"/>
        <v/>
      </c>
      <c r="K59" t="str">
        <f>IF(J59&lt;&gt;"",SUM($J$2:J59),"")</f>
        <v/>
      </c>
      <c r="L59">
        <f ca="1" t="shared" si="1"/>
        <v>45942</v>
      </c>
    </row>
    <row r="60" spans="9:12">
      <c r="I60">
        <f>IFERROR(VLOOKUP(H60,Rates!$A$2:$B$3,2,0),1)</f>
        <v>1</v>
      </c>
      <c r="J60" t="str">
        <f t="shared" si="0"/>
        <v/>
      </c>
      <c r="K60" t="str">
        <f>IF(J60&lt;&gt;"",SUM($J$2:J60),"")</f>
        <v/>
      </c>
      <c r="L60">
        <f ca="1" t="shared" si="1"/>
        <v>45942</v>
      </c>
    </row>
    <row r="61" spans="9:12">
      <c r="I61">
        <f>IFERROR(VLOOKUP(H61,Rates!$A$2:$B$3,2,0),1)</f>
        <v>1</v>
      </c>
      <c r="J61" t="str">
        <f t="shared" si="0"/>
        <v/>
      </c>
      <c r="K61" t="str">
        <f>IF(J61&lt;&gt;"",SUM($J$2:J61),"")</f>
        <v/>
      </c>
      <c r="L61">
        <f ca="1" t="shared" si="1"/>
        <v>45942</v>
      </c>
    </row>
    <row r="62" spans="9:12">
      <c r="I62">
        <f>IFERROR(VLOOKUP(H62,Rates!$A$2:$B$3,2,0),1)</f>
        <v>1</v>
      </c>
      <c r="J62" t="str">
        <f t="shared" si="0"/>
        <v/>
      </c>
      <c r="K62" t="str">
        <f>IF(J62&lt;&gt;"",SUM($J$2:J62),"")</f>
        <v/>
      </c>
      <c r="L62">
        <f ca="1" t="shared" si="1"/>
        <v>45942</v>
      </c>
    </row>
    <row r="63" spans="9:12">
      <c r="I63">
        <f>IFERROR(VLOOKUP(H63,Rates!$A$2:$B$3,2,0),1)</f>
        <v>1</v>
      </c>
      <c r="J63" t="str">
        <f t="shared" si="0"/>
        <v/>
      </c>
      <c r="K63" t="str">
        <f>IF(J63&lt;&gt;"",SUM($J$2:J63),"")</f>
        <v/>
      </c>
      <c r="L63">
        <f ca="1" t="shared" si="1"/>
        <v>45942</v>
      </c>
    </row>
    <row r="64" spans="9:12">
      <c r="I64">
        <f>IFERROR(VLOOKUP(H64,Rates!$A$2:$B$3,2,0),1)</f>
        <v>1</v>
      </c>
      <c r="J64" t="str">
        <f t="shared" si="0"/>
        <v/>
      </c>
      <c r="K64" t="str">
        <f>IF(J64&lt;&gt;"",SUM($J$2:J64),"")</f>
        <v/>
      </c>
      <c r="L64">
        <f ca="1" t="shared" si="1"/>
        <v>45942</v>
      </c>
    </row>
    <row r="65" spans="9:12">
      <c r="I65">
        <f>IFERROR(VLOOKUP(H65,Rates!$A$2:$B$3,2,0),1)</f>
        <v>1</v>
      </c>
      <c r="J65" t="str">
        <f t="shared" si="0"/>
        <v/>
      </c>
      <c r="K65" t="str">
        <f>IF(J65&lt;&gt;"",SUM($J$2:J65),"")</f>
        <v/>
      </c>
      <c r="L65">
        <f ca="1" t="shared" si="1"/>
        <v>45942</v>
      </c>
    </row>
    <row r="66" spans="9:12">
      <c r="I66">
        <f>IFERROR(VLOOKUP(H66,Rates!$A$2:$B$3,2,0),1)</f>
        <v>1</v>
      </c>
      <c r="J66" t="str">
        <f t="shared" ref="J66:J129" si="2">IF(G66&lt;&gt;"",G66*I66,"")</f>
        <v/>
      </c>
      <c r="K66" t="str">
        <f>IF(J66&lt;&gt;"",SUM($J$2:J66),"")</f>
        <v/>
      </c>
      <c r="L66">
        <f ca="1" t="shared" ref="L66:L129" si="3">IF(COUNTA(A66:K66)&gt;0,TODAY(),"")</f>
        <v>45942</v>
      </c>
    </row>
    <row r="67" spans="9:12">
      <c r="I67">
        <f>IFERROR(VLOOKUP(H67,Rates!$A$2:$B$3,2,0),1)</f>
        <v>1</v>
      </c>
      <c r="J67" t="str">
        <f t="shared" si="2"/>
        <v/>
      </c>
      <c r="K67" t="str">
        <f>IF(J67&lt;&gt;"",SUM($J$2:J67),"")</f>
        <v/>
      </c>
      <c r="L67">
        <f ca="1" t="shared" si="3"/>
        <v>45942</v>
      </c>
    </row>
    <row r="68" spans="9:12">
      <c r="I68">
        <f>IFERROR(VLOOKUP(H68,Rates!$A$2:$B$3,2,0),1)</f>
        <v>1</v>
      </c>
      <c r="J68" t="str">
        <f t="shared" si="2"/>
        <v/>
      </c>
      <c r="K68" t="str">
        <f>IF(J68&lt;&gt;"",SUM($J$2:J68),"")</f>
        <v/>
      </c>
      <c r="L68">
        <f ca="1" t="shared" si="3"/>
        <v>45942</v>
      </c>
    </row>
    <row r="69" spans="9:12">
      <c r="I69">
        <f>IFERROR(VLOOKUP(H69,Rates!$A$2:$B$3,2,0),1)</f>
        <v>1</v>
      </c>
      <c r="J69" t="str">
        <f t="shared" si="2"/>
        <v/>
      </c>
      <c r="K69" t="str">
        <f>IF(J69&lt;&gt;"",SUM($J$2:J69),"")</f>
        <v/>
      </c>
      <c r="L69">
        <f ca="1" t="shared" si="3"/>
        <v>45942</v>
      </c>
    </row>
    <row r="70" spans="9:12">
      <c r="I70">
        <f>IFERROR(VLOOKUP(H70,Rates!$A$2:$B$3,2,0),1)</f>
        <v>1</v>
      </c>
      <c r="J70" t="str">
        <f t="shared" si="2"/>
        <v/>
      </c>
      <c r="K70" t="str">
        <f>IF(J70&lt;&gt;"",SUM($J$2:J70),"")</f>
        <v/>
      </c>
      <c r="L70">
        <f ca="1" t="shared" si="3"/>
        <v>45942</v>
      </c>
    </row>
    <row r="71" spans="9:12">
      <c r="I71">
        <f>IFERROR(VLOOKUP(H71,Rates!$A$2:$B$3,2,0),1)</f>
        <v>1</v>
      </c>
      <c r="J71" t="str">
        <f t="shared" si="2"/>
        <v/>
      </c>
      <c r="K71" t="str">
        <f>IF(J71&lt;&gt;"",SUM($J$2:J71),"")</f>
        <v/>
      </c>
      <c r="L71">
        <f ca="1" t="shared" si="3"/>
        <v>45942</v>
      </c>
    </row>
    <row r="72" spans="9:12">
      <c r="I72">
        <f>IFERROR(VLOOKUP(H72,Rates!$A$2:$B$3,2,0),1)</f>
        <v>1</v>
      </c>
      <c r="J72" t="str">
        <f t="shared" si="2"/>
        <v/>
      </c>
      <c r="K72" t="str">
        <f>IF(J72&lt;&gt;"",SUM($J$2:J72),"")</f>
        <v/>
      </c>
      <c r="L72">
        <f ca="1" t="shared" si="3"/>
        <v>45942</v>
      </c>
    </row>
    <row r="73" spans="9:12">
      <c r="I73">
        <f>IFERROR(VLOOKUP(H73,Rates!$A$2:$B$3,2,0),1)</f>
        <v>1</v>
      </c>
      <c r="J73" t="str">
        <f t="shared" si="2"/>
        <v/>
      </c>
      <c r="K73" t="str">
        <f>IF(J73&lt;&gt;"",SUM($J$2:J73),"")</f>
        <v/>
      </c>
      <c r="L73">
        <f ca="1" t="shared" si="3"/>
        <v>45942</v>
      </c>
    </row>
    <row r="74" spans="9:12">
      <c r="I74">
        <f>IFERROR(VLOOKUP(H74,Rates!$A$2:$B$3,2,0),1)</f>
        <v>1</v>
      </c>
      <c r="J74" t="str">
        <f t="shared" si="2"/>
        <v/>
      </c>
      <c r="K74" t="str">
        <f>IF(J74&lt;&gt;"",SUM($J$2:J74),"")</f>
        <v/>
      </c>
      <c r="L74">
        <f ca="1" t="shared" si="3"/>
        <v>45942</v>
      </c>
    </row>
    <row r="75" spans="9:12">
      <c r="I75">
        <f>IFERROR(VLOOKUP(H75,Rates!$A$2:$B$3,2,0),1)</f>
        <v>1</v>
      </c>
      <c r="J75" t="str">
        <f t="shared" si="2"/>
        <v/>
      </c>
      <c r="K75" t="str">
        <f>IF(J75&lt;&gt;"",SUM($J$2:J75),"")</f>
        <v/>
      </c>
      <c r="L75">
        <f ca="1" t="shared" si="3"/>
        <v>45942</v>
      </c>
    </row>
    <row r="76" spans="9:12">
      <c r="I76">
        <f>IFERROR(VLOOKUP(H76,Rates!$A$2:$B$3,2,0),1)</f>
        <v>1</v>
      </c>
      <c r="J76" t="str">
        <f t="shared" si="2"/>
        <v/>
      </c>
      <c r="K76" t="str">
        <f>IF(J76&lt;&gt;"",SUM($J$2:J76),"")</f>
        <v/>
      </c>
      <c r="L76">
        <f ca="1" t="shared" si="3"/>
        <v>45942</v>
      </c>
    </row>
    <row r="77" spans="9:12">
      <c r="I77">
        <f>IFERROR(VLOOKUP(H77,Rates!$A$2:$B$3,2,0),1)</f>
        <v>1</v>
      </c>
      <c r="J77" t="str">
        <f t="shared" si="2"/>
        <v/>
      </c>
      <c r="K77" t="str">
        <f>IF(J77&lt;&gt;"",SUM($J$2:J77),"")</f>
        <v/>
      </c>
      <c r="L77">
        <f ca="1" t="shared" si="3"/>
        <v>45942</v>
      </c>
    </row>
    <row r="78" spans="9:12">
      <c r="I78">
        <f>IFERROR(VLOOKUP(H78,Rates!$A$2:$B$3,2,0),1)</f>
        <v>1</v>
      </c>
      <c r="J78" t="str">
        <f t="shared" si="2"/>
        <v/>
      </c>
      <c r="K78" t="str">
        <f>IF(J78&lt;&gt;"",SUM($J$2:J78),"")</f>
        <v/>
      </c>
      <c r="L78">
        <f ca="1" t="shared" si="3"/>
        <v>45942</v>
      </c>
    </row>
    <row r="79" spans="9:12">
      <c r="I79">
        <f>IFERROR(VLOOKUP(H79,Rates!$A$2:$B$3,2,0),1)</f>
        <v>1</v>
      </c>
      <c r="J79" t="str">
        <f t="shared" si="2"/>
        <v/>
      </c>
      <c r="K79" t="str">
        <f>IF(J79&lt;&gt;"",SUM($J$2:J79),"")</f>
        <v/>
      </c>
      <c r="L79">
        <f ca="1" t="shared" si="3"/>
        <v>45942</v>
      </c>
    </row>
    <row r="80" spans="9:12">
      <c r="I80">
        <f>IFERROR(VLOOKUP(H80,Rates!$A$2:$B$3,2,0),1)</f>
        <v>1</v>
      </c>
      <c r="J80" t="str">
        <f t="shared" si="2"/>
        <v/>
      </c>
      <c r="K80" t="str">
        <f>IF(J80&lt;&gt;"",SUM($J$2:J80),"")</f>
        <v/>
      </c>
      <c r="L80">
        <f ca="1" t="shared" si="3"/>
        <v>45942</v>
      </c>
    </row>
    <row r="81" spans="9:12">
      <c r="I81">
        <f>IFERROR(VLOOKUP(H81,Rates!$A$2:$B$3,2,0),1)</f>
        <v>1</v>
      </c>
      <c r="J81" t="str">
        <f t="shared" si="2"/>
        <v/>
      </c>
      <c r="K81" t="str">
        <f>IF(J81&lt;&gt;"",SUM($J$2:J81),"")</f>
        <v/>
      </c>
      <c r="L81">
        <f ca="1" t="shared" si="3"/>
        <v>45942</v>
      </c>
    </row>
    <row r="82" spans="9:12">
      <c r="I82">
        <f>IFERROR(VLOOKUP(H82,Rates!$A$2:$B$3,2,0),1)</f>
        <v>1</v>
      </c>
      <c r="J82" t="str">
        <f t="shared" si="2"/>
        <v/>
      </c>
      <c r="K82" t="str">
        <f>IF(J82&lt;&gt;"",SUM($J$2:J82),"")</f>
        <v/>
      </c>
      <c r="L82">
        <f ca="1" t="shared" si="3"/>
        <v>45942</v>
      </c>
    </row>
    <row r="83" spans="9:12">
      <c r="I83">
        <f>IFERROR(VLOOKUP(H83,Rates!$A$2:$B$3,2,0),1)</f>
        <v>1</v>
      </c>
      <c r="J83" t="str">
        <f t="shared" si="2"/>
        <v/>
      </c>
      <c r="K83" t="str">
        <f>IF(J83&lt;&gt;"",SUM($J$2:J83),"")</f>
        <v/>
      </c>
      <c r="L83">
        <f ca="1" t="shared" si="3"/>
        <v>45942</v>
      </c>
    </row>
    <row r="84" spans="9:12">
      <c r="I84">
        <f>IFERROR(VLOOKUP(H84,Rates!$A$2:$B$3,2,0),1)</f>
        <v>1</v>
      </c>
      <c r="J84" t="str">
        <f t="shared" si="2"/>
        <v/>
      </c>
      <c r="K84" t="str">
        <f>IF(J84&lt;&gt;"",SUM($J$2:J84),"")</f>
        <v/>
      </c>
      <c r="L84">
        <f ca="1" t="shared" si="3"/>
        <v>45942</v>
      </c>
    </row>
    <row r="85" spans="9:12">
      <c r="I85">
        <f>IFERROR(VLOOKUP(H85,Rates!$A$2:$B$3,2,0),1)</f>
        <v>1</v>
      </c>
      <c r="J85" t="str">
        <f t="shared" si="2"/>
        <v/>
      </c>
      <c r="K85" t="str">
        <f>IF(J85&lt;&gt;"",SUM($J$2:J85),"")</f>
        <v/>
      </c>
      <c r="L85">
        <f ca="1" t="shared" si="3"/>
        <v>45942</v>
      </c>
    </row>
    <row r="86" spans="9:12">
      <c r="I86">
        <f>IFERROR(VLOOKUP(H86,Rates!$A$2:$B$3,2,0),1)</f>
        <v>1</v>
      </c>
      <c r="J86" t="str">
        <f t="shared" si="2"/>
        <v/>
      </c>
      <c r="K86" t="str">
        <f>IF(J86&lt;&gt;"",SUM($J$2:J86),"")</f>
        <v/>
      </c>
      <c r="L86">
        <f ca="1" t="shared" si="3"/>
        <v>45942</v>
      </c>
    </row>
    <row r="87" spans="9:12">
      <c r="I87">
        <f>IFERROR(VLOOKUP(H87,Rates!$A$2:$B$3,2,0),1)</f>
        <v>1</v>
      </c>
      <c r="J87" t="str">
        <f t="shared" si="2"/>
        <v/>
      </c>
      <c r="K87" t="str">
        <f>IF(J87&lt;&gt;"",SUM($J$2:J87),"")</f>
        <v/>
      </c>
      <c r="L87">
        <f ca="1" t="shared" si="3"/>
        <v>45942</v>
      </c>
    </row>
    <row r="88" spans="9:12">
      <c r="I88">
        <f>IFERROR(VLOOKUP(H88,Rates!$A$2:$B$3,2,0),1)</f>
        <v>1</v>
      </c>
      <c r="J88" t="str">
        <f t="shared" si="2"/>
        <v/>
      </c>
      <c r="K88" t="str">
        <f>IF(J88&lt;&gt;"",SUM($J$2:J88),"")</f>
        <v/>
      </c>
      <c r="L88">
        <f ca="1" t="shared" si="3"/>
        <v>45942</v>
      </c>
    </row>
    <row r="89" spans="9:12">
      <c r="I89">
        <f>IFERROR(VLOOKUP(H89,Rates!$A$2:$B$3,2,0),1)</f>
        <v>1</v>
      </c>
      <c r="J89" t="str">
        <f t="shared" si="2"/>
        <v/>
      </c>
      <c r="K89" t="str">
        <f>IF(J89&lt;&gt;"",SUM($J$2:J89),"")</f>
        <v/>
      </c>
      <c r="L89">
        <f ca="1" t="shared" si="3"/>
        <v>45942</v>
      </c>
    </row>
    <row r="90" spans="9:12">
      <c r="I90">
        <f>IFERROR(VLOOKUP(H90,Rates!$A$2:$B$3,2,0),1)</f>
        <v>1</v>
      </c>
      <c r="J90" t="str">
        <f t="shared" si="2"/>
        <v/>
      </c>
      <c r="K90" t="str">
        <f>IF(J90&lt;&gt;"",SUM($J$2:J90),"")</f>
        <v/>
      </c>
      <c r="L90">
        <f ca="1" t="shared" si="3"/>
        <v>45942</v>
      </c>
    </row>
    <row r="91" spans="9:12">
      <c r="I91">
        <f>IFERROR(VLOOKUP(H91,Rates!$A$2:$B$3,2,0),1)</f>
        <v>1</v>
      </c>
      <c r="J91" t="str">
        <f t="shared" si="2"/>
        <v/>
      </c>
      <c r="K91" t="str">
        <f>IF(J91&lt;&gt;"",SUM($J$2:J91),"")</f>
        <v/>
      </c>
      <c r="L91">
        <f ca="1" t="shared" si="3"/>
        <v>45942</v>
      </c>
    </row>
    <row r="92" spans="9:12">
      <c r="I92">
        <f>IFERROR(VLOOKUP(H92,Rates!$A$2:$B$3,2,0),1)</f>
        <v>1</v>
      </c>
      <c r="J92" t="str">
        <f t="shared" si="2"/>
        <v/>
      </c>
      <c r="K92" t="str">
        <f>IF(J92&lt;&gt;"",SUM($J$2:J92),"")</f>
        <v/>
      </c>
      <c r="L92">
        <f ca="1" t="shared" si="3"/>
        <v>45942</v>
      </c>
    </row>
    <row r="93" spans="9:12">
      <c r="I93">
        <f>IFERROR(VLOOKUP(H93,Rates!$A$2:$B$3,2,0),1)</f>
        <v>1</v>
      </c>
      <c r="J93" t="str">
        <f t="shared" si="2"/>
        <v/>
      </c>
      <c r="K93" t="str">
        <f>IF(J93&lt;&gt;"",SUM($J$2:J93),"")</f>
        <v/>
      </c>
      <c r="L93">
        <f ca="1" t="shared" si="3"/>
        <v>45942</v>
      </c>
    </row>
    <row r="94" spans="9:12">
      <c r="I94">
        <f>IFERROR(VLOOKUP(H94,Rates!$A$2:$B$3,2,0),1)</f>
        <v>1</v>
      </c>
      <c r="J94" t="str">
        <f t="shared" si="2"/>
        <v/>
      </c>
      <c r="K94" t="str">
        <f>IF(J94&lt;&gt;"",SUM($J$2:J94),"")</f>
        <v/>
      </c>
      <c r="L94">
        <f ca="1" t="shared" si="3"/>
        <v>45942</v>
      </c>
    </row>
    <row r="95" spans="9:12">
      <c r="I95">
        <f>IFERROR(VLOOKUP(H95,Rates!$A$2:$B$3,2,0),1)</f>
        <v>1</v>
      </c>
      <c r="J95" t="str">
        <f t="shared" si="2"/>
        <v/>
      </c>
      <c r="K95" t="str">
        <f>IF(J95&lt;&gt;"",SUM($J$2:J95),"")</f>
        <v/>
      </c>
      <c r="L95">
        <f ca="1" t="shared" si="3"/>
        <v>45942</v>
      </c>
    </row>
    <row r="96" spans="9:12">
      <c r="I96">
        <f>IFERROR(VLOOKUP(H96,Rates!$A$2:$B$3,2,0),1)</f>
        <v>1</v>
      </c>
      <c r="J96" t="str">
        <f t="shared" si="2"/>
        <v/>
      </c>
      <c r="K96" t="str">
        <f>IF(J96&lt;&gt;"",SUM($J$2:J96),"")</f>
        <v/>
      </c>
      <c r="L96">
        <f ca="1" t="shared" si="3"/>
        <v>45942</v>
      </c>
    </row>
    <row r="97" spans="9:12">
      <c r="I97">
        <f>IFERROR(VLOOKUP(H97,Rates!$A$2:$B$3,2,0),1)</f>
        <v>1</v>
      </c>
      <c r="J97" t="str">
        <f t="shared" si="2"/>
        <v/>
      </c>
      <c r="K97" t="str">
        <f>IF(J97&lt;&gt;"",SUM($J$2:J97),"")</f>
        <v/>
      </c>
      <c r="L97">
        <f ca="1" t="shared" si="3"/>
        <v>45942</v>
      </c>
    </row>
    <row r="98" spans="9:12">
      <c r="I98">
        <f>IFERROR(VLOOKUP(H98,Rates!$A$2:$B$3,2,0),1)</f>
        <v>1</v>
      </c>
      <c r="J98" t="str">
        <f t="shared" si="2"/>
        <v/>
      </c>
      <c r="K98" t="str">
        <f>IF(J98&lt;&gt;"",SUM($J$2:J98),"")</f>
        <v/>
      </c>
      <c r="L98">
        <f ca="1" t="shared" si="3"/>
        <v>45942</v>
      </c>
    </row>
    <row r="99" spans="9:12">
      <c r="I99">
        <f>IFERROR(VLOOKUP(H99,Rates!$A$2:$B$3,2,0),1)</f>
        <v>1</v>
      </c>
      <c r="J99" t="str">
        <f t="shared" si="2"/>
        <v/>
      </c>
      <c r="K99" t="str">
        <f>IF(J99&lt;&gt;"",SUM($J$2:J99),"")</f>
        <v/>
      </c>
      <c r="L99">
        <f ca="1" t="shared" si="3"/>
        <v>45942</v>
      </c>
    </row>
    <row r="100" spans="9:12">
      <c r="I100">
        <f>IFERROR(VLOOKUP(H100,Rates!$A$2:$B$3,2,0),1)</f>
        <v>1</v>
      </c>
      <c r="J100" t="str">
        <f t="shared" si="2"/>
        <v/>
      </c>
      <c r="K100" t="str">
        <f>IF(J100&lt;&gt;"",SUM($J$2:J100),"")</f>
        <v/>
      </c>
      <c r="L100">
        <f ca="1" t="shared" si="3"/>
        <v>45942</v>
      </c>
    </row>
    <row r="101" spans="9:12">
      <c r="I101">
        <f>IFERROR(VLOOKUP(H101,Rates!$A$2:$B$3,2,0),1)</f>
        <v>1</v>
      </c>
      <c r="J101" t="str">
        <f t="shared" si="2"/>
        <v/>
      </c>
      <c r="K101" t="str">
        <f>IF(J101&lt;&gt;"",SUM($J$2:J101),"")</f>
        <v/>
      </c>
      <c r="L101">
        <f ca="1" t="shared" si="3"/>
        <v>45942</v>
      </c>
    </row>
    <row r="102" spans="9:12">
      <c r="I102">
        <f>IFERROR(VLOOKUP(H102,Rates!$A$2:$B$3,2,0),1)</f>
        <v>1</v>
      </c>
      <c r="J102" t="str">
        <f t="shared" si="2"/>
        <v/>
      </c>
      <c r="K102" t="str">
        <f>IF(J102&lt;&gt;"",SUM($J$2:J102),"")</f>
        <v/>
      </c>
      <c r="L102">
        <f ca="1" t="shared" si="3"/>
        <v>45942</v>
      </c>
    </row>
    <row r="103" spans="9:12">
      <c r="I103">
        <f>IFERROR(VLOOKUP(H103,Rates!$A$2:$B$3,2,0),1)</f>
        <v>1</v>
      </c>
      <c r="J103" t="str">
        <f t="shared" si="2"/>
        <v/>
      </c>
      <c r="K103" t="str">
        <f>IF(J103&lt;&gt;"",SUM($J$2:J103),"")</f>
        <v/>
      </c>
      <c r="L103">
        <f ca="1" t="shared" si="3"/>
        <v>45942</v>
      </c>
    </row>
    <row r="104" spans="9:12">
      <c r="I104">
        <f>IFERROR(VLOOKUP(H104,Rates!$A$2:$B$3,2,0),1)</f>
        <v>1</v>
      </c>
      <c r="J104" t="str">
        <f t="shared" si="2"/>
        <v/>
      </c>
      <c r="K104" t="str">
        <f>IF(J104&lt;&gt;"",SUM($J$2:J104),"")</f>
        <v/>
      </c>
      <c r="L104">
        <f ca="1" t="shared" si="3"/>
        <v>45942</v>
      </c>
    </row>
    <row r="105" spans="9:12">
      <c r="I105">
        <f>IFERROR(VLOOKUP(H105,Rates!$A$2:$B$3,2,0),1)</f>
        <v>1</v>
      </c>
      <c r="J105" t="str">
        <f t="shared" si="2"/>
        <v/>
      </c>
      <c r="K105" t="str">
        <f>IF(J105&lt;&gt;"",SUM($J$2:J105),"")</f>
        <v/>
      </c>
      <c r="L105">
        <f ca="1" t="shared" si="3"/>
        <v>45942</v>
      </c>
    </row>
    <row r="106" spans="9:12">
      <c r="I106">
        <f>IFERROR(VLOOKUP(H106,Rates!$A$2:$B$3,2,0),1)</f>
        <v>1</v>
      </c>
      <c r="J106" t="str">
        <f t="shared" si="2"/>
        <v/>
      </c>
      <c r="K106" t="str">
        <f>IF(J106&lt;&gt;"",SUM($J$2:J106),"")</f>
        <v/>
      </c>
      <c r="L106">
        <f ca="1" t="shared" si="3"/>
        <v>45942</v>
      </c>
    </row>
    <row r="107" spans="9:12">
      <c r="I107">
        <f>IFERROR(VLOOKUP(H107,Rates!$A$2:$B$3,2,0),1)</f>
        <v>1</v>
      </c>
      <c r="J107" t="str">
        <f t="shared" si="2"/>
        <v/>
      </c>
      <c r="K107" t="str">
        <f>IF(J107&lt;&gt;"",SUM($J$2:J107),"")</f>
        <v/>
      </c>
      <c r="L107">
        <f ca="1" t="shared" si="3"/>
        <v>45942</v>
      </c>
    </row>
    <row r="108" spans="9:12">
      <c r="I108">
        <f>IFERROR(VLOOKUP(H108,Rates!$A$2:$B$3,2,0),1)</f>
        <v>1</v>
      </c>
      <c r="J108" t="str">
        <f t="shared" si="2"/>
        <v/>
      </c>
      <c r="K108" t="str">
        <f>IF(J108&lt;&gt;"",SUM($J$2:J108),"")</f>
        <v/>
      </c>
      <c r="L108">
        <f ca="1" t="shared" si="3"/>
        <v>45942</v>
      </c>
    </row>
    <row r="109" spans="9:12">
      <c r="I109">
        <f>IFERROR(VLOOKUP(H109,Rates!$A$2:$B$3,2,0),1)</f>
        <v>1</v>
      </c>
      <c r="J109" t="str">
        <f t="shared" si="2"/>
        <v/>
      </c>
      <c r="K109" t="str">
        <f>IF(J109&lt;&gt;"",SUM($J$2:J109),"")</f>
        <v/>
      </c>
      <c r="L109">
        <f ca="1" t="shared" si="3"/>
        <v>45942</v>
      </c>
    </row>
    <row r="110" spans="9:12">
      <c r="I110">
        <f>IFERROR(VLOOKUP(H110,Rates!$A$2:$B$3,2,0),1)</f>
        <v>1</v>
      </c>
      <c r="J110" t="str">
        <f t="shared" si="2"/>
        <v/>
      </c>
      <c r="K110" t="str">
        <f>IF(J110&lt;&gt;"",SUM($J$2:J110),"")</f>
        <v/>
      </c>
      <c r="L110">
        <f ca="1" t="shared" si="3"/>
        <v>45942</v>
      </c>
    </row>
    <row r="111" spans="9:12">
      <c r="I111">
        <f>IFERROR(VLOOKUP(H111,Rates!$A$2:$B$3,2,0),1)</f>
        <v>1</v>
      </c>
      <c r="J111" t="str">
        <f t="shared" si="2"/>
        <v/>
      </c>
      <c r="K111" t="str">
        <f>IF(J111&lt;&gt;"",SUM($J$2:J111),"")</f>
        <v/>
      </c>
      <c r="L111">
        <f ca="1" t="shared" si="3"/>
        <v>45942</v>
      </c>
    </row>
    <row r="112" spans="9:12">
      <c r="I112">
        <f>IFERROR(VLOOKUP(H112,Rates!$A$2:$B$3,2,0),1)</f>
        <v>1</v>
      </c>
      <c r="J112" t="str">
        <f t="shared" si="2"/>
        <v/>
      </c>
      <c r="K112" t="str">
        <f>IF(J112&lt;&gt;"",SUM($J$2:J112),"")</f>
        <v/>
      </c>
      <c r="L112">
        <f ca="1" t="shared" si="3"/>
        <v>45942</v>
      </c>
    </row>
    <row r="113" spans="9:12">
      <c r="I113">
        <f>IFERROR(VLOOKUP(H113,Rates!$A$2:$B$3,2,0),1)</f>
        <v>1</v>
      </c>
      <c r="J113" t="str">
        <f t="shared" si="2"/>
        <v/>
      </c>
      <c r="K113" t="str">
        <f>IF(J113&lt;&gt;"",SUM($J$2:J113),"")</f>
        <v/>
      </c>
      <c r="L113">
        <f ca="1" t="shared" si="3"/>
        <v>45942</v>
      </c>
    </row>
    <row r="114" spans="9:12">
      <c r="I114">
        <f>IFERROR(VLOOKUP(H114,Rates!$A$2:$B$3,2,0),1)</f>
        <v>1</v>
      </c>
      <c r="J114" t="str">
        <f t="shared" si="2"/>
        <v/>
      </c>
      <c r="K114" t="str">
        <f>IF(J114&lt;&gt;"",SUM($J$2:J114),"")</f>
        <v/>
      </c>
      <c r="L114">
        <f ca="1" t="shared" si="3"/>
        <v>45942</v>
      </c>
    </row>
    <row r="115" spans="9:12">
      <c r="I115">
        <f>IFERROR(VLOOKUP(H115,Rates!$A$2:$B$3,2,0),1)</f>
        <v>1</v>
      </c>
      <c r="J115" t="str">
        <f t="shared" si="2"/>
        <v/>
      </c>
      <c r="K115" t="str">
        <f>IF(J115&lt;&gt;"",SUM($J$2:J115),"")</f>
        <v/>
      </c>
      <c r="L115">
        <f ca="1" t="shared" si="3"/>
        <v>45942</v>
      </c>
    </row>
    <row r="116" spans="9:12">
      <c r="I116">
        <f>IFERROR(VLOOKUP(H116,Rates!$A$2:$B$3,2,0),1)</f>
        <v>1</v>
      </c>
      <c r="J116" t="str">
        <f t="shared" si="2"/>
        <v/>
      </c>
      <c r="K116" t="str">
        <f>IF(J116&lt;&gt;"",SUM($J$2:J116),"")</f>
        <v/>
      </c>
      <c r="L116">
        <f ca="1" t="shared" si="3"/>
        <v>45942</v>
      </c>
    </row>
    <row r="117" spans="9:12">
      <c r="I117">
        <f>IFERROR(VLOOKUP(H117,Rates!$A$2:$B$3,2,0),1)</f>
        <v>1</v>
      </c>
      <c r="J117" t="str">
        <f t="shared" si="2"/>
        <v/>
      </c>
      <c r="K117" t="str">
        <f>IF(J117&lt;&gt;"",SUM($J$2:J117),"")</f>
        <v/>
      </c>
      <c r="L117">
        <f ca="1" t="shared" si="3"/>
        <v>45942</v>
      </c>
    </row>
    <row r="118" spans="9:12">
      <c r="I118">
        <f>IFERROR(VLOOKUP(H118,Rates!$A$2:$B$3,2,0),1)</f>
        <v>1</v>
      </c>
      <c r="J118" t="str">
        <f t="shared" si="2"/>
        <v/>
      </c>
      <c r="K118" t="str">
        <f>IF(J118&lt;&gt;"",SUM($J$2:J118),"")</f>
        <v/>
      </c>
      <c r="L118">
        <f ca="1" t="shared" si="3"/>
        <v>45942</v>
      </c>
    </row>
    <row r="119" spans="9:12">
      <c r="I119">
        <f>IFERROR(VLOOKUP(H119,Rates!$A$2:$B$3,2,0),1)</f>
        <v>1</v>
      </c>
      <c r="J119" t="str">
        <f t="shared" si="2"/>
        <v/>
      </c>
      <c r="K119" t="str">
        <f>IF(J119&lt;&gt;"",SUM($J$2:J119),"")</f>
        <v/>
      </c>
      <c r="L119">
        <f ca="1" t="shared" si="3"/>
        <v>45942</v>
      </c>
    </row>
    <row r="120" spans="9:12">
      <c r="I120">
        <f>IFERROR(VLOOKUP(H120,Rates!$A$2:$B$3,2,0),1)</f>
        <v>1</v>
      </c>
      <c r="J120" t="str">
        <f t="shared" si="2"/>
        <v/>
      </c>
      <c r="K120" t="str">
        <f>IF(J120&lt;&gt;"",SUM($J$2:J120),"")</f>
        <v/>
      </c>
      <c r="L120">
        <f ca="1" t="shared" si="3"/>
        <v>45942</v>
      </c>
    </row>
    <row r="121" spans="9:12">
      <c r="I121">
        <f>IFERROR(VLOOKUP(H121,Rates!$A$2:$B$3,2,0),1)</f>
        <v>1</v>
      </c>
      <c r="J121" t="str">
        <f t="shared" si="2"/>
        <v/>
      </c>
      <c r="K121" t="str">
        <f>IF(J121&lt;&gt;"",SUM($J$2:J121),"")</f>
        <v/>
      </c>
      <c r="L121">
        <f ca="1" t="shared" si="3"/>
        <v>45942</v>
      </c>
    </row>
    <row r="122" spans="9:12">
      <c r="I122">
        <f>IFERROR(VLOOKUP(H122,Rates!$A$2:$B$3,2,0),1)</f>
        <v>1</v>
      </c>
      <c r="J122" t="str">
        <f t="shared" si="2"/>
        <v/>
      </c>
      <c r="K122" t="str">
        <f>IF(J122&lt;&gt;"",SUM($J$2:J122),"")</f>
        <v/>
      </c>
      <c r="L122">
        <f ca="1" t="shared" si="3"/>
        <v>45942</v>
      </c>
    </row>
    <row r="123" spans="9:12">
      <c r="I123">
        <f>IFERROR(VLOOKUP(H123,Rates!$A$2:$B$3,2,0),1)</f>
        <v>1</v>
      </c>
      <c r="J123" t="str">
        <f t="shared" si="2"/>
        <v/>
      </c>
      <c r="K123" t="str">
        <f>IF(J123&lt;&gt;"",SUM($J$2:J123),"")</f>
        <v/>
      </c>
      <c r="L123">
        <f ca="1" t="shared" si="3"/>
        <v>45942</v>
      </c>
    </row>
    <row r="124" spans="9:12">
      <c r="I124">
        <f>IFERROR(VLOOKUP(H124,Rates!$A$2:$B$3,2,0),1)</f>
        <v>1</v>
      </c>
      <c r="J124" t="str">
        <f t="shared" si="2"/>
        <v/>
      </c>
      <c r="K124" t="str">
        <f>IF(J124&lt;&gt;"",SUM($J$2:J124),"")</f>
        <v/>
      </c>
      <c r="L124">
        <f ca="1" t="shared" si="3"/>
        <v>45942</v>
      </c>
    </row>
    <row r="125" spans="9:12">
      <c r="I125">
        <f>IFERROR(VLOOKUP(H125,Rates!$A$2:$B$3,2,0),1)</f>
        <v>1</v>
      </c>
      <c r="J125" t="str">
        <f t="shared" si="2"/>
        <v/>
      </c>
      <c r="K125" t="str">
        <f>IF(J125&lt;&gt;"",SUM($J$2:J125),"")</f>
        <v/>
      </c>
      <c r="L125">
        <f ca="1" t="shared" si="3"/>
        <v>45942</v>
      </c>
    </row>
    <row r="126" spans="9:12">
      <c r="I126">
        <f>IFERROR(VLOOKUP(H126,Rates!$A$2:$B$3,2,0),1)</f>
        <v>1</v>
      </c>
      <c r="J126" t="str">
        <f t="shared" si="2"/>
        <v/>
      </c>
      <c r="K126" t="str">
        <f>IF(J126&lt;&gt;"",SUM($J$2:J126),"")</f>
        <v/>
      </c>
      <c r="L126">
        <f ca="1" t="shared" si="3"/>
        <v>45942</v>
      </c>
    </row>
    <row r="127" spans="9:12">
      <c r="I127">
        <f>IFERROR(VLOOKUP(H127,Rates!$A$2:$B$3,2,0),1)</f>
        <v>1</v>
      </c>
      <c r="J127" t="str">
        <f t="shared" si="2"/>
        <v/>
      </c>
      <c r="K127" t="str">
        <f>IF(J127&lt;&gt;"",SUM($J$2:J127),"")</f>
        <v/>
      </c>
      <c r="L127">
        <f ca="1" t="shared" si="3"/>
        <v>45942</v>
      </c>
    </row>
    <row r="128" spans="9:12">
      <c r="I128">
        <f>IFERROR(VLOOKUP(H128,Rates!$A$2:$B$3,2,0),1)</f>
        <v>1</v>
      </c>
      <c r="J128" t="str">
        <f t="shared" si="2"/>
        <v/>
      </c>
      <c r="K128" t="str">
        <f>IF(J128&lt;&gt;"",SUM($J$2:J128),"")</f>
        <v/>
      </c>
      <c r="L128">
        <f ca="1" t="shared" si="3"/>
        <v>45942</v>
      </c>
    </row>
    <row r="129" spans="9:12">
      <c r="I129">
        <f>IFERROR(VLOOKUP(H129,Rates!$A$2:$B$3,2,0),1)</f>
        <v>1</v>
      </c>
      <c r="J129" t="str">
        <f t="shared" si="2"/>
        <v/>
      </c>
      <c r="K129" t="str">
        <f>IF(J129&lt;&gt;"",SUM($J$2:J129),"")</f>
        <v/>
      </c>
      <c r="L129">
        <f ca="1" t="shared" si="3"/>
        <v>45942</v>
      </c>
    </row>
    <row r="130" spans="9:12">
      <c r="I130">
        <f>IFERROR(VLOOKUP(H130,Rates!$A$2:$B$3,2,0),1)</f>
        <v>1</v>
      </c>
      <c r="J130" t="str">
        <f t="shared" ref="J130:J193" si="4">IF(G130&lt;&gt;"",G130*I130,"")</f>
        <v/>
      </c>
      <c r="K130" t="str">
        <f>IF(J130&lt;&gt;"",SUM($J$2:J130),"")</f>
        <v/>
      </c>
      <c r="L130">
        <f ca="1" t="shared" ref="L130:L193" si="5">IF(COUNTA(A130:K130)&gt;0,TODAY(),"")</f>
        <v>45942</v>
      </c>
    </row>
    <row r="131" spans="9:12">
      <c r="I131">
        <f>IFERROR(VLOOKUP(H131,Rates!$A$2:$B$3,2,0),1)</f>
        <v>1</v>
      </c>
      <c r="J131" t="str">
        <f t="shared" si="4"/>
        <v/>
      </c>
      <c r="K131" t="str">
        <f>IF(J131&lt;&gt;"",SUM($J$2:J131),"")</f>
        <v/>
      </c>
      <c r="L131">
        <f ca="1" t="shared" si="5"/>
        <v>45942</v>
      </c>
    </row>
    <row r="132" spans="9:12">
      <c r="I132">
        <f>IFERROR(VLOOKUP(H132,Rates!$A$2:$B$3,2,0),1)</f>
        <v>1</v>
      </c>
      <c r="J132" t="str">
        <f t="shared" si="4"/>
        <v/>
      </c>
      <c r="K132" t="str">
        <f>IF(J132&lt;&gt;"",SUM($J$2:J132),"")</f>
        <v/>
      </c>
      <c r="L132">
        <f ca="1" t="shared" si="5"/>
        <v>45942</v>
      </c>
    </row>
    <row r="133" spans="9:12">
      <c r="I133">
        <f>IFERROR(VLOOKUP(H133,Rates!$A$2:$B$3,2,0),1)</f>
        <v>1</v>
      </c>
      <c r="J133" t="str">
        <f t="shared" si="4"/>
        <v/>
      </c>
      <c r="K133" t="str">
        <f>IF(J133&lt;&gt;"",SUM($J$2:J133),"")</f>
        <v/>
      </c>
      <c r="L133">
        <f ca="1" t="shared" si="5"/>
        <v>45942</v>
      </c>
    </row>
    <row r="134" spans="9:12">
      <c r="I134">
        <f>IFERROR(VLOOKUP(H134,Rates!$A$2:$B$3,2,0),1)</f>
        <v>1</v>
      </c>
      <c r="J134" t="str">
        <f t="shared" si="4"/>
        <v/>
      </c>
      <c r="K134" t="str">
        <f>IF(J134&lt;&gt;"",SUM($J$2:J134),"")</f>
        <v/>
      </c>
      <c r="L134">
        <f ca="1" t="shared" si="5"/>
        <v>45942</v>
      </c>
    </row>
    <row r="135" spans="9:12">
      <c r="I135">
        <f>IFERROR(VLOOKUP(H135,Rates!$A$2:$B$3,2,0),1)</f>
        <v>1</v>
      </c>
      <c r="J135" t="str">
        <f t="shared" si="4"/>
        <v/>
      </c>
      <c r="K135" t="str">
        <f>IF(J135&lt;&gt;"",SUM($J$2:J135),"")</f>
        <v/>
      </c>
      <c r="L135">
        <f ca="1" t="shared" si="5"/>
        <v>45942</v>
      </c>
    </row>
    <row r="136" spans="9:12">
      <c r="I136">
        <f>IFERROR(VLOOKUP(H136,Rates!$A$2:$B$3,2,0),1)</f>
        <v>1</v>
      </c>
      <c r="J136" t="str">
        <f t="shared" si="4"/>
        <v/>
      </c>
      <c r="K136" t="str">
        <f>IF(J136&lt;&gt;"",SUM($J$2:J136),"")</f>
        <v/>
      </c>
      <c r="L136">
        <f ca="1" t="shared" si="5"/>
        <v>45942</v>
      </c>
    </row>
    <row r="137" spans="9:12">
      <c r="I137">
        <f>IFERROR(VLOOKUP(H137,Rates!$A$2:$B$3,2,0),1)</f>
        <v>1</v>
      </c>
      <c r="J137" t="str">
        <f t="shared" si="4"/>
        <v/>
      </c>
      <c r="K137" t="str">
        <f>IF(J137&lt;&gt;"",SUM($J$2:J137),"")</f>
        <v/>
      </c>
      <c r="L137">
        <f ca="1" t="shared" si="5"/>
        <v>45942</v>
      </c>
    </row>
    <row r="138" spans="9:12">
      <c r="I138">
        <f>IFERROR(VLOOKUP(H138,Rates!$A$2:$B$3,2,0),1)</f>
        <v>1</v>
      </c>
      <c r="J138" t="str">
        <f t="shared" si="4"/>
        <v/>
      </c>
      <c r="K138" t="str">
        <f>IF(J138&lt;&gt;"",SUM($J$2:J138),"")</f>
        <v/>
      </c>
      <c r="L138">
        <f ca="1" t="shared" si="5"/>
        <v>45942</v>
      </c>
    </row>
    <row r="139" spans="9:12">
      <c r="I139">
        <f>IFERROR(VLOOKUP(H139,Rates!$A$2:$B$3,2,0),1)</f>
        <v>1</v>
      </c>
      <c r="J139" t="str">
        <f t="shared" si="4"/>
        <v/>
      </c>
      <c r="K139" t="str">
        <f>IF(J139&lt;&gt;"",SUM($J$2:J139),"")</f>
        <v/>
      </c>
      <c r="L139">
        <f ca="1" t="shared" si="5"/>
        <v>45942</v>
      </c>
    </row>
    <row r="140" spans="9:12">
      <c r="I140">
        <f>IFERROR(VLOOKUP(H140,Rates!$A$2:$B$3,2,0),1)</f>
        <v>1</v>
      </c>
      <c r="J140" t="str">
        <f t="shared" si="4"/>
        <v/>
      </c>
      <c r="K140" t="str">
        <f>IF(J140&lt;&gt;"",SUM($J$2:J140),"")</f>
        <v/>
      </c>
      <c r="L140">
        <f ca="1" t="shared" si="5"/>
        <v>45942</v>
      </c>
    </row>
    <row r="141" spans="9:12">
      <c r="I141">
        <f>IFERROR(VLOOKUP(H141,Rates!$A$2:$B$3,2,0),1)</f>
        <v>1</v>
      </c>
      <c r="J141" t="str">
        <f t="shared" si="4"/>
        <v/>
      </c>
      <c r="K141" t="str">
        <f>IF(J141&lt;&gt;"",SUM($J$2:J141),"")</f>
        <v/>
      </c>
      <c r="L141">
        <f ca="1" t="shared" si="5"/>
        <v>45942</v>
      </c>
    </row>
    <row r="142" spans="9:12">
      <c r="I142">
        <f>IFERROR(VLOOKUP(H142,Rates!$A$2:$B$3,2,0),1)</f>
        <v>1</v>
      </c>
      <c r="J142" t="str">
        <f t="shared" si="4"/>
        <v/>
      </c>
      <c r="K142" t="str">
        <f>IF(J142&lt;&gt;"",SUM($J$2:J142),"")</f>
        <v/>
      </c>
      <c r="L142">
        <f ca="1" t="shared" si="5"/>
        <v>45942</v>
      </c>
    </row>
    <row r="143" spans="9:12">
      <c r="I143">
        <f>IFERROR(VLOOKUP(H143,Rates!$A$2:$B$3,2,0),1)</f>
        <v>1</v>
      </c>
      <c r="J143" t="str">
        <f t="shared" si="4"/>
        <v/>
      </c>
      <c r="K143" t="str">
        <f>IF(J143&lt;&gt;"",SUM($J$2:J143),"")</f>
        <v/>
      </c>
      <c r="L143">
        <f ca="1" t="shared" si="5"/>
        <v>45942</v>
      </c>
    </row>
    <row r="144" spans="9:12">
      <c r="I144">
        <f>IFERROR(VLOOKUP(H144,Rates!$A$2:$B$3,2,0),1)</f>
        <v>1</v>
      </c>
      <c r="J144" t="str">
        <f t="shared" si="4"/>
        <v/>
      </c>
      <c r="K144" t="str">
        <f>IF(J144&lt;&gt;"",SUM($J$2:J144),"")</f>
        <v/>
      </c>
      <c r="L144">
        <f ca="1" t="shared" si="5"/>
        <v>45942</v>
      </c>
    </row>
    <row r="145" spans="9:12">
      <c r="I145">
        <f>IFERROR(VLOOKUP(H145,Rates!$A$2:$B$3,2,0),1)</f>
        <v>1</v>
      </c>
      <c r="J145" t="str">
        <f t="shared" si="4"/>
        <v/>
      </c>
      <c r="K145" t="str">
        <f>IF(J145&lt;&gt;"",SUM($J$2:J145),"")</f>
        <v/>
      </c>
      <c r="L145">
        <f ca="1" t="shared" si="5"/>
        <v>45942</v>
      </c>
    </row>
    <row r="146" spans="9:12">
      <c r="I146">
        <f>IFERROR(VLOOKUP(H146,Rates!$A$2:$B$3,2,0),1)</f>
        <v>1</v>
      </c>
      <c r="J146" t="str">
        <f t="shared" si="4"/>
        <v/>
      </c>
      <c r="K146" t="str">
        <f>IF(J146&lt;&gt;"",SUM($J$2:J146),"")</f>
        <v/>
      </c>
      <c r="L146">
        <f ca="1" t="shared" si="5"/>
        <v>45942</v>
      </c>
    </row>
    <row r="147" spans="9:12">
      <c r="I147">
        <f>IFERROR(VLOOKUP(H147,Rates!$A$2:$B$3,2,0),1)</f>
        <v>1</v>
      </c>
      <c r="J147" t="str">
        <f t="shared" si="4"/>
        <v/>
      </c>
      <c r="K147" t="str">
        <f>IF(J147&lt;&gt;"",SUM($J$2:J147),"")</f>
        <v/>
      </c>
      <c r="L147">
        <f ca="1" t="shared" si="5"/>
        <v>45942</v>
      </c>
    </row>
    <row r="148" spans="9:12">
      <c r="I148">
        <f>IFERROR(VLOOKUP(H148,Rates!$A$2:$B$3,2,0),1)</f>
        <v>1</v>
      </c>
      <c r="J148" t="str">
        <f t="shared" si="4"/>
        <v/>
      </c>
      <c r="K148" t="str">
        <f>IF(J148&lt;&gt;"",SUM($J$2:J148),"")</f>
        <v/>
      </c>
      <c r="L148">
        <f ca="1" t="shared" si="5"/>
        <v>45942</v>
      </c>
    </row>
    <row r="149" spans="9:12">
      <c r="I149">
        <f>IFERROR(VLOOKUP(H149,Rates!$A$2:$B$3,2,0),1)</f>
        <v>1</v>
      </c>
      <c r="J149" t="str">
        <f t="shared" si="4"/>
        <v/>
      </c>
      <c r="K149" t="str">
        <f>IF(J149&lt;&gt;"",SUM($J$2:J149),"")</f>
        <v/>
      </c>
      <c r="L149">
        <f ca="1" t="shared" si="5"/>
        <v>45942</v>
      </c>
    </row>
    <row r="150" spans="9:12">
      <c r="I150">
        <f>IFERROR(VLOOKUP(H150,Rates!$A$2:$B$3,2,0),1)</f>
        <v>1</v>
      </c>
      <c r="J150" t="str">
        <f t="shared" si="4"/>
        <v/>
      </c>
      <c r="K150" t="str">
        <f>IF(J150&lt;&gt;"",SUM($J$2:J150),"")</f>
        <v/>
      </c>
      <c r="L150">
        <f ca="1" t="shared" si="5"/>
        <v>45942</v>
      </c>
    </row>
    <row r="151" spans="9:12">
      <c r="I151">
        <f>IFERROR(VLOOKUP(H151,Rates!$A$2:$B$3,2,0),1)</f>
        <v>1</v>
      </c>
      <c r="J151" t="str">
        <f t="shared" si="4"/>
        <v/>
      </c>
      <c r="K151" t="str">
        <f>IF(J151&lt;&gt;"",SUM($J$2:J151),"")</f>
        <v/>
      </c>
      <c r="L151">
        <f ca="1" t="shared" si="5"/>
        <v>45942</v>
      </c>
    </row>
    <row r="152" spans="9:12">
      <c r="I152">
        <f>IFERROR(VLOOKUP(H152,Rates!$A$2:$B$3,2,0),1)</f>
        <v>1</v>
      </c>
      <c r="J152" t="str">
        <f t="shared" si="4"/>
        <v/>
      </c>
      <c r="K152" t="str">
        <f>IF(J152&lt;&gt;"",SUM($J$2:J152),"")</f>
        <v/>
      </c>
      <c r="L152">
        <f ca="1" t="shared" si="5"/>
        <v>45942</v>
      </c>
    </row>
    <row r="153" spans="9:12">
      <c r="I153">
        <f>IFERROR(VLOOKUP(H153,Rates!$A$2:$B$3,2,0),1)</f>
        <v>1</v>
      </c>
      <c r="J153" t="str">
        <f t="shared" si="4"/>
        <v/>
      </c>
      <c r="K153" t="str">
        <f>IF(J153&lt;&gt;"",SUM($J$2:J153),"")</f>
        <v/>
      </c>
      <c r="L153">
        <f ca="1" t="shared" si="5"/>
        <v>45942</v>
      </c>
    </row>
    <row r="154" spans="9:12">
      <c r="I154">
        <f>IFERROR(VLOOKUP(H154,Rates!$A$2:$B$3,2,0),1)</f>
        <v>1</v>
      </c>
      <c r="J154" t="str">
        <f t="shared" si="4"/>
        <v/>
      </c>
      <c r="K154" t="str">
        <f>IF(J154&lt;&gt;"",SUM($J$2:J154),"")</f>
        <v/>
      </c>
      <c r="L154">
        <f ca="1" t="shared" si="5"/>
        <v>45942</v>
      </c>
    </row>
    <row r="155" spans="9:12">
      <c r="I155">
        <f>IFERROR(VLOOKUP(H155,Rates!$A$2:$B$3,2,0),1)</f>
        <v>1</v>
      </c>
      <c r="J155" t="str">
        <f t="shared" si="4"/>
        <v/>
      </c>
      <c r="K155" t="str">
        <f>IF(J155&lt;&gt;"",SUM($J$2:J155),"")</f>
        <v/>
      </c>
      <c r="L155">
        <f ca="1" t="shared" si="5"/>
        <v>45942</v>
      </c>
    </row>
    <row r="156" spans="9:12">
      <c r="I156">
        <f>IFERROR(VLOOKUP(H156,Rates!$A$2:$B$3,2,0),1)</f>
        <v>1</v>
      </c>
      <c r="J156" t="str">
        <f t="shared" si="4"/>
        <v/>
      </c>
      <c r="K156" t="str">
        <f>IF(J156&lt;&gt;"",SUM($J$2:J156),"")</f>
        <v/>
      </c>
      <c r="L156">
        <f ca="1" t="shared" si="5"/>
        <v>45942</v>
      </c>
    </row>
    <row r="157" spans="9:12">
      <c r="I157">
        <f>IFERROR(VLOOKUP(H157,Rates!$A$2:$B$3,2,0),1)</f>
        <v>1</v>
      </c>
      <c r="J157" t="str">
        <f t="shared" si="4"/>
        <v/>
      </c>
      <c r="K157" t="str">
        <f>IF(J157&lt;&gt;"",SUM($J$2:J157),"")</f>
        <v/>
      </c>
      <c r="L157">
        <f ca="1" t="shared" si="5"/>
        <v>45942</v>
      </c>
    </row>
    <row r="158" spans="9:12">
      <c r="I158">
        <f>IFERROR(VLOOKUP(H158,Rates!$A$2:$B$3,2,0),1)</f>
        <v>1</v>
      </c>
      <c r="J158" t="str">
        <f t="shared" si="4"/>
        <v/>
      </c>
      <c r="K158" t="str">
        <f>IF(J158&lt;&gt;"",SUM($J$2:J158),"")</f>
        <v/>
      </c>
      <c r="L158">
        <f ca="1" t="shared" si="5"/>
        <v>45942</v>
      </c>
    </row>
    <row r="159" spans="9:12">
      <c r="I159">
        <f>IFERROR(VLOOKUP(H159,Rates!$A$2:$B$3,2,0),1)</f>
        <v>1</v>
      </c>
      <c r="J159" t="str">
        <f t="shared" si="4"/>
        <v/>
      </c>
      <c r="K159" t="str">
        <f>IF(J159&lt;&gt;"",SUM($J$2:J159),"")</f>
        <v/>
      </c>
      <c r="L159">
        <f ca="1" t="shared" si="5"/>
        <v>45942</v>
      </c>
    </row>
    <row r="160" spans="9:12">
      <c r="I160">
        <f>IFERROR(VLOOKUP(H160,Rates!$A$2:$B$3,2,0),1)</f>
        <v>1</v>
      </c>
      <c r="J160" t="str">
        <f t="shared" si="4"/>
        <v/>
      </c>
      <c r="K160" t="str">
        <f>IF(J160&lt;&gt;"",SUM($J$2:J160),"")</f>
        <v/>
      </c>
      <c r="L160">
        <f ca="1" t="shared" si="5"/>
        <v>45942</v>
      </c>
    </row>
    <row r="161" spans="9:12">
      <c r="I161">
        <f>IFERROR(VLOOKUP(H161,Rates!$A$2:$B$3,2,0),1)</f>
        <v>1</v>
      </c>
      <c r="J161" t="str">
        <f t="shared" si="4"/>
        <v/>
      </c>
      <c r="K161" t="str">
        <f>IF(J161&lt;&gt;"",SUM($J$2:J161),"")</f>
        <v/>
      </c>
      <c r="L161">
        <f ca="1" t="shared" si="5"/>
        <v>45942</v>
      </c>
    </row>
    <row r="162" spans="9:12">
      <c r="I162">
        <f>IFERROR(VLOOKUP(H162,Rates!$A$2:$B$3,2,0),1)</f>
        <v>1</v>
      </c>
      <c r="J162" t="str">
        <f t="shared" si="4"/>
        <v/>
      </c>
      <c r="K162" t="str">
        <f>IF(J162&lt;&gt;"",SUM($J$2:J162),"")</f>
        <v/>
      </c>
      <c r="L162">
        <f ca="1" t="shared" si="5"/>
        <v>45942</v>
      </c>
    </row>
    <row r="163" spans="9:12">
      <c r="I163">
        <f>IFERROR(VLOOKUP(H163,Rates!$A$2:$B$3,2,0),1)</f>
        <v>1</v>
      </c>
      <c r="J163" t="str">
        <f t="shared" si="4"/>
        <v/>
      </c>
      <c r="K163" t="str">
        <f>IF(J163&lt;&gt;"",SUM($J$2:J163),"")</f>
        <v/>
      </c>
      <c r="L163">
        <f ca="1" t="shared" si="5"/>
        <v>45942</v>
      </c>
    </row>
    <row r="164" spans="9:12">
      <c r="I164">
        <f>IFERROR(VLOOKUP(H164,Rates!$A$2:$B$3,2,0),1)</f>
        <v>1</v>
      </c>
      <c r="J164" t="str">
        <f t="shared" si="4"/>
        <v/>
      </c>
      <c r="K164" t="str">
        <f>IF(J164&lt;&gt;"",SUM($J$2:J164),"")</f>
        <v/>
      </c>
      <c r="L164">
        <f ca="1" t="shared" si="5"/>
        <v>45942</v>
      </c>
    </row>
    <row r="165" spans="9:12">
      <c r="I165">
        <f>IFERROR(VLOOKUP(H165,Rates!$A$2:$B$3,2,0),1)</f>
        <v>1</v>
      </c>
      <c r="J165" t="str">
        <f t="shared" si="4"/>
        <v/>
      </c>
      <c r="K165" t="str">
        <f>IF(J165&lt;&gt;"",SUM($J$2:J165),"")</f>
        <v/>
      </c>
      <c r="L165">
        <f ca="1" t="shared" si="5"/>
        <v>45942</v>
      </c>
    </row>
    <row r="166" spans="9:12">
      <c r="I166">
        <f>IFERROR(VLOOKUP(H166,Rates!$A$2:$B$3,2,0),1)</f>
        <v>1</v>
      </c>
      <c r="J166" t="str">
        <f t="shared" si="4"/>
        <v/>
      </c>
      <c r="K166" t="str">
        <f>IF(J166&lt;&gt;"",SUM($J$2:J166),"")</f>
        <v/>
      </c>
      <c r="L166">
        <f ca="1" t="shared" si="5"/>
        <v>45942</v>
      </c>
    </row>
    <row r="167" spans="9:12">
      <c r="I167">
        <f>IFERROR(VLOOKUP(H167,Rates!$A$2:$B$3,2,0),1)</f>
        <v>1</v>
      </c>
      <c r="J167" t="str">
        <f t="shared" si="4"/>
        <v/>
      </c>
      <c r="K167" t="str">
        <f>IF(J167&lt;&gt;"",SUM($J$2:J167),"")</f>
        <v/>
      </c>
      <c r="L167">
        <f ca="1" t="shared" si="5"/>
        <v>45942</v>
      </c>
    </row>
    <row r="168" spans="9:12">
      <c r="I168">
        <f>IFERROR(VLOOKUP(H168,Rates!$A$2:$B$3,2,0),1)</f>
        <v>1</v>
      </c>
      <c r="J168" t="str">
        <f t="shared" si="4"/>
        <v/>
      </c>
      <c r="K168" t="str">
        <f>IF(J168&lt;&gt;"",SUM($J$2:J168),"")</f>
        <v/>
      </c>
      <c r="L168">
        <f ca="1" t="shared" si="5"/>
        <v>45942</v>
      </c>
    </row>
    <row r="169" spans="9:12">
      <c r="I169">
        <f>IFERROR(VLOOKUP(H169,Rates!$A$2:$B$3,2,0),1)</f>
        <v>1</v>
      </c>
      <c r="J169" t="str">
        <f t="shared" si="4"/>
        <v/>
      </c>
      <c r="K169" t="str">
        <f>IF(J169&lt;&gt;"",SUM($J$2:J169),"")</f>
        <v/>
      </c>
      <c r="L169">
        <f ca="1" t="shared" si="5"/>
        <v>45942</v>
      </c>
    </row>
    <row r="170" spans="9:12">
      <c r="I170">
        <f>IFERROR(VLOOKUP(H170,Rates!$A$2:$B$3,2,0),1)</f>
        <v>1</v>
      </c>
      <c r="J170" t="str">
        <f t="shared" si="4"/>
        <v/>
      </c>
      <c r="K170" t="str">
        <f>IF(J170&lt;&gt;"",SUM($J$2:J170),"")</f>
        <v/>
      </c>
      <c r="L170">
        <f ca="1" t="shared" si="5"/>
        <v>45942</v>
      </c>
    </row>
    <row r="171" spans="9:12">
      <c r="I171">
        <f>IFERROR(VLOOKUP(H171,Rates!$A$2:$B$3,2,0),1)</f>
        <v>1</v>
      </c>
      <c r="J171" t="str">
        <f t="shared" si="4"/>
        <v/>
      </c>
      <c r="K171" t="str">
        <f>IF(J171&lt;&gt;"",SUM($J$2:J171),"")</f>
        <v/>
      </c>
      <c r="L171">
        <f ca="1" t="shared" si="5"/>
        <v>45942</v>
      </c>
    </row>
    <row r="172" spans="9:12">
      <c r="I172">
        <f>IFERROR(VLOOKUP(H172,Rates!$A$2:$B$3,2,0),1)</f>
        <v>1</v>
      </c>
      <c r="J172" t="str">
        <f t="shared" si="4"/>
        <v/>
      </c>
      <c r="K172" t="str">
        <f>IF(J172&lt;&gt;"",SUM($J$2:J172),"")</f>
        <v/>
      </c>
      <c r="L172">
        <f ca="1" t="shared" si="5"/>
        <v>45942</v>
      </c>
    </row>
    <row r="173" spans="9:12">
      <c r="I173">
        <f>IFERROR(VLOOKUP(H173,Rates!$A$2:$B$3,2,0),1)</f>
        <v>1</v>
      </c>
      <c r="J173" t="str">
        <f t="shared" si="4"/>
        <v/>
      </c>
      <c r="K173" t="str">
        <f>IF(J173&lt;&gt;"",SUM($J$2:J173),"")</f>
        <v/>
      </c>
      <c r="L173">
        <f ca="1" t="shared" si="5"/>
        <v>45942</v>
      </c>
    </row>
    <row r="174" spans="9:12">
      <c r="I174">
        <f>IFERROR(VLOOKUP(H174,Rates!$A$2:$B$3,2,0),1)</f>
        <v>1</v>
      </c>
      <c r="J174" t="str">
        <f t="shared" si="4"/>
        <v/>
      </c>
      <c r="K174" t="str">
        <f>IF(J174&lt;&gt;"",SUM($J$2:J174),"")</f>
        <v/>
      </c>
      <c r="L174">
        <f ca="1" t="shared" si="5"/>
        <v>45942</v>
      </c>
    </row>
    <row r="175" spans="9:12">
      <c r="I175">
        <f>IFERROR(VLOOKUP(H175,Rates!$A$2:$B$3,2,0),1)</f>
        <v>1</v>
      </c>
      <c r="J175" t="str">
        <f t="shared" si="4"/>
        <v/>
      </c>
      <c r="K175" t="str">
        <f>IF(J175&lt;&gt;"",SUM($J$2:J175),"")</f>
        <v/>
      </c>
      <c r="L175">
        <f ca="1" t="shared" si="5"/>
        <v>45942</v>
      </c>
    </row>
    <row r="176" spans="9:12">
      <c r="I176">
        <f>IFERROR(VLOOKUP(H176,Rates!$A$2:$B$3,2,0),1)</f>
        <v>1</v>
      </c>
      <c r="J176" t="str">
        <f t="shared" si="4"/>
        <v/>
      </c>
      <c r="K176" t="str">
        <f>IF(J176&lt;&gt;"",SUM($J$2:J176),"")</f>
        <v/>
      </c>
      <c r="L176">
        <f ca="1" t="shared" si="5"/>
        <v>45942</v>
      </c>
    </row>
    <row r="177" spans="9:12">
      <c r="I177">
        <f>IFERROR(VLOOKUP(H177,Rates!$A$2:$B$3,2,0),1)</f>
        <v>1</v>
      </c>
      <c r="J177" t="str">
        <f t="shared" si="4"/>
        <v/>
      </c>
      <c r="K177" t="str">
        <f>IF(J177&lt;&gt;"",SUM($J$2:J177),"")</f>
        <v/>
      </c>
      <c r="L177">
        <f ca="1" t="shared" si="5"/>
        <v>45942</v>
      </c>
    </row>
    <row r="178" spans="9:12">
      <c r="I178">
        <f>IFERROR(VLOOKUP(H178,Rates!$A$2:$B$3,2,0),1)</f>
        <v>1</v>
      </c>
      <c r="J178" t="str">
        <f t="shared" si="4"/>
        <v/>
      </c>
      <c r="K178" t="str">
        <f>IF(J178&lt;&gt;"",SUM($J$2:J178),"")</f>
        <v/>
      </c>
      <c r="L178">
        <f ca="1" t="shared" si="5"/>
        <v>45942</v>
      </c>
    </row>
    <row r="179" spans="9:12">
      <c r="I179">
        <f>IFERROR(VLOOKUP(H179,Rates!$A$2:$B$3,2,0),1)</f>
        <v>1</v>
      </c>
      <c r="J179" t="str">
        <f t="shared" si="4"/>
        <v/>
      </c>
      <c r="K179" t="str">
        <f>IF(J179&lt;&gt;"",SUM($J$2:J179),"")</f>
        <v/>
      </c>
      <c r="L179">
        <f ca="1" t="shared" si="5"/>
        <v>45942</v>
      </c>
    </row>
    <row r="180" spans="9:12">
      <c r="I180">
        <f>IFERROR(VLOOKUP(H180,Rates!$A$2:$B$3,2,0),1)</f>
        <v>1</v>
      </c>
      <c r="J180" t="str">
        <f t="shared" si="4"/>
        <v/>
      </c>
      <c r="K180" t="str">
        <f>IF(J180&lt;&gt;"",SUM($J$2:J180),"")</f>
        <v/>
      </c>
      <c r="L180">
        <f ca="1" t="shared" si="5"/>
        <v>45942</v>
      </c>
    </row>
    <row r="181" spans="9:12">
      <c r="I181">
        <f>IFERROR(VLOOKUP(H181,Rates!$A$2:$B$3,2,0),1)</f>
        <v>1</v>
      </c>
      <c r="J181" t="str">
        <f t="shared" si="4"/>
        <v/>
      </c>
      <c r="K181" t="str">
        <f>IF(J181&lt;&gt;"",SUM($J$2:J181),"")</f>
        <v/>
      </c>
      <c r="L181">
        <f ca="1" t="shared" si="5"/>
        <v>45942</v>
      </c>
    </row>
    <row r="182" spans="9:12">
      <c r="I182">
        <f>IFERROR(VLOOKUP(H182,Rates!$A$2:$B$3,2,0),1)</f>
        <v>1</v>
      </c>
      <c r="J182" t="str">
        <f t="shared" si="4"/>
        <v/>
      </c>
      <c r="K182" t="str">
        <f>IF(J182&lt;&gt;"",SUM($J$2:J182),"")</f>
        <v/>
      </c>
      <c r="L182">
        <f ca="1" t="shared" si="5"/>
        <v>45942</v>
      </c>
    </row>
    <row r="183" spans="9:12">
      <c r="I183">
        <f>IFERROR(VLOOKUP(H183,Rates!$A$2:$B$3,2,0),1)</f>
        <v>1</v>
      </c>
      <c r="J183" t="str">
        <f t="shared" si="4"/>
        <v/>
      </c>
      <c r="K183" t="str">
        <f>IF(J183&lt;&gt;"",SUM($J$2:J183),"")</f>
        <v/>
      </c>
      <c r="L183">
        <f ca="1" t="shared" si="5"/>
        <v>45942</v>
      </c>
    </row>
    <row r="184" spans="9:12">
      <c r="I184">
        <f>IFERROR(VLOOKUP(H184,Rates!$A$2:$B$3,2,0),1)</f>
        <v>1</v>
      </c>
      <c r="J184" t="str">
        <f t="shared" si="4"/>
        <v/>
      </c>
      <c r="K184" t="str">
        <f>IF(J184&lt;&gt;"",SUM($J$2:J184),"")</f>
        <v/>
      </c>
      <c r="L184">
        <f ca="1" t="shared" si="5"/>
        <v>45942</v>
      </c>
    </row>
    <row r="185" spans="9:12">
      <c r="I185">
        <f>IFERROR(VLOOKUP(H185,Rates!$A$2:$B$3,2,0),1)</f>
        <v>1</v>
      </c>
      <c r="J185" t="str">
        <f t="shared" si="4"/>
        <v/>
      </c>
      <c r="K185" t="str">
        <f>IF(J185&lt;&gt;"",SUM($J$2:J185),"")</f>
        <v/>
      </c>
      <c r="L185">
        <f ca="1" t="shared" si="5"/>
        <v>45942</v>
      </c>
    </row>
    <row r="186" spans="9:12">
      <c r="I186">
        <f>IFERROR(VLOOKUP(H186,Rates!$A$2:$B$3,2,0),1)</f>
        <v>1</v>
      </c>
      <c r="J186" t="str">
        <f t="shared" si="4"/>
        <v/>
      </c>
      <c r="K186" t="str">
        <f>IF(J186&lt;&gt;"",SUM($J$2:J186),"")</f>
        <v/>
      </c>
      <c r="L186">
        <f ca="1" t="shared" si="5"/>
        <v>45942</v>
      </c>
    </row>
    <row r="187" spans="9:12">
      <c r="I187">
        <f>IFERROR(VLOOKUP(H187,Rates!$A$2:$B$3,2,0),1)</f>
        <v>1</v>
      </c>
      <c r="J187" t="str">
        <f t="shared" si="4"/>
        <v/>
      </c>
      <c r="K187" t="str">
        <f>IF(J187&lt;&gt;"",SUM($J$2:J187),"")</f>
        <v/>
      </c>
      <c r="L187">
        <f ca="1" t="shared" si="5"/>
        <v>45942</v>
      </c>
    </row>
    <row r="188" spans="9:12">
      <c r="I188">
        <f>IFERROR(VLOOKUP(H188,Rates!$A$2:$B$3,2,0),1)</f>
        <v>1</v>
      </c>
      <c r="J188" t="str">
        <f t="shared" si="4"/>
        <v/>
      </c>
      <c r="K188" t="str">
        <f>IF(J188&lt;&gt;"",SUM($J$2:J188),"")</f>
        <v/>
      </c>
      <c r="L188">
        <f ca="1" t="shared" si="5"/>
        <v>45942</v>
      </c>
    </row>
    <row r="189" spans="9:12">
      <c r="I189">
        <f>IFERROR(VLOOKUP(H189,Rates!$A$2:$B$3,2,0),1)</f>
        <v>1</v>
      </c>
      <c r="J189" t="str">
        <f t="shared" si="4"/>
        <v/>
      </c>
      <c r="K189" t="str">
        <f>IF(J189&lt;&gt;"",SUM($J$2:J189),"")</f>
        <v/>
      </c>
      <c r="L189">
        <f ca="1" t="shared" si="5"/>
        <v>45942</v>
      </c>
    </row>
    <row r="190" spans="9:12">
      <c r="I190">
        <f>IFERROR(VLOOKUP(H190,Rates!$A$2:$B$3,2,0),1)</f>
        <v>1</v>
      </c>
      <c r="J190" t="str">
        <f t="shared" si="4"/>
        <v/>
      </c>
      <c r="K190" t="str">
        <f>IF(J190&lt;&gt;"",SUM($J$2:J190),"")</f>
        <v/>
      </c>
      <c r="L190">
        <f ca="1" t="shared" si="5"/>
        <v>45942</v>
      </c>
    </row>
    <row r="191" spans="9:12">
      <c r="I191">
        <f>IFERROR(VLOOKUP(H191,Rates!$A$2:$B$3,2,0),1)</f>
        <v>1</v>
      </c>
      <c r="J191" t="str">
        <f t="shared" si="4"/>
        <v/>
      </c>
      <c r="K191" t="str">
        <f>IF(J191&lt;&gt;"",SUM($J$2:J191),"")</f>
        <v/>
      </c>
      <c r="L191">
        <f ca="1" t="shared" si="5"/>
        <v>45942</v>
      </c>
    </row>
    <row r="192" spans="9:12">
      <c r="I192">
        <f>IFERROR(VLOOKUP(H192,Rates!$A$2:$B$3,2,0),1)</f>
        <v>1</v>
      </c>
      <c r="J192" t="str">
        <f t="shared" si="4"/>
        <v/>
      </c>
      <c r="K192" t="str">
        <f>IF(J192&lt;&gt;"",SUM($J$2:J192),"")</f>
        <v/>
      </c>
      <c r="L192">
        <f ca="1" t="shared" si="5"/>
        <v>45942</v>
      </c>
    </row>
    <row r="193" spans="9:12">
      <c r="I193">
        <f>IFERROR(VLOOKUP(H193,Rates!$A$2:$B$3,2,0),1)</f>
        <v>1</v>
      </c>
      <c r="J193" t="str">
        <f t="shared" si="4"/>
        <v/>
      </c>
      <c r="K193" t="str">
        <f>IF(J193&lt;&gt;"",SUM($J$2:J193),"")</f>
        <v/>
      </c>
      <c r="L193">
        <f ca="1" t="shared" si="5"/>
        <v>45942</v>
      </c>
    </row>
    <row r="194" spans="9:12">
      <c r="I194">
        <f>IFERROR(VLOOKUP(H194,Rates!$A$2:$B$3,2,0),1)</f>
        <v>1</v>
      </c>
      <c r="J194" t="str">
        <f t="shared" ref="J194:J257" si="6">IF(G194&lt;&gt;"",G194*I194,"")</f>
        <v/>
      </c>
      <c r="K194" t="str">
        <f>IF(J194&lt;&gt;"",SUM($J$2:J194),"")</f>
        <v/>
      </c>
      <c r="L194">
        <f ca="1" t="shared" ref="L194:L257" si="7">IF(COUNTA(A194:K194)&gt;0,TODAY(),"")</f>
        <v>45942</v>
      </c>
    </row>
    <row r="195" spans="9:12">
      <c r="I195">
        <f>IFERROR(VLOOKUP(H195,Rates!$A$2:$B$3,2,0),1)</f>
        <v>1</v>
      </c>
      <c r="J195" t="str">
        <f t="shared" si="6"/>
        <v/>
      </c>
      <c r="K195" t="str">
        <f>IF(J195&lt;&gt;"",SUM($J$2:J195),"")</f>
        <v/>
      </c>
      <c r="L195">
        <f ca="1" t="shared" si="7"/>
        <v>45942</v>
      </c>
    </row>
    <row r="196" spans="9:12">
      <c r="I196">
        <f>IFERROR(VLOOKUP(H196,Rates!$A$2:$B$3,2,0),1)</f>
        <v>1</v>
      </c>
      <c r="J196" t="str">
        <f t="shared" si="6"/>
        <v/>
      </c>
      <c r="K196" t="str">
        <f>IF(J196&lt;&gt;"",SUM($J$2:J196),"")</f>
        <v/>
      </c>
      <c r="L196">
        <f ca="1" t="shared" si="7"/>
        <v>45942</v>
      </c>
    </row>
    <row r="197" spans="9:12">
      <c r="I197">
        <f>IFERROR(VLOOKUP(H197,Rates!$A$2:$B$3,2,0),1)</f>
        <v>1</v>
      </c>
      <c r="J197" t="str">
        <f t="shared" si="6"/>
        <v/>
      </c>
      <c r="K197" t="str">
        <f>IF(J197&lt;&gt;"",SUM($J$2:J197),"")</f>
        <v/>
      </c>
      <c r="L197">
        <f ca="1" t="shared" si="7"/>
        <v>45942</v>
      </c>
    </row>
    <row r="198" spans="9:12">
      <c r="I198">
        <f>IFERROR(VLOOKUP(H198,Rates!$A$2:$B$3,2,0),1)</f>
        <v>1</v>
      </c>
      <c r="J198" t="str">
        <f t="shared" si="6"/>
        <v/>
      </c>
      <c r="K198" t="str">
        <f>IF(J198&lt;&gt;"",SUM($J$2:J198),"")</f>
        <v/>
      </c>
      <c r="L198">
        <f ca="1" t="shared" si="7"/>
        <v>45942</v>
      </c>
    </row>
    <row r="199" spans="9:12">
      <c r="I199">
        <f>IFERROR(VLOOKUP(H199,Rates!$A$2:$B$3,2,0),1)</f>
        <v>1</v>
      </c>
      <c r="J199" t="str">
        <f t="shared" si="6"/>
        <v/>
      </c>
      <c r="K199" t="str">
        <f>IF(J199&lt;&gt;"",SUM($J$2:J199),"")</f>
        <v/>
      </c>
      <c r="L199">
        <f ca="1" t="shared" si="7"/>
        <v>45942</v>
      </c>
    </row>
    <row r="200" spans="9:12">
      <c r="I200">
        <f>IFERROR(VLOOKUP(H200,Rates!$A$2:$B$3,2,0),1)</f>
        <v>1</v>
      </c>
      <c r="J200" t="str">
        <f t="shared" si="6"/>
        <v/>
      </c>
      <c r="K200" t="str">
        <f>IF(J200&lt;&gt;"",SUM($J$2:J200),"")</f>
        <v/>
      </c>
      <c r="L200">
        <f ca="1" t="shared" si="7"/>
        <v>45942</v>
      </c>
    </row>
    <row r="201" spans="9:12">
      <c r="I201">
        <f>IFERROR(VLOOKUP(H201,Rates!$A$2:$B$3,2,0),1)</f>
        <v>1</v>
      </c>
      <c r="J201" t="str">
        <f t="shared" si="6"/>
        <v/>
      </c>
      <c r="K201" t="str">
        <f>IF(J201&lt;&gt;"",SUM($J$2:J201),"")</f>
        <v/>
      </c>
      <c r="L201">
        <f ca="1" t="shared" si="7"/>
        <v>45942</v>
      </c>
    </row>
    <row r="202" spans="9:12">
      <c r="I202">
        <f>IFERROR(VLOOKUP(H202,Rates!$A$2:$B$3,2,0),1)</f>
        <v>1</v>
      </c>
      <c r="J202" t="str">
        <f t="shared" si="6"/>
        <v/>
      </c>
      <c r="K202" t="str">
        <f>IF(J202&lt;&gt;"",SUM($J$2:J202),"")</f>
        <v/>
      </c>
      <c r="L202">
        <f ca="1" t="shared" si="7"/>
        <v>45942</v>
      </c>
    </row>
    <row r="203" spans="9:12">
      <c r="I203">
        <f>IFERROR(VLOOKUP(H203,Rates!$A$2:$B$3,2,0),1)</f>
        <v>1</v>
      </c>
      <c r="J203" t="str">
        <f t="shared" si="6"/>
        <v/>
      </c>
      <c r="K203" t="str">
        <f>IF(J203&lt;&gt;"",SUM($J$2:J203),"")</f>
        <v/>
      </c>
      <c r="L203">
        <f ca="1" t="shared" si="7"/>
        <v>45942</v>
      </c>
    </row>
    <row r="204" spans="9:12">
      <c r="I204">
        <f>IFERROR(VLOOKUP(H204,Rates!$A$2:$B$3,2,0),1)</f>
        <v>1</v>
      </c>
      <c r="J204" t="str">
        <f t="shared" si="6"/>
        <v/>
      </c>
      <c r="K204" t="str">
        <f>IF(J204&lt;&gt;"",SUM($J$2:J204),"")</f>
        <v/>
      </c>
      <c r="L204">
        <f ca="1" t="shared" si="7"/>
        <v>45942</v>
      </c>
    </row>
    <row r="205" spans="9:12">
      <c r="I205">
        <f>IFERROR(VLOOKUP(H205,Rates!$A$2:$B$3,2,0),1)</f>
        <v>1</v>
      </c>
      <c r="J205" t="str">
        <f t="shared" si="6"/>
        <v/>
      </c>
      <c r="K205" t="str">
        <f>IF(J205&lt;&gt;"",SUM($J$2:J205),"")</f>
        <v/>
      </c>
      <c r="L205">
        <f ca="1" t="shared" si="7"/>
        <v>45942</v>
      </c>
    </row>
    <row r="206" spans="9:12">
      <c r="I206">
        <f>IFERROR(VLOOKUP(H206,Rates!$A$2:$B$3,2,0),1)</f>
        <v>1</v>
      </c>
      <c r="J206" t="str">
        <f t="shared" si="6"/>
        <v/>
      </c>
      <c r="K206" t="str">
        <f>IF(J206&lt;&gt;"",SUM($J$2:J206),"")</f>
        <v/>
      </c>
      <c r="L206">
        <f ca="1" t="shared" si="7"/>
        <v>45942</v>
      </c>
    </row>
    <row r="207" spans="9:12">
      <c r="I207">
        <f>IFERROR(VLOOKUP(H207,Rates!$A$2:$B$3,2,0),1)</f>
        <v>1</v>
      </c>
      <c r="J207" t="str">
        <f t="shared" si="6"/>
        <v/>
      </c>
      <c r="K207" t="str">
        <f>IF(J207&lt;&gt;"",SUM($J$2:J207),"")</f>
        <v/>
      </c>
      <c r="L207">
        <f ca="1" t="shared" si="7"/>
        <v>45942</v>
      </c>
    </row>
    <row r="208" spans="9:12">
      <c r="I208">
        <f>IFERROR(VLOOKUP(H208,Rates!$A$2:$B$3,2,0),1)</f>
        <v>1</v>
      </c>
      <c r="J208" t="str">
        <f t="shared" si="6"/>
        <v/>
      </c>
      <c r="K208" t="str">
        <f>IF(J208&lt;&gt;"",SUM($J$2:J208),"")</f>
        <v/>
      </c>
      <c r="L208">
        <f ca="1" t="shared" si="7"/>
        <v>45942</v>
      </c>
    </row>
    <row r="209" spans="9:12">
      <c r="I209">
        <f>IFERROR(VLOOKUP(H209,Rates!$A$2:$B$3,2,0),1)</f>
        <v>1</v>
      </c>
      <c r="J209" t="str">
        <f t="shared" si="6"/>
        <v/>
      </c>
      <c r="K209" t="str">
        <f>IF(J209&lt;&gt;"",SUM($J$2:J209),"")</f>
        <v/>
      </c>
      <c r="L209">
        <f ca="1" t="shared" si="7"/>
        <v>45942</v>
      </c>
    </row>
    <row r="210" spans="9:12">
      <c r="I210">
        <f>IFERROR(VLOOKUP(H210,Rates!$A$2:$B$3,2,0),1)</f>
        <v>1</v>
      </c>
      <c r="J210" t="str">
        <f t="shared" si="6"/>
        <v/>
      </c>
      <c r="K210" t="str">
        <f>IF(J210&lt;&gt;"",SUM($J$2:J210),"")</f>
        <v/>
      </c>
      <c r="L210">
        <f ca="1" t="shared" si="7"/>
        <v>45942</v>
      </c>
    </row>
    <row r="211" spans="9:12">
      <c r="I211">
        <f>IFERROR(VLOOKUP(H211,Rates!$A$2:$B$3,2,0),1)</f>
        <v>1</v>
      </c>
      <c r="J211" t="str">
        <f t="shared" si="6"/>
        <v/>
      </c>
      <c r="K211" t="str">
        <f>IF(J211&lt;&gt;"",SUM($J$2:J211),"")</f>
        <v/>
      </c>
      <c r="L211">
        <f ca="1" t="shared" si="7"/>
        <v>45942</v>
      </c>
    </row>
    <row r="212" spans="9:12">
      <c r="I212">
        <f>IFERROR(VLOOKUP(H212,Rates!$A$2:$B$3,2,0),1)</f>
        <v>1</v>
      </c>
      <c r="J212" t="str">
        <f t="shared" si="6"/>
        <v/>
      </c>
      <c r="K212" t="str">
        <f>IF(J212&lt;&gt;"",SUM($J$2:J212),"")</f>
        <v/>
      </c>
      <c r="L212">
        <f ca="1" t="shared" si="7"/>
        <v>45942</v>
      </c>
    </row>
    <row r="213" spans="9:12">
      <c r="I213">
        <f>IFERROR(VLOOKUP(H213,Rates!$A$2:$B$3,2,0),1)</f>
        <v>1</v>
      </c>
      <c r="J213" t="str">
        <f t="shared" si="6"/>
        <v/>
      </c>
      <c r="K213" t="str">
        <f>IF(J213&lt;&gt;"",SUM($J$2:J213),"")</f>
        <v/>
      </c>
      <c r="L213">
        <f ca="1" t="shared" si="7"/>
        <v>45942</v>
      </c>
    </row>
    <row r="214" spans="9:12">
      <c r="I214">
        <f>IFERROR(VLOOKUP(H214,Rates!$A$2:$B$3,2,0),1)</f>
        <v>1</v>
      </c>
      <c r="J214" t="str">
        <f t="shared" si="6"/>
        <v/>
      </c>
      <c r="K214" t="str">
        <f>IF(J214&lt;&gt;"",SUM($J$2:J214),"")</f>
        <v/>
      </c>
      <c r="L214">
        <f ca="1" t="shared" si="7"/>
        <v>45942</v>
      </c>
    </row>
    <row r="215" spans="9:12">
      <c r="I215">
        <f>IFERROR(VLOOKUP(H215,Rates!$A$2:$B$3,2,0),1)</f>
        <v>1</v>
      </c>
      <c r="J215" t="str">
        <f t="shared" si="6"/>
        <v/>
      </c>
      <c r="K215" t="str">
        <f>IF(J215&lt;&gt;"",SUM($J$2:J215),"")</f>
        <v/>
      </c>
      <c r="L215">
        <f ca="1" t="shared" si="7"/>
        <v>45942</v>
      </c>
    </row>
    <row r="216" spans="9:12">
      <c r="I216">
        <f>IFERROR(VLOOKUP(H216,Rates!$A$2:$B$3,2,0),1)</f>
        <v>1</v>
      </c>
      <c r="J216" t="str">
        <f t="shared" si="6"/>
        <v/>
      </c>
      <c r="K216" t="str">
        <f>IF(J216&lt;&gt;"",SUM($J$2:J216),"")</f>
        <v/>
      </c>
      <c r="L216">
        <f ca="1" t="shared" si="7"/>
        <v>45942</v>
      </c>
    </row>
    <row r="217" spans="9:12">
      <c r="I217">
        <f>IFERROR(VLOOKUP(H217,Rates!$A$2:$B$3,2,0),1)</f>
        <v>1</v>
      </c>
      <c r="J217" t="str">
        <f t="shared" si="6"/>
        <v/>
      </c>
      <c r="K217" t="str">
        <f>IF(J217&lt;&gt;"",SUM($J$2:J217),"")</f>
        <v/>
      </c>
      <c r="L217">
        <f ca="1" t="shared" si="7"/>
        <v>45942</v>
      </c>
    </row>
    <row r="218" spans="9:12">
      <c r="I218">
        <f>IFERROR(VLOOKUP(H218,Rates!$A$2:$B$3,2,0),1)</f>
        <v>1</v>
      </c>
      <c r="J218" t="str">
        <f t="shared" si="6"/>
        <v/>
      </c>
      <c r="K218" t="str">
        <f>IF(J218&lt;&gt;"",SUM($J$2:J218),"")</f>
        <v/>
      </c>
      <c r="L218">
        <f ca="1" t="shared" si="7"/>
        <v>45942</v>
      </c>
    </row>
    <row r="219" spans="9:12">
      <c r="I219">
        <f>IFERROR(VLOOKUP(H219,Rates!$A$2:$B$3,2,0),1)</f>
        <v>1</v>
      </c>
      <c r="J219" t="str">
        <f t="shared" si="6"/>
        <v/>
      </c>
      <c r="K219" t="str">
        <f>IF(J219&lt;&gt;"",SUM($J$2:J219),"")</f>
        <v/>
      </c>
      <c r="L219">
        <f ca="1" t="shared" si="7"/>
        <v>45942</v>
      </c>
    </row>
    <row r="220" spans="9:12">
      <c r="I220">
        <f>IFERROR(VLOOKUP(H220,Rates!$A$2:$B$3,2,0),1)</f>
        <v>1</v>
      </c>
      <c r="J220" t="str">
        <f t="shared" si="6"/>
        <v/>
      </c>
      <c r="K220" t="str">
        <f>IF(J220&lt;&gt;"",SUM($J$2:J220),"")</f>
        <v/>
      </c>
      <c r="L220">
        <f ca="1" t="shared" si="7"/>
        <v>45942</v>
      </c>
    </row>
    <row r="221" spans="9:12">
      <c r="I221">
        <f>IFERROR(VLOOKUP(H221,Rates!$A$2:$B$3,2,0),1)</f>
        <v>1</v>
      </c>
      <c r="J221" t="str">
        <f t="shared" si="6"/>
        <v/>
      </c>
      <c r="K221" t="str">
        <f>IF(J221&lt;&gt;"",SUM($J$2:J221),"")</f>
        <v/>
      </c>
      <c r="L221">
        <f ca="1" t="shared" si="7"/>
        <v>45942</v>
      </c>
    </row>
    <row r="222" spans="9:12">
      <c r="I222">
        <f>IFERROR(VLOOKUP(H222,Rates!$A$2:$B$3,2,0),1)</f>
        <v>1</v>
      </c>
      <c r="J222" t="str">
        <f t="shared" si="6"/>
        <v/>
      </c>
      <c r="K222" t="str">
        <f>IF(J222&lt;&gt;"",SUM($J$2:J222),"")</f>
        <v/>
      </c>
      <c r="L222">
        <f ca="1" t="shared" si="7"/>
        <v>45942</v>
      </c>
    </row>
    <row r="223" spans="9:12">
      <c r="I223">
        <f>IFERROR(VLOOKUP(H223,Rates!$A$2:$B$3,2,0),1)</f>
        <v>1</v>
      </c>
      <c r="J223" t="str">
        <f t="shared" si="6"/>
        <v/>
      </c>
      <c r="K223" t="str">
        <f>IF(J223&lt;&gt;"",SUM($J$2:J223),"")</f>
        <v/>
      </c>
      <c r="L223">
        <f ca="1" t="shared" si="7"/>
        <v>45942</v>
      </c>
    </row>
    <row r="224" spans="9:12">
      <c r="I224">
        <f>IFERROR(VLOOKUP(H224,Rates!$A$2:$B$3,2,0),1)</f>
        <v>1</v>
      </c>
      <c r="J224" t="str">
        <f t="shared" si="6"/>
        <v/>
      </c>
      <c r="K224" t="str">
        <f>IF(J224&lt;&gt;"",SUM($J$2:J224),"")</f>
        <v/>
      </c>
      <c r="L224">
        <f ca="1" t="shared" si="7"/>
        <v>45942</v>
      </c>
    </row>
    <row r="225" spans="9:12">
      <c r="I225">
        <f>IFERROR(VLOOKUP(H225,Rates!$A$2:$B$3,2,0),1)</f>
        <v>1</v>
      </c>
      <c r="J225" t="str">
        <f t="shared" si="6"/>
        <v/>
      </c>
      <c r="K225" t="str">
        <f>IF(J225&lt;&gt;"",SUM($J$2:J225),"")</f>
        <v/>
      </c>
      <c r="L225">
        <f ca="1" t="shared" si="7"/>
        <v>45942</v>
      </c>
    </row>
    <row r="226" spans="9:12">
      <c r="I226">
        <f>IFERROR(VLOOKUP(H226,Rates!$A$2:$B$3,2,0),1)</f>
        <v>1</v>
      </c>
      <c r="J226" t="str">
        <f t="shared" si="6"/>
        <v/>
      </c>
      <c r="K226" t="str">
        <f>IF(J226&lt;&gt;"",SUM($J$2:J226),"")</f>
        <v/>
      </c>
      <c r="L226">
        <f ca="1" t="shared" si="7"/>
        <v>45942</v>
      </c>
    </row>
    <row r="227" spans="9:12">
      <c r="I227">
        <f>IFERROR(VLOOKUP(H227,Rates!$A$2:$B$3,2,0),1)</f>
        <v>1</v>
      </c>
      <c r="J227" t="str">
        <f t="shared" si="6"/>
        <v/>
      </c>
      <c r="K227" t="str">
        <f>IF(J227&lt;&gt;"",SUM($J$2:J227),"")</f>
        <v/>
      </c>
      <c r="L227">
        <f ca="1" t="shared" si="7"/>
        <v>45942</v>
      </c>
    </row>
    <row r="228" spans="9:12">
      <c r="I228">
        <f>IFERROR(VLOOKUP(H228,Rates!$A$2:$B$3,2,0),1)</f>
        <v>1</v>
      </c>
      <c r="J228" t="str">
        <f t="shared" si="6"/>
        <v/>
      </c>
      <c r="K228" t="str">
        <f>IF(J228&lt;&gt;"",SUM($J$2:J228),"")</f>
        <v/>
      </c>
      <c r="L228">
        <f ca="1" t="shared" si="7"/>
        <v>45942</v>
      </c>
    </row>
    <row r="229" spans="9:12">
      <c r="I229">
        <f>IFERROR(VLOOKUP(H229,Rates!$A$2:$B$3,2,0),1)</f>
        <v>1</v>
      </c>
      <c r="J229" t="str">
        <f t="shared" si="6"/>
        <v/>
      </c>
      <c r="K229" t="str">
        <f>IF(J229&lt;&gt;"",SUM($J$2:J229),"")</f>
        <v/>
      </c>
      <c r="L229">
        <f ca="1" t="shared" si="7"/>
        <v>45942</v>
      </c>
    </row>
    <row r="230" spans="9:12">
      <c r="I230">
        <f>IFERROR(VLOOKUP(H230,Rates!$A$2:$B$3,2,0),1)</f>
        <v>1</v>
      </c>
      <c r="J230" t="str">
        <f t="shared" si="6"/>
        <v/>
      </c>
      <c r="K230" t="str">
        <f>IF(J230&lt;&gt;"",SUM($J$2:J230),"")</f>
        <v/>
      </c>
      <c r="L230">
        <f ca="1" t="shared" si="7"/>
        <v>45942</v>
      </c>
    </row>
    <row r="231" spans="9:12">
      <c r="I231">
        <f>IFERROR(VLOOKUP(H231,Rates!$A$2:$B$3,2,0),1)</f>
        <v>1</v>
      </c>
      <c r="J231" t="str">
        <f t="shared" si="6"/>
        <v/>
      </c>
      <c r="K231" t="str">
        <f>IF(J231&lt;&gt;"",SUM($J$2:J231),"")</f>
        <v/>
      </c>
      <c r="L231">
        <f ca="1" t="shared" si="7"/>
        <v>45942</v>
      </c>
    </row>
    <row r="232" spans="9:12">
      <c r="I232">
        <f>IFERROR(VLOOKUP(H232,Rates!$A$2:$B$3,2,0),1)</f>
        <v>1</v>
      </c>
      <c r="J232" t="str">
        <f t="shared" si="6"/>
        <v/>
      </c>
      <c r="K232" t="str">
        <f>IF(J232&lt;&gt;"",SUM($J$2:J232),"")</f>
        <v/>
      </c>
      <c r="L232">
        <f ca="1" t="shared" si="7"/>
        <v>45942</v>
      </c>
    </row>
    <row r="233" spans="9:12">
      <c r="I233">
        <f>IFERROR(VLOOKUP(H233,Rates!$A$2:$B$3,2,0),1)</f>
        <v>1</v>
      </c>
      <c r="J233" t="str">
        <f t="shared" si="6"/>
        <v/>
      </c>
      <c r="K233" t="str">
        <f>IF(J233&lt;&gt;"",SUM($J$2:J233),"")</f>
        <v/>
      </c>
      <c r="L233">
        <f ca="1" t="shared" si="7"/>
        <v>45942</v>
      </c>
    </row>
    <row r="234" spans="9:12">
      <c r="I234">
        <f>IFERROR(VLOOKUP(H234,Rates!$A$2:$B$3,2,0),1)</f>
        <v>1</v>
      </c>
      <c r="J234" t="str">
        <f t="shared" si="6"/>
        <v/>
      </c>
      <c r="K234" t="str">
        <f>IF(J234&lt;&gt;"",SUM($J$2:J234),"")</f>
        <v/>
      </c>
      <c r="L234">
        <f ca="1" t="shared" si="7"/>
        <v>45942</v>
      </c>
    </row>
    <row r="235" spans="9:12">
      <c r="I235">
        <f>IFERROR(VLOOKUP(H235,Rates!$A$2:$B$3,2,0),1)</f>
        <v>1</v>
      </c>
      <c r="J235" t="str">
        <f t="shared" si="6"/>
        <v/>
      </c>
      <c r="K235" t="str">
        <f>IF(J235&lt;&gt;"",SUM($J$2:J235),"")</f>
        <v/>
      </c>
      <c r="L235">
        <f ca="1" t="shared" si="7"/>
        <v>45942</v>
      </c>
    </row>
    <row r="236" spans="9:12">
      <c r="I236">
        <f>IFERROR(VLOOKUP(H236,Rates!$A$2:$B$3,2,0),1)</f>
        <v>1</v>
      </c>
      <c r="J236" t="str">
        <f t="shared" si="6"/>
        <v/>
      </c>
      <c r="K236" t="str">
        <f>IF(J236&lt;&gt;"",SUM($J$2:J236),"")</f>
        <v/>
      </c>
      <c r="L236">
        <f ca="1" t="shared" si="7"/>
        <v>45942</v>
      </c>
    </row>
    <row r="237" spans="9:12">
      <c r="I237">
        <f>IFERROR(VLOOKUP(H237,Rates!$A$2:$B$3,2,0),1)</f>
        <v>1</v>
      </c>
      <c r="J237" t="str">
        <f t="shared" si="6"/>
        <v/>
      </c>
      <c r="K237" t="str">
        <f>IF(J237&lt;&gt;"",SUM($J$2:J237),"")</f>
        <v/>
      </c>
      <c r="L237">
        <f ca="1" t="shared" si="7"/>
        <v>45942</v>
      </c>
    </row>
    <row r="238" spans="9:12">
      <c r="I238">
        <f>IFERROR(VLOOKUP(H238,Rates!$A$2:$B$3,2,0),1)</f>
        <v>1</v>
      </c>
      <c r="J238" t="str">
        <f t="shared" si="6"/>
        <v/>
      </c>
      <c r="K238" t="str">
        <f>IF(J238&lt;&gt;"",SUM($J$2:J238),"")</f>
        <v/>
      </c>
      <c r="L238">
        <f ca="1" t="shared" si="7"/>
        <v>45942</v>
      </c>
    </row>
    <row r="239" spans="9:12">
      <c r="I239">
        <f>IFERROR(VLOOKUP(H239,Rates!$A$2:$B$3,2,0),1)</f>
        <v>1</v>
      </c>
      <c r="J239" t="str">
        <f t="shared" si="6"/>
        <v/>
      </c>
      <c r="K239" t="str">
        <f>IF(J239&lt;&gt;"",SUM($J$2:J239),"")</f>
        <v/>
      </c>
      <c r="L239">
        <f ca="1" t="shared" si="7"/>
        <v>45942</v>
      </c>
    </row>
    <row r="240" spans="9:12">
      <c r="I240">
        <f>IFERROR(VLOOKUP(H240,Rates!$A$2:$B$3,2,0),1)</f>
        <v>1</v>
      </c>
      <c r="J240" t="str">
        <f t="shared" si="6"/>
        <v/>
      </c>
      <c r="K240" t="str">
        <f>IF(J240&lt;&gt;"",SUM($J$2:J240),"")</f>
        <v/>
      </c>
      <c r="L240">
        <f ca="1" t="shared" si="7"/>
        <v>45942</v>
      </c>
    </row>
    <row r="241" spans="9:12">
      <c r="I241">
        <f>IFERROR(VLOOKUP(H241,Rates!$A$2:$B$3,2,0),1)</f>
        <v>1</v>
      </c>
      <c r="J241" t="str">
        <f t="shared" si="6"/>
        <v/>
      </c>
      <c r="K241" t="str">
        <f>IF(J241&lt;&gt;"",SUM($J$2:J241),"")</f>
        <v/>
      </c>
      <c r="L241">
        <f ca="1" t="shared" si="7"/>
        <v>45942</v>
      </c>
    </row>
    <row r="242" spans="9:12">
      <c r="I242">
        <f>IFERROR(VLOOKUP(H242,Rates!$A$2:$B$3,2,0),1)</f>
        <v>1</v>
      </c>
      <c r="J242" t="str">
        <f t="shared" si="6"/>
        <v/>
      </c>
      <c r="K242" t="str">
        <f>IF(J242&lt;&gt;"",SUM($J$2:J242),"")</f>
        <v/>
      </c>
      <c r="L242">
        <f ca="1" t="shared" si="7"/>
        <v>45942</v>
      </c>
    </row>
    <row r="243" spans="9:12">
      <c r="I243">
        <f>IFERROR(VLOOKUP(H243,Rates!$A$2:$B$3,2,0),1)</f>
        <v>1</v>
      </c>
      <c r="J243" t="str">
        <f t="shared" si="6"/>
        <v/>
      </c>
      <c r="K243" t="str">
        <f>IF(J243&lt;&gt;"",SUM($J$2:J243),"")</f>
        <v/>
      </c>
      <c r="L243">
        <f ca="1" t="shared" si="7"/>
        <v>45942</v>
      </c>
    </row>
    <row r="244" spans="9:12">
      <c r="I244">
        <f>IFERROR(VLOOKUP(H244,Rates!$A$2:$B$3,2,0),1)</f>
        <v>1</v>
      </c>
      <c r="J244" t="str">
        <f t="shared" si="6"/>
        <v/>
      </c>
      <c r="K244" t="str">
        <f>IF(J244&lt;&gt;"",SUM($J$2:J244),"")</f>
        <v/>
      </c>
      <c r="L244">
        <f ca="1" t="shared" si="7"/>
        <v>45942</v>
      </c>
    </row>
    <row r="245" spans="9:12">
      <c r="I245">
        <f>IFERROR(VLOOKUP(H245,Rates!$A$2:$B$3,2,0),1)</f>
        <v>1</v>
      </c>
      <c r="J245" t="str">
        <f t="shared" si="6"/>
        <v/>
      </c>
      <c r="K245" t="str">
        <f>IF(J245&lt;&gt;"",SUM($J$2:J245),"")</f>
        <v/>
      </c>
      <c r="L245">
        <f ca="1" t="shared" si="7"/>
        <v>45942</v>
      </c>
    </row>
    <row r="246" spans="9:12">
      <c r="I246">
        <f>IFERROR(VLOOKUP(H246,Rates!$A$2:$B$3,2,0),1)</f>
        <v>1</v>
      </c>
      <c r="J246" t="str">
        <f t="shared" si="6"/>
        <v/>
      </c>
      <c r="K246" t="str">
        <f>IF(J246&lt;&gt;"",SUM($J$2:J246),"")</f>
        <v/>
      </c>
      <c r="L246">
        <f ca="1" t="shared" si="7"/>
        <v>45942</v>
      </c>
    </row>
    <row r="247" spans="9:12">
      <c r="I247">
        <f>IFERROR(VLOOKUP(H247,Rates!$A$2:$B$3,2,0),1)</f>
        <v>1</v>
      </c>
      <c r="J247" t="str">
        <f t="shared" si="6"/>
        <v/>
      </c>
      <c r="K247" t="str">
        <f>IF(J247&lt;&gt;"",SUM($J$2:J247),"")</f>
        <v/>
      </c>
      <c r="L247">
        <f ca="1" t="shared" si="7"/>
        <v>45942</v>
      </c>
    </row>
    <row r="248" spans="9:12">
      <c r="I248">
        <f>IFERROR(VLOOKUP(H248,Rates!$A$2:$B$3,2,0),1)</f>
        <v>1</v>
      </c>
      <c r="J248" t="str">
        <f t="shared" si="6"/>
        <v/>
      </c>
      <c r="K248" t="str">
        <f>IF(J248&lt;&gt;"",SUM($J$2:J248),"")</f>
        <v/>
      </c>
      <c r="L248">
        <f ca="1" t="shared" si="7"/>
        <v>45942</v>
      </c>
    </row>
    <row r="249" spans="9:12">
      <c r="I249">
        <f>IFERROR(VLOOKUP(H249,Rates!$A$2:$B$3,2,0),1)</f>
        <v>1</v>
      </c>
      <c r="J249" t="str">
        <f t="shared" si="6"/>
        <v/>
      </c>
      <c r="K249" t="str">
        <f>IF(J249&lt;&gt;"",SUM($J$2:J249),"")</f>
        <v/>
      </c>
      <c r="L249">
        <f ca="1" t="shared" si="7"/>
        <v>45942</v>
      </c>
    </row>
    <row r="250" spans="9:12">
      <c r="I250">
        <f>IFERROR(VLOOKUP(H250,Rates!$A$2:$B$3,2,0),1)</f>
        <v>1</v>
      </c>
      <c r="J250" t="str">
        <f t="shared" si="6"/>
        <v/>
      </c>
      <c r="K250" t="str">
        <f>IF(J250&lt;&gt;"",SUM($J$2:J250),"")</f>
        <v/>
      </c>
      <c r="L250">
        <f ca="1" t="shared" si="7"/>
        <v>45942</v>
      </c>
    </row>
    <row r="251" spans="9:12">
      <c r="I251">
        <f>IFERROR(VLOOKUP(H251,Rates!$A$2:$B$3,2,0),1)</f>
        <v>1</v>
      </c>
      <c r="J251" t="str">
        <f t="shared" si="6"/>
        <v/>
      </c>
      <c r="K251" t="str">
        <f>IF(J251&lt;&gt;"",SUM($J$2:J251),"")</f>
        <v/>
      </c>
      <c r="L251">
        <f ca="1" t="shared" si="7"/>
        <v>45942</v>
      </c>
    </row>
    <row r="252" spans="9:12">
      <c r="I252">
        <f>IFERROR(VLOOKUP(H252,Rates!$A$2:$B$3,2,0),1)</f>
        <v>1</v>
      </c>
      <c r="J252" t="str">
        <f t="shared" si="6"/>
        <v/>
      </c>
      <c r="K252" t="str">
        <f>IF(J252&lt;&gt;"",SUM($J$2:J252),"")</f>
        <v/>
      </c>
      <c r="L252">
        <f ca="1" t="shared" si="7"/>
        <v>45942</v>
      </c>
    </row>
    <row r="253" spans="9:12">
      <c r="I253">
        <f>IFERROR(VLOOKUP(H253,Rates!$A$2:$B$3,2,0),1)</f>
        <v>1</v>
      </c>
      <c r="J253" t="str">
        <f t="shared" si="6"/>
        <v/>
      </c>
      <c r="K253" t="str">
        <f>IF(J253&lt;&gt;"",SUM($J$2:J253),"")</f>
        <v/>
      </c>
      <c r="L253">
        <f ca="1" t="shared" si="7"/>
        <v>45942</v>
      </c>
    </row>
    <row r="254" spans="9:12">
      <c r="I254">
        <f>IFERROR(VLOOKUP(H254,Rates!$A$2:$B$3,2,0),1)</f>
        <v>1</v>
      </c>
      <c r="J254" t="str">
        <f t="shared" si="6"/>
        <v/>
      </c>
      <c r="K254" t="str">
        <f>IF(J254&lt;&gt;"",SUM($J$2:J254),"")</f>
        <v/>
      </c>
      <c r="L254">
        <f ca="1" t="shared" si="7"/>
        <v>45942</v>
      </c>
    </row>
    <row r="255" spans="9:12">
      <c r="I255">
        <f>IFERROR(VLOOKUP(H255,Rates!$A$2:$B$3,2,0),1)</f>
        <v>1</v>
      </c>
      <c r="J255" t="str">
        <f t="shared" si="6"/>
        <v/>
      </c>
      <c r="K255" t="str">
        <f>IF(J255&lt;&gt;"",SUM($J$2:J255),"")</f>
        <v/>
      </c>
      <c r="L255">
        <f ca="1" t="shared" si="7"/>
        <v>45942</v>
      </c>
    </row>
    <row r="256" spans="9:12">
      <c r="I256">
        <f>IFERROR(VLOOKUP(H256,Rates!$A$2:$B$3,2,0),1)</f>
        <v>1</v>
      </c>
      <c r="J256" t="str">
        <f t="shared" si="6"/>
        <v/>
      </c>
      <c r="K256" t="str">
        <f>IF(J256&lt;&gt;"",SUM($J$2:J256),"")</f>
        <v/>
      </c>
      <c r="L256">
        <f ca="1" t="shared" si="7"/>
        <v>45942</v>
      </c>
    </row>
    <row r="257" spans="9:12">
      <c r="I257">
        <f>IFERROR(VLOOKUP(H257,Rates!$A$2:$B$3,2,0),1)</f>
        <v>1</v>
      </c>
      <c r="J257" t="str">
        <f t="shared" si="6"/>
        <v/>
      </c>
      <c r="K257" t="str">
        <f>IF(J257&lt;&gt;"",SUM($J$2:J257),"")</f>
        <v/>
      </c>
      <c r="L257">
        <f ca="1" t="shared" si="7"/>
        <v>45942</v>
      </c>
    </row>
    <row r="258" spans="9:12">
      <c r="I258">
        <f>IFERROR(VLOOKUP(H258,Rates!$A$2:$B$3,2,0),1)</f>
        <v>1</v>
      </c>
      <c r="J258" t="str">
        <f t="shared" ref="J258:J295" si="8">IF(G258&lt;&gt;"",G258*I258,"")</f>
        <v/>
      </c>
      <c r="K258" t="str">
        <f>IF(J258&lt;&gt;"",SUM($J$2:J258),"")</f>
        <v/>
      </c>
      <c r="L258">
        <f ca="1" t="shared" ref="L258:L295" si="9">IF(COUNTA(A258:K258)&gt;0,TODAY(),"")</f>
        <v>45942</v>
      </c>
    </row>
    <row r="259" spans="9:12">
      <c r="I259">
        <f>IFERROR(VLOOKUP(H259,Rates!$A$2:$B$3,2,0),1)</f>
        <v>1</v>
      </c>
      <c r="J259" t="str">
        <f t="shared" si="8"/>
        <v/>
      </c>
      <c r="K259" t="str">
        <f>IF(J259&lt;&gt;"",SUM($J$2:J259),"")</f>
        <v/>
      </c>
      <c r="L259">
        <f ca="1" t="shared" si="9"/>
        <v>45942</v>
      </c>
    </row>
    <row r="260" spans="9:12">
      <c r="I260">
        <f>IFERROR(VLOOKUP(H260,Rates!$A$2:$B$3,2,0),1)</f>
        <v>1</v>
      </c>
      <c r="J260" t="str">
        <f t="shared" si="8"/>
        <v/>
      </c>
      <c r="K260" t="str">
        <f>IF(J260&lt;&gt;"",SUM($J$2:J260),"")</f>
        <v/>
      </c>
      <c r="L260">
        <f ca="1" t="shared" si="9"/>
        <v>45942</v>
      </c>
    </row>
    <row r="261" spans="9:12">
      <c r="I261">
        <f>IFERROR(VLOOKUP(H261,Rates!$A$2:$B$3,2,0),1)</f>
        <v>1</v>
      </c>
      <c r="J261" t="str">
        <f t="shared" si="8"/>
        <v/>
      </c>
      <c r="K261" t="str">
        <f>IF(J261&lt;&gt;"",SUM($J$2:J261),"")</f>
        <v/>
      </c>
      <c r="L261">
        <f ca="1" t="shared" si="9"/>
        <v>45942</v>
      </c>
    </row>
    <row r="262" spans="9:12">
      <c r="I262">
        <f>IFERROR(VLOOKUP(H262,Rates!$A$2:$B$3,2,0),1)</f>
        <v>1</v>
      </c>
      <c r="J262" t="str">
        <f t="shared" si="8"/>
        <v/>
      </c>
      <c r="K262" t="str">
        <f>IF(J262&lt;&gt;"",SUM($J$2:J262),"")</f>
        <v/>
      </c>
      <c r="L262">
        <f ca="1" t="shared" si="9"/>
        <v>45942</v>
      </c>
    </row>
    <row r="263" spans="9:12">
      <c r="I263">
        <f>IFERROR(VLOOKUP(H263,Rates!$A$2:$B$3,2,0),1)</f>
        <v>1</v>
      </c>
      <c r="J263" t="str">
        <f t="shared" si="8"/>
        <v/>
      </c>
      <c r="K263" t="str">
        <f>IF(J263&lt;&gt;"",SUM($J$2:J263),"")</f>
        <v/>
      </c>
      <c r="L263">
        <f ca="1" t="shared" si="9"/>
        <v>45942</v>
      </c>
    </row>
    <row r="264" spans="9:12">
      <c r="I264">
        <f>IFERROR(VLOOKUP(H264,Rates!$A$2:$B$3,2,0),1)</f>
        <v>1</v>
      </c>
      <c r="J264" t="str">
        <f t="shared" si="8"/>
        <v/>
      </c>
      <c r="K264" t="str">
        <f>IF(J264&lt;&gt;"",SUM($J$2:J264),"")</f>
        <v/>
      </c>
      <c r="L264">
        <f ca="1" t="shared" si="9"/>
        <v>45942</v>
      </c>
    </row>
    <row r="265" spans="9:12">
      <c r="I265">
        <f>IFERROR(VLOOKUP(H265,Rates!$A$2:$B$3,2,0),1)</f>
        <v>1</v>
      </c>
      <c r="J265" t="str">
        <f t="shared" si="8"/>
        <v/>
      </c>
      <c r="K265" t="str">
        <f>IF(J265&lt;&gt;"",SUM($J$2:J265),"")</f>
        <v/>
      </c>
      <c r="L265">
        <f ca="1" t="shared" si="9"/>
        <v>45942</v>
      </c>
    </row>
    <row r="266" spans="9:12">
      <c r="I266">
        <f>IFERROR(VLOOKUP(H266,Rates!$A$2:$B$3,2,0),1)</f>
        <v>1</v>
      </c>
      <c r="J266" t="str">
        <f t="shared" si="8"/>
        <v/>
      </c>
      <c r="K266" t="str">
        <f>IF(J266&lt;&gt;"",SUM($J$2:J266),"")</f>
        <v/>
      </c>
      <c r="L266">
        <f ca="1" t="shared" si="9"/>
        <v>45942</v>
      </c>
    </row>
    <row r="267" spans="9:12">
      <c r="I267">
        <f>IFERROR(VLOOKUP(H267,Rates!$A$2:$B$3,2,0),1)</f>
        <v>1</v>
      </c>
      <c r="J267" t="str">
        <f t="shared" si="8"/>
        <v/>
      </c>
      <c r="K267" t="str">
        <f>IF(J267&lt;&gt;"",SUM($J$2:J267),"")</f>
        <v/>
      </c>
      <c r="L267">
        <f ca="1" t="shared" si="9"/>
        <v>45942</v>
      </c>
    </row>
    <row r="268" spans="9:12">
      <c r="I268">
        <f>IFERROR(VLOOKUP(H268,Rates!$A$2:$B$3,2,0),1)</f>
        <v>1</v>
      </c>
      <c r="J268" t="str">
        <f t="shared" si="8"/>
        <v/>
      </c>
      <c r="K268" t="str">
        <f>IF(J268&lt;&gt;"",SUM($J$2:J268),"")</f>
        <v/>
      </c>
      <c r="L268">
        <f ca="1" t="shared" si="9"/>
        <v>45942</v>
      </c>
    </row>
    <row r="269" spans="9:12">
      <c r="I269">
        <f>IFERROR(VLOOKUP(H269,Rates!$A$2:$B$3,2,0),1)</f>
        <v>1</v>
      </c>
      <c r="J269" t="str">
        <f t="shared" si="8"/>
        <v/>
      </c>
      <c r="K269" t="str">
        <f>IF(J269&lt;&gt;"",SUM($J$2:J269),"")</f>
        <v/>
      </c>
      <c r="L269">
        <f ca="1" t="shared" si="9"/>
        <v>45942</v>
      </c>
    </row>
    <row r="270" spans="9:12">
      <c r="I270">
        <f>IFERROR(VLOOKUP(H270,Rates!$A$2:$B$3,2,0),1)</f>
        <v>1</v>
      </c>
      <c r="J270" t="str">
        <f t="shared" si="8"/>
        <v/>
      </c>
      <c r="K270" t="str">
        <f>IF(J270&lt;&gt;"",SUM($J$2:J270),"")</f>
        <v/>
      </c>
      <c r="L270">
        <f ca="1" t="shared" si="9"/>
        <v>45942</v>
      </c>
    </row>
    <row r="271" spans="9:12">
      <c r="I271">
        <f>IFERROR(VLOOKUP(H271,Rates!$A$2:$B$3,2,0),1)</f>
        <v>1</v>
      </c>
      <c r="J271" t="str">
        <f t="shared" si="8"/>
        <v/>
      </c>
      <c r="K271" t="str">
        <f>IF(J271&lt;&gt;"",SUM($J$2:J271),"")</f>
        <v/>
      </c>
      <c r="L271">
        <f ca="1" t="shared" si="9"/>
        <v>45942</v>
      </c>
    </row>
    <row r="272" spans="9:12">
      <c r="I272">
        <f>IFERROR(VLOOKUP(H272,Rates!$A$2:$B$3,2,0),1)</f>
        <v>1</v>
      </c>
      <c r="J272" t="str">
        <f t="shared" si="8"/>
        <v/>
      </c>
      <c r="K272" t="str">
        <f>IF(J272&lt;&gt;"",SUM($J$2:J272),"")</f>
        <v/>
      </c>
      <c r="L272">
        <f ca="1" t="shared" si="9"/>
        <v>45942</v>
      </c>
    </row>
    <row r="273" spans="9:12">
      <c r="I273">
        <f>IFERROR(VLOOKUP(H273,Rates!$A$2:$B$3,2,0),1)</f>
        <v>1</v>
      </c>
      <c r="J273" t="str">
        <f t="shared" si="8"/>
        <v/>
      </c>
      <c r="K273" t="str">
        <f>IF(J273&lt;&gt;"",SUM($J$2:J273),"")</f>
        <v/>
      </c>
      <c r="L273">
        <f ca="1" t="shared" si="9"/>
        <v>45942</v>
      </c>
    </row>
    <row r="274" spans="9:12">
      <c r="I274">
        <f>IFERROR(VLOOKUP(H274,Rates!$A$2:$B$3,2,0),1)</f>
        <v>1</v>
      </c>
      <c r="J274" t="str">
        <f t="shared" si="8"/>
        <v/>
      </c>
      <c r="K274" t="str">
        <f>IF(J274&lt;&gt;"",SUM($J$2:J274),"")</f>
        <v/>
      </c>
      <c r="L274">
        <f ca="1" t="shared" si="9"/>
        <v>45942</v>
      </c>
    </row>
    <row r="275" spans="9:12">
      <c r="I275">
        <f>IFERROR(VLOOKUP(H275,Rates!$A$2:$B$3,2,0),1)</f>
        <v>1</v>
      </c>
      <c r="J275" t="str">
        <f t="shared" si="8"/>
        <v/>
      </c>
      <c r="K275" t="str">
        <f>IF(J275&lt;&gt;"",SUM($J$2:J275),"")</f>
        <v/>
      </c>
      <c r="L275">
        <f ca="1" t="shared" si="9"/>
        <v>45942</v>
      </c>
    </row>
    <row r="276" spans="9:12">
      <c r="I276">
        <f>IFERROR(VLOOKUP(H276,Rates!$A$2:$B$3,2,0),1)</f>
        <v>1</v>
      </c>
      <c r="J276" t="str">
        <f t="shared" si="8"/>
        <v/>
      </c>
      <c r="K276" t="str">
        <f>IF(J276&lt;&gt;"",SUM($J$2:J276),"")</f>
        <v/>
      </c>
      <c r="L276">
        <f ca="1" t="shared" si="9"/>
        <v>45942</v>
      </c>
    </row>
    <row r="277" spans="9:12">
      <c r="I277">
        <f>IFERROR(VLOOKUP(H277,Rates!$A$2:$B$3,2,0),1)</f>
        <v>1</v>
      </c>
      <c r="J277" t="str">
        <f t="shared" si="8"/>
        <v/>
      </c>
      <c r="K277" t="str">
        <f>IF(J277&lt;&gt;"",SUM($J$2:J277),"")</f>
        <v/>
      </c>
      <c r="L277">
        <f ca="1" t="shared" si="9"/>
        <v>45942</v>
      </c>
    </row>
    <row r="278" spans="9:12">
      <c r="I278">
        <f>IFERROR(VLOOKUP(H278,Rates!$A$2:$B$3,2,0),1)</f>
        <v>1</v>
      </c>
      <c r="J278" t="str">
        <f t="shared" si="8"/>
        <v/>
      </c>
      <c r="K278" t="str">
        <f>IF(J278&lt;&gt;"",SUM($J$2:J278),"")</f>
        <v/>
      </c>
      <c r="L278">
        <f ca="1" t="shared" si="9"/>
        <v>45942</v>
      </c>
    </row>
    <row r="279" spans="9:12">
      <c r="I279">
        <f>IFERROR(VLOOKUP(H279,Rates!$A$2:$B$3,2,0),1)</f>
        <v>1</v>
      </c>
      <c r="J279" t="str">
        <f t="shared" si="8"/>
        <v/>
      </c>
      <c r="K279" t="str">
        <f>IF(J279&lt;&gt;"",SUM($J$2:J279),"")</f>
        <v/>
      </c>
      <c r="L279">
        <f ca="1" t="shared" si="9"/>
        <v>45942</v>
      </c>
    </row>
    <row r="280" spans="9:12">
      <c r="I280">
        <f>IFERROR(VLOOKUP(H280,Rates!$A$2:$B$3,2,0),1)</f>
        <v>1</v>
      </c>
      <c r="J280" t="str">
        <f t="shared" si="8"/>
        <v/>
      </c>
      <c r="K280" t="str">
        <f>IF(J280&lt;&gt;"",SUM($J$2:J280),"")</f>
        <v/>
      </c>
      <c r="L280">
        <f ca="1" t="shared" si="9"/>
        <v>45942</v>
      </c>
    </row>
    <row r="281" spans="9:12">
      <c r="I281">
        <f>IFERROR(VLOOKUP(H281,Rates!$A$2:$B$3,2,0),1)</f>
        <v>1</v>
      </c>
      <c r="J281" t="str">
        <f t="shared" si="8"/>
        <v/>
      </c>
      <c r="K281" t="str">
        <f>IF(J281&lt;&gt;"",SUM($J$2:J281),"")</f>
        <v/>
      </c>
      <c r="L281">
        <f ca="1" t="shared" si="9"/>
        <v>45942</v>
      </c>
    </row>
    <row r="282" spans="9:12">
      <c r="I282">
        <f>IFERROR(VLOOKUP(H282,Rates!$A$2:$B$3,2,0),1)</f>
        <v>1</v>
      </c>
      <c r="J282" t="str">
        <f t="shared" si="8"/>
        <v/>
      </c>
      <c r="K282" t="str">
        <f>IF(J282&lt;&gt;"",SUM($J$2:J282),"")</f>
        <v/>
      </c>
      <c r="L282">
        <f ca="1" t="shared" si="9"/>
        <v>45942</v>
      </c>
    </row>
    <row r="283" spans="9:12">
      <c r="I283">
        <f>IFERROR(VLOOKUP(H283,Rates!$A$2:$B$3,2,0),1)</f>
        <v>1</v>
      </c>
      <c r="J283" t="str">
        <f t="shared" si="8"/>
        <v/>
      </c>
      <c r="K283" t="str">
        <f>IF(J283&lt;&gt;"",SUM($J$2:J283),"")</f>
        <v/>
      </c>
      <c r="L283">
        <f ca="1" t="shared" si="9"/>
        <v>45942</v>
      </c>
    </row>
    <row r="284" spans="9:12">
      <c r="I284">
        <f>IFERROR(VLOOKUP(H284,Rates!$A$2:$B$3,2,0),1)</f>
        <v>1</v>
      </c>
      <c r="J284" t="str">
        <f t="shared" si="8"/>
        <v/>
      </c>
      <c r="K284" t="str">
        <f>IF(J284&lt;&gt;"",SUM($J$2:J284),"")</f>
        <v/>
      </c>
      <c r="L284">
        <f ca="1" t="shared" si="9"/>
        <v>45942</v>
      </c>
    </row>
    <row r="285" spans="9:12">
      <c r="I285">
        <f>IFERROR(VLOOKUP(H285,Rates!$A$2:$B$3,2,0),1)</f>
        <v>1</v>
      </c>
      <c r="J285" t="str">
        <f t="shared" si="8"/>
        <v/>
      </c>
      <c r="K285" t="str">
        <f>IF(J285&lt;&gt;"",SUM($J$2:J285),"")</f>
        <v/>
      </c>
      <c r="L285">
        <f ca="1" t="shared" si="9"/>
        <v>45942</v>
      </c>
    </row>
    <row r="286" spans="9:12">
      <c r="I286">
        <f>IFERROR(VLOOKUP(H286,Rates!$A$2:$B$3,2,0),1)</f>
        <v>1</v>
      </c>
      <c r="J286" t="str">
        <f t="shared" si="8"/>
        <v/>
      </c>
      <c r="K286" t="str">
        <f>IF(J286&lt;&gt;"",SUM($J$2:J286),"")</f>
        <v/>
      </c>
      <c r="L286">
        <f ca="1" t="shared" si="9"/>
        <v>45942</v>
      </c>
    </row>
    <row r="287" spans="9:12">
      <c r="I287">
        <f>IFERROR(VLOOKUP(H287,Rates!$A$2:$B$3,2,0),1)</f>
        <v>1</v>
      </c>
      <c r="J287" t="str">
        <f t="shared" si="8"/>
        <v/>
      </c>
      <c r="K287" t="str">
        <f>IF(J287&lt;&gt;"",SUM($J$2:J287),"")</f>
        <v/>
      </c>
      <c r="L287">
        <f ca="1" t="shared" si="9"/>
        <v>45942</v>
      </c>
    </row>
    <row r="288" spans="9:12">
      <c r="I288">
        <f>IFERROR(VLOOKUP(H288,Rates!$A$2:$B$3,2,0),1)</f>
        <v>1</v>
      </c>
      <c r="J288" t="str">
        <f t="shared" si="8"/>
        <v/>
      </c>
      <c r="K288" t="str">
        <f>IF(J288&lt;&gt;"",SUM($J$2:J288),"")</f>
        <v/>
      </c>
      <c r="L288">
        <f ca="1" t="shared" si="9"/>
        <v>45942</v>
      </c>
    </row>
    <row r="289" spans="9:12">
      <c r="I289">
        <f>IFERROR(VLOOKUP(H289,Rates!$A$2:$B$3,2,0),1)</f>
        <v>1</v>
      </c>
      <c r="J289" t="str">
        <f t="shared" si="8"/>
        <v/>
      </c>
      <c r="K289" t="str">
        <f>IF(J289&lt;&gt;"",SUM($J$2:J289),"")</f>
        <v/>
      </c>
      <c r="L289">
        <f ca="1" t="shared" si="9"/>
        <v>45942</v>
      </c>
    </row>
    <row r="290" spans="9:12">
      <c r="I290">
        <f>IFERROR(VLOOKUP(H290,Rates!$A$2:$B$3,2,0),1)</f>
        <v>1</v>
      </c>
      <c r="J290" t="str">
        <f t="shared" si="8"/>
        <v/>
      </c>
      <c r="K290" t="str">
        <f>IF(J290&lt;&gt;"",SUM($J$2:J290),"")</f>
        <v/>
      </c>
      <c r="L290">
        <f ca="1" t="shared" si="9"/>
        <v>45942</v>
      </c>
    </row>
    <row r="291" spans="9:12">
      <c r="I291">
        <f>IFERROR(VLOOKUP(H291,Rates!$A$2:$B$3,2,0),1)</f>
        <v>1</v>
      </c>
      <c r="J291" t="str">
        <f t="shared" si="8"/>
        <v/>
      </c>
      <c r="K291" t="str">
        <f>IF(J291&lt;&gt;"",SUM($J$2:J291),"")</f>
        <v/>
      </c>
      <c r="L291">
        <f ca="1" t="shared" si="9"/>
        <v>45942</v>
      </c>
    </row>
    <row r="292" spans="9:12">
      <c r="I292">
        <f>IFERROR(VLOOKUP(H292,Rates!$A$2:$B$3,2,0),1)</f>
        <v>1</v>
      </c>
      <c r="J292" t="str">
        <f t="shared" si="8"/>
        <v/>
      </c>
      <c r="K292" t="str">
        <f>IF(J292&lt;&gt;"",SUM($J$2:J292),"")</f>
        <v/>
      </c>
      <c r="L292">
        <f ca="1" t="shared" si="9"/>
        <v>45942</v>
      </c>
    </row>
    <row r="293" spans="9:12">
      <c r="I293">
        <f>IFERROR(VLOOKUP(H293,Rates!$A$2:$B$3,2,0),1)</f>
        <v>1</v>
      </c>
      <c r="J293" t="str">
        <f t="shared" si="8"/>
        <v/>
      </c>
      <c r="K293" t="str">
        <f>IF(J293&lt;&gt;"",SUM($J$2:J293),"")</f>
        <v/>
      </c>
      <c r="L293">
        <f ca="1" t="shared" si="9"/>
        <v>45942</v>
      </c>
    </row>
    <row r="294" spans="9:12">
      <c r="I294">
        <f>IFERROR(VLOOKUP(H294,Rates!$A$2:$B$3,2,0),1)</f>
        <v>1</v>
      </c>
      <c r="J294" t="str">
        <f t="shared" si="8"/>
        <v/>
      </c>
      <c r="K294" t="str">
        <f>IF(J294&lt;&gt;"",SUM($J$2:J294),"")</f>
        <v/>
      </c>
      <c r="L294">
        <f ca="1" t="shared" si="9"/>
        <v>45942</v>
      </c>
    </row>
    <row r="295" spans="9:12">
      <c r="I295">
        <f>IFERROR(VLOOKUP(H295,Rates!$A$2:$B$3,2,0),1)</f>
        <v>1</v>
      </c>
      <c r="J295" t="str">
        <f t="shared" si="8"/>
        <v/>
      </c>
      <c r="K295" t="str">
        <f>IF(J295&lt;&gt;"",SUM($J$2:J295),"")</f>
        <v/>
      </c>
      <c r="L295">
        <f ca="1" t="shared" si="9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workbookViewId="0">
      <pane ySplit="1" topLeftCell="A2" activePane="bottomLeft" state="frozen"/>
      <selection/>
      <selection pane="bottomLeft" activeCell="A11" sqref="A11:M191"/>
    </sheetView>
  </sheetViews>
  <sheetFormatPr defaultColWidth="9" defaultRowHeight="16.8"/>
  <cols>
    <col min="1" max="1" width="22" customWidth="1"/>
    <col min="2" max="2" width="12" customWidth="1"/>
    <col min="3" max="4" width="16" customWidth="1"/>
    <col min="5" max="5" width="26" customWidth="1"/>
    <col min="6" max="6" width="36" customWidth="1"/>
    <col min="7" max="7" width="12" customWidth="1"/>
    <col min="8" max="9" width="10" customWidth="1"/>
    <col min="10" max="10" width="14" customWidth="1"/>
    <col min="11" max="11" width="16" customWidth="1"/>
    <col min="12" max="12" width="14" customWidth="1"/>
    <col min="14" max="14" width="2" customWidth="1"/>
    <col min="16" max="16" width="2" customWidth="1"/>
  </cols>
  <sheetData>
    <row r="1" spans="1:12">
      <c r="A1" t="s">
        <v>36</v>
      </c>
      <c r="B1" t="s">
        <v>56</v>
      </c>
      <c r="C1" t="s">
        <v>4</v>
      </c>
      <c r="D1" t="s">
        <v>28</v>
      </c>
      <c r="E1" t="s">
        <v>57</v>
      </c>
      <c r="F1" t="s">
        <v>58</v>
      </c>
      <c r="G1" t="s">
        <v>59</v>
      </c>
      <c r="H1" t="s">
        <v>0</v>
      </c>
      <c r="I1" t="s">
        <v>60</v>
      </c>
      <c r="J1" t="s">
        <v>61</v>
      </c>
      <c r="K1" t="s">
        <v>62</v>
      </c>
      <c r="L1" t="s">
        <v>63</v>
      </c>
    </row>
    <row r="2" spans="1:12">
      <c r="A2" t="s">
        <v>42</v>
      </c>
      <c r="B2" s="9" t="s">
        <v>77</v>
      </c>
      <c r="C2" t="s">
        <v>6</v>
      </c>
      <c r="D2" t="s">
        <v>29</v>
      </c>
      <c r="F2" s="9" t="s">
        <v>78</v>
      </c>
      <c r="G2">
        <v>-12900</v>
      </c>
      <c r="H2" t="s">
        <v>3</v>
      </c>
      <c r="I2">
        <f>IFERROR(VLOOKUP(H2,Rates!$A$2:$B$3,2,0),1)</f>
        <v>1</v>
      </c>
      <c r="J2">
        <f>IF(G2&lt;&gt;"",G2*I2,"")</f>
        <v>-12900</v>
      </c>
      <c r="K2">
        <f>IF(J2&lt;&gt;"",J2,"")</f>
        <v>-12900</v>
      </c>
      <c r="L2">
        <f ca="1">IF(COUNTA(A2:K2)&gt;0,TODAY(),"")</f>
        <v>45942</v>
      </c>
    </row>
    <row r="3" spans="1:12">
      <c r="A3" t="s">
        <v>42</v>
      </c>
      <c r="B3" s="9" t="s">
        <v>77</v>
      </c>
      <c r="C3" t="s">
        <v>10</v>
      </c>
      <c r="D3" t="s">
        <v>29</v>
      </c>
      <c r="F3" s="9" t="s">
        <v>79</v>
      </c>
      <c r="G3">
        <v>-660</v>
      </c>
      <c r="H3" t="s">
        <v>3</v>
      </c>
      <c r="I3">
        <f>IFERROR(VLOOKUP(H3,Rates!$A$2:$B$3,2,0),1)</f>
        <v>1</v>
      </c>
      <c r="J3">
        <f>IF(G3&lt;&gt;"",G3*I3,"")</f>
        <v>-660</v>
      </c>
      <c r="K3">
        <f>IF(J3&lt;&gt;"",SUM($J$2:J3),"")</f>
        <v>-13560</v>
      </c>
      <c r="L3">
        <f ca="1">IF(COUNTA(A3:K3)&gt;0,TODAY(),"")</f>
        <v>45942</v>
      </c>
    </row>
    <row r="4" spans="1:12">
      <c r="A4" t="s">
        <v>42</v>
      </c>
      <c r="B4" s="9" t="s">
        <v>77</v>
      </c>
      <c r="C4" t="s">
        <v>7</v>
      </c>
      <c r="D4" t="s">
        <v>29</v>
      </c>
      <c r="F4" s="9" t="s">
        <v>80</v>
      </c>
      <c r="G4">
        <v>-270</v>
      </c>
      <c r="H4" t="s">
        <v>3</v>
      </c>
      <c r="I4">
        <f>IFERROR(VLOOKUP(H4,Rates!$A$2:$B$3,2,0),1)</f>
        <v>1</v>
      </c>
      <c r="J4">
        <f>IF(G4&lt;&gt;"",G4*I4,"")</f>
        <v>-270</v>
      </c>
      <c r="K4">
        <f>IF(J4&lt;&gt;"",SUM($J$2:J4),"")</f>
        <v>-13830</v>
      </c>
      <c r="L4">
        <f ca="1">IF(COUNTA(A4:K4)&gt;0,TODAY(),"")</f>
        <v>45942</v>
      </c>
    </row>
    <row r="5" spans="2:12">
      <c r="B5" s="9" t="s">
        <v>77</v>
      </c>
      <c r="C5" t="s">
        <v>7</v>
      </c>
      <c r="D5" t="s">
        <v>29</v>
      </c>
      <c r="F5" s="9" t="s">
        <v>80</v>
      </c>
      <c r="G5">
        <v>-6210</v>
      </c>
      <c r="I5">
        <f>IFERROR(VLOOKUP(H5,Rates!$A$2:$B$3,2,0),1)</f>
        <v>1</v>
      </c>
      <c r="J5">
        <f>IF(G5&lt;&gt;"",G5*I5,"")</f>
        <v>-6210</v>
      </c>
      <c r="K5">
        <f>IF(J5&lt;&gt;"",SUM($J$2:J5),"")</f>
        <v>-20040</v>
      </c>
      <c r="L5">
        <f ca="1">IF(COUNTA(A5:K5)&gt;0,TODAY(),"")</f>
        <v>45942</v>
      </c>
    </row>
    <row r="6" spans="2:12">
      <c r="B6" s="9" t="s">
        <v>77</v>
      </c>
      <c r="C6" t="s">
        <v>10</v>
      </c>
      <c r="D6" t="s">
        <v>29</v>
      </c>
      <c r="F6" s="9" t="s">
        <v>81</v>
      </c>
      <c r="G6">
        <v>-1450</v>
      </c>
      <c r="I6">
        <f>IFERROR(VLOOKUP(H6,Rates!$A$2:$B$3,2,0),1)</f>
        <v>1</v>
      </c>
      <c r="J6">
        <f>IF(G6&lt;&gt;"",G6*I6,"")</f>
        <v>-1450</v>
      </c>
      <c r="K6">
        <f>IF(J6&lt;&gt;"",SUM($J$2:J6),"")</f>
        <v>-21490</v>
      </c>
      <c r="L6">
        <f ca="1">IF(COUNTA(A6:K6)&gt;0,TODAY(),"")</f>
        <v>45942</v>
      </c>
    </row>
    <row r="7" spans="2:12">
      <c r="B7" s="9" t="s">
        <v>77</v>
      </c>
      <c r="C7" t="s">
        <v>7</v>
      </c>
      <c r="D7" t="s">
        <v>29</v>
      </c>
      <c r="F7" s="9" t="s">
        <v>80</v>
      </c>
      <c r="G7">
        <v>-5550</v>
      </c>
      <c r="I7">
        <f>IFERROR(VLOOKUP(H7,Rates!$A$2:$B$3,2,0),1)</f>
        <v>1</v>
      </c>
      <c r="J7">
        <f>IF(G7&lt;&gt;"",G7*I7,"")</f>
        <v>-5550</v>
      </c>
      <c r="K7">
        <f>IF(J7&lt;&gt;"",SUM($J$2:J7),"")</f>
        <v>-27040</v>
      </c>
      <c r="L7">
        <f ca="1">IF(COUNTA(A7:K7)&gt;0,TODAY(),"")</f>
        <v>45942</v>
      </c>
    </row>
    <row r="8" spans="2:12">
      <c r="B8" s="9" t="s">
        <v>77</v>
      </c>
      <c r="C8" t="s">
        <v>7</v>
      </c>
      <c r="D8" t="s">
        <v>29</v>
      </c>
      <c r="F8" s="9" t="s">
        <v>80</v>
      </c>
      <c r="G8">
        <v>-260</v>
      </c>
      <c r="I8">
        <f>IFERROR(VLOOKUP(H8,Rates!$A$2:$B$3,2,0),1)</f>
        <v>1</v>
      </c>
      <c r="J8">
        <f>IF(G8&lt;&gt;"",G8*I8,"")</f>
        <v>-260</v>
      </c>
      <c r="K8">
        <f>IF(J8&lt;&gt;"",SUM($J$2:J8),"")</f>
        <v>-27300</v>
      </c>
      <c r="L8">
        <f ca="1">IF(COUNTA(A8:K8)&gt;0,TODAY(),"")</f>
        <v>45942</v>
      </c>
    </row>
    <row r="9" spans="2:12">
      <c r="B9" s="9" t="s">
        <v>77</v>
      </c>
      <c r="C9" t="s">
        <v>6</v>
      </c>
      <c r="D9" t="s">
        <v>29</v>
      </c>
      <c r="F9" s="9" t="s">
        <v>78</v>
      </c>
      <c r="G9">
        <v>-720</v>
      </c>
      <c r="I9">
        <f>IFERROR(VLOOKUP(H9,Rates!$A$2:$B$3,2,0),1)</f>
        <v>1</v>
      </c>
      <c r="J9">
        <f>IF(G9&lt;&gt;"",G9*I9,"")</f>
        <v>-720</v>
      </c>
      <c r="K9">
        <f>IF(J9&lt;&gt;"",SUM($J$2:J9),"")</f>
        <v>-28020</v>
      </c>
      <c r="L9">
        <f ca="1">IF(COUNTA(A9:K9)&gt;0,TODAY(),"")</f>
        <v>45942</v>
      </c>
    </row>
    <row r="10" spans="2:12">
      <c r="B10" s="9" t="s">
        <v>77</v>
      </c>
      <c r="C10" t="s">
        <v>6</v>
      </c>
      <c r="D10" t="s">
        <v>29</v>
      </c>
      <c r="F10" s="9" t="s">
        <v>80</v>
      </c>
      <c r="G10">
        <v>-630</v>
      </c>
      <c r="I10">
        <f>IFERROR(VLOOKUP(H10,Rates!$A$2:$B$3,2,0),1)</f>
        <v>1</v>
      </c>
      <c r="J10">
        <f>IF(G10&lt;&gt;"",G10*I10,"")</f>
        <v>-630</v>
      </c>
      <c r="K10">
        <f>IF(J10&lt;&gt;"",SUM($J$2:J10),"")</f>
        <v>-28650</v>
      </c>
      <c r="L10">
        <f ca="1">IF(COUNTA(A10:K10)&gt;0,TODAY(),"")</f>
        <v>45942</v>
      </c>
    </row>
    <row r="11" spans="2:6">
      <c r="B11" s="9"/>
      <c r="C11"/>
      <c r="D11"/>
      <c r="F11" s="9"/>
    </row>
    <row r="12" spans="2:6">
      <c r="B12" s="9"/>
      <c r="C12"/>
      <c r="D12"/>
      <c r="F12" s="9"/>
    </row>
    <row r="13" spans="2:6">
      <c r="B13" s="9"/>
      <c r="C13"/>
      <c r="D13"/>
      <c r="E13"/>
      <c r="F13" s="9"/>
    </row>
    <row r="14" spans="2:6">
      <c r="B14" s="9"/>
      <c r="C14"/>
      <c r="D14"/>
      <c r="F14" s="9"/>
    </row>
    <row r="15" spans="2:6">
      <c r="B15" s="9"/>
      <c r="C15"/>
      <c r="D15"/>
      <c r="F15" s="9"/>
    </row>
    <row r="16" spans="2:6">
      <c r="B16" s="9"/>
      <c r="C16"/>
      <c r="D16"/>
      <c r="F16" s="9"/>
    </row>
    <row r="17" spans="2:6">
      <c r="B17" s="9"/>
      <c r="C17"/>
      <c r="D17"/>
      <c r="F17" s="9"/>
    </row>
    <row r="18" spans="2:6">
      <c r="B18" s="9"/>
      <c r="C18"/>
      <c r="D18"/>
      <c r="F18" s="9"/>
    </row>
    <row r="19" spans="2:6">
      <c r="B19" s="9"/>
      <c r="C19"/>
      <c r="D19"/>
      <c r="F19" s="9"/>
    </row>
    <row r="20" spans="2:6">
      <c r="B20" s="9"/>
      <c r="C20"/>
      <c r="D20"/>
      <c r="F20" s="9"/>
    </row>
    <row r="21" spans="2:6">
      <c r="B21" s="9"/>
      <c r="C21"/>
      <c r="D21"/>
      <c r="F21" s="9"/>
    </row>
    <row r="22" spans="2:6">
      <c r="B22" s="9"/>
      <c r="C22"/>
      <c r="D22"/>
      <c r="F22" s="9"/>
    </row>
    <row r="23" spans="2:6">
      <c r="B23" s="9"/>
      <c r="C23"/>
      <c r="F23" s="9"/>
    </row>
    <row r="24" spans="2:6">
      <c r="B24" s="9"/>
      <c r="C24"/>
      <c r="D24"/>
      <c r="F24" s="9"/>
    </row>
    <row r="25" spans="2:6">
      <c r="B25" s="9"/>
      <c r="C25"/>
      <c r="D25"/>
      <c r="F25" s="9"/>
    </row>
    <row r="26" spans="2:6">
      <c r="B26" s="9"/>
      <c r="C26"/>
      <c r="D26"/>
      <c r="F26" s="9"/>
    </row>
    <row r="27" spans="2:6">
      <c r="B27" s="9"/>
      <c r="C27"/>
      <c r="D27"/>
      <c r="F27" s="9"/>
    </row>
    <row r="28" spans="2:6">
      <c r="B28" s="9"/>
      <c r="C28"/>
      <c r="D28"/>
      <c r="F28" s="9"/>
    </row>
    <row r="29" spans="2:6">
      <c r="B29" s="9"/>
      <c r="C29"/>
      <c r="D29"/>
      <c r="F29" s="9"/>
    </row>
    <row r="30" spans="2:6">
      <c r="B30" s="9"/>
      <c r="C30"/>
      <c r="D30"/>
      <c r="F30" s="9"/>
    </row>
    <row r="31" spans="2:6">
      <c r="B31" s="9"/>
      <c r="C31"/>
      <c r="F31" s="9"/>
    </row>
    <row r="32" spans="2:6">
      <c r="B32" s="9"/>
      <c r="C32"/>
      <c r="D32"/>
      <c r="F32" s="9"/>
    </row>
    <row r="33" spans="2:6">
      <c r="B33" s="9"/>
      <c r="C33"/>
      <c r="D33"/>
      <c r="F33" s="9"/>
    </row>
    <row r="34" spans="2:6">
      <c r="B34" s="9"/>
      <c r="C34"/>
      <c r="D34"/>
      <c r="F34" s="9"/>
    </row>
    <row r="35" spans="2:6">
      <c r="B35" s="9"/>
      <c r="C35"/>
      <c r="F35" s="9"/>
    </row>
    <row r="36" spans="2:6">
      <c r="B36" s="9"/>
      <c r="C36"/>
      <c r="D36"/>
      <c r="F36" s="9"/>
    </row>
    <row r="37" spans="2:6">
      <c r="B37" s="9"/>
      <c r="C37"/>
      <c r="D37"/>
      <c r="F37" s="9"/>
    </row>
    <row r="38" spans="2:6">
      <c r="B38" s="9"/>
      <c r="C38"/>
      <c r="D38"/>
      <c r="F38" s="9"/>
    </row>
    <row r="39" spans="2:6">
      <c r="B39" s="9"/>
      <c r="C39"/>
      <c r="F39" s="9"/>
    </row>
    <row r="40" spans="2:6">
      <c r="B40" s="9"/>
      <c r="C40"/>
      <c r="D40"/>
      <c r="F40" s="9"/>
    </row>
    <row r="41" spans="2:6">
      <c r="B41" s="9"/>
      <c r="C41"/>
      <c r="D41"/>
      <c r="F41" s="9"/>
    </row>
    <row r="42" spans="2:6">
      <c r="B42" s="9"/>
      <c r="C42"/>
      <c r="D42"/>
      <c r="F42" s="9"/>
    </row>
    <row r="43" spans="2:6">
      <c r="B43" s="9"/>
      <c r="C43"/>
      <c r="D43"/>
      <c r="F43" s="9"/>
    </row>
    <row r="44" spans="2:6">
      <c r="B44" s="9"/>
      <c r="C44"/>
      <c r="D44"/>
      <c r="F44" s="9"/>
    </row>
    <row r="45" spans="2:6">
      <c r="B45" s="9"/>
      <c r="C45"/>
      <c r="D45"/>
      <c r="F45" s="9"/>
    </row>
    <row r="46" spans="2:6">
      <c r="B46" s="9"/>
      <c r="C46"/>
      <c r="D46"/>
      <c r="F46" s="9"/>
    </row>
    <row r="47" spans="2:6">
      <c r="B47" s="9"/>
      <c r="C47"/>
      <c r="D47"/>
      <c r="F47" s="9"/>
    </row>
    <row r="48" spans="2:6">
      <c r="B48" s="9"/>
      <c r="C48"/>
      <c r="D48"/>
      <c r="F48" s="9"/>
    </row>
    <row r="49" spans="2:6">
      <c r="B49" s="9"/>
      <c r="C49"/>
      <c r="D49"/>
      <c r="F49" s="9"/>
    </row>
    <row r="50" spans="2:6">
      <c r="B50" s="9"/>
      <c r="C50"/>
      <c r="D50"/>
      <c r="F50" s="9"/>
    </row>
    <row r="51" spans="2:6">
      <c r="B51" s="9"/>
      <c r="C51"/>
      <c r="D51"/>
      <c r="F51" s="9"/>
    </row>
    <row r="52" spans="2:6">
      <c r="B52" s="9"/>
      <c r="C52"/>
      <c r="D52"/>
      <c r="F52" s="9"/>
    </row>
    <row r="53" spans="2:6">
      <c r="B53" s="9"/>
      <c r="C53"/>
      <c r="D53"/>
      <c r="F53" s="9"/>
    </row>
    <row r="54" spans="2:6">
      <c r="B54" s="9"/>
      <c r="C54"/>
      <c r="D54"/>
      <c r="F54" s="9"/>
    </row>
    <row r="55" spans="2:6">
      <c r="B55" s="9"/>
      <c r="C55"/>
      <c r="D55"/>
      <c r="F55" s="9"/>
    </row>
    <row r="56" spans="2:6">
      <c r="B56" s="9"/>
      <c r="C56"/>
      <c r="D56"/>
      <c r="F56" s="9"/>
    </row>
    <row r="57" spans="2:6">
      <c r="B57" s="9"/>
      <c r="C57"/>
      <c r="D57"/>
      <c r="F57" s="9"/>
    </row>
    <row r="58" spans="2:6">
      <c r="B58" s="9"/>
      <c r="C58"/>
      <c r="D58"/>
      <c r="F58" s="9"/>
    </row>
    <row r="59" spans="2:6">
      <c r="B59" s="9"/>
      <c r="C59"/>
      <c r="D59"/>
      <c r="F59" s="9"/>
    </row>
    <row r="60" spans="2:6">
      <c r="B60" s="9"/>
      <c r="C60"/>
      <c r="D60"/>
      <c r="F60" s="9"/>
    </row>
    <row r="61" spans="2:6">
      <c r="B61" s="9"/>
      <c r="C61"/>
      <c r="D61"/>
      <c r="F61" s="9"/>
    </row>
    <row r="62" spans="2:6">
      <c r="B62" s="9"/>
      <c r="C62"/>
      <c r="D62"/>
      <c r="F62" s="9"/>
    </row>
    <row r="63" spans="2:6">
      <c r="B63" s="9"/>
      <c r="C63"/>
      <c r="D63"/>
      <c r="F63" s="9"/>
    </row>
    <row r="64" spans="2:6">
      <c r="B64" s="9"/>
      <c r="C64"/>
      <c r="D64"/>
      <c r="F64" s="9"/>
    </row>
    <row r="65" spans="2:6">
      <c r="B65" s="9"/>
      <c r="C65"/>
      <c r="D65"/>
      <c r="F65" s="9"/>
    </row>
    <row r="66" spans="2:6">
      <c r="B66" s="9"/>
      <c r="C66"/>
      <c r="D66"/>
      <c r="F66" s="9"/>
    </row>
    <row r="67" spans="2:6">
      <c r="B67" s="9"/>
      <c r="C67"/>
      <c r="D67"/>
      <c r="F67" s="9"/>
    </row>
    <row r="68" spans="2:6">
      <c r="B68" s="9"/>
      <c r="C68"/>
      <c r="D68"/>
      <c r="F68" s="9"/>
    </row>
    <row r="69" spans="2:6">
      <c r="B69" s="9"/>
      <c r="C69"/>
      <c r="D69"/>
      <c r="F69" s="9"/>
    </row>
    <row r="70" spans="2:6">
      <c r="B70" s="9"/>
      <c r="C70"/>
      <c r="D70"/>
      <c r="F70" s="9"/>
    </row>
    <row r="71" spans="2:6">
      <c r="B71" s="9"/>
      <c r="C71"/>
      <c r="D71"/>
      <c r="F71" s="9"/>
    </row>
    <row r="72" spans="2:6">
      <c r="B72" s="9"/>
      <c r="C72"/>
      <c r="F72" s="9"/>
    </row>
    <row r="73" spans="2:6">
      <c r="B73" s="9"/>
      <c r="C73"/>
      <c r="D73"/>
      <c r="F73" s="9"/>
    </row>
    <row r="74" spans="2:6">
      <c r="B74" s="9"/>
      <c r="C74"/>
      <c r="D74"/>
      <c r="F74" s="9"/>
    </row>
    <row r="75" spans="2:6">
      <c r="B75" s="9"/>
      <c r="C75"/>
      <c r="D75"/>
      <c r="F75" s="9"/>
    </row>
    <row r="76" spans="2:6">
      <c r="B76" s="9"/>
      <c r="C76"/>
      <c r="D76"/>
      <c r="F76" s="9"/>
    </row>
    <row r="77" spans="2:6">
      <c r="B77" s="9"/>
      <c r="C77"/>
      <c r="D77"/>
      <c r="F77" s="9"/>
    </row>
    <row r="78" spans="2:6">
      <c r="B78" s="9"/>
      <c r="C78"/>
      <c r="D78"/>
      <c r="F78" s="9"/>
    </row>
    <row r="79" spans="2:6">
      <c r="B79" s="9"/>
      <c r="C79"/>
      <c r="D79"/>
      <c r="F79" s="9"/>
    </row>
    <row r="80" spans="2:6">
      <c r="B80" s="9"/>
      <c r="C80"/>
      <c r="D80"/>
      <c r="F80" s="9"/>
    </row>
    <row r="81" spans="2:6">
      <c r="B81" s="9"/>
      <c r="C81"/>
      <c r="D81"/>
      <c r="F81" s="9"/>
    </row>
    <row r="82" spans="2:6">
      <c r="B82" s="9"/>
      <c r="C82"/>
      <c r="D82"/>
      <c r="F82" s="9"/>
    </row>
    <row r="83" spans="2:6">
      <c r="B83" s="9"/>
      <c r="C83"/>
      <c r="D83"/>
      <c r="F83" s="9"/>
    </row>
    <row r="84" spans="2:6">
      <c r="B84" s="9"/>
      <c r="C84"/>
      <c r="D84"/>
      <c r="F84" s="9"/>
    </row>
    <row r="85" spans="2:6">
      <c r="B85" s="9"/>
      <c r="C85"/>
      <c r="D85"/>
      <c r="F85" s="9"/>
    </row>
    <row r="86" spans="2:6">
      <c r="B86" s="9"/>
      <c r="C86"/>
      <c r="D86"/>
      <c r="F86" s="9"/>
    </row>
    <row r="87" spans="2:6">
      <c r="B87" s="9"/>
      <c r="C87"/>
      <c r="D87"/>
      <c r="F87" s="9"/>
    </row>
    <row r="88" spans="2:6">
      <c r="B88" s="9"/>
      <c r="C88"/>
      <c r="D88"/>
      <c r="F88" s="9"/>
    </row>
    <row r="89" spans="2:6">
      <c r="B89" s="9"/>
      <c r="C89"/>
      <c r="D89"/>
      <c r="F89" s="9"/>
    </row>
    <row r="90" spans="2:6">
      <c r="B90" s="9"/>
      <c r="C90"/>
      <c r="D90"/>
      <c r="F90" s="9"/>
    </row>
    <row r="91" spans="2:6">
      <c r="B91" s="9"/>
      <c r="C91"/>
      <c r="D91"/>
      <c r="F91" s="9"/>
    </row>
    <row r="92" spans="2:6">
      <c r="B92" s="9"/>
      <c r="C92"/>
      <c r="D92"/>
      <c r="F92" s="9"/>
    </row>
    <row r="93" spans="2:6">
      <c r="B93" s="9"/>
      <c r="C93"/>
      <c r="D93"/>
      <c r="F93" s="9"/>
    </row>
    <row r="94" spans="2:6">
      <c r="B94" s="9"/>
      <c r="C94"/>
      <c r="D94"/>
      <c r="F94" s="9"/>
    </row>
    <row r="95" spans="2:6">
      <c r="B95" s="9"/>
      <c r="C95"/>
      <c r="D95"/>
      <c r="F95" s="9"/>
    </row>
    <row r="96" spans="2:6">
      <c r="B96" s="9"/>
      <c r="C96"/>
      <c r="D96"/>
      <c r="F96" s="9"/>
    </row>
    <row r="97" spans="2:6">
      <c r="B97" s="9"/>
      <c r="C97"/>
      <c r="D97"/>
      <c r="F97" s="9"/>
    </row>
    <row r="98" spans="2:6">
      <c r="B98" s="9"/>
      <c r="C98"/>
      <c r="D98"/>
      <c r="F98" s="9"/>
    </row>
    <row r="99" spans="2:6">
      <c r="B99" s="9"/>
      <c r="C99"/>
      <c r="D99"/>
      <c r="F99" s="9"/>
    </row>
    <row r="100" spans="2:6">
      <c r="B100" s="9"/>
      <c r="C100"/>
      <c r="D100"/>
      <c r="F100" s="9"/>
    </row>
    <row r="101" spans="2:6">
      <c r="B101" s="9"/>
      <c r="C101"/>
      <c r="D101"/>
      <c r="F101" s="9"/>
    </row>
    <row r="102" spans="2:6">
      <c r="B102" s="9"/>
      <c r="C102"/>
      <c r="D102"/>
      <c r="F102" s="9"/>
    </row>
    <row r="103" spans="2:6">
      <c r="B103" s="9"/>
      <c r="C103"/>
      <c r="D103"/>
      <c r="F103" s="9"/>
    </row>
    <row r="104" spans="2:6">
      <c r="B104" s="9"/>
      <c r="C104"/>
      <c r="D104"/>
      <c r="F104" s="9"/>
    </row>
    <row r="105" spans="2:6">
      <c r="B105" s="9"/>
      <c r="C105"/>
      <c r="D105"/>
      <c r="F105" s="9"/>
    </row>
    <row r="106" spans="2:6">
      <c r="B106" s="9"/>
      <c r="C106"/>
      <c r="D106"/>
      <c r="F106" s="9"/>
    </row>
    <row r="107" spans="2:6">
      <c r="B107" s="9"/>
      <c r="C107"/>
      <c r="D107"/>
      <c r="F107" s="9"/>
    </row>
    <row r="108" spans="2:6">
      <c r="B108" s="9"/>
      <c r="C108"/>
      <c r="D108"/>
      <c r="F108" s="9"/>
    </row>
    <row r="109" spans="2:6">
      <c r="B109" s="9"/>
      <c r="C109"/>
      <c r="D109"/>
      <c r="F109" s="9"/>
    </row>
    <row r="110" spans="2:6">
      <c r="B110" s="9"/>
      <c r="C110"/>
      <c r="F110" s="9"/>
    </row>
    <row r="111" spans="2:6">
      <c r="B111" s="9"/>
      <c r="C111"/>
      <c r="D111"/>
      <c r="F111" s="9"/>
    </row>
    <row r="112" spans="2:6">
      <c r="B112" s="9"/>
      <c r="C112"/>
      <c r="D112"/>
      <c r="F112" s="9"/>
    </row>
    <row r="113" spans="2:6">
      <c r="B113" s="9"/>
      <c r="C113"/>
      <c r="D113"/>
      <c r="F113" s="9"/>
    </row>
    <row r="114" spans="2:6">
      <c r="B114" s="9"/>
      <c r="C114"/>
      <c r="D114"/>
      <c r="F114" s="9"/>
    </row>
    <row r="115" spans="2:6">
      <c r="B115" s="9"/>
      <c r="C115"/>
      <c r="D115"/>
      <c r="F115" s="9"/>
    </row>
    <row r="116" spans="2:6">
      <c r="B116" s="9"/>
      <c r="C116"/>
      <c r="D116"/>
      <c r="F116" s="9"/>
    </row>
    <row r="117" spans="2:6">
      <c r="B117" s="9"/>
      <c r="C117"/>
      <c r="D117"/>
      <c r="F117" s="9"/>
    </row>
    <row r="118" spans="2:6">
      <c r="B118" s="9"/>
      <c r="C118"/>
      <c r="D118"/>
      <c r="F118" s="9"/>
    </row>
    <row r="119" spans="2:6">
      <c r="B119" s="9"/>
      <c r="C119"/>
      <c r="D119"/>
      <c r="F119" s="9"/>
    </row>
    <row r="120" spans="2:6">
      <c r="B120" s="9"/>
      <c r="C120"/>
      <c r="D120"/>
      <c r="F120" s="9"/>
    </row>
    <row r="121" spans="2:6">
      <c r="B121" s="9"/>
      <c r="C121"/>
      <c r="D121"/>
      <c r="F121" s="9"/>
    </row>
    <row r="122" spans="2:6">
      <c r="B122" s="9"/>
      <c r="C122"/>
      <c r="D122"/>
      <c r="F122" s="9"/>
    </row>
    <row r="123" spans="2:6">
      <c r="B123" s="9"/>
      <c r="C123"/>
      <c r="D123"/>
      <c r="F123" s="9"/>
    </row>
    <row r="124" spans="2:6">
      <c r="B124" s="9"/>
      <c r="C124"/>
      <c r="D124"/>
      <c r="F124" s="9"/>
    </row>
    <row r="125" spans="2:6">
      <c r="B125" s="9"/>
      <c r="C125"/>
      <c r="D125"/>
      <c r="F125" s="9"/>
    </row>
    <row r="126" spans="2:6">
      <c r="B126" s="9"/>
      <c r="C126"/>
      <c r="F126" s="9"/>
    </row>
    <row r="127" spans="2:6">
      <c r="B127" s="9"/>
      <c r="C127"/>
      <c r="F127" s="9"/>
    </row>
    <row r="128" spans="2:6">
      <c r="B128" s="9"/>
      <c r="C128"/>
      <c r="D128"/>
      <c r="F128" s="9"/>
    </row>
    <row r="129" spans="2:6">
      <c r="B129" s="9"/>
      <c r="C129"/>
      <c r="D129"/>
      <c r="F129" s="9"/>
    </row>
    <row r="130" spans="2:6">
      <c r="B130" s="9"/>
      <c r="C130"/>
      <c r="D130"/>
      <c r="F130" s="9"/>
    </row>
    <row r="131" spans="2:6">
      <c r="B131" s="9"/>
      <c r="C131"/>
      <c r="D131"/>
      <c r="F131" s="9"/>
    </row>
    <row r="132" spans="2:6">
      <c r="B132" s="9"/>
      <c r="C132"/>
      <c r="D132"/>
      <c r="F132" s="9"/>
    </row>
    <row r="133" spans="2:6">
      <c r="B133" s="9"/>
      <c r="F133" s="9"/>
    </row>
    <row r="134" spans="2:6">
      <c r="B134" s="9"/>
      <c r="C134"/>
      <c r="D134"/>
      <c r="F134" s="9"/>
    </row>
    <row r="135" spans="2:6">
      <c r="B135" s="9"/>
      <c r="C135"/>
      <c r="D135"/>
      <c r="F135" s="9"/>
    </row>
    <row r="136" spans="2:6">
      <c r="B136" s="9"/>
      <c r="C136"/>
      <c r="D136"/>
      <c r="F136" s="9"/>
    </row>
    <row r="137" spans="2:6">
      <c r="B137" s="9"/>
      <c r="F137" s="9"/>
    </row>
    <row r="138" spans="2:6">
      <c r="B138" s="9"/>
      <c r="F138" s="9"/>
    </row>
    <row r="139" spans="2:6">
      <c r="B139" s="9"/>
      <c r="F139" s="9"/>
    </row>
    <row r="140" spans="2:6">
      <c r="B140" s="9"/>
      <c r="C140"/>
      <c r="F140" s="9"/>
    </row>
    <row r="141" spans="2:6">
      <c r="B141" s="9"/>
      <c r="C141"/>
      <c r="F141" s="9"/>
    </row>
    <row r="142" spans="2:6">
      <c r="B142" s="9"/>
      <c r="F142" s="9"/>
    </row>
    <row r="143" spans="2:6">
      <c r="B143" s="9"/>
      <c r="C143"/>
      <c r="F143" s="9"/>
    </row>
    <row r="144" spans="2:6">
      <c r="B144" s="9"/>
      <c r="C144"/>
      <c r="F144" s="9"/>
    </row>
    <row r="145" spans="2:6">
      <c r="B145" s="9"/>
      <c r="C145"/>
      <c r="F145" s="9"/>
    </row>
    <row r="146" spans="2:6">
      <c r="B146" s="9"/>
      <c r="F146" s="9"/>
    </row>
    <row r="147" spans="2:6">
      <c r="B147" s="9"/>
      <c r="C147"/>
      <c r="F147" s="9"/>
    </row>
    <row r="148" spans="2:6">
      <c r="B148" s="9"/>
      <c r="F148" s="9"/>
    </row>
    <row r="149" spans="2:6">
      <c r="B149" s="9"/>
      <c r="F149" s="9"/>
    </row>
    <row r="150" spans="2:6">
      <c r="B150" s="9"/>
      <c r="F150" s="9"/>
    </row>
    <row r="151" spans="2:6">
      <c r="B151" s="9"/>
      <c r="F151" s="9"/>
    </row>
    <row r="152" spans="2:6">
      <c r="B152" s="9"/>
      <c r="F152" s="9"/>
    </row>
    <row r="153" spans="2:6">
      <c r="B153" s="9"/>
      <c r="C153"/>
      <c r="F153" s="9"/>
    </row>
    <row r="154" spans="2:6">
      <c r="B154" s="9"/>
      <c r="F154" s="9"/>
    </row>
    <row r="155" spans="2:6">
      <c r="B155" s="9"/>
      <c r="F155" s="9"/>
    </row>
    <row r="156" spans="2:6">
      <c r="B156" s="9"/>
      <c r="F156" s="9"/>
    </row>
    <row r="157" spans="2:6">
      <c r="B157" s="9"/>
      <c r="C157"/>
      <c r="F157" s="9"/>
    </row>
    <row r="158" spans="2:6">
      <c r="B158" s="9"/>
      <c r="C158"/>
      <c r="F158" s="9"/>
    </row>
    <row r="159" spans="2:6">
      <c r="B159" s="9"/>
      <c r="C159"/>
      <c r="F159" s="9"/>
    </row>
    <row r="160" spans="2:6">
      <c r="B160" s="9"/>
      <c r="F160" s="9"/>
    </row>
    <row r="161" spans="2:6">
      <c r="B161" s="9"/>
      <c r="F161" s="9"/>
    </row>
    <row r="162" spans="2:6">
      <c r="B162" s="9"/>
      <c r="C162"/>
      <c r="F162" s="9"/>
    </row>
    <row r="163" spans="2:6">
      <c r="B163" s="9"/>
      <c r="C163"/>
      <c r="F163" s="9"/>
    </row>
    <row r="164" spans="2:6">
      <c r="B164" s="9"/>
      <c r="C164"/>
      <c r="F164" s="9"/>
    </row>
    <row r="165" spans="2:6">
      <c r="B165" s="9"/>
      <c r="F165" s="9"/>
    </row>
    <row r="166" spans="2:6">
      <c r="B166" s="9"/>
      <c r="C166"/>
      <c r="D166"/>
      <c r="F166" s="9"/>
    </row>
    <row r="167" spans="2:6">
      <c r="B167" s="9"/>
      <c r="C167"/>
      <c r="F167" s="9"/>
    </row>
    <row r="168" spans="2:6">
      <c r="B168" s="9"/>
      <c r="C168"/>
      <c r="F168" s="9"/>
    </row>
    <row r="169" spans="2:6">
      <c r="B169" s="9"/>
      <c r="F169" s="9"/>
    </row>
    <row r="170" spans="2:6">
      <c r="B170" s="9"/>
      <c r="F170" s="9"/>
    </row>
    <row r="171" spans="2:6">
      <c r="B171" s="9"/>
      <c r="F171" s="9"/>
    </row>
    <row r="172" spans="2:6">
      <c r="B172" s="9"/>
      <c r="C172"/>
      <c r="F172" s="9"/>
    </row>
    <row r="173" spans="2:6">
      <c r="B173" s="9"/>
      <c r="C173"/>
      <c r="F173" s="9"/>
    </row>
    <row r="174" spans="2:6">
      <c r="B174" s="9"/>
      <c r="C174"/>
      <c r="F174" s="9"/>
    </row>
    <row r="175" spans="2:6">
      <c r="B175" s="9"/>
      <c r="F175" s="9"/>
    </row>
    <row r="176" spans="2:6">
      <c r="B176" s="9"/>
      <c r="C176"/>
      <c r="D176"/>
      <c r="F176" s="9"/>
    </row>
    <row r="177" spans="2:6">
      <c r="B177" s="9"/>
      <c r="C177"/>
      <c r="D177"/>
      <c r="F177" s="9"/>
    </row>
    <row r="178" spans="2:6">
      <c r="B178" s="9"/>
      <c r="C178"/>
      <c r="D178"/>
      <c r="F178" s="9"/>
    </row>
    <row r="179" spans="2:6">
      <c r="B179" s="9"/>
      <c r="F179" s="9"/>
    </row>
    <row r="192" spans="9:12">
      <c r="I192">
        <f>IFERROR(VLOOKUP(H192,Rates!$A$2:$B$3,2,0),1)</f>
        <v>1</v>
      </c>
      <c r="J192" t="str">
        <f>IF(G192&lt;&gt;"",G192*I192,"")</f>
        <v/>
      </c>
      <c r="K192" t="str">
        <f>IF(J192&lt;&gt;"",SUM($J$2:J192),"")</f>
        <v/>
      </c>
      <c r="L192">
        <f ca="1">IF(COUNTA(A192:K192)&gt;0,TODAY(),"")</f>
        <v>45942</v>
      </c>
    </row>
    <row r="193" spans="9:12">
      <c r="I193">
        <f>IFERROR(VLOOKUP(H193,Rates!$A$2:$B$3,2,0),1)</f>
        <v>1</v>
      </c>
      <c r="J193" t="str">
        <f>IF(G193&lt;&gt;"",G193*I193,"")</f>
        <v/>
      </c>
      <c r="K193" t="str">
        <f>IF(J193&lt;&gt;"",SUM($J$2:J193),"")</f>
        <v/>
      </c>
      <c r="L193">
        <f ca="1">IF(COUNTA(A193:K193)&gt;0,TODAY(),"")</f>
        <v>45942</v>
      </c>
    </row>
    <row r="194" spans="9:12">
      <c r="I194">
        <f>IFERROR(VLOOKUP(H194,Rates!$A$2:$B$3,2,0),1)</f>
        <v>1</v>
      </c>
      <c r="J194" t="str">
        <f t="shared" ref="J194:J257" si="0">IF(G194&lt;&gt;"",G194*I194,"")</f>
        <v/>
      </c>
      <c r="K194" t="str">
        <f>IF(J194&lt;&gt;"",SUM($J$2:J194),"")</f>
        <v/>
      </c>
      <c r="L194">
        <f ca="1" t="shared" ref="L194:L257" si="1">IF(COUNTA(A194:K194)&gt;0,TODAY(),"")</f>
        <v>45942</v>
      </c>
    </row>
    <row r="195" spans="9:12">
      <c r="I195">
        <f>IFERROR(VLOOKUP(H195,Rates!$A$2:$B$3,2,0),1)</f>
        <v>1</v>
      </c>
      <c r="J195" t="str">
        <f t="shared" si="0"/>
        <v/>
      </c>
      <c r="K195" t="str">
        <f>IF(J195&lt;&gt;"",SUM($J$2:J195),"")</f>
        <v/>
      </c>
      <c r="L195">
        <f ca="1" t="shared" si="1"/>
        <v>45942</v>
      </c>
    </row>
    <row r="196" spans="9:12">
      <c r="I196">
        <f>IFERROR(VLOOKUP(H196,Rates!$A$2:$B$3,2,0),1)</f>
        <v>1</v>
      </c>
      <c r="J196" t="str">
        <f t="shared" si="0"/>
        <v/>
      </c>
      <c r="K196" t="str">
        <f>IF(J196&lt;&gt;"",SUM($J$2:J196),"")</f>
        <v/>
      </c>
      <c r="L196">
        <f ca="1" t="shared" si="1"/>
        <v>45942</v>
      </c>
    </row>
    <row r="197" spans="9:12">
      <c r="I197">
        <f>IFERROR(VLOOKUP(H197,Rates!$A$2:$B$3,2,0),1)</f>
        <v>1</v>
      </c>
      <c r="J197" t="str">
        <f t="shared" si="0"/>
        <v/>
      </c>
      <c r="K197" t="str">
        <f>IF(J197&lt;&gt;"",SUM($J$2:J197),"")</f>
        <v/>
      </c>
      <c r="L197">
        <f ca="1" t="shared" si="1"/>
        <v>45942</v>
      </c>
    </row>
    <row r="198" spans="9:12">
      <c r="I198">
        <f>IFERROR(VLOOKUP(H198,Rates!$A$2:$B$3,2,0),1)</f>
        <v>1</v>
      </c>
      <c r="J198" t="str">
        <f t="shared" si="0"/>
        <v/>
      </c>
      <c r="K198" t="str">
        <f>IF(J198&lt;&gt;"",SUM($J$2:J198),"")</f>
        <v/>
      </c>
      <c r="L198">
        <f ca="1" t="shared" si="1"/>
        <v>45942</v>
      </c>
    </row>
    <row r="199" spans="9:12">
      <c r="I199">
        <f>IFERROR(VLOOKUP(H199,Rates!$A$2:$B$3,2,0),1)</f>
        <v>1</v>
      </c>
      <c r="J199" t="str">
        <f t="shared" si="0"/>
        <v/>
      </c>
      <c r="K199" t="str">
        <f>IF(J199&lt;&gt;"",SUM($J$2:J199),"")</f>
        <v/>
      </c>
      <c r="L199">
        <f ca="1" t="shared" si="1"/>
        <v>45942</v>
      </c>
    </row>
    <row r="200" spans="9:12">
      <c r="I200">
        <f>IFERROR(VLOOKUP(H200,Rates!$A$2:$B$3,2,0),1)</f>
        <v>1</v>
      </c>
      <c r="J200" t="str">
        <f t="shared" si="0"/>
        <v/>
      </c>
      <c r="K200" t="str">
        <f>IF(J200&lt;&gt;"",SUM($J$2:J200),"")</f>
        <v/>
      </c>
      <c r="L200">
        <f ca="1" t="shared" si="1"/>
        <v>45942</v>
      </c>
    </row>
    <row r="201" spans="9:12">
      <c r="I201">
        <f>IFERROR(VLOOKUP(H201,Rates!$A$2:$B$3,2,0),1)</f>
        <v>1</v>
      </c>
      <c r="J201" t="str">
        <f t="shared" si="0"/>
        <v/>
      </c>
      <c r="K201" t="str">
        <f>IF(J201&lt;&gt;"",SUM($J$2:J201),"")</f>
        <v/>
      </c>
      <c r="L201">
        <f ca="1" t="shared" si="1"/>
        <v>45942</v>
      </c>
    </row>
    <row r="202" spans="9:12">
      <c r="I202">
        <f>IFERROR(VLOOKUP(H202,Rates!$A$2:$B$3,2,0),1)</f>
        <v>1</v>
      </c>
      <c r="J202" t="str">
        <f t="shared" si="0"/>
        <v/>
      </c>
      <c r="K202" t="str">
        <f>IF(J202&lt;&gt;"",SUM($J$2:J202),"")</f>
        <v/>
      </c>
      <c r="L202">
        <f ca="1" t="shared" si="1"/>
        <v>45942</v>
      </c>
    </row>
    <row r="203" spans="9:12">
      <c r="I203">
        <f>IFERROR(VLOOKUP(H203,Rates!$A$2:$B$3,2,0),1)</f>
        <v>1</v>
      </c>
      <c r="J203" t="str">
        <f t="shared" si="0"/>
        <v/>
      </c>
      <c r="K203" t="str">
        <f>IF(J203&lt;&gt;"",SUM($J$2:J203),"")</f>
        <v/>
      </c>
      <c r="L203">
        <f ca="1" t="shared" si="1"/>
        <v>45942</v>
      </c>
    </row>
    <row r="204" spans="9:12">
      <c r="I204">
        <f>IFERROR(VLOOKUP(H204,Rates!$A$2:$B$3,2,0),1)</f>
        <v>1</v>
      </c>
      <c r="J204" t="str">
        <f t="shared" si="0"/>
        <v/>
      </c>
      <c r="K204" t="str">
        <f>IF(J204&lt;&gt;"",SUM($J$2:J204),"")</f>
        <v/>
      </c>
      <c r="L204">
        <f ca="1" t="shared" si="1"/>
        <v>45942</v>
      </c>
    </row>
    <row r="205" spans="9:12">
      <c r="I205">
        <f>IFERROR(VLOOKUP(H205,Rates!$A$2:$B$3,2,0),1)</f>
        <v>1</v>
      </c>
      <c r="J205" t="str">
        <f t="shared" si="0"/>
        <v/>
      </c>
      <c r="K205" t="str">
        <f>IF(J205&lt;&gt;"",SUM($J$2:J205),"")</f>
        <v/>
      </c>
      <c r="L205">
        <f ca="1" t="shared" si="1"/>
        <v>45942</v>
      </c>
    </row>
    <row r="206" spans="9:12">
      <c r="I206">
        <f>IFERROR(VLOOKUP(H206,Rates!$A$2:$B$3,2,0),1)</f>
        <v>1</v>
      </c>
      <c r="J206" t="str">
        <f t="shared" si="0"/>
        <v/>
      </c>
      <c r="K206" t="str">
        <f>IF(J206&lt;&gt;"",SUM($J$2:J206),"")</f>
        <v/>
      </c>
      <c r="L206">
        <f ca="1" t="shared" si="1"/>
        <v>45942</v>
      </c>
    </row>
    <row r="207" spans="9:12">
      <c r="I207">
        <f>IFERROR(VLOOKUP(H207,Rates!$A$2:$B$3,2,0),1)</f>
        <v>1</v>
      </c>
      <c r="J207" t="str">
        <f t="shared" si="0"/>
        <v/>
      </c>
      <c r="K207" t="str">
        <f>IF(J207&lt;&gt;"",SUM($J$2:J207),"")</f>
        <v/>
      </c>
      <c r="L207">
        <f ca="1" t="shared" si="1"/>
        <v>45942</v>
      </c>
    </row>
    <row r="208" spans="9:12">
      <c r="I208">
        <f>IFERROR(VLOOKUP(H208,Rates!$A$2:$B$3,2,0),1)</f>
        <v>1</v>
      </c>
      <c r="J208" t="str">
        <f t="shared" si="0"/>
        <v/>
      </c>
      <c r="K208" t="str">
        <f>IF(J208&lt;&gt;"",SUM($J$2:J208),"")</f>
        <v/>
      </c>
      <c r="L208">
        <f ca="1" t="shared" si="1"/>
        <v>45942</v>
      </c>
    </row>
    <row r="209" spans="9:12">
      <c r="I209">
        <f>IFERROR(VLOOKUP(H209,Rates!$A$2:$B$3,2,0),1)</f>
        <v>1</v>
      </c>
      <c r="J209" t="str">
        <f t="shared" si="0"/>
        <v/>
      </c>
      <c r="K209" t="str">
        <f>IF(J209&lt;&gt;"",SUM($J$2:J209),"")</f>
        <v/>
      </c>
      <c r="L209">
        <f ca="1" t="shared" si="1"/>
        <v>45942</v>
      </c>
    </row>
    <row r="210" spans="9:12">
      <c r="I210">
        <f>IFERROR(VLOOKUP(H210,Rates!$A$2:$B$3,2,0),1)</f>
        <v>1</v>
      </c>
      <c r="J210" t="str">
        <f t="shared" si="0"/>
        <v/>
      </c>
      <c r="K210" t="str">
        <f>IF(J210&lt;&gt;"",SUM($J$2:J210),"")</f>
        <v/>
      </c>
      <c r="L210">
        <f ca="1" t="shared" si="1"/>
        <v>45942</v>
      </c>
    </row>
    <row r="211" spans="9:12">
      <c r="I211">
        <f>IFERROR(VLOOKUP(H211,Rates!$A$2:$B$3,2,0),1)</f>
        <v>1</v>
      </c>
      <c r="J211" t="str">
        <f t="shared" si="0"/>
        <v/>
      </c>
      <c r="K211" t="str">
        <f>IF(J211&lt;&gt;"",SUM($J$2:J211),"")</f>
        <v/>
      </c>
      <c r="L211">
        <f ca="1" t="shared" si="1"/>
        <v>45942</v>
      </c>
    </row>
    <row r="212" spans="9:12">
      <c r="I212">
        <f>IFERROR(VLOOKUP(H212,Rates!$A$2:$B$3,2,0),1)</f>
        <v>1</v>
      </c>
      <c r="J212" t="str">
        <f t="shared" si="0"/>
        <v/>
      </c>
      <c r="K212" t="str">
        <f>IF(J212&lt;&gt;"",SUM($J$2:J212),"")</f>
        <v/>
      </c>
      <c r="L212">
        <f ca="1" t="shared" si="1"/>
        <v>45942</v>
      </c>
    </row>
    <row r="213" spans="9:12">
      <c r="I213">
        <f>IFERROR(VLOOKUP(H213,Rates!$A$2:$B$3,2,0),1)</f>
        <v>1</v>
      </c>
      <c r="J213" t="str">
        <f t="shared" si="0"/>
        <v/>
      </c>
      <c r="K213" t="str">
        <f>IF(J213&lt;&gt;"",SUM($J$2:J213),"")</f>
        <v/>
      </c>
      <c r="L213">
        <f ca="1" t="shared" si="1"/>
        <v>45942</v>
      </c>
    </row>
    <row r="214" spans="9:12">
      <c r="I214">
        <f>IFERROR(VLOOKUP(H214,Rates!$A$2:$B$3,2,0),1)</f>
        <v>1</v>
      </c>
      <c r="J214" t="str">
        <f t="shared" si="0"/>
        <v/>
      </c>
      <c r="K214" t="str">
        <f>IF(J214&lt;&gt;"",SUM($J$2:J214),"")</f>
        <v/>
      </c>
      <c r="L214">
        <f ca="1" t="shared" si="1"/>
        <v>45942</v>
      </c>
    </row>
    <row r="215" spans="9:12">
      <c r="I215">
        <f>IFERROR(VLOOKUP(H215,Rates!$A$2:$B$3,2,0),1)</f>
        <v>1</v>
      </c>
      <c r="J215" t="str">
        <f t="shared" si="0"/>
        <v/>
      </c>
      <c r="K215" t="str">
        <f>IF(J215&lt;&gt;"",SUM($J$2:J215),"")</f>
        <v/>
      </c>
      <c r="L215">
        <f ca="1" t="shared" si="1"/>
        <v>45942</v>
      </c>
    </row>
    <row r="216" spans="9:12">
      <c r="I216">
        <f>IFERROR(VLOOKUP(H216,Rates!$A$2:$B$3,2,0),1)</f>
        <v>1</v>
      </c>
      <c r="J216" t="str">
        <f t="shared" si="0"/>
        <v/>
      </c>
      <c r="K216" t="str">
        <f>IF(J216&lt;&gt;"",SUM($J$2:J216),"")</f>
        <v/>
      </c>
      <c r="L216">
        <f ca="1" t="shared" si="1"/>
        <v>45942</v>
      </c>
    </row>
    <row r="217" spans="9:12">
      <c r="I217">
        <f>IFERROR(VLOOKUP(H217,Rates!$A$2:$B$3,2,0),1)</f>
        <v>1</v>
      </c>
      <c r="J217" t="str">
        <f t="shared" si="0"/>
        <v/>
      </c>
      <c r="K217" t="str">
        <f>IF(J217&lt;&gt;"",SUM($J$2:J217),"")</f>
        <v/>
      </c>
      <c r="L217">
        <f ca="1" t="shared" si="1"/>
        <v>45942</v>
      </c>
    </row>
    <row r="218" spans="9:12">
      <c r="I218">
        <f>IFERROR(VLOOKUP(H218,Rates!$A$2:$B$3,2,0),1)</f>
        <v>1</v>
      </c>
      <c r="J218" t="str">
        <f t="shared" si="0"/>
        <v/>
      </c>
      <c r="K218" t="str">
        <f>IF(J218&lt;&gt;"",SUM($J$2:J218),"")</f>
        <v/>
      </c>
      <c r="L218">
        <f ca="1" t="shared" si="1"/>
        <v>45942</v>
      </c>
    </row>
    <row r="219" spans="9:12">
      <c r="I219">
        <f>IFERROR(VLOOKUP(H219,Rates!$A$2:$B$3,2,0),1)</f>
        <v>1</v>
      </c>
      <c r="J219" t="str">
        <f t="shared" si="0"/>
        <v/>
      </c>
      <c r="K219" t="str">
        <f>IF(J219&lt;&gt;"",SUM($J$2:J219),"")</f>
        <v/>
      </c>
      <c r="L219">
        <f ca="1" t="shared" si="1"/>
        <v>45942</v>
      </c>
    </row>
    <row r="220" spans="9:12">
      <c r="I220">
        <f>IFERROR(VLOOKUP(H220,Rates!$A$2:$B$3,2,0),1)</f>
        <v>1</v>
      </c>
      <c r="J220" t="str">
        <f t="shared" si="0"/>
        <v/>
      </c>
      <c r="K220" t="str">
        <f>IF(J220&lt;&gt;"",SUM($J$2:J220),"")</f>
        <v/>
      </c>
      <c r="L220">
        <f ca="1" t="shared" si="1"/>
        <v>45942</v>
      </c>
    </row>
    <row r="221" spans="9:12">
      <c r="I221">
        <f>IFERROR(VLOOKUP(H221,Rates!$A$2:$B$3,2,0),1)</f>
        <v>1</v>
      </c>
      <c r="J221" t="str">
        <f t="shared" si="0"/>
        <v/>
      </c>
      <c r="K221" t="str">
        <f>IF(J221&lt;&gt;"",SUM($J$2:J221),"")</f>
        <v/>
      </c>
      <c r="L221">
        <f ca="1" t="shared" si="1"/>
        <v>45942</v>
      </c>
    </row>
    <row r="222" spans="9:12">
      <c r="I222">
        <f>IFERROR(VLOOKUP(H222,Rates!$A$2:$B$3,2,0),1)</f>
        <v>1</v>
      </c>
      <c r="J222" t="str">
        <f t="shared" si="0"/>
        <v/>
      </c>
      <c r="K222" t="str">
        <f>IF(J222&lt;&gt;"",SUM($J$2:J222),"")</f>
        <v/>
      </c>
      <c r="L222">
        <f ca="1" t="shared" si="1"/>
        <v>45942</v>
      </c>
    </row>
    <row r="223" spans="9:12">
      <c r="I223">
        <f>IFERROR(VLOOKUP(H223,Rates!$A$2:$B$3,2,0),1)</f>
        <v>1</v>
      </c>
      <c r="J223" t="str">
        <f t="shared" si="0"/>
        <v/>
      </c>
      <c r="K223" t="str">
        <f>IF(J223&lt;&gt;"",SUM($J$2:J223),"")</f>
        <v/>
      </c>
      <c r="L223">
        <f ca="1" t="shared" si="1"/>
        <v>45942</v>
      </c>
    </row>
    <row r="224" spans="9:12">
      <c r="I224">
        <f>IFERROR(VLOOKUP(H224,Rates!$A$2:$B$3,2,0),1)</f>
        <v>1</v>
      </c>
      <c r="J224" t="str">
        <f t="shared" si="0"/>
        <v/>
      </c>
      <c r="K224" t="str">
        <f>IF(J224&lt;&gt;"",SUM($J$2:J224),"")</f>
        <v/>
      </c>
      <c r="L224">
        <f ca="1" t="shared" si="1"/>
        <v>45942</v>
      </c>
    </row>
    <row r="225" spans="9:12">
      <c r="I225">
        <f>IFERROR(VLOOKUP(H225,Rates!$A$2:$B$3,2,0),1)</f>
        <v>1</v>
      </c>
      <c r="J225" t="str">
        <f t="shared" si="0"/>
        <v/>
      </c>
      <c r="K225" t="str">
        <f>IF(J225&lt;&gt;"",SUM($J$2:J225),"")</f>
        <v/>
      </c>
      <c r="L225">
        <f ca="1" t="shared" si="1"/>
        <v>45942</v>
      </c>
    </row>
    <row r="226" spans="9:12">
      <c r="I226">
        <f>IFERROR(VLOOKUP(H226,Rates!$A$2:$B$3,2,0),1)</f>
        <v>1</v>
      </c>
      <c r="J226" t="str">
        <f t="shared" si="0"/>
        <v/>
      </c>
      <c r="K226" t="str">
        <f>IF(J226&lt;&gt;"",SUM($J$2:J226),"")</f>
        <v/>
      </c>
      <c r="L226">
        <f ca="1" t="shared" si="1"/>
        <v>45942</v>
      </c>
    </row>
    <row r="227" spans="9:12">
      <c r="I227">
        <f>IFERROR(VLOOKUP(H227,Rates!$A$2:$B$3,2,0),1)</f>
        <v>1</v>
      </c>
      <c r="J227" t="str">
        <f t="shared" si="0"/>
        <v/>
      </c>
      <c r="K227" t="str">
        <f>IF(J227&lt;&gt;"",SUM($J$2:J227),"")</f>
        <v/>
      </c>
      <c r="L227">
        <f ca="1" t="shared" si="1"/>
        <v>45942</v>
      </c>
    </row>
    <row r="228" spans="9:12">
      <c r="I228">
        <f>IFERROR(VLOOKUP(H228,Rates!$A$2:$B$3,2,0),1)</f>
        <v>1</v>
      </c>
      <c r="J228" t="str">
        <f t="shared" si="0"/>
        <v/>
      </c>
      <c r="K228" t="str">
        <f>IF(J228&lt;&gt;"",SUM($J$2:J228),"")</f>
        <v/>
      </c>
      <c r="L228">
        <f ca="1" t="shared" si="1"/>
        <v>45942</v>
      </c>
    </row>
    <row r="229" spans="9:12">
      <c r="I229">
        <f>IFERROR(VLOOKUP(H229,Rates!$A$2:$B$3,2,0),1)</f>
        <v>1</v>
      </c>
      <c r="J229" t="str">
        <f t="shared" si="0"/>
        <v/>
      </c>
      <c r="K229" t="str">
        <f>IF(J229&lt;&gt;"",SUM($J$2:J229),"")</f>
        <v/>
      </c>
      <c r="L229">
        <f ca="1" t="shared" si="1"/>
        <v>45942</v>
      </c>
    </row>
    <row r="230" spans="9:12">
      <c r="I230">
        <f>IFERROR(VLOOKUP(H230,Rates!$A$2:$B$3,2,0),1)</f>
        <v>1</v>
      </c>
      <c r="J230" t="str">
        <f t="shared" si="0"/>
        <v/>
      </c>
      <c r="K230" t="str">
        <f>IF(J230&lt;&gt;"",SUM($J$2:J230),"")</f>
        <v/>
      </c>
      <c r="L230">
        <f ca="1" t="shared" si="1"/>
        <v>45942</v>
      </c>
    </row>
    <row r="231" spans="9:12">
      <c r="I231">
        <f>IFERROR(VLOOKUP(H231,Rates!$A$2:$B$3,2,0),1)</f>
        <v>1</v>
      </c>
      <c r="J231" t="str">
        <f t="shared" si="0"/>
        <v/>
      </c>
      <c r="K231" t="str">
        <f>IF(J231&lt;&gt;"",SUM($J$2:J231),"")</f>
        <v/>
      </c>
      <c r="L231">
        <f ca="1" t="shared" si="1"/>
        <v>45942</v>
      </c>
    </row>
    <row r="232" spans="9:12">
      <c r="I232">
        <f>IFERROR(VLOOKUP(H232,Rates!$A$2:$B$3,2,0),1)</f>
        <v>1</v>
      </c>
      <c r="J232" t="str">
        <f t="shared" si="0"/>
        <v/>
      </c>
      <c r="K232" t="str">
        <f>IF(J232&lt;&gt;"",SUM($J$2:J232),"")</f>
        <v/>
      </c>
      <c r="L232">
        <f ca="1" t="shared" si="1"/>
        <v>45942</v>
      </c>
    </row>
    <row r="233" spans="9:12">
      <c r="I233">
        <f>IFERROR(VLOOKUP(H233,Rates!$A$2:$B$3,2,0),1)</f>
        <v>1</v>
      </c>
      <c r="J233" t="str">
        <f t="shared" si="0"/>
        <v/>
      </c>
      <c r="K233" t="str">
        <f>IF(J233&lt;&gt;"",SUM($J$2:J233),"")</f>
        <v/>
      </c>
      <c r="L233">
        <f ca="1" t="shared" si="1"/>
        <v>45942</v>
      </c>
    </row>
    <row r="234" spans="9:12">
      <c r="I234">
        <f>IFERROR(VLOOKUP(H234,Rates!$A$2:$B$3,2,0),1)</f>
        <v>1</v>
      </c>
      <c r="J234" t="str">
        <f t="shared" si="0"/>
        <v/>
      </c>
      <c r="K234" t="str">
        <f>IF(J234&lt;&gt;"",SUM($J$2:J234),"")</f>
        <v/>
      </c>
      <c r="L234">
        <f ca="1" t="shared" si="1"/>
        <v>45942</v>
      </c>
    </row>
    <row r="235" spans="9:12">
      <c r="I235">
        <f>IFERROR(VLOOKUP(H235,Rates!$A$2:$B$3,2,0),1)</f>
        <v>1</v>
      </c>
      <c r="J235" t="str">
        <f t="shared" si="0"/>
        <v/>
      </c>
      <c r="K235" t="str">
        <f>IF(J235&lt;&gt;"",SUM($J$2:J235),"")</f>
        <v/>
      </c>
      <c r="L235">
        <f ca="1" t="shared" si="1"/>
        <v>45942</v>
      </c>
    </row>
    <row r="236" spans="9:12">
      <c r="I236">
        <f>IFERROR(VLOOKUP(H236,Rates!$A$2:$B$3,2,0),1)</f>
        <v>1</v>
      </c>
      <c r="J236" t="str">
        <f t="shared" si="0"/>
        <v/>
      </c>
      <c r="K236" t="str">
        <f>IF(J236&lt;&gt;"",SUM($J$2:J236),"")</f>
        <v/>
      </c>
      <c r="L236">
        <f ca="1" t="shared" si="1"/>
        <v>45942</v>
      </c>
    </row>
    <row r="237" spans="9:12">
      <c r="I237">
        <f>IFERROR(VLOOKUP(H237,Rates!$A$2:$B$3,2,0),1)</f>
        <v>1</v>
      </c>
      <c r="J237" t="str">
        <f t="shared" si="0"/>
        <v/>
      </c>
      <c r="K237" t="str">
        <f>IF(J237&lt;&gt;"",SUM($J$2:J237),"")</f>
        <v/>
      </c>
      <c r="L237">
        <f ca="1" t="shared" si="1"/>
        <v>45942</v>
      </c>
    </row>
    <row r="238" spans="9:12">
      <c r="I238">
        <f>IFERROR(VLOOKUP(H238,Rates!$A$2:$B$3,2,0),1)</f>
        <v>1</v>
      </c>
      <c r="J238" t="str">
        <f t="shared" si="0"/>
        <v/>
      </c>
      <c r="K238" t="str">
        <f>IF(J238&lt;&gt;"",SUM($J$2:J238),"")</f>
        <v/>
      </c>
      <c r="L238">
        <f ca="1" t="shared" si="1"/>
        <v>45942</v>
      </c>
    </row>
    <row r="239" spans="9:12">
      <c r="I239">
        <f>IFERROR(VLOOKUP(H239,Rates!$A$2:$B$3,2,0),1)</f>
        <v>1</v>
      </c>
      <c r="J239" t="str">
        <f t="shared" si="0"/>
        <v/>
      </c>
      <c r="K239" t="str">
        <f>IF(J239&lt;&gt;"",SUM($J$2:J239),"")</f>
        <v/>
      </c>
      <c r="L239">
        <f ca="1" t="shared" si="1"/>
        <v>45942</v>
      </c>
    </row>
    <row r="240" spans="9:12">
      <c r="I240">
        <f>IFERROR(VLOOKUP(H240,Rates!$A$2:$B$3,2,0),1)</f>
        <v>1</v>
      </c>
      <c r="J240" t="str">
        <f t="shared" si="0"/>
        <v/>
      </c>
      <c r="K240" t="str">
        <f>IF(J240&lt;&gt;"",SUM($J$2:J240),"")</f>
        <v/>
      </c>
      <c r="L240">
        <f ca="1" t="shared" si="1"/>
        <v>45942</v>
      </c>
    </row>
    <row r="241" spans="9:12">
      <c r="I241">
        <f>IFERROR(VLOOKUP(H241,Rates!$A$2:$B$3,2,0),1)</f>
        <v>1</v>
      </c>
      <c r="J241" t="str">
        <f t="shared" si="0"/>
        <v/>
      </c>
      <c r="K241" t="str">
        <f>IF(J241&lt;&gt;"",SUM($J$2:J241),"")</f>
        <v/>
      </c>
      <c r="L241">
        <f ca="1" t="shared" si="1"/>
        <v>45942</v>
      </c>
    </row>
    <row r="242" spans="9:12">
      <c r="I242">
        <f>IFERROR(VLOOKUP(H242,Rates!$A$2:$B$3,2,0),1)</f>
        <v>1</v>
      </c>
      <c r="J242" t="str">
        <f t="shared" si="0"/>
        <v/>
      </c>
      <c r="K242" t="str">
        <f>IF(J242&lt;&gt;"",SUM($J$2:J242),"")</f>
        <v/>
      </c>
      <c r="L242">
        <f ca="1" t="shared" si="1"/>
        <v>45942</v>
      </c>
    </row>
    <row r="243" spans="9:12">
      <c r="I243">
        <f>IFERROR(VLOOKUP(H243,Rates!$A$2:$B$3,2,0),1)</f>
        <v>1</v>
      </c>
      <c r="J243" t="str">
        <f t="shared" si="0"/>
        <v/>
      </c>
      <c r="K243" t="str">
        <f>IF(J243&lt;&gt;"",SUM($J$2:J243),"")</f>
        <v/>
      </c>
      <c r="L243">
        <f ca="1" t="shared" si="1"/>
        <v>45942</v>
      </c>
    </row>
    <row r="244" spans="9:12">
      <c r="I244">
        <f>IFERROR(VLOOKUP(H244,Rates!$A$2:$B$3,2,0),1)</f>
        <v>1</v>
      </c>
      <c r="J244" t="str">
        <f t="shared" si="0"/>
        <v/>
      </c>
      <c r="K244" t="str">
        <f>IF(J244&lt;&gt;"",SUM($J$2:J244),"")</f>
        <v/>
      </c>
      <c r="L244">
        <f ca="1" t="shared" si="1"/>
        <v>45942</v>
      </c>
    </row>
    <row r="245" spans="9:12">
      <c r="I245">
        <f>IFERROR(VLOOKUP(H245,Rates!$A$2:$B$3,2,0),1)</f>
        <v>1</v>
      </c>
      <c r="J245" t="str">
        <f t="shared" si="0"/>
        <v/>
      </c>
      <c r="K245" t="str">
        <f>IF(J245&lt;&gt;"",SUM($J$2:J245),"")</f>
        <v/>
      </c>
      <c r="L245">
        <f ca="1" t="shared" si="1"/>
        <v>45942</v>
      </c>
    </row>
    <row r="246" spans="9:12">
      <c r="I246">
        <f>IFERROR(VLOOKUP(H246,Rates!$A$2:$B$3,2,0),1)</f>
        <v>1</v>
      </c>
      <c r="J246" t="str">
        <f t="shared" si="0"/>
        <v/>
      </c>
      <c r="K246" t="str">
        <f>IF(J246&lt;&gt;"",SUM($J$2:J246),"")</f>
        <v/>
      </c>
      <c r="L246">
        <f ca="1" t="shared" si="1"/>
        <v>45942</v>
      </c>
    </row>
    <row r="247" spans="9:12">
      <c r="I247">
        <f>IFERROR(VLOOKUP(H247,Rates!$A$2:$B$3,2,0),1)</f>
        <v>1</v>
      </c>
      <c r="J247" t="str">
        <f t="shared" si="0"/>
        <v/>
      </c>
      <c r="K247" t="str">
        <f>IF(J247&lt;&gt;"",SUM($J$2:J247),"")</f>
        <v/>
      </c>
      <c r="L247">
        <f ca="1" t="shared" si="1"/>
        <v>45942</v>
      </c>
    </row>
    <row r="248" spans="9:12">
      <c r="I248">
        <f>IFERROR(VLOOKUP(H248,Rates!$A$2:$B$3,2,0),1)</f>
        <v>1</v>
      </c>
      <c r="J248" t="str">
        <f t="shared" si="0"/>
        <v/>
      </c>
      <c r="K248" t="str">
        <f>IF(J248&lt;&gt;"",SUM($J$2:J248),"")</f>
        <v/>
      </c>
      <c r="L248">
        <f ca="1" t="shared" si="1"/>
        <v>45942</v>
      </c>
    </row>
    <row r="249" spans="9:12">
      <c r="I249">
        <f>IFERROR(VLOOKUP(H249,Rates!$A$2:$B$3,2,0),1)</f>
        <v>1</v>
      </c>
      <c r="J249" t="str">
        <f t="shared" si="0"/>
        <v/>
      </c>
      <c r="K249" t="str">
        <f>IF(J249&lt;&gt;"",SUM($J$2:J249),"")</f>
        <v/>
      </c>
      <c r="L249">
        <f ca="1" t="shared" si="1"/>
        <v>45942</v>
      </c>
    </row>
    <row r="250" spans="9:12">
      <c r="I250">
        <f>IFERROR(VLOOKUP(H250,Rates!$A$2:$B$3,2,0),1)</f>
        <v>1</v>
      </c>
      <c r="J250" t="str">
        <f t="shared" si="0"/>
        <v/>
      </c>
      <c r="K250" t="str">
        <f>IF(J250&lt;&gt;"",SUM($J$2:J250),"")</f>
        <v/>
      </c>
      <c r="L250">
        <f ca="1" t="shared" si="1"/>
        <v>45942</v>
      </c>
    </row>
    <row r="251" spans="9:12">
      <c r="I251">
        <f>IFERROR(VLOOKUP(H251,Rates!$A$2:$B$3,2,0),1)</f>
        <v>1</v>
      </c>
      <c r="J251" t="str">
        <f t="shared" si="0"/>
        <v/>
      </c>
      <c r="K251" t="str">
        <f>IF(J251&lt;&gt;"",SUM($J$2:J251),"")</f>
        <v/>
      </c>
      <c r="L251">
        <f ca="1" t="shared" si="1"/>
        <v>45942</v>
      </c>
    </row>
    <row r="252" spans="9:12">
      <c r="I252">
        <f>IFERROR(VLOOKUP(H252,Rates!$A$2:$B$3,2,0),1)</f>
        <v>1</v>
      </c>
      <c r="J252" t="str">
        <f t="shared" si="0"/>
        <v/>
      </c>
      <c r="K252" t="str">
        <f>IF(J252&lt;&gt;"",SUM($J$2:J252),"")</f>
        <v/>
      </c>
      <c r="L252">
        <f ca="1" t="shared" si="1"/>
        <v>45942</v>
      </c>
    </row>
    <row r="253" spans="9:12">
      <c r="I253">
        <f>IFERROR(VLOOKUP(H253,Rates!$A$2:$B$3,2,0),1)</f>
        <v>1</v>
      </c>
      <c r="J253" t="str">
        <f t="shared" si="0"/>
        <v/>
      </c>
      <c r="K253" t="str">
        <f>IF(J253&lt;&gt;"",SUM($J$2:J253),"")</f>
        <v/>
      </c>
      <c r="L253">
        <f ca="1" t="shared" si="1"/>
        <v>45942</v>
      </c>
    </row>
    <row r="254" spans="9:12">
      <c r="I254">
        <f>IFERROR(VLOOKUP(H254,Rates!$A$2:$B$3,2,0),1)</f>
        <v>1</v>
      </c>
      <c r="J254" t="str">
        <f t="shared" si="0"/>
        <v/>
      </c>
      <c r="K254" t="str">
        <f>IF(J254&lt;&gt;"",SUM($J$2:J254),"")</f>
        <v/>
      </c>
      <c r="L254">
        <f ca="1" t="shared" si="1"/>
        <v>45942</v>
      </c>
    </row>
    <row r="255" spans="9:12">
      <c r="I255">
        <f>IFERROR(VLOOKUP(H255,Rates!$A$2:$B$3,2,0),1)</f>
        <v>1</v>
      </c>
      <c r="J255" t="str">
        <f t="shared" si="0"/>
        <v/>
      </c>
      <c r="K255" t="str">
        <f>IF(J255&lt;&gt;"",SUM($J$2:J255),"")</f>
        <v/>
      </c>
      <c r="L255">
        <f ca="1" t="shared" si="1"/>
        <v>45942</v>
      </c>
    </row>
    <row r="256" spans="9:12">
      <c r="I256">
        <f>IFERROR(VLOOKUP(H256,Rates!$A$2:$B$3,2,0),1)</f>
        <v>1</v>
      </c>
      <c r="J256" t="str">
        <f t="shared" si="0"/>
        <v/>
      </c>
      <c r="K256" t="str">
        <f>IF(J256&lt;&gt;"",SUM($J$2:J256),"")</f>
        <v/>
      </c>
      <c r="L256">
        <f ca="1" t="shared" si="1"/>
        <v>45942</v>
      </c>
    </row>
    <row r="257" spans="9:12">
      <c r="I257">
        <f>IFERROR(VLOOKUP(H257,Rates!$A$2:$B$3,2,0),1)</f>
        <v>1</v>
      </c>
      <c r="J257" t="str">
        <f t="shared" si="0"/>
        <v/>
      </c>
      <c r="K257" t="str">
        <f>IF(J257&lt;&gt;"",SUM($J$2:J257),"")</f>
        <v/>
      </c>
      <c r="L257">
        <f ca="1" t="shared" si="1"/>
        <v>45942</v>
      </c>
    </row>
    <row r="258" spans="9:12">
      <c r="I258">
        <f>IFERROR(VLOOKUP(H258,Rates!$A$2:$B$3,2,0),1)</f>
        <v>1</v>
      </c>
      <c r="J258" t="str">
        <f t="shared" ref="J258:J301" si="2">IF(G258&lt;&gt;"",G258*I258,"")</f>
        <v/>
      </c>
      <c r="K258" t="str">
        <f>IF(J258&lt;&gt;"",SUM($J$2:J258),"")</f>
        <v/>
      </c>
      <c r="L258">
        <f ca="1" t="shared" ref="L258:L301" si="3">IF(COUNTA(A258:K258)&gt;0,TODAY(),"")</f>
        <v>45942</v>
      </c>
    </row>
    <row r="259" spans="9:12">
      <c r="I259">
        <f>IFERROR(VLOOKUP(H259,Rates!$A$2:$B$3,2,0),1)</f>
        <v>1</v>
      </c>
      <c r="J259" t="str">
        <f t="shared" si="2"/>
        <v/>
      </c>
      <c r="K259" t="str">
        <f>IF(J259&lt;&gt;"",SUM($J$2:J259),"")</f>
        <v/>
      </c>
      <c r="L259">
        <f ca="1" t="shared" si="3"/>
        <v>45942</v>
      </c>
    </row>
    <row r="260" spans="9:12">
      <c r="I260">
        <f>IFERROR(VLOOKUP(H260,Rates!$A$2:$B$3,2,0),1)</f>
        <v>1</v>
      </c>
      <c r="J260" t="str">
        <f t="shared" si="2"/>
        <v/>
      </c>
      <c r="K260" t="str">
        <f>IF(J260&lt;&gt;"",SUM($J$2:J260),"")</f>
        <v/>
      </c>
      <c r="L260">
        <f ca="1" t="shared" si="3"/>
        <v>45942</v>
      </c>
    </row>
    <row r="261" spans="9:12">
      <c r="I261">
        <f>IFERROR(VLOOKUP(H261,Rates!$A$2:$B$3,2,0),1)</f>
        <v>1</v>
      </c>
      <c r="J261" t="str">
        <f t="shared" si="2"/>
        <v/>
      </c>
      <c r="K261" t="str">
        <f>IF(J261&lt;&gt;"",SUM($J$2:J261),"")</f>
        <v/>
      </c>
      <c r="L261">
        <f ca="1" t="shared" si="3"/>
        <v>45942</v>
      </c>
    </row>
    <row r="262" spans="9:12">
      <c r="I262">
        <f>IFERROR(VLOOKUP(H262,Rates!$A$2:$B$3,2,0),1)</f>
        <v>1</v>
      </c>
      <c r="J262" t="str">
        <f t="shared" si="2"/>
        <v/>
      </c>
      <c r="K262" t="str">
        <f>IF(J262&lt;&gt;"",SUM($J$2:J262),"")</f>
        <v/>
      </c>
      <c r="L262">
        <f ca="1" t="shared" si="3"/>
        <v>45942</v>
      </c>
    </row>
    <row r="263" spans="9:12">
      <c r="I263">
        <f>IFERROR(VLOOKUP(H263,Rates!$A$2:$B$3,2,0),1)</f>
        <v>1</v>
      </c>
      <c r="J263" t="str">
        <f t="shared" si="2"/>
        <v/>
      </c>
      <c r="K263" t="str">
        <f>IF(J263&lt;&gt;"",SUM($J$2:J263),"")</f>
        <v/>
      </c>
      <c r="L263">
        <f ca="1" t="shared" si="3"/>
        <v>45942</v>
      </c>
    </row>
    <row r="264" spans="9:12">
      <c r="I264">
        <f>IFERROR(VLOOKUP(H264,Rates!$A$2:$B$3,2,0),1)</f>
        <v>1</v>
      </c>
      <c r="J264" t="str">
        <f t="shared" si="2"/>
        <v/>
      </c>
      <c r="K264" t="str">
        <f>IF(J264&lt;&gt;"",SUM($J$2:J264),"")</f>
        <v/>
      </c>
      <c r="L264">
        <f ca="1" t="shared" si="3"/>
        <v>45942</v>
      </c>
    </row>
    <row r="265" spans="9:12">
      <c r="I265">
        <f>IFERROR(VLOOKUP(H265,Rates!$A$2:$B$3,2,0),1)</f>
        <v>1</v>
      </c>
      <c r="J265" t="str">
        <f t="shared" si="2"/>
        <v/>
      </c>
      <c r="K265" t="str">
        <f>IF(J265&lt;&gt;"",SUM($J$2:J265),"")</f>
        <v/>
      </c>
      <c r="L265">
        <f ca="1" t="shared" si="3"/>
        <v>45942</v>
      </c>
    </row>
    <row r="266" spans="9:12">
      <c r="I266">
        <f>IFERROR(VLOOKUP(H266,Rates!$A$2:$B$3,2,0),1)</f>
        <v>1</v>
      </c>
      <c r="J266" t="str">
        <f t="shared" si="2"/>
        <v/>
      </c>
      <c r="K266" t="str">
        <f>IF(J266&lt;&gt;"",SUM($J$2:J266),"")</f>
        <v/>
      </c>
      <c r="L266">
        <f ca="1" t="shared" si="3"/>
        <v>45942</v>
      </c>
    </row>
    <row r="267" spans="9:12">
      <c r="I267">
        <f>IFERROR(VLOOKUP(H267,Rates!$A$2:$B$3,2,0),1)</f>
        <v>1</v>
      </c>
      <c r="J267" t="str">
        <f t="shared" si="2"/>
        <v/>
      </c>
      <c r="K267" t="str">
        <f>IF(J267&lt;&gt;"",SUM($J$2:J267),"")</f>
        <v/>
      </c>
      <c r="L267">
        <f ca="1" t="shared" si="3"/>
        <v>45942</v>
      </c>
    </row>
    <row r="268" spans="9:12">
      <c r="I268">
        <f>IFERROR(VLOOKUP(H268,Rates!$A$2:$B$3,2,0),1)</f>
        <v>1</v>
      </c>
      <c r="J268" t="str">
        <f t="shared" si="2"/>
        <v/>
      </c>
      <c r="K268" t="str">
        <f>IF(J268&lt;&gt;"",SUM($J$2:J268),"")</f>
        <v/>
      </c>
      <c r="L268">
        <f ca="1" t="shared" si="3"/>
        <v>45942</v>
      </c>
    </row>
    <row r="269" spans="9:12">
      <c r="I269">
        <f>IFERROR(VLOOKUP(H269,Rates!$A$2:$B$3,2,0),1)</f>
        <v>1</v>
      </c>
      <c r="J269" t="str">
        <f t="shared" si="2"/>
        <v/>
      </c>
      <c r="K269" t="str">
        <f>IF(J269&lt;&gt;"",SUM($J$2:J269),"")</f>
        <v/>
      </c>
      <c r="L269">
        <f ca="1" t="shared" si="3"/>
        <v>45942</v>
      </c>
    </row>
    <row r="270" spans="9:12">
      <c r="I270">
        <f>IFERROR(VLOOKUP(H270,Rates!$A$2:$B$3,2,0),1)</f>
        <v>1</v>
      </c>
      <c r="J270" t="str">
        <f t="shared" si="2"/>
        <v/>
      </c>
      <c r="K270" t="str">
        <f>IF(J270&lt;&gt;"",SUM($J$2:J270),"")</f>
        <v/>
      </c>
      <c r="L270">
        <f ca="1" t="shared" si="3"/>
        <v>45942</v>
      </c>
    </row>
    <row r="271" spans="9:12">
      <c r="I271">
        <f>IFERROR(VLOOKUP(H271,Rates!$A$2:$B$3,2,0),1)</f>
        <v>1</v>
      </c>
      <c r="J271" t="str">
        <f t="shared" si="2"/>
        <v/>
      </c>
      <c r="K271" t="str">
        <f>IF(J271&lt;&gt;"",SUM($J$2:J271),"")</f>
        <v/>
      </c>
      <c r="L271">
        <f ca="1" t="shared" si="3"/>
        <v>45942</v>
      </c>
    </row>
    <row r="272" spans="9:12">
      <c r="I272">
        <f>IFERROR(VLOOKUP(H272,Rates!$A$2:$B$3,2,0),1)</f>
        <v>1</v>
      </c>
      <c r="J272" t="str">
        <f t="shared" si="2"/>
        <v/>
      </c>
      <c r="K272" t="str">
        <f>IF(J272&lt;&gt;"",SUM($J$2:J272),"")</f>
        <v/>
      </c>
      <c r="L272">
        <f ca="1" t="shared" si="3"/>
        <v>45942</v>
      </c>
    </row>
    <row r="273" spans="9:12">
      <c r="I273">
        <f>IFERROR(VLOOKUP(H273,Rates!$A$2:$B$3,2,0),1)</f>
        <v>1</v>
      </c>
      <c r="J273" t="str">
        <f t="shared" si="2"/>
        <v/>
      </c>
      <c r="K273" t="str">
        <f>IF(J273&lt;&gt;"",SUM($J$2:J273),"")</f>
        <v/>
      </c>
      <c r="L273">
        <f ca="1" t="shared" si="3"/>
        <v>45942</v>
      </c>
    </row>
    <row r="274" spans="9:12">
      <c r="I274">
        <f>IFERROR(VLOOKUP(H274,Rates!$A$2:$B$3,2,0),1)</f>
        <v>1</v>
      </c>
      <c r="J274" t="str">
        <f t="shared" si="2"/>
        <v/>
      </c>
      <c r="K274" t="str">
        <f>IF(J274&lt;&gt;"",SUM($J$2:J274),"")</f>
        <v/>
      </c>
      <c r="L274">
        <f ca="1" t="shared" si="3"/>
        <v>45942</v>
      </c>
    </row>
    <row r="275" spans="9:12">
      <c r="I275">
        <f>IFERROR(VLOOKUP(H275,Rates!$A$2:$B$3,2,0),1)</f>
        <v>1</v>
      </c>
      <c r="J275" t="str">
        <f t="shared" si="2"/>
        <v/>
      </c>
      <c r="K275" t="str">
        <f>IF(J275&lt;&gt;"",SUM($J$2:J275),"")</f>
        <v/>
      </c>
      <c r="L275">
        <f ca="1" t="shared" si="3"/>
        <v>45942</v>
      </c>
    </row>
    <row r="276" spans="9:12">
      <c r="I276">
        <f>IFERROR(VLOOKUP(H276,Rates!$A$2:$B$3,2,0),1)</f>
        <v>1</v>
      </c>
      <c r="J276" t="str">
        <f t="shared" si="2"/>
        <v/>
      </c>
      <c r="K276" t="str">
        <f>IF(J276&lt;&gt;"",SUM($J$2:J276),"")</f>
        <v/>
      </c>
      <c r="L276">
        <f ca="1" t="shared" si="3"/>
        <v>45942</v>
      </c>
    </row>
    <row r="277" spans="9:12">
      <c r="I277">
        <f>IFERROR(VLOOKUP(H277,Rates!$A$2:$B$3,2,0),1)</f>
        <v>1</v>
      </c>
      <c r="J277" t="str">
        <f t="shared" si="2"/>
        <v/>
      </c>
      <c r="K277" t="str">
        <f>IF(J277&lt;&gt;"",SUM($J$2:J277),"")</f>
        <v/>
      </c>
      <c r="L277">
        <f ca="1" t="shared" si="3"/>
        <v>45942</v>
      </c>
    </row>
    <row r="278" spans="9:12">
      <c r="I278">
        <f>IFERROR(VLOOKUP(H278,Rates!$A$2:$B$3,2,0),1)</f>
        <v>1</v>
      </c>
      <c r="J278" t="str">
        <f t="shared" si="2"/>
        <v/>
      </c>
      <c r="K278" t="str">
        <f>IF(J278&lt;&gt;"",SUM($J$2:J278),"")</f>
        <v/>
      </c>
      <c r="L278">
        <f ca="1" t="shared" si="3"/>
        <v>45942</v>
      </c>
    </row>
    <row r="279" spans="9:12">
      <c r="I279">
        <f>IFERROR(VLOOKUP(H279,Rates!$A$2:$B$3,2,0),1)</f>
        <v>1</v>
      </c>
      <c r="J279" t="str">
        <f t="shared" si="2"/>
        <v/>
      </c>
      <c r="K279" t="str">
        <f>IF(J279&lt;&gt;"",SUM($J$2:J279),"")</f>
        <v/>
      </c>
      <c r="L279">
        <f ca="1" t="shared" si="3"/>
        <v>45942</v>
      </c>
    </row>
    <row r="280" spans="9:12">
      <c r="I280">
        <f>IFERROR(VLOOKUP(H280,Rates!$A$2:$B$3,2,0),1)</f>
        <v>1</v>
      </c>
      <c r="J280" t="str">
        <f t="shared" si="2"/>
        <v/>
      </c>
      <c r="K280" t="str">
        <f>IF(J280&lt;&gt;"",SUM($J$2:J280),"")</f>
        <v/>
      </c>
      <c r="L280">
        <f ca="1" t="shared" si="3"/>
        <v>45942</v>
      </c>
    </row>
    <row r="281" spans="9:12">
      <c r="I281">
        <f>IFERROR(VLOOKUP(H281,Rates!$A$2:$B$3,2,0),1)</f>
        <v>1</v>
      </c>
      <c r="J281" t="str">
        <f t="shared" si="2"/>
        <v/>
      </c>
      <c r="K281" t="str">
        <f>IF(J281&lt;&gt;"",SUM($J$2:J281),"")</f>
        <v/>
      </c>
      <c r="L281">
        <f ca="1" t="shared" si="3"/>
        <v>45942</v>
      </c>
    </row>
    <row r="282" spans="9:12">
      <c r="I282">
        <f>IFERROR(VLOOKUP(H282,Rates!$A$2:$B$3,2,0),1)</f>
        <v>1</v>
      </c>
      <c r="J282" t="str">
        <f t="shared" si="2"/>
        <v/>
      </c>
      <c r="K282" t="str">
        <f>IF(J282&lt;&gt;"",SUM($J$2:J282),"")</f>
        <v/>
      </c>
      <c r="L282">
        <f ca="1" t="shared" si="3"/>
        <v>45942</v>
      </c>
    </row>
    <row r="283" spans="9:12">
      <c r="I283">
        <f>IFERROR(VLOOKUP(H283,Rates!$A$2:$B$3,2,0),1)</f>
        <v>1</v>
      </c>
      <c r="J283" t="str">
        <f t="shared" si="2"/>
        <v/>
      </c>
      <c r="K283" t="str">
        <f>IF(J283&lt;&gt;"",SUM($J$2:J283),"")</f>
        <v/>
      </c>
      <c r="L283">
        <f ca="1" t="shared" si="3"/>
        <v>45942</v>
      </c>
    </row>
    <row r="284" spans="9:12">
      <c r="I284">
        <f>IFERROR(VLOOKUP(H284,Rates!$A$2:$B$3,2,0),1)</f>
        <v>1</v>
      </c>
      <c r="J284" t="str">
        <f t="shared" si="2"/>
        <v/>
      </c>
      <c r="K284" t="str">
        <f>IF(J284&lt;&gt;"",SUM($J$2:J284),"")</f>
        <v/>
      </c>
      <c r="L284">
        <f ca="1" t="shared" si="3"/>
        <v>45942</v>
      </c>
    </row>
    <row r="285" spans="9:12">
      <c r="I285">
        <f>IFERROR(VLOOKUP(H285,Rates!$A$2:$B$3,2,0),1)</f>
        <v>1</v>
      </c>
      <c r="J285" t="str">
        <f t="shared" si="2"/>
        <v/>
      </c>
      <c r="K285" t="str">
        <f>IF(J285&lt;&gt;"",SUM($J$2:J285),"")</f>
        <v/>
      </c>
      <c r="L285">
        <f ca="1" t="shared" si="3"/>
        <v>45942</v>
      </c>
    </row>
    <row r="286" spans="9:12">
      <c r="I286">
        <f>IFERROR(VLOOKUP(H286,Rates!$A$2:$B$3,2,0),1)</f>
        <v>1</v>
      </c>
      <c r="J286" t="str">
        <f t="shared" si="2"/>
        <v/>
      </c>
      <c r="K286" t="str">
        <f>IF(J286&lt;&gt;"",SUM($J$2:J286),"")</f>
        <v/>
      </c>
      <c r="L286">
        <f ca="1" t="shared" si="3"/>
        <v>45942</v>
      </c>
    </row>
    <row r="287" spans="9:12">
      <c r="I287">
        <f>IFERROR(VLOOKUP(H287,Rates!$A$2:$B$3,2,0),1)</f>
        <v>1</v>
      </c>
      <c r="J287" t="str">
        <f t="shared" si="2"/>
        <v/>
      </c>
      <c r="K287" t="str">
        <f>IF(J287&lt;&gt;"",SUM($J$2:J287),"")</f>
        <v/>
      </c>
      <c r="L287">
        <f ca="1" t="shared" si="3"/>
        <v>45942</v>
      </c>
    </row>
    <row r="288" spans="9:12">
      <c r="I288">
        <f>IFERROR(VLOOKUP(H288,Rates!$A$2:$B$3,2,0),1)</f>
        <v>1</v>
      </c>
      <c r="J288" t="str">
        <f t="shared" si="2"/>
        <v/>
      </c>
      <c r="K288" t="str">
        <f>IF(J288&lt;&gt;"",SUM($J$2:J288),"")</f>
        <v/>
      </c>
      <c r="L288">
        <f ca="1" t="shared" si="3"/>
        <v>45942</v>
      </c>
    </row>
    <row r="289" spans="9:12">
      <c r="I289">
        <f>IFERROR(VLOOKUP(H289,Rates!$A$2:$B$3,2,0),1)</f>
        <v>1</v>
      </c>
      <c r="J289" t="str">
        <f t="shared" si="2"/>
        <v/>
      </c>
      <c r="K289" t="str">
        <f>IF(J289&lt;&gt;"",SUM($J$2:J289),"")</f>
        <v/>
      </c>
      <c r="L289">
        <f ca="1" t="shared" si="3"/>
        <v>45942</v>
      </c>
    </row>
    <row r="290" spans="9:12">
      <c r="I290">
        <f>IFERROR(VLOOKUP(H290,Rates!$A$2:$B$3,2,0),1)</f>
        <v>1</v>
      </c>
      <c r="J290" t="str">
        <f t="shared" si="2"/>
        <v/>
      </c>
      <c r="K290" t="str">
        <f>IF(J290&lt;&gt;"",SUM($J$2:J290),"")</f>
        <v/>
      </c>
      <c r="L290">
        <f ca="1" t="shared" si="3"/>
        <v>45942</v>
      </c>
    </row>
    <row r="291" spans="9:12">
      <c r="I291">
        <f>IFERROR(VLOOKUP(H291,Rates!$A$2:$B$3,2,0),1)</f>
        <v>1</v>
      </c>
      <c r="J291" t="str">
        <f t="shared" si="2"/>
        <v/>
      </c>
      <c r="K291" t="str">
        <f>IF(J291&lt;&gt;"",SUM($J$2:J291),"")</f>
        <v/>
      </c>
      <c r="L291">
        <f ca="1" t="shared" si="3"/>
        <v>45942</v>
      </c>
    </row>
    <row r="292" spans="9:12">
      <c r="I292">
        <f>IFERROR(VLOOKUP(H292,Rates!$A$2:$B$3,2,0),1)</f>
        <v>1</v>
      </c>
      <c r="J292" t="str">
        <f t="shared" si="2"/>
        <v/>
      </c>
      <c r="K292" t="str">
        <f>IF(J292&lt;&gt;"",SUM($J$2:J292),"")</f>
        <v/>
      </c>
      <c r="L292">
        <f ca="1" t="shared" si="3"/>
        <v>45942</v>
      </c>
    </row>
    <row r="293" spans="9:12">
      <c r="I293">
        <f>IFERROR(VLOOKUP(H293,Rates!$A$2:$B$3,2,0),1)</f>
        <v>1</v>
      </c>
      <c r="J293" t="str">
        <f t="shared" si="2"/>
        <v/>
      </c>
      <c r="K293" t="str">
        <f>IF(J293&lt;&gt;"",SUM($J$2:J293),"")</f>
        <v/>
      </c>
      <c r="L293">
        <f ca="1" t="shared" si="3"/>
        <v>45942</v>
      </c>
    </row>
    <row r="294" spans="9:12">
      <c r="I294">
        <f>IFERROR(VLOOKUP(H294,Rates!$A$2:$B$3,2,0),1)</f>
        <v>1</v>
      </c>
      <c r="J294" t="str">
        <f t="shared" si="2"/>
        <v/>
      </c>
      <c r="K294" t="str">
        <f>IF(J294&lt;&gt;"",SUM($J$2:J294),"")</f>
        <v/>
      </c>
      <c r="L294">
        <f ca="1" t="shared" si="3"/>
        <v>45942</v>
      </c>
    </row>
    <row r="295" spans="9:12">
      <c r="I295">
        <f>IFERROR(VLOOKUP(H295,Rates!$A$2:$B$3,2,0),1)</f>
        <v>1</v>
      </c>
      <c r="J295" t="str">
        <f t="shared" si="2"/>
        <v/>
      </c>
      <c r="K295" t="str">
        <f>IF(J295&lt;&gt;"",SUM($J$2:J295),"")</f>
        <v/>
      </c>
      <c r="L295">
        <f ca="1" t="shared" si="3"/>
        <v>45942</v>
      </c>
    </row>
    <row r="296" spans="9:12">
      <c r="I296">
        <f>IFERROR(VLOOKUP(H296,Rates!$A$2:$B$3,2,0),1)</f>
        <v>1</v>
      </c>
      <c r="J296" t="str">
        <f t="shared" si="2"/>
        <v/>
      </c>
      <c r="K296" t="str">
        <f>IF(J296&lt;&gt;"",SUM($J$2:J296),"")</f>
        <v/>
      </c>
      <c r="L296">
        <f ca="1" t="shared" si="3"/>
        <v>45942</v>
      </c>
    </row>
    <row r="297" spans="9:12">
      <c r="I297">
        <f>IFERROR(VLOOKUP(H297,Rates!$A$2:$B$3,2,0),1)</f>
        <v>1</v>
      </c>
      <c r="J297" t="str">
        <f t="shared" si="2"/>
        <v/>
      </c>
      <c r="K297" t="str">
        <f>IF(J297&lt;&gt;"",SUM($J$2:J297),"")</f>
        <v/>
      </c>
      <c r="L297">
        <f ca="1" t="shared" si="3"/>
        <v>45942</v>
      </c>
    </row>
    <row r="298" spans="9:12">
      <c r="I298">
        <f>IFERROR(VLOOKUP(H298,Rates!$A$2:$B$3,2,0),1)</f>
        <v>1</v>
      </c>
      <c r="J298" t="str">
        <f t="shared" si="2"/>
        <v/>
      </c>
      <c r="K298" t="str">
        <f>IF(J298&lt;&gt;"",SUM($J$2:J298),"")</f>
        <v/>
      </c>
      <c r="L298">
        <f ca="1" t="shared" si="3"/>
        <v>45942</v>
      </c>
    </row>
    <row r="299" spans="9:12">
      <c r="I299">
        <f>IFERROR(VLOOKUP(H299,Rates!$A$2:$B$3,2,0),1)</f>
        <v>1</v>
      </c>
      <c r="J299" t="str">
        <f t="shared" si="2"/>
        <v/>
      </c>
      <c r="K299" t="str">
        <f>IF(J299&lt;&gt;"",SUM($J$2:J299),"")</f>
        <v/>
      </c>
      <c r="L299">
        <f ca="1" t="shared" si="3"/>
        <v>45942</v>
      </c>
    </row>
    <row r="300" spans="9:12">
      <c r="I300">
        <f>IFERROR(VLOOKUP(H300,Rates!$A$2:$B$3,2,0),1)</f>
        <v>1</v>
      </c>
      <c r="J300" t="str">
        <f t="shared" si="2"/>
        <v/>
      </c>
      <c r="K300" t="str">
        <f>IF(J300&lt;&gt;"",SUM($J$2:J300),"")</f>
        <v/>
      </c>
      <c r="L300">
        <f ca="1" t="shared" si="3"/>
        <v>45942</v>
      </c>
    </row>
    <row r="301" spans="9:12">
      <c r="I301">
        <f>IFERROR(VLOOKUP(H301,Rates!$A$2:$B$3,2,0),1)</f>
        <v>1</v>
      </c>
      <c r="J301" t="str">
        <f t="shared" si="2"/>
        <v/>
      </c>
      <c r="K301" t="str">
        <f>IF(J301&lt;&gt;"",SUM($J$2:J301),"")</f>
        <v/>
      </c>
      <c r="L301">
        <f ca="1" t="shared" si="3"/>
        <v>45942</v>
      </c>
    </row>
  </sheetData>
  <dataValidations count="2">
    <dataValidation type="list" allowBlank="1" showInputMessage="1" showErrorMessage="1" sqref="A2:A20000" showDropDown="1">
      <formula1>Accounts!$A$2:$A$19</formula1>
    </dataValidation>
    <dataValidation type="list" allowBlank="1" showInputMessage="1" showErrorMessage="1" sqref="C2:C20000" showDropDown="1">
      <formula1>Categories!$A$2:$A$23</formula1>
    </dataValidation>
  </dataValidation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Rates</vt:lpstr>
      <vt:lpstr>Categories</vt:lpstr>
      <vt:lpstr>Teams</vt:lpstr>
      <vt:lpstr>Accounts</vt:lpstr>
      <vt:lpstr>MinorBugsRetention</vt:lpstr>
      <vt:lpstr>MintCodeRetention</vt:lpstr>
      <vt:lpstr>AlphaRaysFlagStar</vt:lpstr>
      <vt:lpstr>GloriousWise</vt:lpstr>
      <vt:lpstr>Counter</vt:lpstr>
      <vt:lpstr>MinorBugsBAHLCurrent</vt:lpstr>
      <vt:lpstr>MinorBugsBAHLSaving</vt:lpstr>
      <vt:lpstr>MinorBugsMeezanCurrent</vt:lpstr>
      <vt:lpstr>MintCodeCurrent</vt:lpstr>
      <vt:lpstr>GamesGeeksBAHL</vt:lpstr>
      <vt:lpstr>GamingUniverse</vt:lpstr>
      <vt:lpstr>KashifMeezan</vt:lpstr>
      <vt:lpstr>SaadMeezan</vt:lpstr>
      <vt:lpstr>GameHippoMeezan</vt:lpstr>
      <vt:lpstr>AbdullahMeezan</vt:lpstr>
      <vt:lpstr>GameSol</vt:lpstr>
      <vt:lpstr>CipherWaveWise</vt:lpstr>
      <vt:lpstr>AstroVerse</vt:lpstr>
      <vt:lpstr>Summary</vt:lpstr>
      <vt:lpstr>TeamWiseExpense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Muhammad_Saad_Salman</cp:lastModifiedBy>
  <dcterms:created xsi:type="dcterms:W3CDTF">2025-08-23T03:54:00Z</dcterms:created>
  <dcterms:modified xsi:type="dcterms:W3CDTF">2025-10-12T20:32:14Z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5CF3E5E7F520F5A15AC8EB68B6961D75_43</vt:lpwstr>
  </property>
  <property fmtid="{D5CDD505-2E9C-101B-9397-08002B2CF9AE}" pid="3" name="KSOProductBuildVer">
    <vt:lpwstr>1033-12.1.22526.22526</vt:lpwstr>
  </property>
</Properties>
</file>