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8A94FC3E-9C9A-49B1-921D-43D10FD5FE4E}" xr6:coauthVersionLast="47" xr6:coauthVersionMax="47" xr10:uidLastSave="{00000000-0000-0000-0000-000000000000}"/>
  <bookViews>
    <workbookView xWindow="-120" yWindow="-120" windowWidth="29040" windowHeight="15840" firstSheet="1" activeTab="8" xr2:uid="{34296D32-B52A-480B-AB98-EEAFE28EE0DD}"/>
  </bookViews>
  <sheets>
    <sheet name="Historical ---&gt;" sheetId="1" r:id="rId1"/>
    <sheet name="Balance Sheet" sheetId="2" r:id="rId2"/>
    <sheet name="Income Statement" sheetId="3" r:id="rId3"/>
    <sheet name="Forecasts --&gt;" sheetId="4" r:id="rId4"/>
    <sheet name="Balance Sheet Forecast" sheetId="6" r:id="rId5"/>
    <sheet name="IS Forecast" sheetId="5" r:id="rId6"/>
    <sheet name="CF Forecast" sheetId="7" r:id="rId7"/>
    <sheet name="Valuation -&gt;" sheetId="8" r:id="rId8"/>
    <sheet name="DCF &amp; support" sheetId="9" r:id="rId9"/>
  </sheets>
  <definedNames>
    <definedName name="solver_adj" localSheetId="6" hidden="1">'CF Forecast'!$D$33</definedName>
    <definedName name="solver_eng" localSheetId="4" hidden="1">0</definedName>
    <definedName name="solver_eng" localSheetId="6" hidden="1">0</definedName>
    <definedName name="solver_rxv" localSheetId="6" hidden="1">1</definedName>
    <definedName name="solver_typ" localSheetId="6" hidden="1">3</definedName>
    <definedName name="solver_val" localSheetId="6" hidden="1">4658549</definedName>
  </definedNames>
  <calcPr calcId="191029" calcMode="manual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5" l="1"/>
  <c r="G50" i="5"/>
  <c r="H50" i="5" s="1"/>
  <c r="D18" i="9"/>
  <c r="I8" i="9"/>
  <c r="I5" i="9"/>
  <c r="K6" i="9"/>
  <c r="L6" i="9"/>
  <c r="J6" i="9"/>
  <c r="I6" i="9"/>
  <c r="F7" i="9"/>
  <c r="E7" i="9"/>
  <c r="D7" i="9"/>
  <c r="J3" i="9"/>
  <c r="K3" i="9" s="1"/>
  <c r="L3" i="9" s="1"/>
  <c r="E3" i="9"/>
  <c r="F3" i="9" s="1"/>
  <c r="H11" i="5"/>
  <c r="G11" i="5"/>
  <c r="F11" i="5"/>
  <c r="G10" i="5"/>
  <c r="H10" i="5" s="1"/>
  <c r="F10" i="5"/>
  <c r="F52" i="5"/>
  <c r="G52" i="5"/>
  <c r="H52" i="5" s="1"/>
  <c r="B52" i="5"/>
  <c r="C52" i="5"/>
  <c r="D52" i="5"/>
  <c r="E22" i="7"/>
  <c r="D22" i="7"/>
  <c r="D17" i="7"/>
  <c r="E17" i="7"/>
  <c r="E16" i="7"/>
  <c r="D16" i="7"/>
  <c r="E15" i="7"/>
  <c r="D15" i="7"/>
  <c r="D13" i="7"/>
  <c r="E13" i="7"/>
  <c r="D14" i="7"/>
  <c r="E14" i="7"/>
  <c r="E12" i="7"/>
  <c r="D12" i="7"/>
  <c r="D8" i="7"/>
  <c r="E8" i="7"/>
  <c r="D9" i="7"/>
  <c r="E9" i="7"/>
  <c r="E7" i="7"/>
  <c r="D7" i="7"/>
  <c r="C34" i="7"/>
  <c r="C47" i="7" s="1"/>
  <c r="C36" i="7"/>
  <c r="F7" i="6"/>
  <c r="F8" i="6"/>
  <c r="F6" i="6"/>
  <c r="C13" i="7"/>
  <c r="C14" i="7"/>
  <c r="C12" i="7"/>
  <c r="C17" i="7"/>
  <c r="C16" i="7"/>
  <c r="C15" i="7"/>
  <c r="C9" i="7"/>
  <c r="C8" i="7"/>
  <c r="C7" i="7"/>
  <c r="F24" i="6"/>
  <c r="G24" i="6" s="1"/>
  <c r="H24" i="6" s="1"/>
  <c r="F32" i="6"/>
  <c r="G32" i="6" s="1"/>
  <c r="H32" i="6" s="1"/>
  <c r="G18" i="6"/>
  <c r="H18" i="6"/>
  <c r="F18" i="6"/>
  <c r="C22" i="7" s="1"/>
  <c r="G11" i="6"/>
  <c r="H11" i="6"/>
  <c r="F11" i="6"/>
  <c r="B31" i="6"/>
  <c r="C31" i="6"/>
  <c r="D31" i="6"/>
  <c r="F31" i="6" s="1"/>
  <c r="G31" i="6" s="1"/>
  <c r="H31" i="6" s="1"/>
  <c r="B32" i="6"/>
  <c r="C32" i="6"/>
  <c r="D32" i="6"/>
  <c r="B33" i="6"/>
  <c r="C33" i="6"/>
  <c r="D33" i="6"/>
  <c r="F33" i="6" s="1"/>
  <c r="G33" i="6" s="1"/>
  <c r="H33" i="6" s="1"/>
  <c r="B34" i="6"/>
  <c r="C34" i="6"/>
  <c r="D34" i="6"/>
  <c r="B35" i="6"/>
  <c r="C35" i="6"/>
  <c r="D35" i="6"/>
  <c r="B36" i="6"/>
  <c r="C36" i="6"/>
  <c r="D36" i="6"/>
  <c r="B37" i="6"/>
  <c r="C37" i="6"/>
  <c r="D37" i="6"/>
  <c r="C30" i="6"/>
  <c r="D30" i="6"/>
  <c r="F30" i="6" s="1"/>
  <c r="B30" i="6"/>
  <c r="B24" i="6"/>
  <c r="C24" i="6"/>
  <c r="D24" i="6"/>
  <c r="B25" i="6"/>
  <c r="C25" i="6"/>
  <c r="D25" i="6"/>
  <c r="D27" i="6"/>
  <c r="C23" i="6"/>
  <c r="C59" i="6" s="1"/>
  <c r="D23" i="6"/>
  <c r="D26" i="6" s="1"/>
  <c r="B23" i="6"/>
  <c r="C19" i="6"/>
  <c r="D19" i="6"/>
  <c r="B19" i="6"/>
  <c r="C18" i="6"/>
  <c r="D18" i="6"/>
  <c r="B18" i="6"/>
  <c r="B17" i="6"/>
  <c r="C17" i="6"/>
  <c r="D17" i="6"/>
  <c r="B14" i="6"/>
  <c r="C14" i="6"/>
  <c r="D14" i="6"/>
  <c r="B15" i="6"/>
  <c r="C15" i="6"/>
  <c r="D15" i="6"/>
  <c r="B16" i="6"/>
  <c r="C16" i="6"/>
  <c r="D16" i="6"/>
  <c r="C13" i="6"/>
  <c r="D13" i="6"/>
  <c r="B13" i="6"/>
  <c r="C12" i="6"/>
  <c r="D12" i="6"/>
  <c r="B12" i="6"/>
  <c r="C11" i="6"/>
  <c r="D11" i="6"/>
  <c r="B11" i="6"/>
  <c r="C10" i="6"/>
  <c r="D10" i="6"/>
  <c r="D47" i="6" s="1"/>
  <c r="B10" i="6"/>
  <c r="C8" i="6"/>
  <c r="D8" i="6"/>
  <c r="D9" i="6" s="1"/>
  <c r="B8" i="6"/>
  <c r="C7" i="6"/>
  <c r="D7" i="6"/>
  <c r="D45" i="6" s="1"/>
  <c r="B7" i="6"/>
  <c r="C6" i="6"/>
  <c r="D6" i="6"/>
  <c r="B6" i="6"/>
  <c r="C4" i="6"/>
  <c r="D4" i="6"/>
  <c r="B4" i="6"/>
  <c r="F55" i="5"/>
  <c r="F18" i="5" s="1"/>
  <c r="C27" i="7" s="1"/>
  <c r="F56" i="5"/>
  <c r="G56" i="5" s="1"/>
  <c r="B24" i="5"/>
  <c r="C24" i="5"/>
  <c r="D24" i="5"/>
  <c r="B25" i="5"/>
  <c r="C25" i="5"/>
  <c r="D25" i="5"/>
  <c r="B27" i="5"/>
  <c r="C27" i="5"/>
  <c r="D27" i="5"/>
  <c r="B30" i="5"/>
  <c r="C30" i="5"/>
  <c r="D30" i="5"/>
  <c r="B32" i="5"/>
  <c r="C32" i="5"/>
  <c r="D32" i="5"/>
  <c r="B33" i="5"/>
  <c r="C33" i="5"/>
  <c r="C40" i="5" s="1"/>
  <c r="D33" i="5"/>
  <c r="B34" i="5"/>
  <c r="C34" i="5"/>
  <c r="D34" i="5"/>
  <c r="B35" i="5"/>
  <c r="C35" i="5"/>
  <c r="C70" i="5" s="1"/>
  <c r="D35" i="5"/>
  <c r="F35" i="5" s="1"/>
  <c r="B36" i="5"/>
  <c r="C36" i="5"/>
  <c r="D36" i="5"/>
  <c r="B37" i="5"/>
  <c r="C37" i="5"/>
  <c r="D37" i="5"/>
  <c r="B38" i="5"/>
  <c r="B71" i="5" s="1"/>
  <c r="C38" i="5"/>
  <c r="C71" i="5" s="1"/>
  <c r="C72" i="5" s="1"/>
  <c r="D38" i="5"/>
  <c r="C23" i="5"/>
  <c r="D23" i="5"/>
  <c r="B23" i="5"/>
  <c r="C18" i="5"/>
  <c r="D18" i="5"/>
  <c r="C19" i="5"/>
  <c r="D19" i="5"/>
  <c r="C20" i="5"/>
  <c r="D20" i="5"/>
  <c r="B18" i="5"/>
  <c r="B19" i="5"/>
  <c r="B20" i="5"/>
  <c r="C17" i="5"/>
  <c r="D17" i="5"/>
  <c r="B17" i="5"/>
  <c r="F54" i="5" s="1"/>
  <c r="C9" i="5"/>
  <c r="D9" i="5"/>
  <c r="C10" i="5"/>
  <c r="D10" i="5"/>
  <c r="C11" i="5"/>
  <c r="D11" i="5"/>
  <c r="B10" i="5"/>
  <c r="B11" i="5"/>
  <c r="B9" i="5"/>
  <c r="C14" i="5"/>
  <c r="C50" i="5" s="1"/>
  <c r="D14" i="5"/>
  <c r="D50" i="5" s="1"/>
  <c r="B14" i="5"/>
  <c r="B50" i="5" s="1"/>
  <c r="C4" i="5"/>
  <c r="D4" i="5"/>
  <c r="C5" i="5"/>
  <c r="D5" i="5"/>
  <c r="C6" i="5"/>
  <c r="D6" i="5"/>
  <c r="B5" i="5"/>
  <c r="B6" i="5"/>
  <c r="B4" i="5"/>
  <c r="D39" i="5" l="1"/>
  <c r="B72" i="5"/>
  <c r="C39" i="5"/>
  <c r="B39" i="5"/>
  <c r="D71" i="5"/>
  <c r="D72" i="5" s="1"/>
  <c r="C44" i="6"/>
  <c r="F67" i="6"/>
  <c r="G67" i="6" s="1"/>
  <c r="H67" i="6" s="1"/>
  <c r="B26" i="6"/>
  <c r="C47" i="6"/>
  <c r="D61" i="6"/>
  <c r="C26" i="6"/>
  <c r="C61" i="6"/>
  <c r="F61" i="6" s="1"/>
  <c r="G61" i="6" s="1"/>
  <c r="H61" i="6" s="1"/>
  <c r="F47" i="6"/>
  <c r="G47" i="6" s="1"/>
  <c r="H47" i="6" s="1"/>
  <c r="G30" i="6"/>
  <c r="H30" i="6" s="1"/>
  <c r="D59" i="6"/>
  <c r="F23" i="6"/>
  <c r="B61" i="6"/>
  <c r="F10" i="6"/>
  <c r="G10" i="6" s="1"/>
  <c r="H10" i="6" s="1"/>
  <c r="C46" i="6"/>
  <c r="B49" i="6"/>
  <c r="D49" i="6"/>
  <c r="D38" i="6"/>
  <c r="B9" i="6"/>
  <c r="B20" i="6" s="1"/>
  <c r="C49" i="6"/>
  <c r="C45" i="6"/>
  <c r="H56" i="5"/>
  <c r="H19" i="5" s="1"/>
  <c r="E28" i="7" s="1"/>
  <c r="G19" i="5"/>
  <c r="D28" i="7" s="1"/>
  <c r="F14" i="5"/>
  <c r="C5" i="7" s="1"/>
  <c r="G54" i="5"/>
  <c r="F17" i="5"/>
  <c r="C26" i="7" s="1"/>
  <c r="G72" i="5"/>
  <c r="H72" i="5" s="1"/>
  <c r="G55" i="5"/>
  <c r="D70" i="5"/>
  <c r="F19" i="5"/>
  <c r="C28" i="7" s="1"/>
  <c r="B26" i="5"/>
  <c r="B28" i="5" s="1"/>
  <c r="F45" i="6"/>
  <c r="G45" i="6" s="1"/>
  <c r="H45" i="6" s="1"/>
  <c r="F49" i="6"/>
  <c r="D44" i="6"/>
  <c r="F44" i="6" s="1"/>
  <c r="C9" i="6"/>
  <c r="C20" i="6" s="1"/>
  <c r="D46" i="6"/>
  <c r="C38" i="6"/>
  <c r="B38" i="6"/>
  <c r="D20" i="6"/>
  <c r="G35" i="5"/>
  <c r="B49" i="5"/>
  <c r="B7" i="5"/>
  <c r="D26" i="5"/>
  <c r="D28" i="5" s="1"/>
  <c r="D49" i="5"/>
  <c r="C26" i="5"/>
  <c r="C28" i="5" s="1"/>
  <c r="C21" i="5"/>
  <c r="C49" i="5"/>
  <c r="C7" i="5"/>
  <c r="B21" i="5"/>
  <c r="D21" i="5"/>
  <c r="D7" i="5"/>
  <c r="D50" i="6" s="1"/>
  <c r="B12" i="5"/>
  <c r="D12" i="5"/>
  <c r="C12" i="5"/>
  <c r="H35" i="5" l="1"/>
  <c r="E34" i="7"/>
  <c r="E47" i="7" s="1"/>
  <c r="D34" i="7"/>
  <c r="D47" i="7" s="1"/>
  <c r="F46" i="6"/>
  <c r="F36" i="6"/>
  <c r="G36" i="6" s="1"/>
  <c r="H36" i="6" s="1"/>
  <c r="G7" i="6"/>
  <c r="H7" i="6" s="1"/>
  <c r="G23" i="6"/>
  <c r="F25" i="6"/>
  <c r="C43" i="6"/>
  <c r="H55" i="5"/>
  <c r="H18" i="5" s="1"/>
  <c r="E27" i="7" s="1"/>
  <c r="G18" i="5"/>
  <c r="D27" i="7" s="1"/>
  <c r="B60" i="5"/>
  <c r="B56" i="6"/>
  <c r="B52" i="6"/>
  <c r="B51" i="6"/>
  <c r="H54" i="5"/>
  <c r="H17" i="5" s="1"/>
  <c r="E26" i="7" s="1"/>
  <c r="G17" i="5"/>
  <c r="D26" i="7" s="1"/>
  <c r="H14" i="5"/>
  <c r="E5" i="7" s="1"/>
  <c r="G14" i="5"/>
  <c r="D5" i="7" s="1"/>
  <c r="B64" i="5"/>
  <c r="D62" i="5"/>
  <c r="D56" i="6"/>
  <c r="D52" i="6"/>
  <c r="D51" i="6"/>
  <c r="F49" i="5"/>
  <c r="G49" i="5" s="1"/>
  <c r="H49" i="5" s="1"/>
  <c r="B50" i="6"/>
  <c r="B13" i="5"/>
  <c r="B15" i="5" s="1"/>
  <c r="B29" i="5" s="1"/>
  <c r="B54" i="6" s="1"/>
  <c r="C56" i="6"/>
  <c r="C52" i="6"/>
  <c r="C50" i="6"/>
  <c r="F50" i="6" s="1"/>
  <c r="G50" i="6" s="1"/>
  <c r="C51" i="6"/>
  <c r="G46" i="6"/>
  <c r="H46" i="6" s="1"/>
  <c r="G44" i="6"/>
  <c r="H44" i="6" s="1"/>
  <c r="G6" i="6"/>
  <c r="D43" i="6"/>
  <c r="G49" i="6"/>
  <c r="F12" i="6"/>
  <c r="D60" i="5"/>
  <c r="C61" i="5"/>
  <c r="C62" i="5"/>
  <c r="D64" i="5"/>
  <c r="C60" i="5"/>
  <c r="F60" i="5" s="1"/>
  <c r="D61" i="5"/>
  <c r="B61" i="5"/>
  <c r="F61" i="5" s="1"/>
  <c r="B62" i="5"/>
  <c r="C64" i="5"/>
  <c r="D43" i="5"/>
  <c r="D44" i="5"/>
  <c r="F7" i="5"/>
  <c r="B53" i="6" s="1"/>
  <c r="C43" i="5"/>
  <c r="C45" i="5"/>
  <c r="C46" i="5"/>
  <c r="C44" i="5"/>
  <c r="D45" i="5"/>
  <c r="C13" i="5"/>
  <c r="D46" i="5"/>
  <c r="D13" i="5"/>
  <c r="B31" i="5" l="1"/>
  <c r="B69" i="5" s="1"/>
  <c r="B66" i="5"/>
  <c r="B57" i="5"/>
  <c r="F64" i="5"/>
  <c r="G64" i="5" s="1"/>
  <c r="H64" i="5" s="1"/>
  <c r="F9" i="6"/>
  <c r="H23" i="6"/>
  <c r="G25" i="6"/>
  <c r="F13" i="6"/>
  <c r="C18" i="7" s="1"/>
  <c r="F62" i="5"/>
  <c r="G62" i="5" s="1"/>
  <c r="F51" i="6"/>
  <c r="F52" i="6"/>
  <c r="F56" i="6"/>
  <c r="H49" i="6"/>
  <c r="H12" i="6" s="1"/>
  <c r="G12" i="6"/>
  <c r="H50" i="6"/>
  <c r="H6" i="6"/>
  <c r="G8" i="6"/>
  <c r="H8" i="6" s="1"/>
  <c r="F44" i="5"/>
  <c r="G44" i="5" s="1"/>
  <c r="H44" i="5" s="1"/>
  <c r="F23" i="5"/>
  <c r="G60" i="5"/>
  <c r="G61" i="5"/>
  <c r="F24" i="5"/>
  <c r="D15" i="5"/>
  <c r="D29" i="5" s="1"/>
  <c r="D54" i="6" s="1"/>
  <c r="D57" i="5"/>
  <c r="C15" i="5"/>
  <c r="C29" i="5" s="1"/>
  <c r="C54" i="6" s="1"/>
  <c r="F54" i="6" s="1"/>
  <c r="G54" i="6" s="1"/>
  <c r="H54" i="6" s="1"/>
  <c r="C57" i="5"/>
  <c r="F57" i="5"/>
  <c r="F46" i="5"/>
  <c r="F45" i="5"/>
  <c r="G45" i="5" s="1"/>
  <c r="H45" i="5" s="1"/>
  <c r="G7" i="5"/>
  <c r="C53" i="6" s="1"/>
  <c r="F25" i="5" l="1"/>
  <c r="H25" i="6"/>
  <c r="F4" i="5"/>
  <c r="F9" i="5" s="1"/>
  <c r="G56" i="6"/>
  <c r="F19" i="6"/>
  <c r="C23" i="7" s="1"/>
  <c r="G52" i="6"/>
  <c r="F15" i="6"/>
  <c r="C20" i="7" s="1"/>
  <c r="D11" i="9" s="1"/>
  <c r="G13" i="6"/>
  <c r="D18" i="7" s="1"/>
  <c r="G51" i="6"/>
  <c r="F14" i="6"/>
  <c r="C19" i="7" s="1"/>
  <c r="H9" i="6"/>
  <c r="G9" i="6"/>
  <c r="C31" i="5"/>
  <c r="C69" i="5" s="1"/>
  <c r="C66" i="5"/>
  <c r="D31" i="5"/>
  <c r="D69" i="5" s="1"/>
  <c r="D66" i="5"/>
  <c r="F26" i="5"/>
  <c r="G25" i="5"/>
  <c r="H62" i="5"/>
  <c r="G23" i="5"/>
  <c r="H60" i="5"/>
  <c r="H61" i="5"/>
  <c r="G24" i="5"/>
  <c r="F5" i="5"/>
  <c r="G57" i="5"/>
  <c r="G5" i="5"/>
  <c r="G4" i="5"/>
  <c r="G9" i="5" s="1"/>
  <c r="H7" i="5"/>
  <c r="D53" i="6" s="1"/>
  <c r="F53" i="6" s="1"/>
  <c r="G46" i="5"/>
  <c r="F6" i="5"/>
  <c r="H24" i="5" l="1"/>
  <c r="G53" i="6"/>
  <c r="F16" i="6"/>
  <c r="C21" i="7" s="1"/>
  <c r="H51" i="6"/>
  <c r="H14" i="6" s="1"/>
  <c r="G14" i="6"/>
  <c r="D19" i="7" s="1"/>
  <c r="H23" i="5"/>
  <c r="H52" i="6"/>
  <c r="H15" i="6" s="1"/>
  <c r="E20" i="7" s="1"/>
  <c r="F11" i="9" s="1"/>
  <c r="G15" i="6"/>
  <c r="D20" i="7" s="1"/>
  <c r="E11" i="9" s="1"/>
  <c r="H13" i="6"/>
  <c r="E18" i="7" s="1"/>
  <c r="H25" i="5"/>
  <c r="H26" i="5" s="1"/>
  <c r="H27" i="5" s="1"/>
  <c r="H28" i="5" s="1"/>
  <c r="H56" i="6"/>
  <c r="H19" i="6" s="1"/>
  <c r="G19" i="6"/>
  <c r="D23" i="7" s="1"/>
  <c r="G26" i="5"/>
  <c r="G27" i="5" s="1"/>
  <c r="G28" i="5" s="1"/>
  <c r="F27" i="5"/>
  <c r="F28" i="5" s="1"/>
  <c r="F66" i="5"/>
  <c r="G66" i="5" s="1"/>
  <c r="H66" i="5" s="1"/>
  <c r="G69" i="5"/>
  <c r="H69" i="5" s="1"/>
  <c r="G6" i="5"/>
  <c r="H46" i="5"/>
  <c r="H6" i="5" s="1"/>
  <c r="H5" i="5"/>
  <c r="H4" i="5"/>
  <c r="H9" i="5" s="1"/>
  <c r="H57" i="5"/>
  <c r="E19" i="7" l="1"/>
  <c r="E23" i="7"/>
  <c r="H53" i="6"/>
  <c r="H16" i="6" s="1"/>
  <c r="G16" i="6"/>
  <c r="F26" i="6" l="1"/>
  <c r="G26" i="6"/>
  <c r="H26" i="6"/>
  <c r="H12" i="5"/>
  <c r="H13" i="5" s="1"/>
  <c r="F12" i="5"/>
  <c r="G12" i="5"/>
  <c r="G13" i="5" s="1"/>
  <c r="F13" i="5"/>
  <c r="F20" i="5" s="1"/>
  <c r="F21" i="5" s="1"/>
  <c r="F15" i="5" l="1"/>
  <c r="F29" i="5" s="1"/>
  <c r="D4" i="9" s="1"/>
  <c r="G15" i="5"/>
  <c r="G20" i="5"/>
  <c r="G21" i="5" s="1"/>
  <c r="H15" i="5"/>
  <c r="H20" i="5"/>
  <c r="H21" i="5" s="1"/>
  <c r="H29" i="5" l="1"/>
  <c r="F4" i="9" s="1"/>
  <c r="F17" i="6"/>
  <c r="F30" i="5"/>
  <c r="G29" i="5"/>
  <c r="E4" i="9" s="1"/>
  <c r="H30" i="5" l="1"/>
  <c r="H17" i="6"/>
  <c r="L5" i="9" s="1"/>
  <c r="L8" i="9" s="1"/>
  <c r="K3" i="6"/>
  <c r="J5" i="9"/>
  <c r="J8" i="9" s="1"/>
  <c r="J9" i="9" s="1"/>
  <c r="D10" i="9" s="1"/>
  <c r="H31" i="5"/>
  <c r="H32" i="5" s="1"/>
  <c r="E31" i="7" s="1"/>
  <c r="F5" i="9"/>
  <c r="F8" i="9" s="1"/>
  <c r="F31" i="5"/>
  <c r="C4" i="7" s="1"/>
  <c r="D5" i="9"/>
  <c r="D8" i="9" s="1"/>
  <c r="D13" i="9" s="1"/>
  <c r="D15" i="9" s="1"/>
  <c r="G17" i="6"/>
  <c r="K5" i="9" s="1"/>
  <c r="K8" i="9" s="1"/>
  <c r="K9" i="9" s="1"/>
  <c r="E10" i="9" s="1"/>
  <c r="G30" i="5"/>
  <c r="M3" i="6"/>
  <c r="E4" i="7" l="1"/>
  <c r="F32" i="5"/>
  <c r="C31" i="7" s="1"/>
  <c r="L9" i="9"/>
  <c r="F10" i="9" s="1"/>
  <c r="F13" i="9" s="1"/>
  <c r="G31" i="5"/>
  <c r="G32" i="5" s="1"/>
  <c r="D31" i="7" s="1"/>
  <c r="E5" i="9"/>
  <c r="E8" i="9" s="1"/>
  <c r="E13" i="9" s="1"/>
  <c r="E15" i="9" s="1"/>
  <c r="F33" i="5"/>
  <c r="L3" i="6"/>
  <c r="D21" i="7"/>
  <c r="E21" i="7"/>
  <c r="F34" i="5"/>
  <c r="F38" i="5"/>
  <c r="F39" i="5" s="1"/>
  <c r="H33" i="5"/>
  <c r="D4" i="7" l="1"/>
  <c r="F14" i="9"/>
  <c r="F15" i="9" s="1"/>
  <c r="D17" i="9" s="1"/>
  <c r="D19" i="9" s="1"/>
  <c r="D20" i="9" s="1"/>
  <c r="G33" i="5"/>
  <c r="G34" i="5" s="1"/>
  <c r="H34" i="5"/>
  <c r="H38" i="5"/>
  <c r="H39" i="5" s="1"/>
  <c r="E32" i="7" s="1"/>
  <c r="C32" i="7"/>
  <c r="F34" i="6"/>
  <c r="G38" i="5" l="1"/>
  <c r="G39" i="5" s="1"/>
  <c r="D32" i="7" s="1"/>
  <c r="G34" i="6"/>
  <c r="F35" i="6"/>
  <c r="F37" i="6" s="1"/>
  <c r="C44" i="7"/>
  <c r="H34" i="6" l="1"/>
  <c r="H35" i="6" s="1"/>
  <c r="H37" i="6" s="1"/>
  <c r="G35" i="6"/>
  <c r="G37" i="6" s="1"/>
  <c r="F38" i="6"/>
  <c r="F4" i="6" s="1"/>
  <c r="K4" i="6"/>
  <c r="K5" i="6" s="1"/>
  <c r="G38" i="6" l="1"/>
  <c r="G4" i="6" s="1"/>
  <c r="L4" i="6"/>
  <c r="L5" i="6" s="1"/>
  <c r="F20" i="6"/>
  <c r="F28" i="6" s="1"/>
  <c r="D36" i="7"/>
  <c r="C45" i="7"/>
  <c r="C46" i="7" s="1"/>
  <c r="H38" i="6"/>
  <c r="H4" i="6" s="1"/>
  <c r="M4" i="6"/>
  <c r="M5" i="6" s="1"/>
  <c r="E45" i="7" l="1"/>
  <c r="H20" i="6"/>
  <c r="H28" i="6" s="1"/>
  <c r="C33" i="7"/>
  <c r="C37" i="7" s="1"/>
  <c r="C38" i="7" s="1"/>
  <c r="C48" i="7"/>
  <c r="D44" i="7"/>
  <c r="G20" i="6"/>
  <c r="G28" i="6" s="1"/>
  <c r="E36" i="7"/>
  <c r="D45" i="7"/>
  <c r="D46" i="7" l="1"/>
  <c r="E44" i="7"/>
  <c r="E46" i="7" s="1"/>
  <c r="D33" i="7"/>
  <c r="D37" i="7" s="1"/>
  <c r="D38" i="7" s="1"/>
  <c r="D48" i="7"/>
  <c r="E33" i="7" l="1"/>
  <c r="E37" i="7" s="1"/>
  <c r="E38" i="7" s="1"/>
  <c r="E48" i="7"/>
</calcChain>
</file>

<file path=xl/sharedStrings.xml><?xml version="1.0" encoding="utf-8"?>
<sst xmlns="http://schemas.openxmlformats.org/spreadsheetml/2006/main" count="295" uniqueCount="168">
  <si>
    <t>Assets</t>
  </si>
  <si>
    <t>Cash and cash equivalents</t>
  </si>
  <si>
    <t>Investments:</t>
  </si>
  <si>
    <t>Trading investments at fair value (cost of $43,412 and $47,554, respectively )</t>
  </si>
  <si>
    <t>Available-for-sale investments</t>
  </si>
  <si>
    <t>Other investments</t>
  </si>
  <si>
    <t>Total investments</t>
  </si>
  <si>
    <t>Loans held for investment (net of allowance for losses of $1,339,772 and $1,357,075, respectively)</t>
  </si>
  <si>
    <t>Loans held for sale</t>
  </si>
  <si>
    <t>Restricted cash</t>
  </si>
  <si>
    <t>Other interest-earning assets</t>
  </si>
  <si>
    <t>Accrued interest receivable</t>
  </si>
  <si>
    <t>Premises and equipment, net</t>
  </si>
  <si>
    <t>Goodwill and acquired intangible assets, net</t>
  </si>
  <si>
    <t>Income taxes receivable, net</t>
  </si>
  <si>
    <t>Tax indemnification receivable</t>
  </si>
  <si>
    <t>Other assets</t>
  </si>
  <si>
    <t>Total assets</t>
  </si>
  <si>
    <t>Liabilities</t>
  </si>
  <si>
    <t>Deposits</t>
  </si>
  <si>
    <t>Long-term borrowings</t>
  </si>
  <si>
    <t>Other liabilities</t>
  </si>
  <si>
    <t>Total liabilities</t>
  </si>
  <si>
    <t>Commitments and contingencies</t>
  </si>
  <si>
    <t>Equity</t>
  </si>
  <si>
    <t>Series B: 2.5 million and 2.5 million shares issued, respectively, at stated value of $100 per share</t>
  </si>
  <si>
    <t>Common stock, par value $0.20 per share, 1.125 billion shares authorized: 438.2 million and 435.1 million shares issued, respectively</t>
  </si>
  <si>
    <t>Additional paid-in capital</t>
  </si>
  <si>
    <t>Accumulated other comprehensive loss (net of tax benefit of $(24,176) and $(30,160), respectively)</t>
  </si>
  <si>
    <t>Retained earnings</t>
  </si>
  <si>
    <t>Total SLM Corporation stockholders’ equity before treasury stock</t>
  </si>
  <si>
    <t>Less: Common stock held in treasury at cost: 217.9 million and 194.4 million shares, respectively</t>
  </si>
  <si>
    <t>Total equity</t>
  </si>
  <si>
    <t>Total liabilities and equity</t>
  </si>
  <si>
    <t>Dec. 31, 2022</t>
  </si>
  <si>
    <t>CONSOLIDATED BALANCE SHEETS - USD ($) $ in Thousands</t>
  </si>
  <si>
    <t> </t>
  </si>
  <si>
    <t xml:space="preserve"> </t>
  </si>
  <si>
    <t>Dec. 31, 2023</t>
  </si>
  <si>
    <t>Interest income:</t>
  </si>
  <si>
    <t>Loans</t>
  </si>
  <si>
    <t>Investments</t>
  </si>
  <si>
    <t>Total interest income</t>
  </si>
  <si>
    <t>Interest expense:</t>
  </si>
  <si>
    <t>Interest expense on short-term borrowings</t>
  </si>
  <si>
    <t>Interest expense on long-term borrowings</t>
  </si>
  <si>
    <t>Total interest expense</t>
  </si>
  <si>
    <t>Net interest income</t>
  </si>
  <si>
    <t>Less: provisions for credit losses</t>
  </si>
  <si>
    <t>Net interest income after provisions for credit losses</t>
  </si>
  <si>
    <t>Non-interest income:</t>
  </si>
  <si>
    <t>Gains on sales of loans, net</t>
  </si>
  <si>
    <t>Gains (losses) on securities, net</t>
  </si>
  <si>
    <t>Other income</t>
  </si>
  <si>
    <t>Total non-interest income</t>
  </si>
  <si>
    <t>Operating expenses:</t>
  </si>
  <si>
    <t>Compensation and benefits</t>
  </si>
  <si>
    <t>FDIC assessment fees</t>
  </si>
  <si>
    <t>Other operating expenses</t>
  </si>
  <si>
    <t>Total operating expenses</t>
  </si>
  <si>
    <t>Total non-interest expenses</t>
  </si>
  <si>
    <t>Income before income tax expense</t>
  </si>
  <si>
    <t>Income tax expense</t>
  </si>
  <si>
    <t>Net income</t>
  </si>
  <si>
    <t>Preferred stock dividends</t>
  </si>
  <si>
    <t>Net income attributable to SLM Corporation common stock</t>
  </si>
  <si>
    <t>Basic earnings per common share (in usd per share)</t>
  </si>
  <si>
    <t>Average common shares outstanding (in shares)</t>
  </si>
  <si>
    <t>Diluted earnings per common share (in usd per share)</t>
  </si>
  <si>
    <t>Average common and common equivalent shares outstanding (in shares)</t>
  </si>
  <si>
    <t>CONSOLIDATED STATEMENTS OF INCOME - USD ($) shares in Thousands, $ in Thousands</t>
  </si>
  <si>
    <t>Dec. 31, 2024</t>
  </si>
  <si>
    <t>Losses on derivatives and hedging activities, net</t>
  </si>
  <si>
    <t>Acquired intangible assets impairment and amortization expense</t>
  </si>
  <si>
    <t>Declared dividends per common share (in dollars per share)</t>
  </si>
  <si>
    <t xml:space="preserve">Historicals </t>
  </si>
  <si>
    <t>Forecast</t>
  </si>
  <si>
    <t>Income Growth</t>
  </si>
  <si>
    <t>Interest Expenses</t>
  </si>
  <si>
    <t>Deposit Expense (% of Loan interest)</t>
  </si>
  <si>
    <t>Provision Expense (% of Loans HFI)</t>
  </si>
  <si>
    <t>Total Interest Income</t>
  </si>
  <si>
    <t>Loans (% of interest income)</t>
  </si>
  <si>
    <t>Investments (% of interest income)</t>
  </si>
  <si>
    <t>Cash and cash equivalents (% of interest income)</t>
  </si>
  <si>
    <t>Other income (% of net income)</t>
  </si>
  <si>
    <t>Tax Rate</t>
  </si>
  <si>
    <t>FORECAST ITEMS</t>
  </si>
  <si>
    <t>Common shares outstanding</t>
  </si>
  <si>
    <t xml:space="preserve">Declared Dividends </t>
  </si>
  <si>
    <t>Payout Ratio</t>
  </si>
  <si>
    <t>Forecast Assumptions</t>
  </si>
  <si>
    <t>Minimum cash balance</t>
  </si>
  <si>
    <t>Total Asset Growth</t>
  </si>
  <si>
    <t>Trading investments at fair value (% growth)</t>
  </si>
  <si>
    <t>Loans held for investment</t>
  </si>
  <si>
    <t>Restricted cash (% of deposits)</t>
  </si>
  <si>
    <t>Other interest-earning assets (% of interest income)</t>
  </si>
  <si>
    <t>Accrued interest receivable (% of interest income)</t>
  </si>
  <si>
    <t>Income taxes receivable, net (% of EBIT)</t>
  </si>
  <si>
    <t>Tax indemnification receivable ($)</t>
  </si>
  <si>
    <t>Other assets (% of interest income)</t>
  </si>
  <si>
    <t>Total Liabilities</t>
  </si>
  <si>
    <t>Deposits (% growth rate)</t>
  </si>
  <si>
    <t>Long-term borrowings (debt)</t>
  </si>
  <si>
    <t xml:space="preserve">Other liabilities (% of deposits) </t>
  </si>
  <si>
    <t>&lt;---- changes, based on stress scenarios. Average taken for now</t>
  </si>
  <si>
    <t>Equity Account</t>
  </si>
  <si>
    <t xml:space="preserve">New Issues of Stock </t>
  </si>
  <si>
    <t>Accumulated Other Comprehensive Income (Loss), Net of Tax</t>
  </si>
  <si>
    <t>Dividends Paid, Common Shares</t>
  </si>
  <si>
    <t>Buyback of Stock</t>
  </si>
  <si>
    <t>Issues from LTD</t>
  </si>
  <si>
    <t>Payoff from LTD</t>
  </si>
  <si>
    <t xml:space="preserve">All Assets </t>
  </si>
  <si>
    <t>L+E (w/o debt)</t>
  </si>
  <si>
    <t>&lt;-- balance?</t>
  </si>
  <si>
    <t>Consolidated Statements of Cash Flows - USD ($)</t>
  </si>
  <si>
    <t>Cash flows from operating activities:</t>
  </si>
  <si>
    <t>Net Income</t>
  </si>
  <si>
    <t>Restricted Cash</t>
  </si>
  <si>
    <t>Cash flows from financing activities:</t>
  </si>
  <si>
    <t>Provisions for Credit Losses</t>
  </si>
  <si>
    <t xml:space="preserve">Cash flow from deposits </t>
  </si>
  <si>
    <t>Long-term borrowings (repayment)</t>
  </si>
  <si>
    <t xml:space="preserve">Other Liabilities </t>
  </si>
  <si>
    <t>Cash flow from liabilities</t>
  </si>
  <si>
    <t>Cash flow from assets</t>
  </si>
  <si>
    <t xml:space="preserve">Loans held for investment </t>
  </si>
  <si>
    <t>Gain (loss) on sale</t>
  </si>
  <si>
    <t xml:space="preserve">Preferred Stock Dividends </t>
  </si>
  <si>
    <t xml:space="preserve">Common Stock Dividends </t>
  </si>
  <si>
    <t>Cash - Beginning</t>
  </si>
  <si>
    <t>Cash - End of period</t>
  </si>
  <si>
    <t>Stock BuyBack (shares)</t>
  </si>
  <si>
    <t>Stock BuyBack ($)</t>
  </si>
  <si>
    <t>Supporting Schedule - Buyback Derivation</t>
  </si>
  <si>
    <t>Needed - From Balance sheet</t>
  </si>
  <si>
    <t>Per share average</t>
  </si>
  <si>
    <t xml:space="preserve">Checks to balance  sheet? </t>
  </si>
  <si>
    <t>Cash Before Buyback</t>
  </si>
  <si>
    <t>Shortfall (expected volume of buyback)</t>
  </si>
  <si>
    <t>Number of shares bought back</t>
  </si>
  <si>
    <t>Interest on Debt</t>
  </si>
  <si>
    <t>Share attributable to long term debt</t>
  </si>
  <si>
    <t>Discounted Cash Flow Analysis</t>
  </si>
  <si>
    <t>EBIT</t>
  </si>
  <si>
    <t>Taxes Expensed</t>
  </si>
  <si>
    <t>Deferred Taxes</t>
  </si>
  <si>
    <t xml:space="preserve">Change in Long term liabilities </t>
  </si>
  <si>
    <t>EBIT after tax</t>
  </si>
  <si>
    <t>Change in net working capital</t>
  </si>
  <si>
    <t>Net capital expenditures</t>
  </si>
  <si>
    <t>Supporting schedules: Change in NWC and Net Capital Expenditures</t>
  </si>
  <si>
    <t>Net working Capital</t>
  </si>
  <si>
    <t>Total Current Assets</t>
  </si>
  <si>
    <t>Total Current Liabilities</t>
  </si>
  <si>
    <t>NWC</t>
  </si>
  <si>
    <t>Change in NWC</t>
  </si>
  <si>
    <t>FCF</t>
  </si>
  <si>
    <t>Total CF</t>
  </si>
  <si>
    <t>Terminal Value</t>
  </si>
  <si>
    <t>Value of the firm</t>
  </si>
  <si>
    <t>Less value of debt/preferred/net of cash</t>
  </si>
  <si>
    <t>Value of equity</t>
  </si>
  <si>
    <t>Per share price</t>
  </si>
  <si>
    <t>Check Preferred Shares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</si>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</sst>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164" formatCode="_(&quot;$ &quot;#,##0_);_(&quot;$ &quot;\(#,##0\)"/>
    <numFmt numFmtId="165" formatCode="_(&quot;$ &quot;#,##0.00_);_(&quot;$ &quot;\(#,##0.00\)"/>
    <numFmt numFmtId="166" formatCode="#,##0.000_);\(#,##0.000\)"/>
    <numFmt numFmtId="167" formatCode="&quot;$&quot;#,##0.00"/>
    <numFmt numFmtId="168" formatCode="&quot;$&quot;#,##0"/>
    <numFmt numFmtId="169" formatCode="0.0%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70C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0070C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center" wrapText="1"/>
    </xf>
    <xf numFmtId="37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168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37" fontId="0" fillId="0" borderId="0" xfId="0" applyNumberFormat="1" applyAlignment="1">
      <alignment horizontal="center"/>
    </xf>
    <xf numFmtId="3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 applyAlignment="1">
      <alignment horizontal="center"/>
    </xf>
    <xf numFmtId="0" fontId="4" fillId="0" borderId="0" xfId="0" applyFont="1" applyAlignment="1">
      <alignment horizontal="left" vertical="top" wrapText="1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left" vertical="top" wrapText="1"/>
    </xf>
    <xf numFmtId="16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6" fontId="5" fillId="0" borderId="0" xfId="0" applyNumberFormat="1" applyFont="1" applyAlignment="1">
      <alignment horizontal="center"/>
    </xf>
    <xf numFmtId="6" fontId="6" fillId="0" borderId="0" xfId="0" applyNumberFormat="1" applyFont="1" applyAlignment="1">
      <alignment horizontal="center"/>
    </xf>
    <xf numFmtId="6" fontId="0" fillId="0" borderId="1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vertical="top" wrapText="1"/>
    </xf>
    <xf numFmtId="0" fontId="0" fillId="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9" fontId="6" fillId="0" borderId="0" xfId="1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1" xfId="0" applyNumberFormat="1" applyFon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8" fontId="0" fillId="0" borderId="0" xfId="0" applyNumberFormat="1" applyAlignment="1">
      <alignment horizontal="center"/>
    </xf>
    <xf numFmtId="0" fontId="5" fillId="0" borderId="0" xfId="0" applyFont="1"/>
    <xf numFmtId="0" fontId="7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168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37" fontId="2" fillId="0" borderId="8" xfId="0" applyNumberFormat="1" applyFont="1" applyBorder="1" applyAlignment="1">
      <alignment horizontal="center"/>
    </xf>
    <xf numFmtId="6" fontId="0" fillId="0" borderId="0" xfId="0" applyNumberFormat="1"/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168" fontId="2" fillId="0" borderId="0" xfId="0" applyNumberFormat="1" applyFont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37" fontId="0" fillId="0" borderId="1" xfId="0" applyNumberFormat="1" applyBorder="1" applyAlignment="1">
      <alignment horizontal="center"/>
    </xf>
    <xf numFmtId="169" fontId="0" fillId="0" borderId="0" xfId="1" applyNumberFormat="1" applyFont="1" applyFill="1"/>
    <xf numFmtId="9" fontId="6" fillId="0" borderId="0" xfId="0" applyNumberFormat="1" applyFont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7DF4088-1ABA-4751-82B1-06AB69FE609A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UniqueID" value="&quot;20252171742244124642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653E-5752-4D8C-88A5-9D40F278FED3}">
  <sheetPr>
    <tabColor rgb="FFFF0000"/>
  </sheetPr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75E9-A596-423A-873A-F1895D72ECB3}">
  <dimension ref="A1:D35"/>
  <sheetViews>
    <sheetView workbookViewId="0"/>
  </sheetViews>
  <sheetFormatPr defaultRowHeight="15" x14ac:dyDescent="0.25"/>
  <cols>
    <col min="1" max="1" width="66.140625" customWidth="1"/>
    <col min="2" max="2" width="19.28515625" customWidth="1"/>
    <col min="3" max="3" width="15.42578125" customWidth="1"/>
    <col min="4" max="4" width="15.5703125" customWidth="1"/>
  </cols>
  <sheetData>
    <row r="1" spans="1:4" x14ac:dyDescent="0.25">
      <c r="A1" s="1" t="s">
        <v>35</v>
      </c>
      <c r="B1" s="4" t="s">
        <v>34</v>
      </c>
      <c r="C1" s="4" t="s">
        <v>38</v>
      </c>
      <c r="D1" s="4" t="s">
        <v>71</v>
      </c>
    </row>
    <row r="2" spans="1:4" ht="14.25" customHeight="1" x14ac:dyDescent="0.25">
      <c r="A2" s="2" t="s">
        <v>0</v>
      </c>
      <c r="B2" s="3" t="s">
        <v>36</v>
      </c>
      <c r="C2" s="3" t="s">
        <v>36</v>
      </c>
      <c r="D2" s="3"/>
    </row>
    <row r="3" spans="1:4" ht="14.25" customHeight="1" x14ac:dyDescent="0.25">
      <c r="A3" s="3" t="s">
        <v>1</v>
      </c>
      <c r="B3" s="6">
        <v>4616117</v>
      </c>
      <c r="C3" s="6">
        <v>4149838</v>
      </c>
      <c r="D3" s="6">
        <v>4700366</v>
      </c>
    </row>
    <row r="4" spans="1:4" ht="14.25" customHeight="1" x14ac:dyDescent="0.25">
      <c r="A4" s="2" t="s">
        <v>2</v>
      </c>
      <c r="B4" s="3" t="s">
        <v>36</v>
      </c>
      <c r="C4" s="3" t="s">
        <v>36</v>
      </c>
      <c r="D4" s="3"/>
    </row>
    <row r="5" spans="1:4" ht="14.25" customHeight="1" x14ac:dyDescent="0.25">
      <c r="A5" s="3" t="s">
        <v>3</v>
      </c>
      <c r="B5" s="5">
        <v>55903</v>
      </c>
      <c r="C5" s="5">
        <v>54481</v>
      </c>
      <c r="D5" s="5">
        <v>53262</v>
      </c>
    </row>
    <row r="6" spans="1:4" ht="14.25" customHeight="1" x14ac:dyDescent="0.25">
      <c r="A6" s="3" t="s">
        <v>4</v>
      </c>
      <c r="B6" s="5">
        <v>2342089</v>
      </c>
      <c r="C6" s="5">
        <v>2411622</v>
      </c>
      <c r="D6" s="5">
        <v>1933226</v>
      </c>
    </row>
    <row r="7" spans="1:4" ht="14.25" customHeight="1" x14ac:dyDescent="0.25">
      <c r="A7" s="3" t="s">
        <v>5</v>
      </c>
      <c r="B7" s="5">
        <v>94716</v>
      </c>
      <c r="C7" s="5">
        <v>91567</v>
      </c>
      <c r="D7" s="5">
        <v>112377</v>
      </c>
    </row>
    <row r="8" spans="1:4" ht="14.25" customHeight="1" x14ac:dyDescent="0.25">
      <c r="A8" s="3" t="s">
        <v>6</v>
      </c>
      <c r="B8" s="5">
        <v>2492708</v>
      </c>
      <c r="C8" s="5">
        <v>2557670</v>
      </c>
      <c r="D8" s="5">
        <v>2098865</v>
      </c>
    </row>
    <row r="9" spans="1:4" ht="14.25" customHeight="1" x14ac:dyDescent="0.25">
      <c r="A9" s="3" t="s">
        <v>7</v>
      </c>
      <c r="B9" s="5">
        <v>19626868</v>
      </c>
      <c r="C9" s="5">
        <v>20306357</v>
      </c>
      <c r="D9" s="5">
        <v>20902158</v>
      </c>
    </row>
    <row r="10" spans="1:4" ht="14.25" customHeight="1" x14ac:dyDescent="0.25">
      <c r="A10" s="3" t="s">
        <v>8</v>
      </c>
      <c r="B10" s="5">
        <v>29448</v>
      </c>
      <c r="C10" s="5">
        <v>0</v>
      </c>
      <c r="D10" s="5"/>
    </row>
    <row r="11" spans="1:4" ht="14.25" customHeight="1" x14ac:dyDescent="0.25">
      <c r="A11" s="3" t="s">
        <v>9</v>
      </c>
      <c r="B11" s="5">
        <v>156719</v>
      </c>
      <c r="C11" s="5">
        <v>149669</v>
      </c>
      <c r="D11" s="5">
        <v>173894</v>
      </c>
    </row>
    <row r="12" spans="1:4" ht="14.25" customHeight="1" x14ac:dyDescent="0.25">
      <c r="A12" s="3" t="s">
        <v>10</v>
      </c>
      <c r="B12" s="5">
        <v>11162</v>
      </c>
      <c r="C12" s="5">
        <v>9229</v>
      </c>
      <c r="D12" s="5">
        <v>4880</v>
      </c>
    </row>
    <row r="13" spans="1:4" ht="14.25" customHeight="1" x14ac:dyDescent="0.25">
      <c r="A13" s="3" t="s">
        <v>11</v>
      </c>
      <c r="B13" s="5">
        <v>1202059</v>
      </c>
      <c r="C13" s="5">
        <v>1379904</v>
      </c>
      <c r="D13" s="5">
        <v>1546590</v>
      </c>
    </row>
    <row r="14" spans="1:4" ht="14.25" customHeight="1" x14ac:dyDescent="0.25">
      <c r="A14" s="3" t="s">
        <v>12</v>
      </c>
      <c r="B14" s="5">
        <v>140728</v>
      </c>
      <c r="C14" s="5">
        <v>129501</v>
      </c>
      <c r="D14" s="5">
        <v>119354</v>
      </c>
    </row>
    <row r="15" spans="1:4" ht="14.25" customHeight="1" x14ac:dyDescent="0.25">
      <c r="A15" s="3" t="s">
        <v>13</v>
      </c>
      <c r="B15" s="5">
        <v>118273</v>
      </c>
      <c r="C15" s="5">
        <v>68711</v>
      </c>
      <c r="D15" s="5">
        <v>63532</v>
      </c>
    </row>
    <row r="16" spans="1:4" ht="14.25" customHeight="1" x14ac:dyDescent="0.25">
      <c r="A16" s="3" t="s">
        <v>14</v>
      </c>
      <c r="B16" s="5">
        <v>380058</v>
      </c>
      <c r="C16" s="5">
        <v>366247</v>
      </c>
      <c r="D16" s="5">
        <v>425625</v>
      </c>
    </row>
    <row r="17" spans="1:4" ht="14.25" customHeight="1" x14ac:dyDescent="0.25">
      <c r="A17" s="3" t="s">
        <v>15</v>
      </c>
      <c r="B17" s="5">
        <v>2816</v>
      </c>
      <c r="C17" s="5">
        <v>0</v>
      </c>
      <c r="D17" s="5"/>
    </row>
    <row r="18" spans="1:4" ht="14.25" customHeight="1" x14ac:dyDescent="0.25">
      <c r="A18" s="3" t="s">
        <v>16</v>
      </c>
      <c r="B18" s="5">
        <v>34073</v>
      </c>
      <c r="C18" s="5">
        <v>52342</v>
      </c>
      <c r="D18" s="5">
        <v>36846</v>
      </c>
    </row>
    <row r="19" spans="1:4" ht="14.25" customHeight="1" x14ac:dyDescent="0.25">
      <c r="A19" s="3" t="s">
        <v>17</v>
      </c>
      <c r="B19" s="5">
        <v>28811029</v>
      </c>
      <c r="C19" s="5">
        <v>29169468</v>
      </c>
      <c r="D19" s="5">
        <v>30072110</v>
      </c>
    </row>
    <row r="20" spans="1:4" ht="14.25" customHeight="1" x14ac:dyDescent="0.25">
      <c r="A20" s="2" t="s">
        <v>18</v>
      </c>
      <c r="B20" s="3" t="s">
        <v>36</v>
      </c>
      <c r="C20" s="3" t="s">
        <v>36</v>
      </c>
      <c r="D20" s="5"/>
    </row>
    <row r="21" spans="1:4" ht="14.25" customHeight="1" x14ac:dyDescent="0.25">
      <c r="A21" s="3" t="s">
        <v>19</v>
      </c>
      <c r="B21" s="5">
        <v>21448071</v>
      </c>
      <c r="C21" s="5">
        <v>21653188</v>
      </c>
      <c r="D21" s="5">
        <v>21068568</v>
      </c>
    </row>
    <row r="22" spans="1:4" ht="14.25" customHeight="1" x14ac:dyDescent="0.25">
      <c r="A22" s="3" t="s">
        <v>20</v>
      </c>
      <c r="B22" s="5">
        <v>5235114</v>
      </c>
      <c r="C22" s="5">
        <v>5227512</v>
      </c>
      <c r="D22" s="5">
        <v>6440345</v>
      </c>
    </row>
    <row r="23" spans="1:4" ht="14.25" customHeight="1" x14ac:dyDescent="0.25">
      <c r="A23" s="3" t="s">
        <v>21</v>
      </c>
      <c r="B23" s="5">
        <v>400874</v>
      </c>
      <c r="C23" s="5">
        <v>407971</v>
      </c>
      <c r="D23" s="5">
        <v>403277</v>
      </c>
    </row>
    <row r="24" spans="1:4" ht="14.25" customHeight="1" x14ac:dyDescent="0.25">
      <c r="A24" s="3" t="s">
        <v>22</v>
      </c>
      <c r="B24" s="5">
        <v>27084059</v>
      </c>
      <c r="C24" s="5">
        <v>27288671</v>
      </c>
      <c r="D24" s="5">
        <v>27912190</v>
      </c>
    </row>
    <row r="25" spans="1:4" ht="14.25" customHeight="1" x14ac:dyDescent="0.25">
      <c r="A25" s="3" t="s">
        <v>23</v>
      </c>
      <c r="B25" s="3" t="s">
        <v>37</v>
      </c>
      <c r="C25" s="3" t="s">
        <v>37</v>
      </c>
      <c r="D25" s="5"/>
    </row>
    <row r="26" spans="1:4" ht="14.25" customHeight="1" x14ac:dyDescent="0.25">
      <c r="A26" s="2" t="s">
        <v>24</v>
      </c>
      <c r="B26" s="3" t="s">
        <v>36</v>
      </c>
      <c r="C26" s="3" t="s">
        <v>36</v>
      </c>
      <c r="D26" s="5"/>
    </row>
    <row r="27" spans="1:4" ht="14.25" customHeight="1" x14ac:dyDescent="0.25">
      <c r="A27" s="3" t="s">
        <v>25</v>
      </c>
      <c r="B27" s="5">
        <v>251070</v>
      </c>
      <c r="C27" s="5">
        <v>251070</v>
      </c>
      <c r="D27" s="5">
        <v>251070</v>
      </c>
    </row>
    <row r="28" spans="1:4" ht="14.25" customHeight="1" x14ac:dyDescent="0.25">
      <c r="A28" s="3" t="s">
        <v>26</v>
      </c>
      <c r="B28" s="5">
        <v>87025</v>
      </c>
      <c r="C28" s="5">
        <v>87647</v>
      </c>
      <c r="D28" s="5">
        <v>88121</v>
      </c>
    </row>
    <row r="29" spans="1:4" ht="14.25" customHeight="1" x14ac:dyDescent="0.25">
      <c r="A29" s="3" t="s">
        <v>27</v>
      </c>
      <c r="B29" s="5">
        <v>1109072</v>
      </c>
      <c r="C29" s="5">
        <v>1148689</v>
      </c>
      <c r="D29" s="5">
        <v>1193753</v>
      </c>
    </row>
    <row r="30" spans="1:4" ht="14.25" customHeight="1" x14ac:dyDescent="0.25">
      <c r="A30" s="3" t="s">
        <v>28</v>
      </c>
      <c r="B30" s="5">
        <v>-93870</v>
      </c>
      <c r="C30" s="5">
        <v>-75104</v>
      </c>
      <c r="D30" s="5">
        <v>-65861</v>
      </c>
    </row>
    <row r="31" spans="1:4" ht="14.25" customHeight="1" x14ac:dyDescent="0.25">
      <c r="A31" s="3" t="s">
        <v>29</v>
      </c>
      <c r="B31" s="5">
        <v>3163640</v>
      </c>
      <c r="C31" s="5">
        <v>3624859</v>
      </c>
      <c r="D31" s="5">
        <v>4114446</v>
      </c>
    </row>
    <row r="32" spans="1:4" ht="14.25" customHeight="1" x14ac:dyDescent="0.25">
      <c r="A32" s="3" t="s">
        <v>30</v>
      </c>
      <c r="B32" s="5">
        <v>4516937</v>
      </c>
      <c r="C32" s="5">
        <v>5037161</v>
      </c>
      <c r="D32" s="5">
        <v>5581529</v>
      </c>
    </row>
    <row r="33" spans="1:4" ht="14.25" customHeight="1" x14ac:dyDescent="0.25">
      <c r="A33" s="3" t="s">
        <v>31</v>
      </c>
      <c r="B33" s="5">
        <v>-2789967</v>
      </c>
      <c r="C33" s="5">
        <v>-3156364</v>
      </c>
      <c r="D33" s="5">
        <v>-3421609</v>
      </c>
    </row>
    <row r="34" spans="1:4" ht="14.25" customHeight="1" x14ac:dyDescent="0.25">
      <c r="A34" s="3" t="s">
        <v>32</v>
      </c>
      <c r="B34" s="5">
        <v>1726970</v>
      </c>
      <c r="C34" s="5">
        <v>1880797</v>
      </c>
      <c r="D34" s="5">
        <v>2159920</v>
      </c>
    </row>
    <row r="35" spans="1:4" ht="14.25" customHeight="1" x14ac:dyDescent="0.25">
      <c r="A35" s="3" t="s">
        <v>33</v>
      </c>
      <c r="B35" s="6">
        <v>28811029</v>
      </c>
      <c r="C35" s="6">
        <v>29169468</v>
      </c>
      <c r="D35" s="6">
        <v>30072110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46FE-399B-4276-9548-297875A16C8F}">
  <dimension ref="A1:G39"/>
  <sheetViews>
    <sheetView workbookViewId="0">
      <selection activeCell="C13" sqref="C13"/>
    </sheetView>
  </sheetViews>
  <sheetFormatPr defaultRowHeight="15" x14ac:dyDescent="0.25"/>
  <cols>
    <col min="1" max="1" width="90.7109375" customWidth="1"/>
    <col min="2" max="2" width="21" customWidth="1"/>
    <col min="3" max="3" width="19.5703125" customWidth="1"/>
    <col min="4" max="4" width="19" customWidth="1"/>
    <col min="5" max="7" width="16.42578125" bestFit="1" customWidth="1"/>
  </cols>
  <sheetData>
    <row r="1" spans="1:7" x14ac:dyDescent="0.25">
      <c r="A1" s="65" t="s">
        <v>70</v>
      </c>
    </row>
    <row r="2" spans="1:7" ht="21.75" customHeight="1" x14ac:dyDescent="0.25">
      <c r="A2" s="66"/>
      <c r="B2" s="4" t="s">
        <v>34</v>
      </c>
      <c r="C2" s="4" t="s">
        <v>38</v>
      </c>
      <c r="D2" s="4" t="s">
        <v>71</v>
      </c>
    </row>
    <row r="3" spans="1:7" ht="16.5" customHeight="1" x14ac:dyDescent="0.25">
      <c r="A3" s="2" t="s">
        <v>39</v>
      </c>
      <c r="B3" s="3" t="s">
        <v>36</v>
      </c>
      <c r="C3" s="3" t="s">
        <v>36</v>
      </c>
      <c r="D3" s="3" t="s">
        <v>36</v>
      </c>
    </row>
    <row r="4" spans="1:7" ht="16.5" customHeight="1" x14ac:dyDescent="0.25">
      <c r="A4" s="3" t="s">
        <v>40</v>
      </c>
      <c r="B4" s="6">
        <v>1914554</v>
      </c>
      <c r="C4" s="6">
        <v>2327743</v>
      </c>
      <c r="D4" s="6">
        <v>2314417</v>
      </c>
      <c r="E4" s="8"/>
      <c r="F4" s="8"/>
      <c r="G4" s="8"/>
    </row>
    <row r="5" spans="1:7" ht="16.5" customHeight="1" x14ac:dyDescent="0.25">
      <c r="A5" s="3" t="s">
        <v>41</v>
      </c>
      <c r="B5" s="5">
        <v>35304</v>
      </c>
      <c r="C5" s="5">
        <v>50810</v>
      </c>
      <c r="D5" s="5">
        <v>61412</v>
      </c>
      <c r="E5" s="8"/>
      <c r="F5" s="8"/>
      <c r="G5" s="8"/>
    </row>
    <row r="6" spans="1:7" ht="16.5" customHeight="1" x14ac:dyDescent="0.25">
      <c r="A6" s="3" t="s">
        <v>1</v>
      </c>
      <c r="B6" s="5">
        <v>81722</v>
      </c>
      <c r="C6" s="5">
        <v>213750</v>
      </c>
      <c r="D6" s="5">
        <v>243217</v>
      </c>
      <c r="E6" s="8"/>
      <c r="F6" s="8"/>
      <c r="G6" s="8"/>
    </row>
    <row r="7" spans="1:7" ht="16.5" customHeight="1" x14ac:dyDescent="0.25">
      <c r="A7" s="3" t="s">
        <v>42</v>
      </c>
      <c r="B7" s="5">
        <v>2031580</v>
      </c>
      <c r="C7" s="5">
        <v>2592303</v>
      </c>
      <c r="D7" s="5">
        <v>2619046</v>
      </c>
      <c r="E7" s="8"/>
      <c r="F7" s="8"/>
      <c r="G7" s="8"/>
    </row>
    <row r="8" spans="1:7" ht="16.5" customHeight="1" x14ac:dyDescent="0.25">
      <c r="A8" s="2" t="s">
        <v>43</v>
      </c>
      <c r="B8" s="3" t="s">
        <v>36</v>
      </c>
      <c r="C8" s="3" t="s">
        <v>36</v>
      </c>
      <c r="D8" s="3" t="s">
        <v>36</v>
      </c>
    </row>
    <row r="9" spans="1:7" ht="16.5" customHeight="1" x14ac:dyDescent="0.25">
      <c r="A9" s="3" t="s">
        <v>19</v>
      </c>
      <c r="B9" s="5">
        <v>368914</v>
      </c>
      <c r="C9" s="5">
        <v>808065</v>
      </c>
      <c r="D9" s="5">
        <v>881456</v>
      </c>
      <c r="E9" s="8"/>
      <c r="F9" s="8"/>
      <c r="G9" s="8"/>
    </row>
    <row r="10" spans="1:7" ht="16.5" customHeight="1" x14ac:dyDescent="0.25">
      <c r="A10" s="3" t="s">
        <v>44</v>
      </c>
      <c r="B10" s="5">
        <v>11956</v>
      </c>
      <c r="C10" s="5">
        <v>13501</v>
      </c>
      <c r="D10" s="5">
        <v>13815</v>
      </c>
      <c r="E10" s="8"/>
      <c r="F10" s="8"/>
      <c r="G10" s="8"/>
    </row>
    <row r="11" spans="1:7" ht="16.5" customHeight="1" x14ac:dyDescent="0.25">
      <c r="A11" s="3" t="s">
        <v>45</v>
      </c>
      <c r="B11" s="5">
        <v>161929</v>
      </c>
      <c r="C11" s="5">
        <v>208524</v>
      </c>
      <c r="D11" s="5">
        <v>242993</v>
      </c>
      <c r="E11" s="8"/>
      <c r="F11" s="8"/>
      <c r="G11" s="8"/>
    </row>
    <row r="12" spans="1:7" ht="16.5" customHeight="1" x14ac:dyDescent="0.25">
      <c r="A12" s="3" t="s">
        <v>46</v>
      </c>
      <c r="B12" s="5">
        <v>542799</v>
      </c>
      <c r="C12" s="5">
        <v>1030090</v>
      </c>
      <c r="D12" s="5">
        <v>1138264</v>
      </c>
      <c r="E12" s="8"/>
      <c r="F12" s="8"/>
      <c r="G12" s="8"/>
    </row>
    <row r="13" spans="1:7" ht="16.5" customHeight="1" x14ac:dyDescent="0.25">
      <c r="A13" s="3" t="s">
        <v>47</v>
      </c>
      <c r="B13" s="5">
        <v>1488781</v>
      </c>
      <c r="C13" s="5">
        <v>1562213</v>
      </c>
      <c r="D13" s="5">
        <v>1480782</v>
      </c>
      <c r="E13" s="8"/>
      <c r="F13" s="8"/>
      <c r="G13" s="8"/>
    </row>
    <row r="14" spans="1:7" ht="16.5" customHeight="1" x14ac:dyDescent="0.25">
      <c r="A14" s="3" t="s">
        <v>48</v>
      </c>
      <c r="B14" s="5">
        <v>633453</v>
      </c>
      <c r="C14" s="5">
        <v>345463</v>
      </c>
      <c r="D14" s="5">
        <v>408515</v>
      </c>
      <c r="E14" s="8"/>
      <c r="F14" s="8"/>
      <c r="G14" s="8"/>
    </row>
    <row r="15" spans="1:7" ht="16.5" customHeight="1" x14ac:dyDescent="0.25">
      <c r="A15" s="3" t="s">
        <v>49</v>
      </c>
      <c r="B15" s="5">
        <v>855328</v>
      </c>
      <c r="C15" s="5">
        <v>1216750</v>
      </c>
      <c r="D15" s="5">
        <v>1072267</v>
      </c>
      <c r="E15" s="8"/>
      <c r="F15" s="8"/>
      <c r="G15" s="8"/>
    </row>
    <row r="16" spans="1:7" ht="16.5" customHeight="1" x14ac:dyDescent="0.25">
      <c r="A16" s="2" t="s">
        <v>50</v>
      </c>
      <c r="B16" s="3" t="s">
        <v>36</v>
      </c>
      <c r="C16" s="3" t="s">
        <v>36</v>
      </c>
      <c r="D16" s="3" t="s">
        <v>36</v>
      </c>
    </row>
    <row r="17" spans="1:7" ht="16.5" customHeight="1" x14ac:dyDescent="0.25">
      <c r="A17" s="3" t="s">
        <v>51</v>
      </c>
      <c r="B17" s="5">
        <v>327750</v>
      </c>
      <c r="C17" s="5">
        <v>160290</v>
      </c>
      <c r="D17" s="5">
        <v>254928</v>
      </c>
      <c r="E17" s="8"/>
      <c r="F17" s="8"/>
      <c r="G17" s="8"/>
    </row>
    <row r="18" spans="1:7" ht="16.5" customHeight="1" x14ac:dyDescent="0.25">
      <c r="A18" s="3" t="s">
        <v>52</v>
      </c>
      <c r="B18" s="5">
        <v>-60267</v>
      </c>
      <c r="C18" s="5">
        <v>2678</v>
      </c>
      <c r="D18" s="5">
        <v>467</v>
      </c>
      <c r="E18" s="8"/>
      <c r="F18" s="8"/>
      <c r="G18" s="8"/>
    </row>
    <row r="19" spans="1:7" ht="16.5" customHeight="1" x14ac:dyDescent="0.25">
      <c r="A19" s="3" t="s">
        <v>72</v>
      </c>
      <c r="B19" s="5">
        <v>-5</v>
      </c>
      <c r="C19" s="5">
        <v>0</v>
      </c>
      <c r="D19" s="5">
        <v>0</v>
      </c>
      <c r="E19" s="8"/>
      <c r="F19" s="8"/>
      <c r="G19" s="8"/>
    </row>
    <row r="20" spans="1:7" ht="16.5" customHeight="1" x14ac:dyDescent="0.25">
      <c r="A20" s="3" t="s">
        <v>53</v>
      </c>
      <c r="B20" s="5">
        <v>67160</v>
      </c>
      <c r="C20" s="5">
        <v>84148</v>
      </c>
      <c r="D20" s="5">
        <v>112873</v>
      </c>
      <c r="E20" s="8"/>
      <c r="F20" s="8"/>
      <c r="G20" s="8"/>
    </row>
    <row r="21" spans="1:7" ht="16.5" customHeight="1" x14ac:dyDescent="0.25">
      <c r="A21" s="3" t="s">
        <v>54</v>
      </c>
      <c r="B21" s="5">
        <v>334638</v>
      </c>
      <c r="C21" s="5">
        <v>247116</v>
      </c>
      <c r="D21" s="5">
        <v>368268</v>
      </c>
      <c r="E21" s="8"/>
      <c r="F21" s="8"/>
      <c r="G21" s="8"/>
    </row>
    <row r="22" spans="1:7" ht="16.5" customHeight="1" x14ac:dyDescent="0.25">
      <c r="A22" s="2" t="s">
        <v>55</v>
      </c>
      <c r="B22" s="3" t="s">
        <v>36</v>
      </c>
      <c r="C22" s="3" t="s">
        <v>36</v>
      </c>
      <c r="D22" s="3" t="s">
        <v>36</v>
      </c>
    </row>
    <row r="23" spans="1:7" ht="16.5" customHeight="1" x14ac:dyDescent="0.25">
      <c r="A23" s="3" t="s">
        <v>56</v>
      </c>
      <c r="B23" s="5">
        <v>270354</v>
      </c>
      <c r="C23" s="5">
        <v>326554</v>
      </c>
      <c r="D23" s="5">
        <v>349387</v>
      </c>
      <c r="E23" s="8"/>
      <c r="F23" s="8"/>
      <c r="G23" s="8"/>
    </row>
    <row r="24" spans="1:7" ht="16.5" customHeight="1" x14ac:dyDescent="0.25">
      <c r="A24" s="3" t="s">
        <v>57</v>
      </c>
      <c r="B24" s="5">
        <v>20939</v>
      </c>
      <c r="C24" s="5">
        <v>45766</v>
      </c>
      <c r="D24" s="5">
        <v>51606</v>
      </c>
      <c r="E24" s="8"/>
      <c r="F24" s="8"/>
      <c r="G24" s="8"/>
    </row>
    <row r="25" spans="1:7" ht="16.5" customHeight="1" x14ac:dyDescent="0.25">
      <c r="A25" s="3" t="s">
        <v>58</v>
      </c>
      <c r="B25" s="5">
        <v>260169</v>
      </c>
      <c r="C25" s="5">
        <v>246886</v>
      </c>
      <c r="D25" s="5">
        <v>235577</v>
      </c>
      <c r="E25" s="8"/>
      <c r="F25" s="8"/>
      <c r="G25" s="8"/>
    </row>
    <row r="26" spans="1:7" ht="16.5" customHeight="1" x14ac:dyDescent="0.25">
      <c r="A26" s="3" t="s">
        <v>59</v>
      </c>
      <c r="B26" s="5">
        <v>551462</v>
      </c>
      <c r="C26" s="5">
        <v>619206</v>
      </c>
      <c r="D26" s="5">
        <v>636570</v>
      </c>
      <c r="E26" s="8"/>
      <c r="F26" s="8"/>
      <c r="G26" s="8"/>
    </row>
    <row r="27" spans="1:7" ht="16.5" customHeight="1" x14ac:dyDescent="0.25">
      <c r="A27" s="3" t="s">
        <v>73</v>
      </c>
      <c r="B27" s="5">
        <v>7779</v>
      </c>
      <c r="C27" s="5">
        <v>66364</v>
      </c>
      <c r="D27" s="5">
        <v>5329</v>
      </c>
      <c r="E27" s="8"/>
      <c r="F27" s="8"/>
      <c r="G27" s="8"/>
    </row>
    <row r="28" spans="1:7" ht="16.5" customHeight="1" x14ac:dyDescent="0.25">
      <c r="A28" s="3" t="s">
        <v>60</v>
      </c>
      <c r="B28" s="5">
        <v>559241</v>
      </c>
      <c r="C28" s="5">
        <v>685570</v>
      </c>
      <c r="D28" s="5">
        <v>641899</v>
      </c>
      <c r="E28" s="8"/>
      <c r="F28" s="8"/>
      <c r="G28" s="8"/>
    </row>
    <row r="29" spans="1:7" ht="16.5" customHeight="1" x14ac:dyDescent="0.25">
      <c r="A29" s="3" t="s">
        <v>61</v>
      </c>
      <c r="B29" s="5">
        <v>630725</v>
      </c>
      <c r="C29" s="5">
        <v>778296</v>
      </c>
      <c r="D29" s="5">
        <v>798636</v>
      </c>
      <c r="E29" s="8"/>
      <c r="F29" s="8"/>
      <c r="G29" s="8"/>
    </row>
    <row r="30" spans="1:7" ht="16.5" customHeight="1" x14ac:dyDescent="0.25">
      <c r="A30" s="3" t="s">
        <v>62</v>
      </c>
      <c r="B30" s="5">
        <v>161711</v>
      </c>
      <c r="C30" s="5">
        <v>196905</v>
      </c>
      <c r="D30" s="5">
        <v>190311</v>
      </c>
      <c r="E30" s="8"/>
      <c r="F30" s="8"/>
      <c r="G30" s="8"/>
    </row>
    <row r="31" spans="1:7" ht="16.5" customHeight="1" x14ac:dyDescent="0.25">
      <c r="A31" s="3" t="s">
        <v>63</v>
      </c>
      <c r="B31" s="5">
        <v>469014</v>
      </c>
      <c r="C31" s="5">
        <v>581391</v>
      </c>
      <c r="D31" s="5">
        <v>608325</v>
      </c>
      <c r="E31" s="8"/>
      <c r="F31" s="8"/>
      <c r="G31" s="8"/>
    </row>
    <row r="32" spans="1:7" ht="16.5" customHeight="1" x14ac:dyDescent="0.25">
      <c r="A32" s="3" t="s">
        <v>64</v>
      </c>
      <c r="B32" s="5">
        <v>9029</v>
      </c>
      <c r="C32" s="5">
        <v>17705</v>
      </c>
      <c r="D32" s="5">
        <v>18296</v>
      </c>
      <c r="E32" s="8"/>
      <c r="F32" s="8"/>
      <c r="G32" s="8"/>
    </row>
    <row r="33" spans="1:7" ht="16.5" customHeight="1" x14ac:dyDescent="0.25">
      <c r="A33" s="3" t="s">
        <v>65</v>
      </c>
      <c r="B33" s="6">
        <v>459985</v>
      </c>
      <c r="C33" s="6">
        <v>563686</v>
      </c>
      <c r="D33" s="6">
        <v>590029</v>
      </c>
      <c r="E33" s="8"/>
      <c r="F33" s="8"/>
      <c r="G33" s="8"/>
    </row>
    <row r="34" spans="1:7" ht="16.5" customHeight="1" x14ac:dyDescent="0.25">
      <c r="A34" s="3" t="s">
        <v>66</v>
      </c>
      <c r="B34" s="7">
        <v>1.78</v>
      </c>
      <c r="C34" s="7">
        <v>2.44</v>
      </c>
      <c r="D34" s="7">
        <v>2.73</v>
      </c>
    </row>
    <row r="35" spans="1:7" ht="16.5" customHeight="1" x14ac:dyDescent="0.25">
      <c r="A35" s="3" t="s">
        <v>67</v>
      </c>
      <c r="B35" s="5">
        <v>258439</v>
      </c>
      <c r="C35" s="5">
        <v>231411</v>
      </c>
      <c r="D35" s="5">
        <v>216220</v>
      </c>
      <c r="E35" s="8"/>
      <c r="F35" s="8"/>
      <c r="G35" s="8"/>
    </row>
    <row r="36" spans="1:7" ht="16.5" customHeight="1" x14ac:dyDescent="0.25">
      <c r="A36" s="3" t="s">
        <v>68</v>
      </c>
      <c r="B36" s="7">
        <v>1.76</v>
      </c>
      <c r="C36" s="7">
        <v>2.41</v>
      </c>
      <c r="D36" s="7">
        <v>2.68</v>
      </c>
    </row>
    <row r="37" spans="1:7" ht="16.5" customHeight="1" x14ac:dyDescent="0.25">
      <c r="A37" s="3" t="s">
        <v>69</v>
      </c>
      <c r="B37" s="5">
        <v>261503</v>
      </c>
      <c r="C37" s="5">
        <v>234063</v>
      </c>
      <c r="D37" s="5">
        <v>219934</v>
      </c>
      <c r="E37" s="8"/>
      <c r="F37" s="8"/>
      <c r="G37" s="8"/>
    </row>
    <row r="38" spans="1:7" ht="16.5" customHeight="1" x14ac:dyDescent="0.25">
      <c r="A38" s="3" t="s">
        <v>74</v>
      </c>
      <c r="B38" s="7">
        <v>0.44</v>
      </c>
      <c r="C38" s="7">
        <v>0.44</v>
      </c>
      <c r="D38" s="7">
        <v>0.46</v>
      </c>
    </row>
    <row r="39" spans="1:7" x14ac:dyDescent="0.25">
      <c r="A39" s="3"/>
      <c r="B39" s="7"/>
      <c r="C39" s="7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F46F-18CD-480D-B909-0F0547971268}">
  <sheetPr>
    <tabColor rgb="FFFF0000"/>
  </sheetPr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6BA8-5BD3-4480-B0E4-95D2E67C0019}">
  <dimension ref="A1:M68"/>
  <sheetViews>
    <sheetView showGridLines="0" zoomScale="80" zoomScaleNormal="80"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1" max="1" width="67" customWidth="1"/>
    <col min="2" max="4" width="12.85546875" style="9" customWidth="1"/>
    <col min="5" max="5" width="2.42578125" style="9" customWidth="1"/>
    <col min="6" max="8" width="14.5703125" style="9" customWidth="1"/>
    <col min="9" max="9" width="11.85546875" customWidth="1"/>
    <col min="10" max="10" width="16.140625" customWidth="1"/>
    <col min="11" max="13" width="14.85546875" customWidth="1"/>
  </cols>
  <sheetData>
    <row r="1" spans="1:13" ht="30" x14ac:dyDescent="0.25">
      <c r="A1" s="1" t="s">
        <v>35</v>
      </c>
      <c r="B1" s="67" t="s">
        <v>75</v>
      </c>
      <c r="C1" s="67"/>
      <c r="D1" s="67"/>
      <c r="F1" s="67" t="s">
        <v>76</v>
      </c>
      <c r="G1" s="67"/>
      <c r="H1" s="67"/>
    </row>
    <row r="2" spans="1:13" x14ac:dyDescent="0.25">
      <c r="B2" s="14">
        <v>2022</v>
      </c>
      <c r="C2" s="14">
        <v>2023</v>
      </c>
      <c r="D2" s="14">
        <v>2024</v>
      </c>
      <c r="F2" s="14">
        <v>2025</v>
      </c>
      <c r="G2" s="14">
        <v>2026</v>
      </c>
      <c r="H2" s="14">
        <v>2027</v>
      </c>
      <c r="K2" s="14">
        <v>2025</v>
      </c>
      <c r="L2" s="14">
        <v>2026</v>
      </c>
      <c r="M2" s="14">
        <v>2027</v>
      </c>
    </row>
    <row r="3" spans="1:13" x14ac:dyDescent="0.25">
      <c r="A3" s="2" t="s">
        <v>0</v>
      </c>
      <c r="J3" t="s">
        <v>114</v>
      </c>
      <c r="K3" s="49">
        <f>F9+SUM(F10:F19)</f>
        <v>25792988.471708931</v>
      </c>
      <c r="L3" s="49">
        <f t="shared" ref="L3:M3" si="0">G9+SUM(G10:G19)</f>
        <v>26387623.333968397</v>
      </c>
      <c r="M3" s="49">
        <f t="shared" si="0"/>
        <v>27018886.131221965</v>
      </c>
    </row>
    <row r="4" spans="1:13" x14ac:dyDescent="0.25">
      <c r="A4" s="3" t="s">
        <v>1</v>
      </c>
      <c r="B4" s="10">
        <f>'Balance Sheet'!B3</f>
        <v>4616117</v>
      </c>
      <c r="C4" s="10">
        <f>'Balance Sheet'!C3</f>
        <v>4149838</v>
      </c>
      <c r="D4" s="10">
        <f>'Balance Sheet'!D3</f>
        <v>4700366</v>
      </c>
      <c r="F4" s="21">
        <f>F38-K3</f>
        <v>4845091.2372193485</v>
      </c>
      <c r="G4" s="21">
        <f t="shared" ref="G4:H4" si="1">G38-L3</f>
        <v>4834621.6331086047</v>
      </c>
      <c r="H4" s="21">
        <f t="shared" si="1"/>
        <v>4802757.5980235785</v>
      </c>
      <c r="J4" t="s">
        <v>115</v>
      </c>
      <c r="K4" s="49">
        <f>F23+F25+F37</f>
        <v>24197734.70892828</v>
      </c>
      <c r="L4" s="49">
        <f t="shared" ref="L4:M4" si="2">G23+G25+G37</f>
        <v>24781899.967077002</v>
      </c>
      <c r="M4" s="49">
        <f t="shared" si="2"/>
        <v>25381298.729245543</v>
      </c>
    </row>
    <row r="5" spans="1:13" x14ac:dyDescent="0.25">
      <c r="A5" s="2" t="s">
        <v>2</v>
      </c>
      <c r="B5" s="10"/>
      <c r="C5" s="10"/>
      <c r="D5" s="10"/>
      <c r="F5" s="41"/>
      <c r="G5" s="41"/>
      <c r="H5" s="41"/>
      <c r="K5" s="49">
        <f>K3-K4</f>
        <v>1595253.7627806515</v>
      </c>
      <c r="L5" s="49">
        <f t="shared" ref="L5:M5" si="3">L3-L4</f>
        <v>1605723.3668913953</v>
      </c>
      <c r="M5" s="49">
        <f t="shared" si="3"/>
        <v>1637587.4019764215</v>
      </c>
    </row>
    <row r="6" spans="1:13" ht="30" x14ac:dyDescent="0.25">
      <c r="A6" s="3" t="s">
        <v>3</v>
      </c>
      <c r="B6" s="10">
        <f>'Balance Sheet'!B5</f>
        <v>55903</v>
      </c>
      <c r="C6" s="10">
        <f>'Balance Sheet'!C5</f>
        <v>54481</v>
      </c>
      <c r="D6" s="10">
        <f>'Balance Sheet'!D5</f>
        <v>53262</v>
      </c>
      <c r="F6" s="21">
        <f>D6*(1+F44)</f>
        <v>51988.726873638407</v>
      </c>
      <c r="G6" s="21">
        <f>F6*(1+G44)</f>
        <v>50745.892417516654</v>
      </c>
      <c r="H6" s="21">
        <f>G6*(1+H44)</f>
        <v>49532.76896949629</v>
      </c>
    </row>
    <row r="7" spans="1:13" x14ac:dyDescent="0.25">
      <c r="A7" s="3" t="s">
        <v>4</v>
      </c>
      <c r="B7" s="10">
        <f>'Balance Sheet'!B6</f>
        <v>2342089</v>
      </c>
      <c r="C7" s="10">
        <f>'Balance Sheet'!C6</f>
        <v>2411622</v>
      </c>
      <c r="D7" s="10">
        <f>'Balance Sheet'!D6</f>
        <v>1933226</v>
      </c>
      <c r="F7" s="21">
        <f t="shared" ref="F7:F8" si="4">D7*(1+F45)</f>
        <v>1770175.2045246507</v>
      </c>
      <c r="G7" s="21">
        <f t="shared" ref="G7:H7" si="5">F7*(1+G45)</f>
        <v>1620876.3252273086</v>
      </c>
      <c r="H7" s="21">
        <f t="shared" si="5"/>
        <v>1484169.5076097751</v>
      </c>
      <c r="K7" s="8"/>
    </row>
    <row r="8" spans="1:13" x14ac:dyDescent="0.25">
      <c r="A8" s="3" t="s">
        <v>5</v>
      </c>
      <c r="B8" s="11">
        <f>'Balance Sheet'!B7</f>
        <v>94716</v>
      </c>
      <c r="C8" s="11">
        <f>'Balance Sheet'!C7</f>
        <v>91567</v>
      </c>
      <c r="D8" s="11">
        <f>'Balance Sheet'!D7</f>
        <v>112377</v>
      </c>
      <c r="F8" s="24">
        <f t="shared" si="4"/>
        <v>123278.60974749499</v>
      </c>
      <c r="G8" s="24">
        <f t="shared" ref="G8:H8" si="6">F8*(1+G46)</f>
        <v>135237.77660264261</v>
      </c>
      <c r="H8" s="24">
        <f t="shared" si="6"/>
        <v>148357.09339914829</v>
      </c>
    </row>
    <row r="9" spans="1:13" s="27" customFormat="1" x14ac:dyDescent="0.25">
      <c r="A9" s="2" t="s">
        <v>6</v>
      </c>
      <c r="B9" s="53">
        <f>SUM(B6:B8)</f>
        <v>2492708</v>
      </c>
      <c r="C9" s="53">
        <f t="shared" ref="C9:D9" si="7">SUM(C6:C8)</f>
        <v>2557670</v>
      </c>
      <c r="D9" s="53">
        <f t="shared" si="7"/>
        <v>2098865</v>
      </c>
      <c r="E9" s="14"/>
      <c r="F9" s="33">
        <f t="shared" ref="F9" si="8">SUM(F6:F8)</f>
        <v>1945442.5411457841</v>
      </c>
      <c r="G9" s="33">
        <f t="shared" ref="G9" si="9">SUM(G6:G8)</f>
        <v>1806859.9942474677</v>
      </c>
      <c r="H9" s="33">
        <f t="shared" ref="H9" si="10">SUM(H6:H8)</f>
        <v>1682059.3699784195</v>
      </c>
    </row>
    <row r="10" spans="1:13" ht="30" x14ac:dyDescent="0.25">
      <c r="A10" s="3" t="s">
        <v>7</v>
      </c>
      <c r="B10" s="10">
        <f>'Balance Sheet'!B9</f>
        <v>19626868</v>
      </c>
      <c r="C10" s="10">
        <f>'Balance Sheet'!C9</f>
        <v>20306357</v>
      </c>
      <c r="D10" s="10">
        <f>'Balance Sheet'!D9</f>
        <v>20902158</v>
      </c>
      <c r="F10" s="21">
        <f>D10*(1+F47)</f>
        <v>21570619.075628273</v>
      </c>
      <c r="G10" s="21">
        <f>F10*(1+G47)</f>
        <v>22260457.858267952</v>
      </c>
      <c r="H10" s="21">
        <f>G10*(1+H47)</f>
        <v>22972358.017280988</v>
      </c>
    </row>
    <row r="11" spans="1:13" x14ac:dyDescent="0.25">
      <c r="A11" s="3" t="s">
        <v>8</v>
      </c>
      <c r="B11" s="10">
        <f>'Balance Sheet'!B10</f>
        <v>29448</v>
      </c>
      <c r="C11" s="10">
        <f>'Balance Sheet'!C10</f>
        <v>0</v>
      </c>
      <c r="D11" s="10">
        <f>'Balance Sheet'!D10</f>
        <v>0</v>
      </c>
      <c r="F11" s="41">
        <f>F48</f>
        <v>0</v>
      </c>
      <c r="G11" s="41">
        <f t="shared" ref="G11:H11" si="11">G48</f>
        <v>0</v>
      </c>
      <c r="H11" s="41">
        <f t="shared" si="11"/>
        <v>0</v>
      </c>
    </row>
    <row r="12" spans="1:13" x14ac:dyDescent="0.25">
      <c r="A12" s="3" t="s">
        <v>9</v>
      </c>
      <c r="B12" s="10">
        <f>'Balance Sheet'!B11</f>
        <v>156719</v>
      </c>
      <c r="C12" s="10">
        <f>'Balance Sheet'!C11</f>
        <v>149669</v>
      </c>
      <c r="D12" s="10">
        <f>'Balance Sheet'!D11</f>
        <v>173894</v>
      </c>
      <c r="F12" s="41">
        <f>F49*F23</f>
        <v>162956.24454064871</v>
      </c>
      <c r="G12" s="41">
        <f t="shared" ref="G12:H12" si="12">G49*G23</f>
        <v>166215.36943146167</v>
      </c>
      <c r="H12" s="41">
        <f t="shared" si="12"/>
        <v>169539.67682009091</v>
      </c>
    </row>
    <row r="13" spans="1:13" x14ac:dyDescent="0.25">
      <c r="A13" s="3" t="s">
        <v>10</v>
      </c>
      <c r="B13" s="10">
        <f>'Balance Sheet'!B12</f>
        <v>11162</v>
      </c>
      <c r="C13" s="10">
        <f>'Balance Sheet'!C12</f>
        <v>9229</v>
      </c>
      <c r="D13" s="10">
        <f>'Balance Sheet'!D12</f>
        <v>4880</v>
      </c>
      <c r="F13" s="21">
        <f>F50*'IS Forecast'!F7</f>
        <v>7244.1467022720726</v>
      </c>
      <c r="G13" s="21">
        <f>G50*'IS Forecast'!G7</f>
        <v>7389.0296363175139</v>
      </c>
      <c r="H13" s="21">
        <f>H50*'IS Forecast'!H7</f>
        <v>7536.8102290438637</v>
      </c>
    </row>
    <row r="14" spans="1:13" x14ac:dyDescent="0.25">
      <c r="A14" s="3" t="s">
        <v>11</v>
      </c>
      <c r="B14" s="10">
        <f>'Balance Sheet'!B13</f>
        <v>1202059</v>
      </c>
      <c r="C14" s="10">
        <f>'Balance Sheet'!C13</f>
        <v>1379904</v>
      </c>
      <c r="D14" s="10">
        <f>'Balance Sheet'!D13</f>
        <v>1546590</v>
      </c>
      <c r="F14" s="21">
        <f>F51*'IS Forecast'!F7</f>
        <v>1499772.0535217293</v>
      </c>
      <c r="G14" s="21">
        <f>G51*'IS Forecast'!G7</f>
        <v>1529767.4945921639</v>
      </c>
      <c r="H14" s="21">
        <f>H51*'IS Forecast'!H7</f>
        <v>1560362.8444840072</v>
      </c>
    </row>
    <row r="15" spans="1:13" x14ac:dyDescent="0.25">
      <c r="A15" s="3" t="s">
        <v>12</v>
      </c>
      <c r="B15" s="10">
        <f>'Balance Sheet'!B14</f>
        <v>140728</v>
      </c>
      <c r="C15" s="10">
        <f>'Balance Sheet'!C14</f>
        <v>129501</v>
      </c>
      <c r="D15" s="10">
        <f>'Balance Sheet'!D14</f>
        <v>119354</v>
      </c>
      <c r="F15" s="21">
        <f>F52*'IS Forecast'!F7</f>
        <v>127597.39592056946</v>
      </c>
      <c r="G15" s="21">
        <f>G52*'IS Forecast'!G7</f>
        <v>130149.34383898084</v>
      </c>
      <c r="H15" s="21">
        <f>H52*'IS Forecast'!H7</f>
        <v>132752.33071576047</v>
      </c>
    </row>
    <row r="16" spans="1:13" x14ac:dyDescent="0.25">
      <c r="A16" s="3" t="s">
        <v>13</v>
      </c>
      <c r="B16" s="10">
        <f>'Balance Sheet'!B15</f>
        <v>118273</v>
      </c>
      <c r="C16" s="10">
        <f>'Balance Sheet'!C15</f>
        <v>68711</v>
      </c>
      <c r="D16" s="10">
        <f>'Balance Sheet'!D15</f>
        <v>63532</v>
      </c>
      <c r="F16" s="21">
        <f>F53*'IS Forecast'!F7</f>
        <v>64214.35024990388</v>
      </c>
      <c r="G16" s="21">
        <f>G53*'IS Forecast'!G7</f>
        <v>65498.637254901958</v>
      </c>
      <c r="H16" s="21">
        <f>H53*'IS Forecast'!H7</f>
        <v>66808.61</v>
      </c>
    </row>
    <row r="17" spans="1:13" x14ac:dyDescent="0.25">
      <c r="A17" s="3" t="s">
        <v>14</v>
      </c>
      <c r="B17" s="10">
        <f>'Balance Sheet'!B16</f>
        <v>380058</v>
      </c>
      <c r="C17" s="10">
        <f>'Balance Sheet'!C16</f>
        <v>366247</v>
      </c>
      <c r="D17" s="10">
        <f>'Balance Sheet'!D16</f>
        <v>425625</v>
      </c>
      <c r="F17" s="41">
        <f>F54*'IS Forecast'!F29</f>
        <v>369381.39610178105</v>
      </c>
      <c r="G17" s="41">
        <f>G54*'IS Forecast'!G29</f>
        <v>374609.11344322935</v>
      </c>
      <c r="H17" s="41">
        <f>H54*'IS Forecast'!H29</f>
        <v>379858.448592606</v>
      </c>
    </row>
    <row r="18" spans="1:13" x14ac:dyDescent="0.25">
      <c r="A18" s="3" t="s">
        <v>15</v>
      </c>
      <c r="B18" s="10">
        <f>'Balance Sheet'!B17</f>
        <v>2816</v>
      </c>
      <c r="C18" s="10">
        <f>'Balance Sheet'!C17</f>
        <v>0</v>
      </c>
      <c r="D18" s="10">
        <f>'Balance Sheet'!D17</f>
        <v>0</v>
      </c>
      <c r="F18" s="41">
        <f>F55</f>
        <v>0</v>
      </c>
      <c r="G18" s="41">
        <f t="shared" ref="G18:H18" si="13">G55</f>
        <v>0</v>
      </c>
      <c r="H18" s="41">
        <f t="shared" si="13"/>
        <v>0</v>
      </c>
    </row>
    <row r="19" spans="1:13" x14ac:dyDescent="0.25">
      <c r="A19" s="3" t="s">
        <v>16</v>
      </c>
      <c r="B19" s="10">
        <f>'Balance Sheet'!B18</f>
        <v>34073</v>
      </c>
      <c r="C19" s="10">
        <f>'Balance Sheet'!C18</f>
        <v>52342</v>
      </c>
      <c r="D19" s="10">
        <f>'Balance Sheet'!D18</f>
        <v>36846</v>
      </c>
      <c r="F19" s="41">
        <f>F56*'IS Forecast'!F7</f>
        <v>45761.267897965634</v>
      </c>
      <c r="G19" s="41">
        <f>G56*'IS Forecast'!G7</f>
        <v>46676.493255924943</v>
      </c>
      <c r="H19" s="41">
        <f>H56*'IS Forecast'!H7</f>
        <v>47610.023121043443</v>
      </c>
    </row>
    <row r="20" spans="1:13" x14ac:dyDescent="0.25">
      <c r="A20" s="2" t="s">
        <v>17</v>
      </c>
      <c r="B20" s="54">
        <f>B4+B9+SUM(B10:B19)</f>
        <v>28811029</v>
      </c>
      <c r="C20" s="54">
        <f t="shared" ref="C20:D20" si="14">C4+C9+SUM(C10:C19)</f>
        <v>29169468</v>
      </c>
      <c r="D20" s="54">
        <f t="shared" si="14"/>
        <v>30072110</v>
      </c>
      <c r="F20" s="54">
        <f>F4+F9+SUM(F10:F19)</f>
        <v>30638079.70892828</v>
      </c>
      <c r="G20" s="54">
        <f t="shared" ref="G20" si="15">G4+G9+SUM(G10:G19)</f>
        <v>31222244.967077002</v>
      </c>
      <c r="H20" s="54">
        <f t="shared" ref="H20" si="16">H4+H9+SUM(H10:H19)</f>
        <v>31821643.729245543</v>
      </c>
    </row>
    <row r="21" spans="1:13" x14ac:dyDescent="0.25">
      <c r="A21" s="2"/>
      <c r="B21" s="53"/>
      <c r="C21" s="53"/>
      <c r="D21" s="53"/>
      <c r="F21" s="41"/>
      <c r="G21" s="41"/>
      <c r="H21" s="41"/>
    </row>
    <row r="22" spans="1:13" x14ac:dyDescent="0.25">
      <c r="A22" s="2" t="s">
        <v>18</v>
      </c>
      <c r="F22" s="21"/>
      <c r="G22" s="41"/>
      <c r="H22" s="41"/>
    </row>
    <row r="23" spans="1:13" x14ac:dyDescent="0.25">
      <c r="A23" s="3" t="s">
        <v>19</v>
      </c>
      <c r="B23" s="12">
        <f>'Balance Sheet'!B21</f>
        <v>21448071</v>
      </c>
      <c r="C23" s="12">
        <f>'Balance Sheet'!C21</f>
        <v>21653188</v>
      </c>
      <c r="D23" s="12">
        <f>'Balance Sheet'!D21</f>
        <v>21068568</v>
      </c>
      <c r="F23" s="21">
        <f>D23*(1+F59)</f>
        <v>21489939.359999999</v>
      </c>
      <c r="G23" s="21">
        <f>F23*(1+G59)</f>
        <v>21919738.1472</v>
      </c>
      <c r="H23" s="21">
        <f>G23*(1+H59)</f>
        <v>22358132.910144001</v>
      </c>
    </row>
    <row r="24" spans="1:13" x14ac:dyDescent="0.25">
      <c r="A24" s="3" t="s">
        <v>20</v>
      </c>
      <c r="B24" s="12">
        <f>'Balance Sheet'!B22</f>
        <v>5235114</v>
      </c>
      <c r="C24" s="12">
        <f>'Balance Sheet'!C22</f>
        <v>5227512</v>
      </c>
      <c r="D24" s="12">
        <f>'Balance Sheet'!D22</f>
        <v>6440345</v>
      </c>
      <c r="F24" s="21">
        <f>D24+F62-F63</f>
        <v>6440345</v>
      </c>
      <c r="G24" s="21">
        <f>F24+G62-G63</f>
        <v>6440345</v>
      </c>
      <c r="H24" s="21">
        <f>G24+H62-H63</f>
        <v>6440345</v>
      </c>
    </row>
    <row r="25" spans="1:13" x14ac:dyDescent="0.25">
      <c r="A25" s="3" t="s">
        <v>21</v>
      </c>
      <c r="B25" s="55">
        <f>'Balance Sheet'!B23</f>
        <v>400874</v>
      </c>
      <c r="C25" s="55">
        <f>'Balance Sheet'!C23</f>
        <v>407971</v>
      </c>
      <c r="D25" s="55">
        <f>'Balance Sheet'!D23</f>
        <v>403277</v>
      </c>
      <c r="F25" s="41">
        <f>F23*F61</f>
        <v>408118.87380408094</v>
      </c>
      <c r="G25" s="41">
        <f t="shared" ref="G25:H25" si="17">G23*G61</f>
        <v>416281.25128016254</v>
      </c>
      <c r="H25" s="41">
        <f t="shared" si="17"/>
        <v>424606.87630576582</v>
      </c>
    </row>
    <row r="26" spans="1:13" x14ac:dyDescent="0.25">
      <c r="A26" s="2" t="s">
        <v>22</v>
      </c>
      <c r="B26" s="48">
        <f>SUM(B23:B25)</f>
        <v>27084059</v>
      </c>
      <c r="C26" s="48">
        <f t="shared" ref="C26:D26" si="18">SUM(C23:C25)</f>
        <v>27288671</v>
      </c>
      <c r="D26" s="48">
        <f t="shared" si="18"/>
        <v>27912190</v>
      </c>
      <c r="F26" s="48">
        <f>SUM(F23:F25)</f>
        <v>28338403.233804081</v>
      </c>
      <c r="G26" s="48">
        <f t="shared" ref="G26" si="19">SUM(G23:G25)</f>
        <v>28776364.398480162</v>
      </c>
      <c r="H26" s="48">
        <f t="shared" ref="H26" si="20">SUM(H23:H25)</f>
        <v>29223084.786449768</v>
      </c>
      <c r="K26" s="56"/>
      <c r="L26" s="56"/>
      <c r="M26" s="56"/>
    </row>
    <row r="27" spans="1:13" x14ac:dyDescent="0.25">
      <c r="A27" s="3" t="s">
        <v>23</v>
      </c>
      <c r="B27" s="12">
        <v>0</v>
      </c>
      <c r="C27" s="12">
        <v>0</v>
      </c>
      <c r="D27" s="34">
        <f>'Balance Sheet'!D25</f>
        <v>0</v>
      </c>
      <c r="F27" s="41"/>
      <c r="G27" s="41"/>
      <c r="H27" s="41"/>
    </row>
    <row r="28" spans="1:13" x14ac:dyDescent="0.25">
      <c r="A28" s="3"/>
      <c r="B28" s="12"/>
      <c r="C28" s="12"/>
      <c r="D28" s="34"/>
      <c r="F28" s="9" t="str">
        <f>IF(F20=F38,"YES","NO")</f>
        <v>YES</v>
      </c>
      <c r="G28" s="9" t="str">
        <f t="shared" ref="G28:H28" si="21">IF(G20=G38,"YES","NO")</f>
        <v>YES</v>
      </c>
      <c r="H28" s="9" t="str">
        <f t="shared" si="21"/>
        <v>YES</v>
      </c>
      <c r="I28" t="s">
        <v>116</v>
      </c>
    </row>
    <row r="29" spans="1:13" s="39" customFormat="1" x14ac:dyDescent="0.25">
      <c r="A29" s="28" t="s">
        <v>24</v>
      </c>
      <c r="B29" s="29"/>
      <c r="C29" s="29"/>
      <c r="D29" s="29"/>
      <c r="E29" s="29"/>
      <c r="F29" s="29"/>
      <c r="G29" s="29"/>
      <c r="H29" s="29"/>
    </row>
    <row r="30" spans="1:13" ht="30" x14ac:dyDescent="0.25">
      <c r="A30" s="3" t="s">
        <v>25</v>
      </c>
      <c r="B30" s="12">
        <f>'Balance Sheet'!B27</f>
        <v>251070</v>
      </c>
      <c r="C30" s="12">
        <f>'Balance Sheet'!C27</f>
        <v>251070</v>
      </c>
      <c r="D30" s="12">
        <f>'Balance Sheet'!D27</f>
        <v>251070</v>
      </c>
      <c r="F30" s="12">
        <f>D30</f>
        <v>251070</v>
      </c>
      <c r="G30" s="12">
        <f>F30</f>
        <v>251070</v>
      </c>
      <c r="H30" s="12">
        <f>G30</f>
        <v>251070</v>
      </c>
    </row>
    <row r="31" spans="1:13" ht="30" x14ac:dyDescent="0.25">
      <c r="A31" s="3" t="s">
        <v>26</v>
      </c>
      <c r="B31" s="12">
        <f>'Balance Sheet'!B28</f>
        <v>87025</v>
      </c>
      <c r="C31" s="12">
        <f>'Balance Sheet'!C28</f>
        <v>87647</v>
      </c>
      <c r="D31" s="12">
        <f>'Balance Sheet'!D28</f>
        <v>88121</v>
      </c>
      <c r="F31" s="12">
        <f>D31+F66</f>
        <v>88121</v>
      </c>
      <c r="G31" s="12">
        <f>F31+G66</f>
        <v>88121</v>
      </c>
      <c r="H31" s="12">
        <f>G31+H66</f>
        <v>88121</v>
      </c>
    </row>
    <row r="32" spans="1:13" x14ac:dyDescent="0.25">
      <c r="A32" s="3" t="s">
        <v>27</v>
      </c>
      <c r="B32" s="12">
        <f>'Balance Sheet'!B29</f>
        <v>1109072</v>
      </c>
      <c r="C32" s="12">
        <f>'Balance Sheet'!C29</f>
        <v>1148689</v>
      </c>
      <c r="D32" s="12">
        <f>'Balance Sheet'!D29</f>
        <v>1193753</v>
      </c>
      <c r="F32" s="12">
        <f>D32</f>
        <v>1193753</v>
      </c>
      <c r="G32" s="12">
        <f>F32</f>
        <v>1193753</v>
      </c>
      <c r="H32" s="12">
        <f>G32</f>
        <v>1193753</v>
      </c>
    </row>
    <row r="33" spans="1:8" ht="30" x14ac:dyDescent="0.25">
      <c r="A33" s="3" t="s">
        <v>28</v>
      </c>
      <c r="B33" s="12">
        <f>'Balance Sheet'!B30</f>
        <v>-93870</v>
      </c>
      <c r="C33" s="12">
        <f>'Balance Sheet'!C30</f>
        <v>-75104</v>
      </c>
      <c r="D33" s="12">
        <f>'Balance Sheet'!D30</f>
        <v>-65861</v>
      </c>
      <c r="F33" s="12">
        <f>D33+F68</f>
        <v>-65861</v>
      </c>
      <c r="G33" s="12">
        <f>F33+G68</f>
        <v>-65861</v>
      </c>
      <c r="H33" s="12">
        <f>G33+H68</f>
        <v>-65861</v>
      </c>
    </row>
    <row r="34" spans="1:8" x14ac:dyDescent="0.25">
      <c r="A34" s="3" t="s">
        <v>29</v>
      </c>
      <c r="B34" s="12">
        <f>'Balance Sheet'!B31</f>
        <v>3163640</v>
      </c>
      <c r="C34" s="12">
        <f>'Balance Sheet'!C31</f>
        <v>3624859</v>
      </c>
      <c r="D34" s="12">
        <f>'Balance Sheet'!D31</f>
        <v>4114446</v>
      </c>
      <c r="F34" s="21">
        <f>D34+'IS Forecast'!F31-'IS Forecast'!F32-'IS Forecast'!F39</f>
        <v>4570023.4751241971</v>
      </c>
      <c r="G34" s="21">
        <f>F34+'IS Forecast'!G31-'IS Forecast'!G32-'IS Forecast'!G39</f>
        <v>5032048.568596839</v>
      </c>
      <c r="H34" s="21">
        <f>G34+'IS Forecast'!H31-'IS Forecast'!H32-'IS Forecast'!H39</f>
        <v>5500547.9427957758</v>
      </c>
    </row>
    <row r="35" spans="1:8" x14ac:dyDescent="0.25">
      <c r="A35" s="3" t="s">
        <v>30</v>
      </c>
      <c r="B35" s="12">
        <f>'Balance Sheet'!B32</f>
        <v>4516937</v>
      </c>
      <c r="C35" s="12">
        <f>'Balance Sheet'!C32</f>
        <v>5037161</v>
      </c>
      <c r="D35" s="12">
        <f>'Balance Sheet'!D32</f>
        <v>5581529</v>
      </c>
      <c r="F35" s="30">
        <f>SUM(F30:F34)</f>
        <v>6037106.4751241971</v>
      </c>
      <c r="G35" s="30">
        <f t="shared" ref="G35:H35" si="22">SUM(G30:G34)</f>
        <v>6499131.568596839</v>
      </c>
      <c r="H35" s="30">
        <f t="shared" si="22"/>
        <v>6967630.9427957758</v>
      </c>
    </row>
    <row r="36" spans="1:8" ht="30" x14ac:dyDescent="0.25">
      <c r="A36" s="3" t="s">
        <v>31</v>
      </c>
      <c r="B36" s="12">
        <f>'Balance Sheet'!B33</f>
        <v>-2789967</v>
      </c>
      <c r="C36" s="12">
        <f>'Balance Sheet'!C33</f>
        <v>-3156364</v>
      </c>
      <c r="D36" s="12">
        <f>'Balance Sheet'!D33</f>
        <v>-3421609</v>
      </c>
      <c r="F36" s="12">
        <f>D36+F67</f>
        <v>-3737430</v>
      </c>
      <c r="G36" s="12">
        <f>F36+G67</f>
        <v>-4053251</v>
      </c>
      <c r="H36" s="12">
        <f>G36+H67</f>
        <v>-4369072</v>
      </c>
    </row>
    <row r="37" spans="1:8" x14ac:dyDescent="0.25">
      <c r="A37" s="3" t="s">
        <v>32</v>
      </c>
      <c r="B37" s="12">
        <f>'Balance Sheet'!B34</f>
        <v>1726970</v>
      </c>
      <c r="C37" s="12">
        <f>'Balance Sheet'!C34</f>
        <v>1880797</v>
      </c>
      <c r="D37" s="12">
        <f>'Balance Sheet'!D34</f>
        <v>2159920</v>
      </c>
      <c r="F37" s="30">
        <f>F35+F36</f>
        <v>2299676.4751241971</v>
      </c>
      <c r="G37" s="30">
        <f t="shared" ref="G37:H37" si="23">G35+G36</f>
        <v>2445880.568596839</v>
      </c>
      <c r="H37" s="30">
        <f t="shared" si="23"/>
        <v>2598558.9427957758</v>
      </c>
    </row>
    <row r="38" spans="1:8" x14ac:dyDescent="0.25">
      <c r="A38" s="2" t="s">
        <v>33</v>
      </c>
      <c r="B38" s="48">
        <f>B37+B26</f>
        <v>28811029</v>
      </c>
      <c r="C38" s="48">
        <f t="shared" ref="C38:D38" si="24">C37+C26</f>
        <v>29169468</v>
      </c>
      <c r="D38" s="48">
        <f t="shared" si="24"/>
        <v>30072110</v>
      </c>
      <c r="F38" s="48">
        <f>F37+F26</f>
        <v>30638079.70892828</v>
      </c>
      <c r="G38" s="48">
        <f t="shared" ref="G38" si="25">G37+G26</f>
        <v>31222244.967077002</v>
      </c>
      <c r="H38" s="48">
        <f t="shared" ref="H38" si="26">H37+H26</f>
        <v>31821643.729245543</v>
      </c>
    </row>
    <row r="41" spans="1:8" s="39" customFormat="1" x14ac:dyDescent="0.25">
      <c r="A41" s="39" t="s">
        <v>91</v>
      </c>
      <c r="B41" s="29"/>
      <c r="C41" s="29"/>
      <c r="D41" s="29"/>
      <c r="E41" s="29"/>
      <c r="F41" s="29"/>
      <c r="G41" s="29"/>
      <c r="H41" s="29"/>
    </row>
    <row r="42" spans="1:8" x14ac:dyDescent="0.25">
      <c r="A42" t="s">
        <v>92</v>
      </c>
      <c r="F42" s="10">
        <v>4000000</v>
      </c>
      <c r="G42" s="10">
        <v>4000000</v>
      </c>
      <c r="H42" s="10">
        <v>4000000</v>
      </c>
    </row>
    <row r="43" spans="1:8" x14ac:dyDescent="0.25">
      <c r="A43" s="27" t="s">
        <v>93</v>
      </c>
      <c r="C43" s="25">
        <f>C20/B20-1</f>
        <v>1.2441034299746745E-2</v>
      </c>
      <c r="D43" s="25">
        <f>D20/C20-1</f>
        <v>3.0944753603322495E-2</v>
      </c>
    </row>
    <row r="44" spans="1:8" x14ac:dyDescent="0.25">
      <c r="A44" t="s">
        <v>94</v>
      </c>
      <c r="C44" s="15">
        <f>C6/B6-1</f>
        <v>-2.5436917517843383E-2</v>
      </c>
      <c r="D44" s="15">
        <f>D6/C6-1</f>
        <v>-2.2374772856592173E-2</v>
      </c>
      <c r="F44" s="19">
        <f>AVERAGE(C44:D44)</f>
        <v>-2.3905845187217778E-2</v>
      </c>
      <c r="G44" s="19">
        <f>F44</f>
        <v>-2.3905845187217778E-2</v>
      </c>
      <c r="H44" s="19">
        <f>G44</f>
        <v>-2.3905845187217778E-2</v>
      </c>
    </row>
    <row r="45" spans="1:8" x14ac:dyDescent="0.25">
      <c r="A45" s="3" t="s">
        <v>4</v>
      </c>
      <c r="C45" s="15">
        <f t="shared" ref="C45:D45" si="27">C7/B7-1</f>
        <v>2.9688453342294086E-2</v>
      </c>
      <c r="D45" s="15">
        <f t="shared" si="27"/>
        <v>-0.19837105483363482</v>
      </c>
      <c r="F45" s="19">
        <f t="shared" ref="F45:F46" si="28">AVERAGE(C45:D45)</f>
        <v>-8.4341300745670367E-2</v>
      </c>
      <c r="G45" s="19">
        <f t="shared" ref="G45:H45" si="29">F45</f>
        <v>-8.4341300745670367E-2</v>
      </c>
      <c r="H45" s="19">
        <f t="shared" si="29"/>
        <v>-8.4341300745670367E-2</v>
      </c>
    </row>
    <row r="46" spans="1:8" x14ac:dyDescent="0.25">
      <c r="A46" s="3" t="s">
        <v>5</v>
      </c>
      <c r="C46" s="15">
        <f t="shared" ref="C46:D46" si="30">C8/B8-1</f>
        <v>-3.32467587313654E-2</v>
      </c>
      <c r="D46" s="15">
        <f t="shared" si="30"/>
        <v>0.22726528116024336</v>
      </c>
      <c r="F46" s="19">
        <f t="shared" si="28"/>
        <v>9.700926121443898E-2</v>
      </c>
      <c r="G46" s="19">
        <f t="shared" ref="G46:H56" si="31">F46</f>
        <v>9.700926121443898E-2</v>
      </c>
      <c r="H46" s="19">
        <f t="shared" si="31"/>
        <v>9.700926121443898E-2</v>
      </c>
    </row>
    <row r="47" spans="1:8" x14ac:dyDescent="0.25">
      <c r="A47" s="3" t="s">
        <v>95</v>
      </c>
      <c r="C47" s="15">
        <f>C10/B10-1</f>
        <v>3.4620347984201993E-2</v>
      </c>
      <c r="D47" s="15">
        <f>D10/C10-1</f>
        <v>2.9340614862626513E-2</v>
      </c>
      <c r="F47" s="19">
        <f t="shared" ref="F47" si="32">AVERAGE(C47:D47)</f>
        <v>3.1980481423414253E-2</v>
      </c>
      <c r="G47" s="19">
        <f t="shared" si="31"/>
        <v>3.1980481423414253E-2</v>
      </c>
      <c r="H47" s="19">
        <f t="shared" si="31"/>
        <v>3.1980481423414253E-2</v>
      </c>
    </row>
    <row r="48" spans="1:8" s="45" customFormat="1" x14ac:dyDescent="0.25">
      <c r="A48" s="43" t="s">
        <v>8</v>
      </c>
      <c r="B48" s="44"/>
      <c r="C48" s="32"/>
      <c r="D48" s="44"/>
      <c r="E48" s="44"/>
      <c r="F48" s="23">
        <v>0</v>
      </c>
      <c r="G48" s="23">
        <v>0</v>
      </c>
      <c r="H48" s="23">
        <v>0</v>
      </c>
    </row>
    <row r="49" spans="1:8" x14ac:dyDescent="0.25">
      <c r="A49" s="3" t="s">
        <v>96</v>
      </c>
      <c r="B49" s="25">
        <f>B12/B23</f>
        <v>7.3069041966524638E-3</v>
      </c>
      <c r="C49" s="25">
        <f t="shared" ref="C49:D49" si="33">C12/C23</f>
        <v>6.91209996421774E-3</v>
      </c>
      <c r="D49" s="25">
        <f t="shared" si="33"/>
        <v>8.2537171012287119E-3</v>
      </c>
      <c r="F49" s="19">
        <f t="shared" ref="F49" si="34">AVERAGE(C49:D49)</f>
        <v>7.582908532723226E-3</v>
      </c>
      <c r="G49" s="19">
        <f t="shared" si="31"/>
        <v>7.582908532723226E-3</v>
      </c>
      <c r="H49" s="19">
        <f t="shared" si="31"/>
        <v>7.582908532723226E-3</v>
      </c>
    </row>
    <row r="50" spans="1:8" ht="21.75" customHeight="1" x14ac:dyDescent="0.25">
      <c r="A50" s="3" t="s">
        <v>97</v>
      </c>
      <c r="B50" s="25">
        <f>B13/'IS Forecast'!B7</f>
        <v>5.4942458579037004E-3</v>
      </c>
      <c r="C50" s="25">
        <f>C13/'IS Forecast'!C7</f>
        <v>3.5601548121496599E-3</v>
      </c>
      <c r="D50" s="25">
        <f>D13/'IS Forecast'!D7</f>
        <v>1.8632738791147616E-3</v>
      </c>
      <c r="F50" s="19">
        <f t="shared" ref="F50" si="35">AVERAGE(C50:D50)</f>
        <v>2.7117143456322108E-3</v>
      </c>
      <c r="G50" s="19">
        <f t="shared" si="31"/>
        <v>2.7117143456322108E-3</v>
      </c>
      <c r="H50" s="19">
        <f t="shared" si="31"/>
        <v>2.7117143456322108E-3</v>
      </c>
    </row>
    <row r="51" spans="1:8" x14ac:dyDescent="0.25">
      <c r="A51" s="3" t="s">
        <v>98</v>
      </c>
      <c r="B51" s="25">
        <f>B14/'IS Forecast'!B7</f>
        <v>0.59168676596540626</v>
      </c>
      <c r="C51" s="25">
        <f>C14/'IS Forecast'!C7</f>
        <v>0.53230814453403019</v>
      </c>
      <c r="D51" s="25">
        <f>D14/'IS Forecast'!D7</f>
        <v>0.59051654686477439</v>
      </c>
      <c r="F51" s="19">
        <f t="shared" ref="F51" si="36">AVERAGE(C51:D51)</f>
        <v>0.56141234569940224</v>
      </c>
      <c r="G51" s="19">
        <f t="shared" si="31"/>
        <v>0.56141234569940224</v>
      </c>
      <c r="H51" s="19">
        <f t="shared" si="31"/>
        <v>0.56141234569940224</v>
      </c>
    </row>
    <row r="52" spans="1:8" x14ac:dyDescent="0.25">
      <c r="A52" s="3" t="s">
        <v>12</v>
      </c>
      <c r="B52" s="15">
        <f>B15/'IS Forecast'!B7</f>
        <v>6.9270223176050166E-2</v>
      </c>
      <c r="C52" s="15">
        <f>C15/'IS Forecast'!C7</f>
        <v>4.9955965795665087E-2</v>
      </c>
      <c r="D52" s="15">
        <f>D15/'IS Forecast'!D7</f>
        <v>4.5571555444234274E-2</v>
      </c>
      <c r="F52" s="19">
        <f t="shared" ref="F52" si="37">AVERAGE(C52:D52)</f>
        <v>4.7763760619949677E-2</v>
      </c>
      <c r="G52" s="19">
        <f t="shared" si="31"/>
        <v>4.7763760619949677E-2</v>
      </c>
      <c r="H52" s="19">
        <f t="shared" si="31"/>
        <v>4.7763760619949677E-2</v>
      </c>
    </row>
    <row r="53" spans="1:8" x14ac:dyDescent="0.25">
      <c r="A53" s="3" t="s">
        <v>13</v>
      </c>
      <c r="B53" s="15">
        <f>B16/'IS Forecast'!F7</f>
        <v>4.4273342876996989E-2</v>
      </c>
      <c r="C53" s="15">
        <f>C16/'IS Forecast'!G7</f>
        <v>2.5216383418864431E-2</v>
      </c>
      <c r="D53" s="15">
        <f>D16/'IS Forecast'!H7</f>
        <v>2.2858560925788564E-2</v>
      </c>
      <c r="F53" s="19">
        <f t="shared" ref="F53" si="38">AVERAGE(C53:D53)</f>
        <v>2.4037472172326498E-2</v>
      </c>
      <c r="G53" s="19">
        <f t="shared" si="31"/>
        <v>2.4037472172326498E-2</v>
      </c>
      <c r="H53" s="19">
        <f t="shared" si="31"/>
        <v>2.4037472172326498E-2</v>
      </c>
    </row>
    <row r="54" spans="1:8" x14ac:dyDescent="0.25">
      <c r="A54" s="3" t="s">
        <v>99</v>
      </c>
      <c r="B54" s="25">
        <f>B17/'IS Forecast'!B29</f>
        <v>0.60257322922034162</v>
      </c>
      <c r="C54" s="25">
        <f>C17/'IS Forecast'!C29</f>
        <v>0.47057546229198144</v>
      </c>
      <c r="D54" s="25">
        <f>D17/'IS Forecast'!D29</f>
        <v>0.53293991255089923</v>
      </c>
      <c r="F54" s="19">
        <f t="shared" ref="F54" si="39">AVERAGE(C54:D54)</f>
        <v>0.50175768742144033</v>
      </c>
      <c r="G54" s="19">
        <f t="shared" si="31"/>
        <v>0.50175768742144033</v>
      </c>
      <c r="H54" s="19">
        <f t="shared" si="31"/>
        <v>0.50175768742144033</v>
      </c>
    </row>
    <row r="55" spans="1:8" s="45" customFormat="1" x14ac:dyDescent="0.25">
      <c r="A55" s="43" t="s">
        <v>100</v>
      </c>
      <c r="B55" s="44"/>
      <c r="C55" s="44"/>
      <c r="D55" s="44"/>
      <c r="E55" s="44"/>
      <c r="F55" s="46">
        <v>0</v>
      </c>
      <c r="G55" s="46">
        <v>0</v>
      </c>
      <c r="H55" s="46">
        <v>0</v>
      </c>
    </row>
    <row r="56" spans="1:8" x14ac:dyDescent="0.25">
      <c r="A56" s="3" t="s">
        <v>101</v>
      </c>
      <c r="B56" s="15">
        <f>B19/'IS Forecast'!B7</f>
        <v>1.6771675247836661E-2</v>
      </c>
      <c r="C56" s="15">
        <f>C19/'IS Forecast'!C7</f>
        <v>2.0191312512464785E-2</v>
      </c>
      <c r="D56" s="15">
        <f>D19/'IS Forecast'!D7</f>
        <v>1.4068481424152153E-2</v>
      </c>
      <c r="F56" s="19">
        <f t="shared" ref="F56" si="40">AVERAGE(C56:D56)</f>
        <v>1.712989696830847E-2</v>
      </c>
      <c r="G56" s="19">
        <f t="shared" si="31"/>
        <v>1.712989696830847E-2</v>
      </c>
      <c r="H56" s="19">
        <f t="shared" si="31"/>
        <v>1.712989696830847E-2</v>
      </c>
    </row>
    <row r="58" spans="1:8" x14ac:dyDescent="0.25">
      <c r="A58" s="2" t="s">
        <v>102</v>
      </c>
    </row>
    <row r="59" spans="1:8" x14ac:dyDescent="0.25">
      <c r="A59" s="3" t="s">
        <v>103</v>
      </c>
      <c r="C59" s="15">
        <f>C23/B23-1</f>
        <v>9.5634241419659816E-3</v>
      </c>
      <c r="D59" s="15">
        <f t="shared" ref="D59" si="41">D23/C23-1</f>
        <v>-2.699925756890853E-2</v>
      </c>
      <c r="F59" s="47">
        <v>0.02</v>
      </c>
      <c r="G59" s="47">
        <v>0.02</v>
      </c>
      <c r="H59" s="47">
        <v>0.02</v>
      </c>
    </row>
    <row r="60" spans="1:8" x14ac:dyDescent="0.25">
      <c r="A60" s="3" t="s">
        <v>104</v>
      </c>
    </row>
    <row r="61" spans="1:8" x14ac:dyDescent="0.25">
      <c r="A61" s="3" t="s">
        <v>105</v>
      </c>
      <c r="B61" s="15">
        <f>B25/B23</f>
        <v>1.8690445401826579E-2</v>
      </c>
      <c r="C61" s="15">
        <f t="shared" ref="C61:D61" si="42">C25/C23</f>
        <v>1.8841151704774375E-2</v>
      </c>
      <c r="D61" s="15">
        <f t="shared" si="42"/>
        <v>1.9141168018633255E-2</v>
      </c>
      <c r="F61" s="19">
        <f t="shared" ref="F61" si="43">AVERAGE(C61:D61)</f>
        <v>1.8991159861703813E-2</v>
      </c>
      <c r="G61" s="19">
        <f t="shared" ref="G61:H61" si="44">F61</f>
        <v>1.8991159861703813E-2</v>
      </c>
      <c r="H61" s="19">
        <f t="shared" si="44"/>
        <v>1.8991159861703813E-2</v>
      </c>
    </row>
    <row r="62" spans="1:8" s="27" customFormat="1" x14ac:dyDescent="0.25">
      <c r="A62" s="43" t="s">
        <v>112</v>
      </c>
      <c r="B62" s="14"/>
      <c r="C62" s="14"/>
      <c r="D62" s="14"/>
      <c r="E62" s="14"/>
      <c r="F62" s="44">
        <v>0</v>
      </c>
      <c r="G62" s="44">
        <v>0</v>
      </c>
      <c r="H62" s="44">
        <v>0</v>
      </c>
    </row>
    <row r="63" spans="1:8" s="27" customFormat="1" x14ac:dyDescent="0.25">
      <c r="A63" s="43" t="s">
        <v>113</v>
      </c>
      <c r="B63" s="14"/>
      <c r="C63" s="14"/>
      <c r="D63" s="14"/>
      <c r="E63" s="14"/>
      <c r="F63" s="44">
        <v>0</v>
      </c>
      <c r="G63" s="44">
        <v>0</v>
      </c>
      <c r="H63" s="44">
        <v>0</v>
      </c>
    </row>
    <row r="64" spans="1:8" x14ac:dyDescent="0.25">
      <c r="A64" s="3"/>
    </row>
    <row r="65" spans="1:8" x14ac:dyDescent="0.25">
      <c r="A65" s="2" t="s">
        <v>107</v>
      </c>
    </row>
    <row r="66" spans="1:8" x14ac:dyDescent="0.25">
      <c r="A66" t="s">
        <v>108</v>
      </c>
      <c r="F66" s="44">
        <v>0</v>
      </c>
      <c r="G66" s="44">
        <v>0</v>
      </c>
      <c r="H66" s="44">
        <v>0</v>
      </c>
    </row>
    <row r="67" spans="1:8" x14ac:dyDescent="0.25">
      <c r="A67" t="s">
        <v>111</v>
      </c>
      <c r="F67" s="12">
        <f>AVERAGE(D36-C36,C36-B36)</f>
        <v>-315821</v>
      </c>
      <c r="G67" s="12">
        <f>F67</f>
        <v>-315821</v>
      </c>
      <c r="H67" s="12">
        <f>G67</f>
        <v>-315821</v>
      </c>
    </row>
    <row r="68" spans="1:8" x14ac:dyDescent="0.25">
      <c r="A68" s="3" t="s">
        <v>109</v>
      </c>
      <c r="F68" s="44">
        <v>0</v>
      </c>
      <c r="G68" s="44">
        <v>0</v>
      </c>
      <c r="H68" s="44">
        <v>0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B2F0-8ED1-41EC-84C0-C505C418623B}">
  <dimension ref="A1:I72"/>
  <sheetViews>
    <sheetView showGridLines="0" topLeftCell="A40" zoomScale="80" zoomScaleNormal="80" workbookViewId="0">
      <pane xSplit="1" topLeftCell="B1" activePane="topRight" state="frozen"/>
      <selection pane="topRight" activeCell="H54" sqref="H54"/>
    </sheetView>
  </sheetViews>
  <sheetFormatPr defaultRowHeight="15" x14ac:dyDescent="0.25"/>
  <cols>
    <col min="1" max="1" width="74.85546875" customWidth="1"/>
    <col min="2" max="4" width="20.42578125" style="9" customWidth="1"/>
    <col min="5" max="5" width="2.85546875" style="9" customWidth="1"/>
    <col min="6" max="8" width="20.42578125" style="9" customWidth="1"/>
    <col min="9" max="9" width="53.140625" customWidth="1"/>
  </cols>
  <sheetData>
    <row r="1" spans="1:8" x14ac:dyDescent="0.25">
      <c r="B1" s="67" t="s">
        <v>75</v>
      </c>
      <c r="C1" s="67"/>
      <c r="D1" s="67"/>
      <c r="F1" s="67" t="s">
        <v>76</v>
      </c>
      <c r="G1" s="67"/>
      <c r="H1" s="67"/>
    </row>
    <row r="2" spans="1:8" x14ac:dyDescent="0.25">
      <c r="B2" s="14">
        <v>2022</v>
      </c>
      <c r="C2" s="14">
        <v>2023</v>
      </c>
      <c r="D2" s="14">
        <v>2024</v>
      </c>
      <c r="F2" s="14">
        <v>2025</v>
      </c>
      <c r="G2" s="14">
        <v>2026</v>
      </c>
      <c r="H2" s="14">
        <v>2027</v>
      </c>
    </row>
    <row r="3" spans="1:8" ht="15.75" customHeight="1" x14ac:dyDescent="0.25">
      <c r="A3" s="2" t="s">
        <v>39</v>
      </c>
    </row>
    <row r="4" spans="1:8" ht="15.75" customHeight="1" x14ac:dyDescent="0.25">
      <c r="A4" s="3" t="s">
        <v>40</v>
      </c>
      <c r="B4" s="35">
        <f>'Income Statement'!B4</f>
        <v>1914554</v>
      </c>
      <c r="C4" s="35">
        <f>'Income Statement'!C4</f>
        <v>2327743</v>
      </c>
      <c r="D4" s="35">
        <f>'Income Statement'!D4</f>
        <v>2314417</v>
      </c>
      <c r="F4" s="21">
        <f>F7*F44</f>
        <v>2379748.5957543505</v>
      </c>
      <c r="G4" s="21">
        <f t="shared" ref="G4:H4" si="0">G7*G44</f>
        <v>2427343.5676694373</v>
      </c>
      <c r="H4" s="21">
        <f t="shared" si="0"/>
        <v>2475890.439022826</v>
      </c>
    </row>
    <row r="5" spans="1:8" ht="15.75" customHeight="1" x14ac:dyDescent="0.25">
      <c r="A5" s="3" t="s">
        <v>41</v>
      </c>
      <c r="B5" s="35">
        <f>'Income Statement'!B5</f>
        <v>35304</v>
      </c>
      <c r="C5" s="35">
        <f>'Income Statement'!C5</f>
        <v>50810</v>
      </c>
      <c r="D5" s="35">
        <f>'Income Statement'!D5</f>
        <v>61412</v>
      </c>
      <c r="F5" s="21">
        <f>F7*F45</f>
        <v>57500.547559046914</v>
      </c>
      <c r="G5" s="21">
        <f t="shared" ref="G5:H5" si="1">G7*G45</f>
        <v>58650.558510227849</v>
      </c>
      <c r="H5" s="21">
        <f t="shared" si="1"/>
        <v>59823.569680432411</v>
      </c>
    </row>
    <row r="6" spans="1:8" ht="15.75" customHeight="1" x14ac:dyDescent="0.25">
      <c r="A6" s="3" t="s">
        <v>1</v>
      </c>
      <c r="B6" s="36">
        <f>'Income Statement'!B6</f>
        <v>81722</v>
      </c>
      <c r="C6" s="36">
        <f>'Income Statement'!C6</f>
        <v>213750</v>
      </c>
      <c r="D6" s="36">
        <f>'Income Statement'!D6</f>
        <v>243217</v>
      </c>
      <c r="F6" s="24">
        <f>F46*F7</f>
        <v>234177.77668660262</v>
      </c>
      <c r="G6" s="24">
        <f t="shared" ref="G6:H6" si="2">G46*G7</f>
        <v>238861.33222033468</v>
      </c>
      <c r="H6" s="24">
        <f t="shared" si="2"/>
        <v>243638.55886474138</v>
      </c>
    </row>
    <row r="7" spans="1:8" ht="15.75" customHeight="1" x14ac:dyDescent="0.25">
      <c r="A7" s="3" t="s">
        <v>42</v>
      </c>
      <c r="B7" s="37">
        <f>SUM(B4:B6)</f>
        <v>2031580</v>
      </c>
      <c r="C7" s="37">
        <f t="shared" ref="C7:D7" si="3">SUM(C4:C6)</f>
        <v>2592303</v>
      </c>
      <c r="D7" s="37">
        <f t="shared" si="3"/>
        <v>2619046</v>
      </c>
      <c r="F7" s="33">
        <f>D7*(1+F43)</f>
        <v>2671426.92</v>
      </c>
      <c r="G7" s="33">
        <f>F7*(1+G43)</f>
        <v>2724855.4583999999</v>
      </c>
      <c r="H7" s="33">
        <f>G7*(1+H43)</f>
        <v>2779352.5675679999</v>
      </c>
    </row>
    <row r="8" spans="1:8" ht="15.75" customHeight="1" x14ac:dyDescent="0.25">
      <c r="A8" s="2" t="s">
        <v>43</v>
      </c>
      <c r="B8" s="35"/>
      <c r="C8" s="35"/>
      <c r="D8" s="35"/>
      <c r="F8" s="21"/>
      <c r="G8" s="21"/>
      <c r="H8" s="21"/>
    </row>
    <row r="9" spans="1:8" ht="15.75" customHeight="1" x14ac:dyDescent="0.25">
      <c r="A9" s="3" t="s">
        <v>19</v>
      </c>
      <c r="B9" s="35">
        <f>-'Income Statement'!B9</f>
        <v>-368914</v>
      </c>
      <c r="C9" s="35">
        <f>-'Income Statement'!C9</f>
        <v>-808065</v>
      </c>
      <c r="D9" s="35">
        <f>-'Income Statement'!D9</f>
        <v>-881456</v>
      </c>
      <c r="F9" s="21">
        <f>-F4*F49</f>
        <v>-866228.16289238201</v>
      </c>
      <c r="G9" s="21">
        <f t="shared" ref="G9:H9" si="4">-G4*G49</f>
        <v>-883552.72615022957</v>
      </c>
      <c r="H9" s="21">
        <f t="shared" si="4"/>
        <v>-901223.78067323426</v>
      </c>
    </row>
    <row r="10" spans="1:8" ht="15.75" customHeight="1" x14ac:dyDescent="0.25">
      <c r="A10" s="3" t="s">
        <v>44</v>
      </c>
      <c r="B10" s="35">
        <f>-'Income Statement'!B10</f>
        <v>-11956</v>
      </c>
      <c r="C10" s="35">
        <f>-'Income Statement'!C10</f>
        <v>-13501</v>
      </c>
      <c r="D10" s="35">
        <f>-'Income Statement'!D10</f>
        <v>-13815</v>
      </c>
      <c r="F10" s="21">
        <f>D10</f>
        <v>-13815</v>
      </c>
      <c r="G10" s="21">
        <f>F10</f>
        <v>-13815</v>
      </c>
      <c r="H10" s="21">
        <f>G10</f>
        <v>-13815</v>
      </c>
    </row>
    <row r="11" spans="1:8" ht="15.75" customHeight="1" x14ac:dyDescent="0.25">
      <c r="A11" s="3" t="s">
        <v>45</v>
      </c>
      <c r="B11" s="36">
        <f>-'Income Statement'!B11</f>
        <v>-161929</v>
      </c>
      <c r="C11" s="36">
        <f>-'Income Statement'!C11</f>
        <v>-208524</v>
      </c>
      <c r="D11" s="36">
        <f>-'Income Statement'!D11</f>
        <v>-242993</v>
      </c>
      <c r="F11" s="24">
        <f>D11+('Balance Sheet Forecast'!F62*'IS Forecast'!F51)</f>
        <v>-242993</v>
      </c>
      <c r="G11" s="24">
        <f>F11+('Balance Sheet Forecast'!F62+'Balance Sheet Forecast'!G62)*'IS Forecast'!G51</f>
        <v>-242993</v>
      </c>
      <c r="H11" s="24">
        <f>G11+(SUM('Balance Sheet Forecast'!F62:H62)*'IS Forecast'!H51)</f>
        <v>-242993</v>
      </c>
    </row>
    <row r="12" spans="1:8" ht="15.75" customHeight="1" x14ac:dyDescent="0.25">
      <c r="A12" s="2" t="s">
        <v>46</v>
      </c>
      <c r="B12" s="38">
        <f>SUM(B9:B11)</f>
        <v>-542799</v>
      </c>
      <c r="C12" s="38">
        <f t="shared" ref="C12:F12" si="5">SUM(C9:C11)</f>
        <v>-1030090</v>
      </c>
      <c r="D12" s="38">
        <f t="shared" si="5"/>
        <v>-1138264</v>
      </c>
      <c r="F12" s="63">
        <f t="shared" si="5"/>
        <v>-1123036.1628923821</v>
      </c>
      <c r="G12" s="63">
        <f t="shared" ref="G12" si="6">SUM(G9:G11)</f>
        <v>-1140360.7261502296</v>
      </c>
      <c r="H12" s="63">
        <f t="shared" ref="H12" si="7">SUM(H9:H11)</f>
        <v>-1158031.7806732343</v>
      </c>
    </row>
    <row r="13" spans="1:8" ht="15.75" customHeight="1" x14ac:dyDescent="0.25">
      <c r="A13" s="3" t="s">
        <v>47</v>
      </c>
      <c r="B13" s="37">
        <f>B7+B12</f>
        <v>1488781</v>
      </c>
      <c r="C13" s="37">
        <f t="shared" ref="C13:F13" si="8">C7+C12</f>
        <v>1562213</v>
      </c>
      <c r="D13" s="37">
        <f t="shared" si="8"/>
        <v>1480782</v>
      </c>
      <c r="F13" s="33">
        <f t="shared" si="8"/>
        <v>1548390.7571076178</v>
      </c>
      <c r="G13" s="33">
        <f t="shared" ref="G13" si="9">G7+G12</f>
        <v>1584494.7322497703</v>
      </c>
      <c r="H13" s="33">
        <f t="shared" ref="H13" si="10">H7+H12</f>
        <v>1621320.7868947657</v>
      </c>
    </row>
    <row r="14" spans="1:8" ht="15.75" customHeight="1" x14ac:dyDescent="0.25">
      <c r="A14" s="3" t="s">
        <v>48</v>
      </c>
      <c r="B14" s="36">
        <f>-'Income Statement'!B14</f>
        <v>-633453</v>
      </c>
      <c r="C14" s="36">
        <f>-'Income Statement'!C14</f>
        <v>-345463</v>
      </c>
      <c r="D14" s="36">
        <f>-'Income Statement'!D14</f>
        <v>-408515</v>
      </c>
      <c r="F14" s="24">
        <f>-F50*'Balance Sheet Forecast'!F10</f>
        <v>-431412.38151256548</v>
      </c>
      <c r="G14" s="24">
        <f>-G50*'Balance Sheet Forecast'!G10</f>
        <v>-445209.15716535907</v>
      </c>
      <c r="H14" s="24">
        <f>-H50*'Balance Sheet Forecast'!H10</f>
        <v>-459447.16034561978</v>
      </c>
    </row>
    <row r="15" spans="1:8" ht="15.75" customHeight="1" x14ac:dyDescent="0.25">
      <c r="A15" s="3" t="s">
        <v>49</v>
      </c>
      <c r="B15" s="37">
        <f>B13+B14</f>
        <v>855328</v>
      </c>
      <c r="C15" s="37">
        <f t="shared" ref="C15:D15" si="11">C13+C14</f>
        <v>1216750</v>
      </c>
      <c r="D15" s="37">
        <f t="shared" si="11"/>
        <v>1072267</v>
      </c>
      <c r="E15" s="10"/>
      <c r="F15" s="33">
        <f t="shared" ref="F15" si="12">F13+F14</f>
        <v>1116978.3755950523</v>
      </c>
      <c r="G15" s="33">
        <f t="shared" ref="G15" si="13">G13+G14</f>
        <v>1139285.5750844113</v>
      </c>
      <c r="H15" s="33">
        <f t="shared" ref="H15" si="14">H13+H14</f>
        <v>1161873.6265491459</v>
      </c>
    </row>
    <row r="16" spans="1:8" ht="15.75" customHeight="1" x14ac:dyDescent="0.25">
      <c r="A16" s="2" t="s">
        <v>50</v>
      </c>
      <c r="B16" s="35"/>
      <c r="C16" s="35"/>
      <c r="D16" s="35"/>
      <c r="F16" s="21"/>
      <c r="G16" s="21"/>
      <c r="H16" s="21"/>
    </row>
    <row r="17" spans="1:8" ht="15.75" customHeight="1" x14ac:dyDescent="0.25">
      <c r="A17" s="3" t="s">
        <v>51</v>
      </c>
      <c r="B17" s="35">
        <f>'Income Statement'!B17</f>
        <v>327750</v>
      </c>
      <c r="C17" s="35">
        <f>'Income Statement'!C17</f>
        <v>160290</v>
      </c>
      <c r="D17" s="35">
        <f>'Income Statement'!D17</f>
        <v>254928</v>
      </c>
      <c r="F17" s="21">
        <f>F54</f>
        <v>247656</v>
      </c>
      <c r="G17" s="21">
        <f t="shared" ref="G17:H17" si="15">G54</f>
        <v>247656</v>
      </c>
      <c r="H17" s="21">
        <f t="shared" si="15"/>
        <v>247656</v>
      </c>
    </row>
    <row r="18" spans="1:8" ht="15.75" customHeight="1" x14ac:dyDescent="0.25">
      <c r="A18" s="3" t="s">
        <v>52</v>
      </c>
      <c r="B18" s="35">
        <f>'Income Statement'!B18</f>
        <v>-60267</v>
      </c>
      <c r="C18" s="35">
        <f>'Income Statement'!C18</f>
        <v>2678</v>
      </c>
      <c r="D18" s="35">
        <f>'Income Statement'!D18</f>
        <v>467</v>
      </c>
      <c r="F18" s="21">
        <f t="shared" ref="F18:H19" si="16">F55</f>
        <v>-19040.666666666668</v>
      </c>
      <c r="G18" s="21">
        <f t="shared" si="16"/>
        <v>-19040.666666666668</v>
      </c>
      <c r="H18" s="21">
        <f t="shared" si="16"/>
        <v>-19040.666666666668</v>
      </c>
    </row>
    <row r="19" spans="1:8" ht="15.75" customHeight="1" x14ac:dyDescent="0.25">
      <c r="A19" s="3" t="s">
        <v>72</v>
      </c>
      <c r="B19" s="35">
        <f>'Income Statement'!B19</f>
        <v>-5</v>
      </c>
      <c r="C19" s="35">
        <f>'Income Statement'!C19</f>
        <v>0</v>
      </c>
      <c r="D19" s="35">
        <f>'Income Statement'!D19</f>
        <v>0</v>
      </c>
      <c r="F19" s="21">
        <f t="shared" si="16"/>
        <v>-1.6666666666666667</v>
      </c>
      <c r="G19" s="21">
        <f t="shared" si="16"/>
        <v>-1.6666666666666667</v>
      </c>
      <c r="H19" s="21">
        <f t="shared" si="16"/>
        <v>-1.6666666666666667</v>
      </c>
    </row>
    <row r="20" spans="1:8" ht="15.75" customHeight="1" x14ac:dyDescent="0.25">
      <c r="A20" s="3" t="s">
        <v>53</v>
      </c>
      <c r="B20" s="36">
        <f>'Income Statement'!B20</f>
        <v>67160</v>
      </c>
      <c r="C20" s="36">
        <f>'Income Statement'!C20</f>
        <v>84148</v>
      </c>
      <c r="D20" s="36">
        <f>'Income Statement'!D20</f>
        <v>112873</v>
      </c>
      <c r="F20" s="24">
        <f>F57*F13</f>
        <v>90426.335128033286</v>
      </c>
      <c r="G20" s="24">
        <f t="shared" ref="G20:H20" si="17">G57*G13</f>
        <v>92534.814619190292</v>
      </c>
      <c r="H20" s="24">
        <f t="shared" si="17"/>
        <v>94685.46370017041</v>
      </c>
    </row>
    <row r="21" spans="1:8" ht="15.75" customHeight="1" x14ac:dyDescent="0.25">
      <c r="A21" s="2" t="s">
        <v>54</v>
      </c>
      <c r="B21" s="37">
        <f>SUM(B17:B20)</f>
        <v>334638</v>
      </c>
      <c r="C21" s="37">
        <f t="shared" ref="C21:D21" si="18">SUM(C17:C20)</f>
        <v>247116</v>
      </c>
      <c r="D21" s="37">
        <f t="shared" si="18"/>
        <v>368268</v>
      </c>
      <c r="F21" s="33">
        <f t="shared" ref="F21" si="19">SUM(F17:F20)</f>
        <v>319040.00179469999</v>
      </c>
      <c r="G21" s="33">
        <f t="shared" ref="G21" si="20">SUM(G17:G20)</f>
        <v>321148.48128585698</v>
      </c>
      <c r="H21" s="33">
        <f t="shared" ref="H21" si="21">SUM(H17:H20)</f>
        <v>323299.13036683708</v>
      </c>
    </row>
    <row r="22" spans="1:8" ht="15.75" customHeight="1" x14ac:dyDescent="0.25">
      <c r="A22" s="2" t="s">
        <v>55</v>
      </c>
      <c r="B22" s="35"/>
      <c r="C22" s="35"/>
      <c r="D22" s="35"/>
      <c r="F22" s="21"/>
      <c r="G22" s="21"/>
      <c r="H22" s="21"/>
    </row>
    <row r="23" spans="1:8" ht="15.75" customHeight="1" x14ac:dyDescent="0.25">
      <c r="A23" s="3" t="s">
        <v>56</v>
      </c>
      <c r="B23" s="35">
        <f>'Income Statement'!B23</f>
        <v>270354</v>
      </c>
      <c r="C23" s="35">
        <f>'Income Statement'!C23</f>
        <v>326554</v>
      </c>
      <c r="D23" s="35">
        <f>'Income Statement'!D23</f>
        <v>349387</v>
      </c>
      <c r="F23" s="21">
        <f>F60*F$7</f>
        <v>349466.04246472393</v>
      </c>
      <c r="G23" s="21">
        <f t="shared" ref="G23:H23" si="22">G60*G$7</f>
        <v>356455.36331401841</v>
      </c>
      <c r="H23" s="21">
        <f t="shared" si="22"/>
        <v>363584.4705802988</v>
      </c>
    </row>
    <row r="24" spans="1:8" ht="15.75" customHeight="1" x14ac:dyDescent="0.25">
      <c r="A24" s="3" t="s">
        <v>57</v>
      </c>
      <c r="B24" s="35">
        <f>'Income Statement'!B24</f>
        <v>20939</v>
      </c>
      <c r="C24" s="35">
        <f>'Income Statement'!C24</f>
        <v>45766</v>
      </c>
      <c r="D24" s="35">
        <f>'Income Statement'!D24</f>
        <v>51606</v>
      </c>
      <c r="F24" s="21">
        <f t="shared" ref="F24:H24" si="23">F61*F$7</f>
        <v>42444.921742967439</v>
      </c>
      <c r="G24" s="21">
        <f t="shared" si="23"/>
        <v>43293.82017782679</v>
      </c>
      <c r="H24" s="21">
        <f t="shared" si="23"/>
        <v>44159.696581383323</v>
      </c>
    </row>
    <row r="25" spans="1:8" ht="15.75" customHeight="1" x14ac:dyDescent="0.25">
      <c r="A25" s="3" t="s">
        <v>58</v>
      </c>
      <c r="B25" s="36">
        <f>'Income Statement'!B25</f>
        <v>260169</v>
      </c>
      <c r="C25" s="36">
        <f>'Income Statement'!C25</f>
        <v>246886</v>
      </c>
      <c r="D25" s="36">
        <f>'Income Statement'!D25</f>
        <v>235577</v>
      </c>
      <c r="F25" s="24">
        <f t="shared" ref="F25:H25" si="24">F62*F$7</f>
        <v>278939.82676680823</v>
      </c>
      <c r="G25" s="24">
        <f t="shared" si="24"/>
        <v>284518.62330214441</v>
      </c>
      <c r="H25" s="24">
        <f t="shared" si="24"/>
        <v>290208.99576818733</v>
      </c>
    </row>
    <row r="26" spans="1:8" ht="15.75" customHeight="1" x14ac:dyDescent="0.25">
      <c r="A26" s="2" t="s">
        <v>59</v>
      </c>
      <c r="B26" s="37">
        <f>SUM(B23:B25)</f>
        <v>551462</v>
      </c>
      <c r="C26" s="37">
        <f t="shared" ref="C26:D26" si="25">SUM(C23:C25)</f>
        <v>619206</v>
      </c>
      <c r="D26" s="37">
        <f t="shared" si="25"/>
        <v>636570</v>
      </c>
      <c r="F26" s="33">
        <f t="shared" ref="F26" si="26">SUM(F23:F25)</f>
        <v>670850.79097449966</v>
      </c>
      <c r="G26" s="33">
        <f t="shared" ref="G26" si="27">SUM(G23:G25)</f>
        <v>684267.80679398961</v>
      </c>
      <c r="H26" s="33">
        <f t="shared" ref="H26" si="28">SUM(H23:H25)</f>
        <v>697953.16292986949</v>
      </c>
    </row>
    <row r="27" spans="1:8" ht="15.75" customHeight="1" x14ac:dyDescent="0.25">
      <c r="A27" s="3" t="s">
        <v>73</v>
      </c>
      <c r="B27" s="36">
        <f>'Income Statement'!B27</f>
        <v>7779</v>
      </c>
      <c r="C27" s="36">
        <f>'Income Statement'!C27</f>
        <v>66364</v>
      </c>
      <c r="D27" s="36">
        <f>'Income Statement'!D27</f>
        <v>5329</v>
      </c>
      <c r="F27" s="24">
        <f>F26*F64</f>
        <v>28992.724800173255</v>
      </c>
      <c r="G27" s="24">
        <f t="shared" ref="G27:H27" si="29">G26*G64</f>
        <v>29572.579296176718</v>
      </c>
      <c r="H27" s="24">
        <f t="shared" si="29"/>
        <v>30164.030882100258</v>
      </c>
    </row>
    <row r="28" spans="1:8" ht="15.75" customHeight="1" x14ac:dyDescent="0.25">
      <c r="A28" s="2" t="s">
        <v>60</v>
      </c>
      <c r="B28" s="37">
        <f>SUM(B26:B27)</f>
        <v>559241</v>
      </c>
      <c r="C28" s="37">
        <f t="shared" ref="C28:D28" si="30">SUM(C26:C27)</f>
        <v>685570</v>
      </c>
      <c r="D28" s="37">
        <f t="shared" si="30"/>
        <v>641899</v>
      </c>
      <c r="F28" s="33">
        <f t="shared" ref="F28" si="31">SUM(F26:F27)</f>
        <v>699843.51577467297</v>
      </c>
      <c r="G28" s="33">
        <f t="shared" ref="G28" si="32">SUM(G26:G27)</f>
        <v>713840.38609016628</v>
      </c>
      <c r="H28" s="33">
        <f t="shared" ref="H28" si="33">SUM(H26:H27)</f>
        <v>728117.19381196972</v>
      </c>
    </row>
    <row r="29" spans="1:8" ht="15.75" customHeight="1" x14ac:dyDescent="0.25">
      <c r="A29" s="2" t="s">
        <v>61</v>
      </c>
      <c r="B29" s="37">
        <f>B15+B21-B28</f>
        <v>630725</v>
      </c>
      <c r="C29" s="37">
        <f t="shared" ref="C29:D29" si="34">C15+C21-C28</f>
        <v>778296</v>
      </c>
      <c r="D29" s="37">
        <f t="shared" si="34"/>
        <v>798636</v>
      </c>
      <c r="F29" s="33">
        <f t="shared" ref="F29" si="35">F15+F21-F28</f>
        <v>736174.86161507934</v>
      </c>
      <c r="G29" s="33">
        <f t="shared" ref="G29" si="36">G15+G21-G28</f>
        <v>746593.67028010206</v>
      </c>
      <c r="H29" s="33">
        <f t="shared" ref="H29" si="37">H15+H21-H28</f>
        <v>757055.56310401333</v>
      </c>
    </row>
    <row r="30" spans="1:8" ht="15.75" customHeight="1" x14ac:dyDescent="0.25">
      <c r="A30" s="3" t="s">
        <v>62</v>
      </c>
      <c r="B30" s="36">
        <f>'Income Statement'!B30</f>
        <v>161711</v>
      </c>
      <c r="C30" s="36">
        <f>'Income Statement'!C30</f>
        <v>196905</v>
      </c>
      <c r="D30" s="36">
        <f>'Income Statement'!D30</f>
        <v>190311</v>
      </c>
      <c r="F30" s="24">
        <f>F29*F66</f>
        <v>183474.19177872426</v>
      </c>
      <c r="G30" s="24">
        <f t="shared" ref="G30:H30" si="38">G29*G66</f>
        <v>186070.83368920517</v>
      </c>
      <c r="H30" s="24">
        <f t="shared" si="38"/>
        <v>188678.21330840548</v>
      </c>
    </row>
    <row r="31" spans="1:8" ht="15.75" customHeight="1" x14ac:dyDescent="0.25">
      <c r="A31" s="2" t="s">
        <v>63</v>
      </c>
      <c r="B31" s="37">
        <f>B29-B30</f>
        <v>469014</v>
      </c>
      <c r="C31" s="37">
        <f t="shared" ref="C31:D31" si="39">C29-C30</f>
        <v>581391</v>
      </c>
      <c r="D31" s="37">
        <f t="shared" si="39"/>
        <v>608325</v>
      </c>
      <c r="F31" s="33">
        <f t="shared" ref="F31" si="40">F29-F30</f>
        <v>552700.66983635514</v>
      </c>
      <c r="G31" s="33">
        <f t="shared" ref="G31" si="41">G29-G30</f>
        <v>560522.83659089683</v>
      </c>
      <c r="H31" s="33">
        <f t="shared" ref="H31" si="42">H29-H30</f>
        <v>568377.34979560785</v>
      </c>
    </row>
    <row r="32" spans="1:8" ht="15.75" customHeight="1" x14ac:dyDescent="0.25">
      <c r="A32" s="3" t="s">
        <v>64</v>
      </c>
      <c r="B32" s="36">
        <f>'Income Statement'!B32</f>
        <v>9029</v>
      </c>
      <c r="C32" s="36">
        <f>'Income Statement'!C32</f>
        <v>17705</v>
      </c>
      <c r="D32" s="36">
        <f>'Income Statement'!D32</f>
        <v>18296</v>
      </c>
      <c r="F32" s="24">
        <f>F31*F69</f>
        <v>16727.169690241015</v>
      </c>
      <c r="G32" s="24">
        <f t="shared" ref="G32:H32" si="43">G31*G69</f>
        <v>16963.903093671339</v>
      </c>
      <c r="H32" s="24">
        <f t="shared" si="43"/>
        <v>17201.615443917522</v>
      </c>
    </row>
    <row r="33" spans="1:8" s="27" customFormat="1" ht="15.75" customHeight="1" x14ac:dyDescent="0.25">
      <c r="A33" s="2" t="s">
        <v>65</v>
      </c>
      <c r="B33" s="37">
        <f>'Income Statement'!B33</f>
        <v>459985</v>
      </c>
      <c r="C33" s="37">
        <f>'Income Statement'!C33</f>
        <v>563686</v>
      </c>
      <c r="D33" s="37">
        <f>'Income Statement'!D33</f>
        <v>590029</v>
      </c>
      <c r="E33" s="14"/>
      <c r="F33" s="13">
        <f>F31-F32</f>
        <v>535973.50014611415</v>
      </c>
      <c r="G33" s="13">
        <f t="shared" ref="G33:H33" si="44">G31-G32</f>
        <v>543558.93349722552</v>
      </c>
      <c r="H33" s="13">
        <f t="shared" si="44"/>
        <v>551175.73435169028</v>
      </c>
    </row>
    <row r="34" spans="1:8" ht="15.75" customHeight="1" x14ac:dyDescent="0.25">
      <c r="A34" s="3" t="s">
        <v>66</v>
      </c>
      <c r="B34" s="31">
        <f>'Income Statement'!B34</f>
        <v>1.78</v>
      </c>
      <c r="C34" s="31">
        <f>'Income Statement'!C34</f>
        <v>2.44</v>
      </c>
      <c r="D34" s="31">
        <f>'Income Statement'!D34</f>
        <v>2.73</v>
      </c>
      <c r="F34" s="31">
        <f>F33/F35</f>
        <v>2.5554990294636628</v>
      </c>
      <c r="G34" s="31">
        <f t="shared" ref="G34:H34" si="45">G33/G35</f>
        <v>2.6718206758352374</v>
      </c>
      <c r="H34" s="31">
        <f t="shared" si="45"/>
        <v>2.7930520146550228</v>
      </c>
    </row>
    <row r="35" spans="1:8" ht="15.75" customHeight="1" thickBot="1" x14ac:dyDescent="0.3">
      <c r="A35" s="3" t="s">
        <v>67</v>
      </c>
      <c r="B35" s="35">
        <f>'Income Statement'!B35</f>
        <v>258439</v>
      </c>
      <c r="C35" s="35">
        <f>'Income Statement'!C35</f>
        <v>231411</v>
      </c>
      <c r="D35" s="35">
        <f>'Income Statement'!D35</f>
        <v>216220</v>
      </c>
      <c r="F35" s="30">
        <f>D35*(1+F70)</f>
        <v>209733.4</v>
      </c>
      <c r="G35" s="30">
        <f>F35*(1+G70)</f>
        <v>203441.39799999999</v>
      </c>
      <c r="H35" s="30">
        <f>G35*(1+H70)</f>
        <v>197338.15605999998</v>
      </c>
    </row>
    <row r="36" spans="1:8" ht="15.75" customHeight="1" x14ac:dyDescent="0.25">
      <c r="A36" s="3" t="s">
        <v>68</v>
      </c>
      <c r="B36" s="20">
        <f>'Income Statement'!B36</f>
        <v>1.76</v>
      </c>
      <c r="C36" s="20">
        <f>'Income Statement'!C36</f>
        <v>2.41</v>
      </c>
      <c r="D36" s="20">
        <f>'Income Statement'!D36</f>
        <v>2.68</v>
      </c>
      <c r="F36" s="68"/>
      <c r="G36" s="69"/>
      <c r="H36" s="70"/>
    </row>
    <row r="37" spans="1:8" ht="15.75" customHeight="1" thickBot="1" x14ac:dyDescent="0.3">
      <c r="A37" s="3" t="s">
        <v>69</v>
      </c>
      <c r="B37" s="35">
        <f>'Income Statement'!B37</f>
        <v>261503</v>
      </c>
      <c r="C37" s="35">
        <f>'Income Statement'!C37</f>
        <v>234063</v>
      </c>
      <c r="D37" s="35">
        <f>'Income Statement'!D37</f>
        <v>219934</v>
      </c>
      <c r="F37" s="71"/>
      <c r="G37" s="72"/>
      <c r="H37" s="73"/>
    </row>
    <row r="38" spans="1:8" ht="15.75" customHeight="1" x14ac:dyDescent="0.25">
      <c r="A38" s="3" t="s">
        <v>74</v>
      </c>
      <c r="B38" s="20">
        <f>'Income Statement'!B38</f>
        <v>0.44</v>
      </c>
      <c r="C38" s="20">
        <f>'Income Statement'!C38</f>
        <v>0.44</v>
      </c>
      <c r="D38" s="20">
        <f>'Income Statement'!D38</f>
        <v>0.46</v>
      </c>
      <c r="F38" s="26">
        <f>F72*F33/F35</f>
        <v>0.38332485441954939</v>
      </c>
      <c r="G38" s="26">
        <f t="shared" ref="G38:H38" si="46">G72*G33/G35</f>
        <v>0.40077310137528566</v>
      </c>
      <c r="H38" s="26">
        <f t="shared" si="46"/>
        <v>0.4189578021982534</v>
      </c>
    </row>
    <row r="39" spans="1:8" x14ac:dyDescent="0.25">
      <c r="A39" s="3" t="s">
        <v>110</v>
      </c>
      <c r="B39" s="10">
        <f t="shared" ref="B39:C39" si="47">B38*B35</f>
        <v>113713.16</v>
      </c>
      <c r="C39" s="10">
        <f t="shared" si="47"/>
        <v>101820.84</v>
      </c>
      <c r="D39" s="10">
        <f>D38*D35</f>
        <v>99461.2</v>
      </c>
      <c r="E39" s="10"/>
      <c r="F39" s="10">
        <f t="shared" ref="F39" si="48">F38*F35</f>
        <v>80396.025021917114</v>
      </c>
      <c r="G39" s="10">
        <f t="shared" ref="G39" si="49">G38*G35</f>
        <v>81533.840024583827</v>
      </c>
      <c r="H39" s="10">
        <f t="shared" ref="H39" si="50">H38*H35</f>
        <v>82676.360152753536</v>
      </c>
    </row>
    <row r="40" spans="1:8" x14ac:dyDescent="0.25">
      <c r="A40" s="3"/>
      <c r="C40" s="20">
        <f>C33/C35</f>
        <v>2.4358651922337313</v>
      </c>
    </row>
    <row r="41" spans="1:8" x14ac:dyDescent="0.25">
      <c r="A41" s="28" t="s">
        <v>87</v>
      </c>
      <c r="B41" s="29"/>
      <c r="C41" s="29"/>
      <c r="D41" s="29"/>
      <c r="E41" s="29"/>
      <c r="F41" s="29"/>
      <c r="G41" s="29"/>
      <c r="H41" s="29"/>
    </row>
    <row r="42" spans="1:8" x14ac:dyDescent="0.25">
      <c r="A42" s="2" t="s">
        <v>77</v>
      </c>
    </row>
    <row r="43" spans="1:8" x14ac:dyDescent="0.25">
      <c r="A43" s="3" t="s">
        <v>81</v>
      </c>
      <c r="C43" s="15">
        <f>C7/B7-1</f>
        <v>0.27600340621585162</v>
      </c>
      <c r="D43" s="15">
        <f>D7/C7-1</f>
        <v>1.0316309474625474E-2</v>
      </c>
      <c r="F43" s="19">
        <v>0.02</v>
      </c>
      <c r="G43" s="19">
        <v>0.02</v>
      </c>
      <c r="H43" s="19">
        <v>0.02</v>
      </c>
    </row>
    <row r="44" spans="1:8" x14ac:dyDescent="0.25">
      <c r="A44" s="16" t="s">
        <v>82</v>
      </c>
      <c r="C44" s="15">
        <f>C4/C7</f>
        <v>0.8979440289194589</v>
      </c>
      <c r="D44" s="15">
        <f>D4/D7</f>
        <v>0.88368703718835029</v>
      </c>
      <c r="F44" s="19">
        <f t="shared" ref="F44:F46" si="51">AVERAGE(C44:D44)</f>
        <v>0.8908155330539046</v>
      </c>
      <c r="G44" s="19">
        <f t="shared" ref="G44:H44" si="52">F44</f>
        <v>0.8908155330539046</v>
      </c>
      <c r="H44" s="19">
        <f t="shared" si="52"/>
        <v>0.8908155330539046</v>
      </c>
    </row>
    <row r="45" spans="1:8" x14ac:dyDescent="0.25">
      <c r="A45" s="16" t="s">
        <v>83</v>
      </c>
      <c r="C45" s="15">
        <f>C5/C7</f>
        <v>1.9600332214251188E-2</v>
      </c>
      <c r="D45" s="15">
        <f>D5/D7</f>
        <v>2.344823267708929E-2</v>
      </c>
      <c r="F45" s="19">
        <f t="shared" si="51"/>
        <v>2.1524282445670239E-2</v>
      </c>
      <c r="G45" s="19">
        <f t="shared" ref="G45:H45" si="53">F45</f>
        <v>2.1524282445670239E-2</v>
      </c>
      <c r="H45" s="19">
        <f t="shared" si="53"/>
        <v>2.1524282445670239E-2</v>
      </c>
    </row>
    <row r="46" spans="1:8" x14ac:dyDescent="0.25">
      <c r="A46" s="16" t="s">
        <v>84</v>
      </c>
      <c r="C46" s="15">
        <f>C6/C7</f>
        <v>8.245563886628994E-2</v>
      </c>
      <c r="D46" s="15">
        <f>D6/D7</f>
        <v>9.2864730134560453E-2</v>
      </c>
      <c r="F46" s="19">
        <f t="shared" si="51"/>
        <v>8.7660184500425203E-2</v>
      </c>
      <c r="G46" s="19">
        <f t="shared" ref="G46:H46" si="54">F46</f>
        <v>8.7660184500425203E-2</v>
      </c>
      <c r="H46" s="19">
        <f t="shared" si="54"/>
        <v>8.7660184500425203E-2</v>
      </c>
    </row>
    <row r="48" spans="1:8" x14ac:dyDescent="0.25">
      <c r="A48" s="18" t="s">
        <v>78</v>
      </c>
    </row>
    <row r="49" spans="1:9" x14ac:dyDescent="0.25">
      <c r="A49" s="16" t="s">
        <v>79</v>
      </c>
      <c r="B49" s="17">
        <f>-B9/B4</f>
        <v>0.19268926340024883</v>
      </c>
      <c r="C49" s="17">
        <f>-C9/C4</f>
        <v>0.34714528193189714</v>
      </c>
      <c r="D49" s="17">
        <f>-D9/D4</f>
        <v>0.38085444412134895</v>
      </c>
      <c r="F49" s="19">
        <f t="shared" ref="F49" si="55">AVERAGE(C49:D49)</f>
        <v>0.36399986302662302</v>
      </c>
      <c r="G49" s="19">
        <f t="shared" ref="G49:H50" si="56">F49</f>
        <v>0.36399986302662302</v>
      </c>
      <c r="H49" s="19">
        <f t="shared" si="56"/>
        <v>0.36399986302662302</v>
      </c>
    </row>
    <row r="50" spans="1:9" x14ac:dyDescent="0.25">
      <c r="A50" s="3" t="s">
        <v>80</v>
      </c>
      <c r="B50" s="15">
        <f>-B14/'Balance Sheet'!B9</f>
        <v>3.2274787806184868E-2</v>
      </c>
      <c r="C50" s="15">
        <f>-C14/'Balance Sheet'!C9</f>
        <v>1.7012554245943771E-2</v>
      </c>
      <c r="D50" s="15">
        <f>-D14/'Balance Sheet'!D9</f>
        <v>1.9544154244743532E-2</v>
      </c>
      <c r="F50" s="19">
        <v>0.02</v>
      </c>
      <c r="G50" s="19">
        <f>F50</f>
        <v>0.02</v>
      </c>
      <c r="H50" s="19">
        <f t="shared" si="56"/>
        <v>0.02</v>
      </c>
      <c r="I50" t="s">
        <v>106</v>
      </c>
    </row>
    <row r="51" spans="1:9" s="45" customFormat="1" x14ac:dyDescent="0.25">
      <c r="A51" s="42" t="s">
        <v>143</v>
      </c>
      <c r="B51" s="44"/>
      <c r="C51" s="44"/>
      <c r="D51" s="44"/>
      <c r="E51" s="44"/>
      <c r="F51" s="57">
        <v>0.03</v>
      </c>
      <c r="G51" s="57">
        <v>0.03</v>
      </c>
      <c r="H51" s="57">
        <v>0.03</v>
      </c>
    </row>
    <row r="52" spans="1:9" s="45" customFormat="1" x14ac:dyDescent="0.25">
      <c r="A52" s="58" t="s">
        <v>144</v>
      </c>
      <c r="B52" s="57">
        <f t="shared" ref="B52:C52" si="57">1-(B10/(B10+B11))</f>
        <v>0.93124191275843227</v>
      </c>
      <c r="C52" s="57">
        <f t="shared" si="57"/>
        <v>0.93919153248508047</v>
      </c>
      <c r="D52" s="57">
        <f>1-(D10/(D10+D11))</f>
        <v>0.94620494688638979</v>
      </c>
      <c r="E52" s="44"/>
      <c r="F52" s="57">
        <f>AVERAGE(D52)</f>
        <v>0.94620494688638979</v>
      </c>
      <c r="G52" s="57">
        <f>F52</f>
        <v>0.94620494688638979</v>
      </c>
      <c r="H52" s="57">
        <f>G52</f>
        <v>0.94620494688638979</v>
      </c>
    </row>
    <row r="53" spans="1:9" s="45" customFormat="1" x14ac:dyDescent="0.25">
      <c r="A53" s="42"/>
      <c r="B53" s="44"/>
      <c r="C53" s="44"/>
      <c r="D53" s="44"/>
      <c r="E53" s="44"/>
      <c r="F53" s="57"/>
      <c r="G53" s="57"/>
      <c r="H53" s="57"/>
    </row>
    <row r="54" spans="1:9" x14ac:dyDescent="0.25">
      <c r="A54" s="3" t="s">
        <v>51</v>
      </c>
      <c r="F54" s="23">
        <f>AVERAGE(B17:D17)</f>
        <v>247656</v>
      </c>
      <c r="G54" s="22">
        <f>F54</f>
        <v>247656</v>
      </c>
      <c r="H54" s="22">
        <f>G54</f>
        <v>247656</v>
      </c>
    </row>
    <row r="55" spans="1:9" x14ac:dyDescent="0.25">
      <c r="A55" s="3" t="s">
        <v>52</v>
      </c>
      <c r="F55" s="23">
        <f>AVERAGE(B18:D18)</f>
        <v>-19040.666666666668</v>
      </c>
      <c r="G55" s="22">
        <f t="shared" ref="G55:H55" si="58">F55</f>
        <v>-19040.666666666668</v>
      </c>
      <c r="H55" s="22">
        <f t="shared" si="58"/>
        <v>-19040.666666666668</v>
      </c>
    </row>
    <row r="56" spans="1:9" x14ac:dyDescent="0.25">
      <c r="A56" s="3" t="s">
        <v>72</v>
      </c>
      <c r="F56" s="23">
        <f>AVERAGE(B19:D19)</f>
        <v>-1.6666666666666667</v>
      </c>
      <c r="G56" s="22">
        <f t="shared" ref="G56:H56" si="59">F56</f>
        <v>-1.6666666666666667</v>
      </c>
      <c r="H56" s="22">
        <f t="shared" si="59"/>
        <v>-1.6666666666666667</v>
      </c>
    </row>
    <row r="57" spans="1:9" x14ac:dyDescent="0.25">
      <c r="A57" s="3" t="s">
        <v>85</v>
      </c>
      <c r="B57" s="15">
        <f>B20/B13</f>
        <v>4.5110731531366938E-2</v>
      </c>
      <c r="C57" s="15">
        <f t="shared" ref="C57:D57" si="60">C20/C13</f>
        <v>5.3864613852272383E-2</v>
      </c>
      <c r="D57" s="15">
        <f t="shared" si="60"/>
        <v>7.6225264758755851E-2</v>
      </c>
      <c r="F57" s="15">
        <f>AVERAGE(B57:D57)</f>
        <v>5.8400203380798398E-2</v>
      </c>
      <c r="G57" s="15">
        <f>F57</f>
        <v>5.8400203380798398E-2</v>
      </c>
      <c r="H57" s="15">
        <f>G57</f>
        <v>5.8400203380798398E-2</v>
      </c>
    </row>
    <row r="59" spans="1:9" x14ac:dyDescent="0.25">
      <c r="A59" s="2" t="s">
        <v>55</v>
      </c>
    </row>
    <row r="60" spans="1:9" x14ac:dyDescent="0.25">
      <c r="A60" s="3" t="s">
        <v>56</v>
      </c>
      <c r="B60" s="15">
        <f t="shared" ref="B60:D62" si="61">B23/B$7</f>
        <v>0.1330757341576507</v>
      </c>
      <c r="C60" s="15">
        <f t="shared" si="61"/>
        <v>0.12597061377470148</v>
      </c>
      <c r="D60" s="15">
        <f t="shared" si="61"/>
        <v>0.13340239155784206</v>
      </c>
      <c r="F60" s="15">
        <f>AVERAGE(B60:D60)</f>
        <v>0.1308162464967314</v>
      </c>
      <c r="G60" s="15">
        <f>F60</f>
        <v>0.1308162464967314</v>
      </c>
      <c r="H60" s="15">
        <f>G60</f>
        <v>0.1308162464967314</v>
      </c>
    </row>
    <row r="61" spans="1:9" x14ac:dyDescent="0.25">
      <c r="A61" s="3" t="s">
        <v>57</v>
      </c>
      <c r="B61" s="15">
        <f t="shared" si="61"/>
        <v>1.0306756317742841E-2</v>
      </c>
      <c r="C61" s="15">
        <f t="shared" si="61"/>
        <v>1.7654572015694155E-2</v>
      </c>
      <c r="D61" s="15">
        <f t="shared" si="61"/>
        <v>1.9704121271638605E-2</v>
      </c>
      <c r="F61" s="15">
        <f t="shared" ref="F61:F62" si="62">AVERAGE(B61:D61)</f>
        <v>1.5888483201691866E-2</v>
      </c>
      <c r="G61" s="15">
        <f t="shared" ref="G61:H61" si="63">F61</f>
        <v>1.5888483201691866E-2</v>
      </c>
      <c r="H61" s="15">
        <f t="shared" si="63"/>
        <v>1.5888483201691866E-2</v>
      </c>
    </row>
    <row r="62" spans="1:9" x14ac:dyDescent="0.25">
      <c r="A62" s="3" t="s">
        <v>58</v>
      </c>
      <c r="B62" s="15">
        <f t="shared" si="61"/>
        <v>0.12806239478632395</v>
      </c>
      <c r="C62" s="15">
        <f t="shared" si="61"/>
        <v>9.5238095238095233E-2</v>
      </c>
      <c r="D62" s="15">
        <f t="shared" si="61"/>
        <v>8.9947637422175861E-2</v>
      </c>
      <c r="F62" s="15">
        <f t="shared" si="62"/>
        <v>0.10441604248219834</v>
      </c>
      <c r="G62" s="15">
        <f t="shared" ref="G62:H66" si="64">F62</f>
        <v>0.10441604248219834</v>
      </c>
      <c r="H62" s="15">
        <f t="shared" si="64"/>
        <v>0.10441604248219834</v>
      </c>
    </row>
    <row r="64" spans="1:9" x14ac:dyDescent="0.25">
      <c r="A64" s="3" t="s">
        <v>73</v>
      </c>
      <c r="B64" s="15">
        <f>B27/B26</f>
        <v>1.4106139679615277E-2</v>
      </c>
      <c r="C64" s="15">
        <f t="shared" ref="C64:D64" si="65">C27/C26</f>
        <v>0.10717596405719583</v>
      </c>
      <c r="D64" s="15">
        <f t="shared" si="65"/>
        <v>8.3714281225945302E-3</v>
      </c>
      <c r="F64" s="15">
        <f t="shared" ref="F64" si="66">AVERAGE(B64:D64)</f>
        <v>4.3217843953135215E-2</v>
      </c>
      <c r="G64" s="15">
        <f t="shared" si="64"/>
        <v>4.3217843953135215E-2</v>
      </c>
      <c r="H64" s="15">
        <f t="shared" si="64"/>
        <v>4.3217843953135215E-2</v>
      </c>
    </row>
    <row r="66" spans="1:8" x14ac:dyDescent="0.25">
      <c r="A66" s="3" t="s">
        <v>86</v>
      </c>
      <c r="B66" s="17">
        <f>B30/B29</f>
        <v>0.25638907606326056</v>
      </c>
      <c r="C66" s="17">
        <f t="shared" ref="C66:D66" si="67">C30/C29</f>
        <v>0.25299500447130657</v>
      </c>
      <c r="D66" s="17">
        <f t="shared" si="67"/>
        <v>0.23829504304839752</v>
      </c>
      <c r="F66" s="15">
        <f t="shared" ref="F66" si="68">AVERAGE(B66:D66)</f>
        <v>0.24922637452765486</v>
      </c>
      <c r="G66" s="15">
        <f t="shared" si="64"/>
        <v>0.24922637452765486</v>
      </c>
      <c r="H66" s="15">
        <f t="shared" si="64"/>
        <v>0.24922637452765486</v>
      </c>
    </row>
    <row r="68" spans="1:8" x14ac:dyDescent="0.25">
      <c r="A68" s="27" t="s">
        <v>24</v>
      </c>
    </row>
    <row r="69" spans="1:8" x14ac:dyDescent="0.25">
      <c r="A69" s="3" t="s">
        <v>64</v>
      </c>
      <c r="B69" s="15">
        <f>B32/B31</f>
        <v>1.9251024489674081E-2</v>
      </c>
      <c r="C69" s="15">
        <f t="shared" ref="C69:D69" si="69">C32/C31</f>
        <v>3.0452827787151849E-2</v>
      </c>
      <c r="D69" s="15">
        <f t="shared" si="69"/>
        <v>3.0076028438745735E-2</v>
      </c>
      <c r="F69" s="15">
        <f>AVERAGE(C69:D69)</f>
        <v>3.0264428112948792E-2</v>
      </c>
      <c r="G69" s="15">
        <f t="shared" ref="G69:H69" si="70">F69</f>
        <v>3.0264428112948792E-2</v>
      </c>
      <c r="H69" s="15">
        <f t="shared" si="70"/>
        <v>3.0264428112948792E-2</v>
      </c>
    </row>
    <row r="70" spans="1:8" x14ac:dyDescent="0.25">
      <c r="A70" t="s">
        <v>88</v>
      </c>
      <c r="B70" s="12"/>
      <c r="C70" s="17">
        <f>C35/B35-1</f>
        <v>-0.1045817388242487</v>
      </c>
      <c r="D70" s="17">
        <f>D35/C35-1</f>
        <v>-6.5645107622368859E-2</v>
      </c>
      <c r="F70" s="32">
        <v>-0.03</v>
      </c>
      <c r="G70" s="32">
        <v>-0.03</v>
      </c>
      <c r="H70" s="32">
        <v>-0.03</v>
      </c>
    </row>
    <row r="71" spans="1:8" x14ac:dyDescent="0.25">
      <c r="A71" t="s">
        <v>89</v>
      </c>
      <c r="B71" s="10">
        <f>B38*B35</f>
        <v>113713.16</v>
      </c>
      <c r="C71" s="10">
        <f t="shared" ref="C71:D71" si="71">C38*C35</f>
        <v>101820.84</v>
      </c>
      <c r="D71" s="10">
        <f t="shared" si="71"/>
        <v>99461.2</v>
      </c>
      <c r="F71" s="10"/>
      <c r="G71" s="10"/>
      <c r="H71" s="10"/>
    </row>
    <row r="72" spans="1:8" x14ac:dyDescent="0.25">
      <c r="A72" t="s">
        <v>90</v>
      </c>
      <c r="B72" s="17">
        <f>B71/B33</f>
        <v>0.24721058295379197</v>
      </c>
      <c r="C72" s="17">
        <f t="shared" ref="C72:D72" si="72">C71/C33</f>
        <v>0.18063396997619241</v>
      </c>
      <c r="D72" s="17">
        <f t="shared" si="72"/>
        <v>0.16857001943972244</v>
      </c>
      <c r="F72" s="15">
        <v>0.15</v>
      </c>
      <c r="G72" s="15">
        <f t="shared" ref="G72:H72" si="73">F72</f>
        <v>0.15</v>
      </c>
      <c r="H72" s="15">
        <f t="shared" si="73"/>
        <v>0.15</v>
      </c>
    </row>
  </sheetData>
  <mergeCells count="3">
    <mergeCell ref="B1:D1"/>
    <mergeCell ref="F1:H1"/>
    <mergeCell ref="F36:H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57C8-16AA-4502-9445-F28A5EF809F6}">
  <dimension ref="A1:E49"/>
  <sheetViews>
    <sheetView showGridLines="0" topLeftCell="A9" zoomScale="80" zoomScaleNormal="80" workbookViewId="0">
      <selection activeCell="C31" sqref="C31"/>
    </sheetView>
  </sheetViews>
  <sheetFormatPr defaultRowHeight="15" x14ac:dyDescent="0.25"/>
  <cols>
    <col min="1" max="1" width="72.140625" customWidth="1"/>
    <col min="2" max="2" width="5" customWidth="1"/>
    <col min="3" max="5" width="20.28515625" style="9" customWidth="1"/>
  </cols>
  <sheetData>
    <row r="1" spans="1:5" ht="27" customHeight="1" x14ac:dyDescent="0.25">
      <c r="A1" s="50" t="s">
        <v>117</v>
      </c>
      <c r="C1" s="67" t="s">
        <v>76</v>
      </c>
      <c r="D1" s="67"/>
      <c r="E1" s="67"/>
    </row>
    <row r="2" spans="1:5" x14ac:dyDescent="0.25">
      <c r="C2" s="14">
        <v>2025</v>
      </c>
      <c r="D2" s="14">
        <v>2026</v>
      </c>
      <c r="E2" s="14">
        <v>2027</v>
      </c>
    </row>
    <row r="3" spans="1:5" x14ac:dyDescent="0.25">
      <c r="A3" s="51" t="s">
        <v>118</v>
      </c>
    </row>
    <row r="4" spans="1:5" x14ac:dyDescent="0.25">
      <c r="A4" t="s">
        <v>119</v>
      </c>
      <c r="C4" s="21">
        <f>'IS Forecast'!F31</f>
        <v>552700.66983635514</v>
      </c>
      <c r="D4" s="21">
        <f>'IS Forecast'!G31</f>
        <v>560522.83659089683</v>
      </c>
      <c r="E4" s="21">
        <f>'IS Forecast'!H31</f>
        <v>568377.34979560785</v>
      </c>
    </row>
    <row r="5" spans="1:5" x14ac:dyDescent="0.25">
      <c r="A5" t="s">
        <v>122</v>
      </c>
      <c r="C5" s="21">
        <f>'IS Forecast'!F14</f>
        <v>-431412.38151256548</v>
      </c>
      <c r="D5" s="21">
        <f>'IS Forecast'!G14</f>
        <v>-445209.15716535907</v>
      </c>
      <c r="E5" s="21">
        <f>'IS Forecast'!H14</f>
        <v>-459447.16034561978</v>
      </c>
    </row>
    <row r="6" spans="1:5" x14ac:dyDescent="0.25">
      <c r="A6" s="27" t="s">
        <v>126</v>
      </c>
      <c r="C6" s="21"/>
      <c r="D6" s="21"/>
      <c r="E6" s="21"/>
    </row>
    <row r="7" spans="1:5" x14ac:dyDescent="0.25">
      <c r="A7" t="s">
        <v>123</v>
      </c>
      <c r="C7" s="21">
        <f>('Balance Sheet Forecast'!F23-'Balance Sheet Forecast'!D23)</f>
        <v>421371.3599999994</v>
      </c>
      <c r="D7" s="21">
        <f>('Balance Sheet Forecast'!G23-'Balance Sheet Forecast'!F23)</f>
        <v>429798.78720000014</v>
      </c>
      <c r="E7" s="21">
        <f>('Balance Sheet Forecast'!H23-'Balance Sheet Forecast'!G23)</f>
        <v>438394.7629440017</v>
      </c>
    </row>
    <row r="8" spans="1:5" x14ac:dyDescent="0.25">
      <c r="A8" t="s">
        <v>124</v>
      </c>
      <c r="C8" s="21">
        <f>('Balance Sheet Forecast'!F24-'Balance Sheet Forecast'!D24)</f>
        <v>0</v>
      </c>
      <c r="D8" s="21">
        <f>('Balance Sheet Forecast'!G24-'Balance Sheet Forecast'!F24)</f>
        <v>0</v>
      </c>
      <c r="E8" s="21">
        <f>('Balance Sheet Forecast'!H24-'Balance Sheet Forecast'!G24)</f>
        <v>0</v>
      </c>
    </row>
    <row r="9" spans="1:5" x14ac:dyDescent="0.25">
      <c r="A9" t="s">
        <v>125</v>
      </c>
      <c r="C9" s="21">
        <f>('Balance Sheet Forecast'!F25-'Balance Sheet Forecast'!D25)</f>
        <v>4841.8738040809403</v>
      </c>
      <c r="D9" s="21">
        <f>('Balance Sheet Forecast'!G25-'Balance Sheet Forecast'!F25)</f>
        <v>8162.3774760816013</v>
      </c>
      <c r="E9" s="21">
        <f>('Balance Sheet Forecast'!H25-'Balance Sheet Forecast'!G25)</f>
        <v>8325.6250256032799</v>
      </c>
    </row>
    <row r="10" spans="1:5" x14ac:dyDescent="0.25">
      <c r="C10" s="21"/>
      <c r="D10" s="21"/>
      <c r="E10" s="21"/>
    </row>
    <row r="11" spans="1:5" x14ac:dyDescent="0.25">
      <c r="A11" s="27" t="s">
        <v>127</v>
      </c>
      <c r="C11" s="21"/>
      <c r="D11" s="21"/>
      <c r="E11" s="21"/>
    </row>
    <row r="12" spans="1:5" x14ac:dyDescent="0.25">
      <c r="A12" s="3" t="s">
        <v>3</v>
      </c>
      <c r="C12" s="21">
        <f>-('Balance Sheet Forecast'!F6-'Balance Sheet Forecast'!D6)</f>
        <v>1273.2731263615933</v>
      </c>
      <c r="D12" s="21">
        <f>-('Balance Sheet Forecast'!G6-'Balance Sheet Forecast'!F6)</f>
        <v>1242.8344561217527</v>
      </c>
      <c r="E12" s="21">
        <f>-('Balance Sheet Forecast'!H6-'Balance Sheet Forecast'!G6)</f>
        <v>1213.1234480203639</v>
      </c>
    </row>
    <row r="13" spans="1:5" x14ac:dyDescent="0.25">
      <c r="A13" s="3" t="s">
        <v>4</v>
      </c>
      <c r="C13" s="21">
        <f>-('Balance Sheet Forecast'!F7-'Balance Sheet Forecast'!D7)</f>
        <v>163050.7954753493</v>
      </c>
      <c r="D13" s="21">
        <f>-('Balance Sheet Forecast'!G7-'Balance Sheet Forecast'!F7)</f>
        <v>149298.87929734215</v>
      </c>
      <c r="E13" s="21">
        <f>-('Balance Sheet Forecast'!H7-'Balance Sheet Forecast'!G7)</f>
        <v>136706.8176175335</v>
      </c>
    </row>
    <row r="14" spans="1:5" x14ac:dyDescent="0.25">
      <c r="A14" s="3" t="s">
        <v>5</v>
      </c>
      <c r="C14" s="21">
        <f>-('Balance Sheet Forecast'!F8-'Balance Sheet Forecast'!D8)</f>
        <v>-10901.609747494993</v>
      </c>
      <c r="D14" s="21">
        <f>-('Balance Sheet Forecast'!G8-'Balance Sheet Forecast'!F8)</f>
        <v>-11959.166855147618</v>
      </c>
      <c r="E14" s="21">
        <f>-('Balance Sheet Forecast'!H8-'Balance Sheet Forecast'!G8)</f>
        <v>-13119.316796505678</v>
      </c>
    </row>
    <row r="15" spans="1:5" x14ac:dyDescent="0.25">
      <c r="A15" s="3" t="s">
        <v>128</v>
      </c>
      <c r="C15" s="21">
        <f>-('Balance Sheet Forecast'!F10-'Balance Sheet Forecast'!D10)</f>
        <v>-668461.07562827319</v>
      </c>
      <c r="D15" s="21">
        <f>-('Balance Sheet Forecast'!G10-'Balance Sheet Forecast'!F10)</f>
        <v>-689838.78263967857</v>
      </c>
      <c r="E15" s="21">
        <f>-('Balance Sheet Forecast'!H10-'Balance Sheet Forecast'!G10)</f>
        <v>-711900.15901303664</v>
      </c>
    </row>
    <row r="16" spans="1:5" x14ac:dyDescent="0.25">
      <c r="A16" s="3" t="s">
        <v>8</v>
      </c>
      <c r="C16" s="21">
        <f>-('Balance Sheet Forecast'!F11-'Balance Sheet Forecast'!D11)</f>
        <v>0</v>
      </c>
      <c r="D16" s="21">
        <f>-('Balance Sheet Forecast'!G11-'Balance Sheet Forecast'!F11)</f>
        <v>0</v>
      </c>
      <c r="E16" s="21">
        <f>-('Balance Sheet Forecast'!H11-'Balance Sheet Forecast'!G11)</f>
        <v>0</v>
      </c>
    </row>
    <row r="17" spans="1:5" x14ac:dyDescent="0.25">
      <c r="A17" t="s">
        <v>120</v>
      </c>
      <c r="C17" s="21">
        <f>-('Balance Sheet Forecast'!F12-'Balance Sheet Forecast'!D12)</f>
        <v>10937.75545935129</v>
      </c>
      <c r="D17" s="21">
        <f>-('Balance Sheet Forecast'!G12-'Balance Sheet Forecast'!F12)</f>
        <v>-3259.1248908129637</v>
      </c>
      <c r="E17" s="21">
        <f>-('Balance Sheet Forecast'!H12-'Balance Sheet Forecast'!G12)</f>
        <v>-3324.3073886292404</v>
      </c>
    </row>
    <row r="18" spans="1:5" x14ac:dyDescent="0.25">
      <c r="A18" s="3" t="s">
        <v>10</v>
      </c>
      <c r="C18" s="21">
        <f>-('Balance Sheet Forecast'!F13-'Balance Sheet Forecast'!D13)</f>
        <v>-2364.1467022720726</v>
      </c>
      <c r="D18" s="21">
        <f>-('Balance Sheet Forecast'!G13-'Balance Sheet Forecast'!F13)</f>
        <v>-144.88293404544129</v>
      </c>
      <c r="E18" s="21">
        <f>-('Balance Sheet Forecast'!H13-'Balance Sheet Forecast'!G13)</f>
        <v>-147.78059272634982</v>
      </c>
    </row>
    <row r="19" spans="1:5" x14ac:dyDescent="0.25">
      <c r="A19" s="3" t="s">
        <v>11</v>
      </c>
      <c r="C19" s="21">
        <f>-('Balance Sheet Forecast'!F14-'Balance Sheet Forecast'!D14)</f>
        <v>46817.946478270693</v>
      </c>
      <c r="D19" s="21">
        <f>-('Balance Sheet Forecast'!G14-'Balance Sheet Forecast'!F14)</f>
        <v>-29995.441070434637</v>
      </c>
      <c r="E19" s="21">
        <f>-('Balance Sheet Forecast'!H14-'Balance Sheet Forecast'!G14)</f>
        <v>-30595.349891843274</v>
      </c>
    </row>
    <row r="20" spans="1:5" x14ac:dyDescent="0.25">
      <c r="A20" s="3" t="s">
        <v>12</v>
      </c>
      <c r="C20" s="21">
        <f>-('Balance Sheet Forecast'!F15-'Balance Sheet Forecast'!D15)</f>
        <v>-8243.3959205694555</v>
      </c>
      <c r="D20" s="21">
        <f>-('Balance Sheet Forecast'!G15-'Balance Sheet Forecast'!F15)</f>
        <v>-2551.9479184113879</v>
      </c>
      <c r="E20" s="21">
        <f>-('Balance Sheet Forecast'!H15-'Balance Sheet Forecast'!G15)</f>
        <v>-2602.9868767796288</v>
      </c>
    </row>
    <row r="21" spans="1:5" x14ac:dyDescent="0.25">
      <c r="A21" s="3" t="s">
        <v>14</v>
      </c>
      <c r="C21" s="21">
        <f>-('Balance Sheet Forecast'!F16-'Balance Sheet Forecast'!D16)</f>
        <v>-682.35024990388047</v>
      </c>
      <c r="D21" s="21">
        <f>-('Balance Sheet Forecast'!G17-'Balance Sheet Forecast'!F17)</f>
        <v>-5227.7173414482968</v>
      </c>
      <c r="E21" s="21">
        <f>-('Balance Sheet Forecast'!H17-'Balance Sheet Forecast'!G17)</f>
        <v>-5249.3351493766531</v>
      </c>
    </row>
    <row r="22" spans="1:5" x14ac:dyDescent="0.25">
      <c r="A22" s="3" t="s">
        <v>15</v>
      </c>
      <c r="C22" s="21">
        <f>-('Balance Sheet Forecast'!F18-'Balance Sheet Forecast'!D18)</f>
        <v>0</v>
      </c>
      <c r="D22" s="21">
        <f>-('Balance Sheet Forecast'!G18-'Balance Sheet Forecast'!F18)</f>
        <v>0</v>
      </c>
      <c r="E22" s="21">
        <f>-('Balance Sheet Forecast'!H18-'Balance Sheet Forecast'!G18)</f>
        <v>0</v>
      </c>
    </row>
    <row r="23" spans="1:5" x14ac:dyDescent="0.25">
      <c r="A23" s="3" t="s">
        <v>16</v>
      </c>
      <c r="C23" s="21">
        <f>-('Balance Sheet Forecast'!F19-'Balance Sheet Forecast'!D19)</f>
        <v>-8915.2678979656339</v>
      </c>
      <c r="D23" s="21">
        <f>-('Balance Sheet Forecast'!G19-'Balance Sheet Forecast'!F19)</f>
        <v>-915.22535795930889</v>
      </c>
      <c r="E23" s="21">
        <f>-('Balance Sheet Forecast'!H19-'Balance Sheet Forecast'!G19)</f>
        <v>-933.52986511850031</v>
      </c>
    </row>
    <row r="24" spans="1:5" x14ac:dyDescent="0.25">
      <c r="C24" s="21"/>
      <c r="D24" s="21"/>
      <c r="E24" s="21"/>
    </row>
    <row r="25" spans="1:5" x14ac:dyDescent="0.25">
      <c r="A25" s="2" t="s">
        <v>129</v>
      </c>
      <c r="C25" s="21"/>
      <c r="D25" s="21"/>
      <c r="E25" s="21"/>
    </row>
    <row r="26" spans="1:5" x14ac:dyDescent="0.25">
      <c r="A26" s="3" t="s">
        <v>51</v>
      </c>
      <c r="C26" s="21">
        <f>'IS Forecast'!F17</f>
        <v>247656</v>
      </c>
      <c r="D26" s="21">
        <f>'IS Forecast'!G17</f>
        <v>247656</v>
      </c>
      <c r="E26" s="21">
        <f>'IS Forecast'!H17</f>
        <v>247656</v>
      </c>
    </row>
    <row r="27" spans="1:5" x14ac:dyDescent="0.25">
      <c r="A27" s="3" t="s">
        <v>52</v>
      </c>
      <c r="C27" s="21">
        <f>'IS Forecast'!F18</f>
        <v>-19040.666666666668</v>
      </c>
      <c r="D27" s="21">
        <f>'IS Forecast'!G18</f>
        <v>-19040.666666666668</v>
      </c>
      <c r="E27" s="21">
        <f>'IS Forecast'!H18</f>
        <v>-19040.666666666668</v>
      </c>
    </row>
    <row r="28" spans="1:5" x14ac:dyDescent="0.25">
      <c r="A28" s="3" t="s">
        <v>72</v>
      </c>
      <c r="C28" s="21">
        <f>'IS Forecast'!F19</f>
        <v>-1.6666666666666667</v>
      </c>
      <c r="D28" s="21">
        <f>'IS Forecast'!G19</f>
        <v>-1.6666666666666667</v>
      </c>
      <c r="E28" s="21">
        <f>'IS Forecast'!H19</f>
        <v>-1.6666666666666667</v>
      </c>
    </row>
    <row r="29" spans="1:5" x14ac:dyDescent="0.25">
      <c r="C29" s="21"/>
      <c r="D29" s="21"/>
      <c r="E29" s="21"/>
    </row>
    <row r="30" spans="1:5" x14ac:dyDescent="0.25">
      <c r="A30" s="51" t="s">
        <v>121</v>
      </c>
      <c r="C30" s="21"/>
      <c r="D30" s="21"/>
      <c r="E30" s="21"/>
    </row>
    <row r="31" spans="1:5" x14ac:dyDescent="0.25">
      <c r="A31" s="3" t="s">
        <v>130</v>
      </c>
      <c r="C31" s="21">
        <f>-'IS Forecast'!F32</f>
        <v>-16727.169690241015</v>
      </c>
      <c r="D31" s="21">
        <f>-'IS Forecast'!G32</f>
        <v>-16963.903093671339</v>
      </c>
      <c r="E31" s="21">
        <f>-'IS Forecast'!H32</f>
        <v>-17201.615443917522</v>
      </c>
    </row>
    <row r="32" spans="1:5" x14ac:dyDescent="0.25">
      <c r="A32" s="3" t="s">
        <v>131</v>
      </c>
      <c r="C32" s="21">
        <f>-'IS Forecast'!F39</f>
        <v>-80396.025021917114</v>
      </c>
      <c r="D32" s="21">
        <f>-'IS Forecast'!G39</f>
        <v>-81533.840024583827</v>
      </c>
      <c r="E32" s="21">
        <f>-'IS Forecast'!H39</f>
        <v>-82676.360152753536</v>
      </c>
    </row>
    <row r="33" spans="1:5" x14ac:dyDescent="0.25">
      <c r="A33" s="3" t="s">
        <v>135</v>
      </c>
      <c r="C33" s="21">
        <f>C46</f>
        <v>-56778.681255883537</v>
      </c>
      <c r="D33" s="21">
        <f t="shared" ref="D33:E33" si="0">D46</f>
        <v>-100509.79650630057</v>
      </c>
      <c r="E33" s="21">
        <f t="shared" si="0"/>
        <v>-86297.479066153057</v>
      </c>
    </row>
    <row r="34" spans="1:5" x14ac:dyDescent="0.25">
      <c r="A34" s="3" t="s">
        <v>134</v>
      </c>
      <c r="C34" s="35">
        <f>('IS Forecast'!D35-'IS Forecast'!F35)</f>
        <v>6486.6000000000058</v>
      </c>
      <c r="D34" s="35">
        <f>'IS Forecast'!F35-'IS Forecast'!G35</f>
        <v>6292.0020000000077</v>
      </c>
      <c r="E34" s="35">
        <f>'IS Forecast'!G35-'IS Forecast'!H35</f>
        <v>6103.2419400000072</v>
      </c>
    </row>
    <row r="35" spans="1:5" x14ac:dyDescent="0.25">
      <c r="C35" s="21"/>
      <c r="D35" s="21"/>
      <c r="E35" s="21"/>
    </row>
    <row r="36" spans="1:5" x14ac:dyDescent="0.25">
      <c r="A36" s="3" t="s">
        <v>132</v>
      </c>
      <c r="C36" s="21">
        <f>'Balance Sheet Forecast'!D4</f>
        <v>4700366</v>
      </c>
      <c r="D36" s="21">
        <f>'Balance Sheet Forecast'!F4</f>
        <v>4845091.2372193485</v>
      </c>
      <c r="E36" s="21">
        <f>'Balance Sheet Forecast'!G4</f>
        <v>4834621.6331086047</v>
      </c>
    </row>
    <row r="37" spans="1:5" x14ac:dyDescent="0.25">
      <c r="A37" s="3" t="s">
        <v>133</v>
      </c>
      <c r="C37" s="21">
        <f>C36+SUM(C4:C33)</f>
        <v>4845091.2372193485</v>
      </c>
      <c r="D37" s="21">
        <f>D36+SUM(D4:D33)</f>
        <v>4834621.6331086047</v>
      </c>
      <c r="E37" s="21">
        <f>E36+SUM(E4:E33)</f>
        <v>4802757.5980235785</v>
      </c>
    </row>
    <row r="38" spans="1:5" x14ac:dyDescent="0.25">
      <c r="A38" s="3" t="s">
        <v>139</v>
      </c>
      <c r="C38" s="9" t="str">
        <f>IF(C37='Balance Sheet Forecast'!F4, "YES", "NO")</f>
        <v>YES</v>
      </c>
      <c r="D38" s="9" t="str">
        <f>IF(D37='Balance Sheet Forecast'!G4, "YES", "NO")</f>
        <v>YES</v>
      </c>
      <c r="E38" s="9" t="str">
        <f>IF(E37='Balance Sheet Forecast'!H4, "YES", "NO")</f>
        <v>YES</v>
      </c>
    </row>
    <row r="39" spans="1:5" x14ac:dyDescent="0.25">
      <c r="A39" s="3"/>
      <c r="C39" s="21"/>
      <c r="D39" s="21"/>
      <c r="E39" s="21"/>
    </row>
    <row r="40" spans="1:5" x14ac:dyDescent="0.25">
      <c r="A40" s="3"/>
    </row>
    <row r="41" spans="1:5" x14ac:dyDescent="0.25">
      <c r="D41" s="21"/>
    </row>
    <row r="43" spans="1:5" x14ac:dyDescent="0.25">
      <c r="A43" s="27" t="s">
        <v>136</v>
      </c>
    </row>
    <row r="44" spans="1:5" x14ac:dyDescent="0.25">
      <c r="A44" t="s">
        <v>140</v>
      </c>
      <c r="C44" s="21">
        <f>SUM(C4:C32)+C36</f>
        <v>4901869.9184752321</v>
      </c>
      <c r="D44" s="21">
        <f>SUM(D4:D32)+D36</f>
        <v>4935131.4296149053</v>
      </c>
      <c r="E44" s="21">
        <f>SUM(E4:E32)+E36</f>
        <v>4889055.0770897316</v>
      </c>
    </row>
    <row r="45" spans="1:5" x14ac:dyDescent="0.25">
      <c r="A45" t="s">
        <v>137</v>
      </c>
      <c r="C45" s="21">
        <f>'Balance Sheet Forecast'!F4</f>
        <v>4845091.2372193485</v>
      </c>
      <c r="D45" s="21">
        <f>'Balance Sheet Forecast'!G4</f>
        <v>4834621.6331086047</v>
      </c>
      <c r="E45" s="21">
        <f>'Balance Sheet Forecast'!H4</f>
        <v>4802757.5980235785</v>
      </c>
    </row>
    <row r="46" spans="1:5" x14ac:dyDescent="0.25">
      <c r="A46" t="s">
        <v>141</v>
      </c>
      <c r="C46" s="21">
        <f>C45-C44</f>
        <v>-56778.681255883537</v>
      </c>
      <c r="D46" s="21">
        <f>D45-D44</f>
        <v>-100509.79650630057</v>
      </c>
      <c r="E46" s="21">
        <f>E45-E44</f>
        <v>-86297.479066153057</v>
      </c>
    </row>
    <row r="47" spans="1:5" x14ac:dyDescent="0.25">
      <c r="A47" t="s">
        <v>142</v>
      </c>
      <c r="C47" s="30">
        <f>C34</f>
        <v>6486.6000000000058</v>
      </c>
      <c r="D47" s="30">
        <f>D34</f>
        <v>6292.0020000000077</v>
      </c>
      <c r="E47" s="30">
        <f>E34</f>
        <v>6103.2419400000072</v>
      </c>
    </row>
    <row r="48" spans="1:5" x14ac:dyDescent="0.25">
      <c r="A48" t="s">
        <v>138</v>
      </c>
      <c r="C48" s="41">
        <f>-C46/C47</f>
        <v>8.7532268454789079</v>
      </c>
      <c r="D48" s="41">
        <f t="shared" ref="D48:E48" si="1">-D46/D47</f>
        <v>15.974215600424229</v>
      </c>
      <c r="E48" s="41">
        <f t="shared" si="1"/>
        <v>14.139612998227785</v>
      </c>
    </row>
    <row r="49" spans="3:3" x14ac:dyDescent="0.25">
      <c r="C49" s="41"/>
    </row>
  </sheetData>
  <mergeCells count="1">
    <mergeCell ref="C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7944-0EDA-4CAD-8FFE-AA2AF9AD4E54}">
  <sheetPr>
    <tabColor rgb="FFFF0000"/>
  </sheetPr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1E55-EC11-4095-ACB9-48D91D06BB60}">
  <dimension ref="B1:L20"/>
  <sheetViews>
    <sheetView showGridLines="0" tabSelected="1" workbookViewId="0">
      <selection activeCell="F21" sqref="F21"/>
    </sheetView>
  </sheetViews>
  <sheetFormatPr defaultRowHeight="15" x14ac:dyDescent="0.25"/>
  <cols>
    <col min="2" max="2" width="33.140625" customWidth="1"/>
    <col min="3" max="3" width="9.140625" style="9"/>
    <col min="4" max="4" width="19.28515625" style="9" customWidth="1"/>
    <col min="5" max="5" width="23.7109375" style="9" customWidth="1"/>
    <col min="6" max="6" width="19.28515625" style="9" customWidth="1"/>
    <col min="8" max="8" width="25.140625" customWidth="1"/>
    <col min="9" max="12" width="14" style="9" customWidth="1"/>
  </cols>
  <sheetData>
    <row r="1" spans="2:12" x14ac:dyDescent="0.25">
      <c r="B1" s="51" t="s">
        <v>145</v>
      </c>
      <c r="C1" s="59"/>
      <c r="D1" s="59"/>
      <c r="E1" s="59"/>
      <c r="F1" s="59"/>
    </row>
    <row r="2" spans="2:12" x14ac:dyDescent="0.25">
      <c r="B2" s="51"/>
      <c r="C2" s="59"/>
      <c r="D2" s="59"/>
      <c r="E2" s="59"/>
      <c r="F2" s="59"/>
      <c r="H2" s="51" t="s">
        <v>153</v>
      </c>
    </row>
    <row r="3" spans="2:12" x14ac:dyDescent="0.25">
      <c r="B3" s="52"/>
      <c r="C3" s="59"/>
      <c r="D3" s="60">
        <v>2025</v>
      </c>
      <c r="E3" s="60">
        <f>D3+1</f>
        <v>2026</v>
      </c>
      <c r="F3" s="60">
        <f>E3+1</f>
        <v>2027</v>
      </c>
      <c r="I3" s="62">
        <v>2024</v>
      </c>
      <c r="J3" s="62">
        <f>I3+1</f>
        <v>2025</v>
      </c>
      <c r="K3" s="62">
        <f>J3+1</f>
        <v>2026</v>
      </c>
      <c r="L3" s="62">
        <f>K3+1</f>
        <v>2027</v>
      </c>
    </row>
    <row r="4" spans="2:12" x14ac:dyDescent="0.25">
      <c r="B4" s="52" t="s">
        <v>146</v>
      </c>
      <c r="D4" s="10">
        <f>'IS Forecast'!F29</f>
        <v>736174.86161507934</v>
      </c>
      <c r="E4" s="10">
        <f>'IS Forecast'!G29</f>
        <v>746593.67028010206</v>
      </c>
      <c r="F4" s="10">
        <f>'IS Forecast'!H29</f>
        <v>757055.56310401333</v>
      </c>
      <c r="H4" s="51" t="s">
        <v>154</v>
      </c>
    </row>
    <row r="5" spans="2:12" x14ac:dyDescent="0.25">
      <c r="B5" t="s">
        <v>147</v>
      </c>
      <c r="D5" s="10">
        <f>'IS Forecast'!F30</f>
        <v>183474.19177872426</v>
      </c>
      <c r="E5" s="10">
        <f>'IS Forecast'!G30</f>
        <v>186070.83368920517</v>
      </c>
      <c r="F5" s="10">
        <f>'IS Forecast'!H30</f>
        <v>188678.21330840548</v>
      </c>
      <c r="H5" t="s">
        <v>155</v>
      </c>
      <c r="I5" s="10">
        <f>'Balance Sheet Forecast'!D12+'Balance Sheet Forecast'!D13+'Balance Sheet Forecast'!D14+'Balance Sheet Forecast'!D17+'Balance Sheet Forecast'!D18+'Balance Sheet Forecast'!D19+'Balance Sheet Forecast'!D6+'Balance Sheet Forecast'!D7+'Balance Sheet Forecast'!D8</f>
        <v>4286700</v>
      </c>
      <c r="J5" s="41">
        <f>'Balance Sheet Forecast'!F6+'Balance Sheet Forecast'!F7+'Balance Sheet Forecast'!F8+'Balance Sheet Forecast'!F12+'Balance Sheet Forecast'!F13+'Balance Sheet Forecast'!F14+'Balance Sheet Forecast'!F17+'Balance Sheet Forecast'!F18+'Balance Sheet Forecast'!F19</f>
        <v>4030557.6499101813</v>
      </c>
      <c r="K5" s="41">
        <f>'Balance Sheet Forecast'!G6+'Balance Sheet Forecast'!G7+'Balance Sheet Forecast'!G8+'Balance Sheet Forecast'!G12+'Balance Sheet Forecast'!G13+'Balance Sheet Forecast'!G14+'Balance Sheet Forecast'!G17+'Balance Sheet Forecast'!G18+'Balance Sheet Forecast'!G19</f>
        <v>3931517.4946065652</v>
      </c>
      <c r="L5" s="41">
        <f>'Balance Sheet Forecast'!H6+'Balance Sheet Forecast'!H7+'Balance Sheet Forecast'!H8+'Balance Sheet Forecast'!H12+'Balance Sheet Forecast'!H13+'Balance Sheet Forecast'!H14+'Balance Sheet Forecast'!H17+'Balance Sheet Forecast'!H18+'Balance Sheet Forecast'!H19</f>
        <v>3846967.1732252114</v>
      </c>
    </row>
    <row r="6" spans="2:12" x14ac:dyDescent="0.25">
      <c r="B6" t="s">
        <v>148</v>
      </c>
      <c r="D6" s="10">
        <v>0</v>
      </c>
      <c r="E6" s="10">
        <v>0</v>
      </c>
      <c r="F6" s="10">
        <v>0</v>
      </c>
      <c r="H6" s="52" t="s">
        <v>156</v>
      </c>
      <c r="I6" s="10">
        <f>'Balance Sheet Forecast'!D23*25%</f>
        <v>5267142</v>
      </c>
      <c r="J6" s="10">
        <f>'Balance Sheet Forecast'!F23*25%</f>
        <v>5372484.8399999999</v>
      </c>
      <c r="K6" s="10">
        <f>'Balance Sheet Forecast'!G23*25%</f>
        <v>5479934.5367999999</v>
      </c>
      <c r="L6" s="10">
        <f>'Balance Sheet Forecast'!H23*25%</f>
        <v>5589533.2275360003</v>
      </c>
    </row>
    <row r="7" spans="2:12" x14ac:dyDescent="0.25">
      <c r="B7" t="s">
        <v>149</v>
      </c>
      <c r="D7" s="11">
        <f>'Balance Sheet Forecast'!F24-'Balance Sheet Forecast'!D24+'Balance Sheet Forecast'!F25-'Balance Sheet Forecast'!D25</f>
        <v>4841.8738040809403</v>
      </c>
      <c r="E7" s="11">
        <f>'Balance Sheet Forecast'!G24-'Balance Sheet Forecast'!F24+'Balance Sheet Forecast'!G25-'Balance Sheet Forecast'!F25</f>
        <v>8162.3774760816013</v>
      </c>
      <c r="F7" s="11">
        <f>'Balance Sheet Forecast'!H24-'Balance Sheet Forecast'!G24+'Balance Sheet Forecast'!H25-'Balance Sheet Forecast'!G25</f>
        <v>8325.6250256032799</v>
      </c>
    </row>
    <row r="8" spans="2:12" x14ac:dyDescent="0.25">
      <c r="B8" t="s">
        <v>150</v>
      </c>
      <c r="D8" s="10">
        <f>D4-D5+D6+D7</f>
        <v>557542.54364043614</v>
      </c>
      <c r="E8" s="10">
        <f t="shared" ref="E8:F8" si="0">E4-E5+E6+E7</f>
        <v>568685.21406697843</v>
      </c>
      <c r="F8" s="10">
        <f t="shared" si="0"/>
        <v>576702.97482121107</v>
      </c>
      <c r="H8" t="s">
        <v>157</v>
      </c>
      <c r="I8" s="10">
        <f>I5-I6</f>
        <v>-980442</v>
      </c>
      <c r="J8" s="10">
        <f t="shared" ref="J8:L8" si="1">J5-J6</f>
        <v>-1341927.1900898186</v>
      </c>
      <c r="K8" s="10">
        <f t="shared" si="1"/>
        <v>-1548417.0421934347</v>
      </c>
      <c r="L8" s="10">
        <f t="shared" si="1"/>
        <v>-1742566.0543107889</v>
      </c>
    </row>
    <row r="9" spans="2:12" x14ac:dyDescent="0.25">
      <c r="H9" t="s">
        <v>158</v>
      </c>
      <c r="J9" s="10">
        <f>J8-I8</f>
        <v>-361485.19008981856</v>
      </c>
      <c r="K9" s="10">
        <f t="shared" ref="K9:L9" si="2">K8-J8</f>
        <v>-206489.85210361611</v>
      </c>
      <c r="L9" s="10">
        <f t="shared" si="2"/>
        <v>-194149.0121173542</v>
      </c>
    </row>
    <row r="10" spans="2:12" x14ac:dyDescent="0.25">
      <c r="B10" s="52" t="s">
        <v>151</v>
      </c>
      <c r="D10" s="10">
        <f>J9</f>
        <v>-361485.19008981856</v>
      </c>
      <c r="E10" s="10">
        <f t="shared" ref="E10:F10" si="3">K9</f>
        <v>-206489.85210361611</v>
      </c>
      <c r="F10" s="10">
        <f t="shared" si="3"/>
        <v>-194149.0121173542</v>
      </c>
    </row>
    <row r="11" spans="2:12" x14ac:dyDescent="0.25">
      <c r="B11" s="61" t="s">
        <v>152</v>
      </c>
      <c r="C11" s="40"/>
      <c r="D11" s="24">
        <f>-'CF Forecast'!C20</f>
        <v>8243.3959205694555</v>
      </c>
      <c r="E11" s="24">
        <f>-'CF Forecast'!D20</f>
        <v>2551.9479184113879</v>
      </c>
      <c r="F11" s="24">
        <f>-'CF Forecast'!E20</f>
        <v>2602.9868767796288</v>
      </c>
    </row>
    <row r="13" spans="2:12" x14ac:dyDescent="0.25">
      <c r="B13" s="52" t="s">
        <v>159</v>
      </c>
      <c r="D13" s="10">
        <f>D8-D10-D11</f>
        <v>910784.33780968527</v>
      </c>
      <c r="E13" s="10">
        <f t="shared" ref="E13:F13" si="4">E8-E10-E11</f>
        <v>772623.11825218319</v>
      </c>
      <c r="F13" s="10">
        <f t="shared" si="4"/>
        <v>768249.00006178569</v>
      </c>
    </row>
    <row r="14" spans="2:12" x14ac:dyDescent="0.25">
      <c r="B14" s="52" t="s">
        <v>161</v>
      </c>
      <c r="F14" s="10">
        <f>(F13*(1+1.5%))/(D16-1.5%)</f>
        <v>11139610.500895891</v>
      </c>
    </row>
    <row r="15" spans="2:12" x14ac:dyDescent="0.25">
      <c r="B15" s="52" t="s">
        <v>160</v>
      </c>
      <c r="D15" s="10">
        <f>SUM(D13:D14)</f>
        <v>910784.33780968527</v>
      </c>
      <c r="E15" s="10">
        <f t="shared" ref="E15:F15" si="5">SUM(E13:E14)</f>
        <v>772623.11825218319</v>
      </c>
      <c r="F15" s="10">
        <f t="shared" si="5"/>
        <v>11907859.500957677</v>
      </c>
    </row>
    <row r="16" spans="2:12" x14ac:dyDescent="0.25">
      <c r="B16" s="52" t="s">
        <v>167</v>
      </c>
      <c r="D16" s="64">
        <v>8.5000000000000006E-2</v>
      </c>
    </row>
    <row r="17" spans="2:5" x14ac:dyDescent="0.25">
      <c r="B17" s="52" t="s">
        <v>162</v>
      </c>
      <c r="D17" s="21">
        <f>NPV(D16,D15,E15,F15)</f>
        <v>10818501.00018608</v>
      </c>
    </row>
    <row r="18" spans="2:5" x14ac:dyDescent="0.25">
      <c r="B18" s="52" t="s">
        <v>163</v>
      </c>
      <c r="D18" s="21">
        <f>'Balance Sheet Forecast'!F24-'Balance Sheet Forecast'!D4+'Balance Sheet Forecast'!F30</f>
        <v>1991049</v>
      </c>
      <c r="E18" s="9" t="s">
        <v>166</v>
      </c>
    </row>
    <row r="19" spans="2:5" x14ac:dyDescent="0.25">
      <c r="B19" s="52" t="s">
        <v>164</v>
      </c>
      <c r="D19" s="21">
        <f>D17-D18</f>
        <v>8827452.0001860801</v>
      </c>
    </row>
    <row r="20" spans="2:5" x14ac:dyDescent="0.25">
      <c r="B20" s="52" t="s">
        <v>165</v>
      </c>
      <c r="D20" s="41">
        <f>D19/('Balance Sheet Forecast'!D30+'Balance Sheet Forecast'!D31)</f>
        <v>26.025018353040263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Historical ---&gt;</vt:lpstr>
      <vt:lpstr>Balance Sheet</vt:lpstr>
      <vt:lpstr>Income Statement</vt:lpstr>
      <vt:lpstr>Forecasts --&gt;</vt:lpstr>
      <vt:lpstr>Balance Sheet Forecast</vt:lpstr>
      <vt:lpstr>IS Forecast</vt:lpstr>
      <vt:lpstr>CF Forecast</vt:lpstr>
      <vt:lpstr>Valuation -&gt;</vt:lpstr>
      <vt:lpstr>DCF &amp;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Bechler, Alexander</dc:creator>
  <cp:lastModifiedBy>Bechler, Alexander</cp:lastModifiedBy>
  <dcterms:created xsi:type="dcterms:W3CDTF">2025-03-17T16:04:37Z</dcterms:created>
  <dcterms:modified xsi:type="dcterms:W3CDTF">2025-04-05T02:54:01Z</dcterms:modified>
</cp:coreProperties>
</file>