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 Activitives" sheetId="1" r:id="rId4"/>
    <sheet state="visible" name="Financial Model" sheetId="2" r:id="rId5"/>
    <sheet state="visible" name="Sensivity Analysis" sheetId="3" r:id="rId6"/>
  </sheets>
  <definedNames/>
  <calcPr/>
</workbook>
</file>

<file path=xl/sharedStrings.xml><?xml version="1.0" encoding="utf-8"?>
<sst xmlns="http://schemas.openxmlformats.org/spreadsheetml/2006/main" count="240" uniqueCount="192">
  <si>
    <t>Steps for creating a marketplace</t>
  </si>
  <si>
    <t>Costs</t>
  </si>
  <si>
    <t xml:space="preserve">Create and deploy an application </t>
  </si>
  <si>
    <t>Domain hosting</t>
  </si>
  <si>
    <t>Fixed</t>
  </si>
  <si>
    <t>Receive seller profiles (registration)</t>
  </si>
  <si>
    <t>Application development &amp; maintenance team</t>
  </si>
  <si>
    <t>Background check</t>
  </si>
  <si>
    <t>AR devlopment &amp; maintenance team</t>
  </si>
  <si>
    <t>Place an offer (standardized contract - terms &amp; conditions)</t>
  </si>
  <si>
    <t>Quality assurance team</t>
  </si>
  <si>
    <t>Quality product scan</t>
  </si>
  <si>
    <t>Scan products</t>
  </si>
  <si>
    <t>Legal team</t>
  </si>
  <si>
    <t>Store products in warehouse</t>
  </si>
  <si>
    <t>Marketing team</t>
  </si>
  <si>
    <t>Add product in catalogue</t>
  </si>
  <si>
    <t>Insurance cost</t>
  </si>
  <si>
    <t>Variable</t>
  </si>
  <si>
    <t>Payment (deduction of commission fee)</t>
  </si>
  <si>
    <t>Delivery team</t>
  </si>
  <si>
    <t xml:space="preserve">Warehouse operations team </t>
  </si>
  <si>
    <t>Customer cycle</t>
  </si>
  <si>
    <t xml:space="preserve">R&amp;D </t>
  </si>
  <si>
    <t>Browse catalogue</t>
  </si>
  <si>
    <t>Warehouse rent + maintenance  + bills</t>
  </si>
  <si>
    <t>Pick a product</t>
  </si>
  <si>
    <t>Office rent + maintenance + bills</t>
  </si>
  <si>
    <t>Analyze product</t>
  </si>
  <si>
    <t>Security team</t>
  </si>
  <si>
    <t>Register</t>
  </si>
  <si>
    <t>Customer support team</t>
  </si>
  <si>
    <t>Standardized contract - terms &amp; conditions</t>
  </si>
  <si>
    <t>Commisions</t>
  </si>
  <si>
    <t>Buy product</t>
  </si>
  <si>
    <t>Deliver product</t>
  </si>
  <si>
    <t>Collect payment</t>
  </si>
  <si>
    <t>Cost-Plus Model</t>
  </si>
  <si>
    <t>Assumptions</t>
  </si>
  <si>
    <t>Reference</t>
  </si>
  <si>
    <t>Year 0</t>
  </si>
  <si>
    <t>Year 1</t>
  </si>
  <si>
    <t>Year 2</t>
  </si>
  <si>
    <t>Year 3</t>
  </si>
  <si>
    <t xml:space="preserve">Year 4 </t>
  </si>
  <si>
    <t>Year 5</t>
  </si>
  <si>
    <t>Potential market size</t>
  </si>
  <si>
    <t>https://www.internetworldstats.com/asia.htm#pk</t>
  </si>
  <si>
    <t>Market Penetration</t>
  </si>
  <si>
    <t>Market penetration</t>
  </si>
  <si>
    <t>Inflation Rate</t>
  </si>
  <si>
    <t>Expected market size</t>
  </si>
  <si>
    <t>Growth in broadband users (avg)</t>
  </si>
  <si>
    <t>https://www.pta.gov.pk/en/telecom-indicators/1#broadband-subscribers</t>
  </si>
  <si>
    <t>Furniture establishments</t>
  </si>
  <si>
    <t>https://www.pbs.gov.pk/sites/default/files//tables/2.0.pdf</t>
  </si>
  <si>
    <t>Units sold per seller (avg)</t>
  </si>
  <si>
    <t>Seller penetration</t>
  </si>
  <si>
    <t>Expected seller size</t>
  </si>
  <si>
    <t>Avg. Selling Price/Unit</t>
  </si>
  <si>
    <t>Commission rate</t>
  </si>
  <si>
    <t>Total units</t>
  </si>
  <si>
    <t>Delivery rate (local)</t>
  </si>
  <si>
    <t>https://habitt.com/pages/delivery-information</t>
  </si>
  <si>
    <t>% units sold</t>
  </si>
  <si>
    <t>Cost per click</t>
  </si>
  <si>
    <t>https://sixads.net/blog/facebook-ads-cost/#:~:text=Your%20Facebook%20advertising%20costs%20will,across%20all%20industries%20is%20%241.72.</t>
  </si>
  <si>
    <t>Total units sold</t>
  </si>
  <si>
    <t>Click-through rate</t>
  </si>
  <si>
    <t>Advertisement commission</t>
  </si>
  <si>
    <t>Total sales</t>
  </si>
  <si>
    <t>Insurance premium</t>
  </si>
  <si>
    <t>Furnit'AR comission</t>
  </si>
  <si>
    <t>Background Check/Seller</t>
  </si>
  <si>
    <t>Commission revenue</t>
  </si>
  <si>
    <t>Market Spending as % of Gross Profit</t>
  </si>
  <si>
    <t xml:space="preserve">Application development </t>
  </si>
  <si>
    <t>https://jasoren.com/how-much-does-it-cost-to-build-an-augmented-reality-app-like-ikea-place/</t>
  </si>
  <si>
    <t>Delivery Rate</t>
  </si>
  <si>
    <t>Maintenance Rate</t>
  </si>
  <si>
    <t>https://www.fiercewireless.com/developer/maintaining-app-critical-to-its-overall-success#:~:text=Most%20actually%20incorporate%20a%20maintenance,That%20may%20sound%20expensive.</t>
  </si>
  <si>
    <t>Delivery charges</t>
  </si>
  <si>
    <t xml:space="preserve">Web Hosting </t>
  </si>
  <si>
    <t>https://www.hostinger.com/tutorials/how-much-does-website-hosting-cost</t>
  </si>
  <si>
    <t>Warehousing units</t>
  </si>
  <si>
    <t xml:space="preserve">Advertisement </t>
  </si>
  <si>
    <t>Leftover Warehousing Units</t>
  </si>
  <si>
    <t>Warehouse Rent/month</t>
  </si>
  <si>
    <t>https://www.olx.com.pk/items/q-warehouse-rent</t>
  </si>
  <si>
    <t>Advertisement Revenue</t>
  </si>
  <si>
    <t>Warehouse Supplies/Carts</t>
  </si>
  <si>
    <t>Total revenue</t>
  </si>
  <si>
    <t>Units sold to warehouse ratio</t>
  </si>
  <si>
    <t xml:space="preserve">Truck Cost </t>
  </si>
  <si>
    <t>https://www.pakwheels.com/used-cars/master-foton-2019-for-sale-in-karachi-5966431</t>
  </si>
  <si>
    <t>Variable Costs</t>
  </si>
  <si>
    <t>Trucks ratio to units sold</t>
  </si>
  <si>
    <t xml:space="preserve">Insurance </t>
  </si>
  <si>
    <t>Fuel per litre</t>
  </si>
  <si>
    <t>https://www.shell.com.pk/motorists/shell-fuels/shell-station-price-board.html</t>
  </si>
  <si>
    <t>Verification check</t>
  </si>
  <si>
    <t>Km per litre</t>
  </si>
  <si>
    <t>https://www.webfleet.com/en_gb/webfleet/blog/do-you-know-the-diesel-consumption-of-a-lorry-per-km/</t>
  </si>
  <si>
    <t>Gross profits</t>
  </si>
  <si>
    <t>Avg. total kilometers per truck</t>
  </si>
  <si>
    <t>http://www.ntrc.gov.pk/ntrc_studies/VehicleOperatingCost%20(VOC)forallClassesofVehicles(NTRC-332)May-2020.pdf</t>
  </si>
  <si>
    <t>Truck Maintenance</t>
  </si>
  <si>
    <t>Legal Subscription (Per Annum)</t>
  </si>
  <si>
    <t>Fixed costs</t>
  </si>
  <si>
    <t>Marketing budget</t>
  </si>
  <si>
    <t>Teams</t>
  </si>
  <si>
    <t>Average Salary</t>
  </si>
  <si>
    <t>-</t>
  </si>
  <si>
    <t>Application operations team</t>
  </si>
  <si>
    <t>Application Maintenance ( 20% )</t>
  </si>
  <si>
    <t xml:space="preserve">Operations team </t>
  </si>
  <si>
    <t>https://www.payscale.com/research/PK/Job=Operations_Manager/Salary</t>
  </si>
  <si>
    <t>Customer Support team</t>
  </si>
  <si>
    <t>https://www.payscale.com/research/PK/Job=Customer_Service_Officer/Salary</t>
  </si>
  <si>
    <t>Warehousing Units</t>
  </si>
  <si>
    <t>Finance team</t>
  </si>
  <si>
    <t>https://www.payscale.com/research/PK/Job=Finance_Officer/Salary</t>
  </si>
  <si>
    <t>No of Warehouses</t>
  </si>
  <si>
    <t xml:space="preserve">HR </t>
  </si>
  <si>
    <t>https://www.payscale.com/research/PK/Job=Human_Resources_(HR)_Manager/Salary</t>
  </si>
  <si>
    <t xml:space="preserve">Total Warehouse Rental </t>
  </si>
  <si>
    <t>https://www.payscale.com/research/PK/Job=Delivery_Driver/Salary</t>
  </si>
  <si>
    <t>https://www.payscale.com/research/PK/Job=Security_Guard/Salary</t>
  </si>
  <si>
    <t># of trucks</t>
  </si>
  <si>
    <t>Finance team growth</t>
  </si>
  <si>
    <t>Cost Of Buying Trucks</t>
  </si>
  <si>
    <t>Application team growth</t>
  </si>
  <si>
    <t>Vehicle Maintenance</t>
  </si>
  <si>
    <t>Depreciation schedule</t>
  </si>
  <si>
    <t>Customer Support ratio to units sold</t>
  </si>
  <si>
    <t>Depreciation</t>
  </si>
  <si>
    <t>Operations Team ratio to units sold</t>
  </si>
  <si>
    <t>Legal cost</t>
  </si>
  <si>
    <t>Quality Assurance team to units sold</t>
  </si>
  <si>
    <t>Total fixed costs</t>
  </si>
  <si>
    <t>Security team ratio to units sold</t>
  </si>
  <si>
    <t>HR team ratio to furniture establishments</t>
  </si>
  <si>
    <t># of PAX</t>
  </si>
  <si>
    <t>Delivery team ratio to units sold</t>
  </si>
  <si>
    <t>Initial Application operations team</t>
  </si>
  <si>
    <t>Initial Quality assurance team</t>
  </si>
  <si>
    <t>Initial Delivery team</t>
  </si>
  <si>
    <t xml:space="preserve">Initial Operations team </t>
  </si>
  <si>
    <t>Initial Security team</t>
  </si>
  <si>
    <t>Initial Finance team</t>
  </si>
  <si>
    <t>Establishments are tripled for the year 2022 ( since value from the year 2005)</t>
  </si>
  <si>
    <t>HR</t>
  </si>
  <si>
    <t>Monthly user traffic for daraz</t>
  </si>
  <si>
    <t>https://www.similarweb.com/website/daraz.pk/#overview</t>
  </si>
  <si>
    <t>Total employees</t>
  </si>
  <si>
    <t>https://www.crunchbase.com/organization/daraz-pk/technology</t>
  </si>
  <si>
    <t>Total salaries</t>
  </si>
  <si>
    <t>Inflation index</t>
  </si>
  <si>
    <t>Salaries Sub Total</t>
  </si>
  <si>
    <t>Office Rental</t>
  </si>
  <si>
    <t>Office Supplies (Stationary + Computers)</t>
  </si>
  <si>
    <t>Utility Payments (Office + Warehouse)</t>
  </si>
  <si>
    <t>Travel Expenses</t>
  </si>
  <si>
    <t>Petrol For Delivery</t>
  </si>
  <si>
    <t>Fixed overheads</t>
  </si>
  <si>
    <t>Total Costs</t>
  </si>
  <si>
    <t>Net profit/loss</t>
  </si>
  <si>
    <t>Working capital forecast</t>
  </si>
  <si>
    <t>Receivables</t>
  </si>
  <si>
    <t>Payables</t>
  </si>
  <si>
    <t>Starting Inventory</t>
  </si>
  <si>
    <t>Ending Inventory</t>
  </si>
  <si>
    <t>Net Working Capital</t>
  </si>
  <si>
    <t>Free cash flow forecast</t>
  </si>
  <si>
    <t>Net income</t>
  </si>
  <si>
    <t>Change in NWC</t>
  </si>
  <si>
    <t>CapEx</t>
  </si>
  <si>
    <t>Free cash flow</t>
  </si>
  <si>
    <t>Cost of Capital</t>
  </si>
  <si>
    <t>Discount Factor</t>
  </si>
  <si>
    <t>1.00</t>
  </si>
  <si>
    <t>PV</t>
  </si>
  <si>
    <t>NPV</t>
  </si>
  <si>
    <t>USD-PKR Exchange Rate</t>
  </si>
  <si>
    <t>NPV in USD</t>
  </si>
  <si>
    <t>Commission Rate</t>
  </si>
  <si>
    <t>Ad Commission</t>
  </si>
  <si>
    <t>Avg Selling Price</t>
  </si>
  <si>
    <t>Cost Per Click</t>
  </si>
  <si>
    <t>Click Through Rate</t>
  </si>
  <si>
    <t>Warehouse Rent</t>
  </si>
  <si>
    <t>Cost of Truck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</si>
</sst>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&quot;$&quot;#,##0.00"/>
  </numFmts>
  <fonts count="1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4285F4"/>
      <name val="Arial"/>
    </font>
    <font>
      <u/>
      <color rgb="FF1155CC"/>
      <name val="Arial"/>
    </font>
    <font>
      <color theme="1"/>
      <name val="Arial"/>
      <scheme val="minor"/>
    </font>
    <font>
      <color rgb="FF4285F4"/>
      <name val="Arial"/>
      <scheme val="minor"/>
    </font>
    <font>
      <u/>
      <color rgb="FF1155CC"/>
      <name val="Arial"/>
    </font>
    <font>
      <u/>
      <color rgb="FF1155CC"/>
    </font>
    <font>
      <u/>
      <color rgb="FF1155CC"/>
      <name val="Arial"/>
    </font>
    <font>
      <color theme="4"/>
      <name val="Arial"/>
    </font>
    <font>
      <u/>
      <color rgb="FF0000FF"/>
    </font>
    <font>
      <color theme="4"/>
      <name val="Arial"/>
      <scheme val="minor"/>
    </font>
    <font>
      <u/>
      <color rgb="FF0000FF"/>
    </font>
    <font>
      <sz val="11.0"/>
      <color rgb="FF4285F4"/>
      <name val="Calibri"/>
    </font>
    <font>
      <b/>
      <color theme="1"/>
      <name val="Arial"/>
      <scheme val="minor"/>
    </font>
    <font>
      <color rgb="FF000000"/>
      <name val="Arial"/>
    </font>
    <font>
      <sz val="11.0"/>
      <color rgb="FF000000"/>
      <name val="Arial"/>
    </font>
    <font/>
  </fonts>
  <fills count="1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5DF82"/>
        <bgColor rgb="FFD5DF82"/>
      </patternFill>
    </fill>
    <fill>
      <patternFill patternType="solid">
        <fgColor rgb="FFFEE983"/>
        <bgColor rgb="FFFEE983"/>
      </patternFill>
    </fill>
    <fill>
      <patternFill patternType="solid">
        <fgColor rgb="FFF8696B"/>
        <bgColor rgb="FFF8696B"/>
      </patternFill>
    </fill>
    <fill>
      <patternFill patternType="solid">
        <fgColor rgb="FFFCC47C"/>
        <bgColor rgb="FFFCC47C"/>
      </patternFill>
    </fill>
    <fill>
      <patternFill patternType="solid">
        <fgColor rgb="FFE3E383"/>
        <bgColor rgb="FFE3E383"/>
      </patternFill>
    </fill>
    <fill>
      <patternFill patternType="solid">
        <fgColor rgb="FFB2D580"/>
        <bgColor rgb="FFB2D580"/>
      </patternFill>
    </fill>
    <fill>
      <patternFill patternType="solid">
        <fgColor rgb="FF81C77D"/>
        <bgColor rgb="FF81C77D"/>
      </patternFill>
    </fill>
    <fill>
      <patternFill patternType="solid">
        <fgColor rgb="FFF8766D"/>
        <bgColor rgb="FFF8766D"/>
      </patternFill>
    </fill>
    <fill>
      <patternFill patternType="solid">
        <fgColor rgb="FFFDD17F"/>
        <bgColor rgb="FFFDD17F"/>
      </patternFill>
    </fill>
    <fill>
      <patternFill patternType="solid">
        <fgColor rgb="FFDCE182"/>
        <bgColor rgb="FFDCE182"/>
      </patternFill>
    </fill>
    <fill>
      <patternFill patternType="solid">
        <fgColor rgb="FFABD380"/>
        <bgColor rgb="FFABD380"/>
      </patternFill>
    </fill>
    <fill>
      <patternFill patternType="solid">
        <fgColor rgb="FF79C57D"/>
        <bgColor rgb="FF79C57D"/>
      </patternFill>
    </fill>
    <fill>
      <patternFill patternType="solid">
        <fgColor rgb="FFF98370"/>
        <bgColor rgb="FFF98370"/>
      </patternFill>
    </fill>
    <fill>
      <patternFill patternType="solid">
        <fgColor rgb="FFFEDF81"/>
        <bgColor rgb="FFFEDF81"/>
      </patternFill>
    </fill>
    <fill>
      <patternFill patternType="solid">
        <fgColor rgb="FFA3D17F"/>
        <bgColor rgb="FFA3D17F"/>
      </patternFill>
    </fill>
    <fill>
      <patternFill patternType="solid">
        <fgColor rgb="FF72C37C"/>
        <bgColor rgb="FF72C37C"/>
      </patternFill>
    </fill>
    <fill>
      <patternFill patternType="solid">
        <fgColor rgb="FFFA9172"/>
        <bgColor rgb="FFFA9172"/>
      </patternFill>
    </fill>
    <fill>
      <patternFill patternType="solid">
        <fgColor rgb="FFFFEB84"/>
        <bgColor rgb="FFFFEB84"/>
      </patternFill>
    </fill>
    <fill>
      <patternFill patternType="solid">
        <fgColor rgb="FFCDDD82"/>
        <bgColor rgb="FFCDDD82"/>
      </patternFill>
    </fill>
    <fill>
      <patternFill patternType="solid">
        <fgColor rgb="FF9CCF7F"/>
        <bgColor rgb="FF9CCF7F"/>
      </patternFill>
    </fill>
    <fill>
      <patternFill patternType="solid">
        <fgColor rgb="FF6BC17C"/>
        <bgColor rgb="FF6BC17C"/>
      </patternFill>
    </fill>
    <fill>
      <patternFill patternType="solid">
        <fgColor rgb="FFFA9E75"/>
        <bgColor rgb="FFFA9E75"/>
      </patternFill>
    </fill>
    <fill>
      <patternFill patternType="solid">
        <fgColor rgb="FFF7E984"/>
        <bgColor rgb="FFF7E984"/>
      </patternFill>
    </fill>
    <fill>
      <patternFill patternType="solid">
        <fgColor rgb="FFC6DB81"/>
        <bgColor rgb="FFC6DB81"/>
      </patternFill>
    </fill>
    <fill>
      <patternFill patternType="solid">
        <fgColor rgb="FF95CD7E"/>
        <bgColor rgb="FF95CD7E"/>
      </patternFill>
    </fill>
    <fill>
      <patternFill patternType="solid">
        <fgColor rgb="FF63BE7B"/>
        <bgColor rgb="FF63BE7B"/>
      </patternFill>
    </fill>
    <fill>
      <patternFill patternType="solid">
        <fgColor rgb="FFDEE283"/>
        <bgColor rgb="FFDEE283"/>
      </patternFill>
    </fill>
    <fill>
      <patternFill patternType="solid">
        <fgColor rgb="FFFEDC81"/>
        <bgColor rgb="FFFEDC81"/>
      </patternFill>
    </fill>
    <fill>
      <patternFill patternType="solid">
        <fgColor rgb="FFFEDB81"/>
        <bgColor rgb="FFFEDB81"/>
      </patternFill>
    </fill>
    <fill>
      <patternFill patternType="solid">
        <fgColor rgb="FFFBAA77"/>
        <bgColor rgb="FFFBAA77"/>
      </patternFill>
    </fill>
    <fill>
      <patternFill patternType="solid">
        <fgColor rgb="FFE9E583"/>
        <bgColor rgb="FFE9E583"/>
      </patternFill>
    </fill>
    <fill>
      <patternFill patternType="solid">
        <fgColor rgb="FFD2DE82"/>
        <bgColor rgb="FFD2DE82"/>
      </patternFill>
    </fill>
    <fill>
      <patternFill patternType="solid">
        <fgColor rgb="FFF8716C"/>
        <bgColor rgb="FFF8716C"/>
      </patternFill>
    </fill>
    <fill>
      <patternFill patternType="solid">
        <fgColor rgb="FFFCC37C"/>
        <bgColor rgb="FFFCC37C"/>
      </patternFill>
    </fill>
    <fill>
      <patternFill patternType="solid">
        <fgColor rgb="FFF1E784"/>
        <bgColor rgb="FFF1E784"/>
      </patternFill>
    </fill>
    <fill>
      <patternFill patternType="solid">
        <fgColor rgb="FFD4DF82"/>
        <bgColor rgb="FFD4DF82"/>
      </patternFill>
    </fill>
    <fill>
      <patternFill patternType="solid">
        <fgColor rgb="FFB8D780"/>
        <bgColor rgb="FFB8D780"/>
      </patternFill>
    </fill>
    <fill>
      <patternFill patternType="solid">
        <fgColor rgb="FFF98871"/>
        <bgColor rgb="FFF98871"/>
      </patternFill>
    </fill>
    <fill>
      <patternFill patternType="solid">
        <fgColor rgb="FFFEEA83"/>
        <bgColor rgb="FFFEEA83"/>
      </patternFill>
    </fill>
    <fill>
      <patternFill patternType="solid">
        <fgColor rgb="FFBCD881"/>
        <bgColor rgb="FFBCD881"/>
      </patternFill>
    </fill>
    <fill>
      <patternFill patternType="solid">
        <fgColor rgb="FF9ACE7F"/>
        <bgColor rgb="FF9ACE7F"/>
      </patternFill>
    </fill>
    <fill>
      <patternFill patternType="solid">
        <fgColor rgb="FFFA9B74"/>
        <bgColor rgb="FFFA9B74"/>
      </patternFill>
    </fill>
    <fill>
      <patternFill patternType="solid">
        <fgColor rgb="FFF3E884"/>
        <bgColor rgb="FFF3E884"/>
      </patternFill>
    </fill>
    <fill>
      <patternFill patternType="solid">
        <fgColor rgb="FFCCDD82"/>
        <bgColor rgb="FFCCDD82"/>
      </patternFill>
    </fill>
    <fill>
      <patternFill patternType="solid">
        <fgColor rgb="FFA4D17F"/>
        <bgColor rgb="FFA4D17F"/>
      </patternFill>
    </fill>
    <fill>
      <patternFill patternType="solid">
        <fgColor rgb="FF7CC67D"/>
        <bgColor rgb="FF7CC67D"/>
      </patternFill>
    </fill>
    <fill>
      <patternFill patternType="solid">
        <fgColor rgb="FFFBA075"/>
        <bgColor rgb="FFFBA075"/>
      </patternFill>
    </fill>
    <fill>
      <patternFill patternType="solid">
        <fgColor rgb="FFECE683"/>
        <bgColor rgb="FFECE683"/>
      </patternFill>
    </fill>
    <fill>
      <patternFill patternType="solid">
        <fgColor rgb="FFBED981"/>
        <bgColor rgb="FFBED981"/>
      </patternFill>
    </fill>
    <fill>
      <patternFill patternType="solid">
        <fgColor rgb="FF91CC7E"/>
        <bgColor rgb="FF91CC7E"/>
      </patternFill>
    </fill>
    <fill>
      <patternFill patternType="solid">
        <fgColor rgb="FFD9E082"/>
        <bgColor rgb="FFD9E082"/>
      </patternFill>
    </fill>
    <fill>
      <patternFill patternType="solid">
        <fgColor rgb="FFFBAD78"/>
        <bgColor rgb="FFFBAD78"/>
      </patternFill>
    </fill>
    <fill>
      <patternFill patternType="solid">
        <fgColor rgb="FFFCBD7B"/>
        <bgColor rgb="FFFCBD7B"/>
      </patternFill>
    </fill>
    <fill>
      <patternFill patternType="solid">
        <fgColor rgb="FFFDCC7E"/>
        <bgColor rgb="FFFDCC7E"/>
      </patternFill>
    </fill>
    <fill>
      <patternFill patternType="solid">
        <fgColor rgb="FFFDCB7D"/>
        <bgColor rgb="FFFDCB7D"/>
      </patternFill>
    </fill>
    <fill>
      <patternFill patternType="solid">
        <fgColor rgb="FFFEDB80"/>
        <bgColor rgb="FFFEDB80"/>
      </patternFill>
    </fill>
    <fill>
      <patternFill patternType="solid">
        <fgColor rgb="FFD8E082"/>
        <bgColor rgb="FFD8E082"/>
      </patternFill>
    </fill>
    <fill>
      <patternFill patternType="solid">
        <fgColor rgb="FFEDE683"/>
        <bgColor rgb="FFEDE683"/>
      </patternFill>
    </fill>
    <fill>
      <patternFill patternType="solid">
        <fgColor rgb="FFC5DB81"/>
        <bgColor rgb="FFC5DB81"/>
      </patternFill>
    </fill>
    <fill>
      <patternFill patternType="solid">
        <fgColor rgb="FFB1D580"/>
        <bgColor rgb="FFB1D580"/>
      </patternFill>
    </fill>
    <fill>
      <patternFill patternType="solid">
        <fgColor rgb="FFDAE182"/>
        <bgColor rgb="FFDAE182"/>
      </patternFill>
    </fill>
    <fill>
      <patternFill patternType="solid">
        <fgColor rgb="FF9ECF7F"/>
        <bgColor rgb="FF9ECF7F"/>
      </patternFill>
    </fill>
    <fill>
      <patternFill patternType="solid">
        <fgColor rgb="FF8ACA7E"/>
        <bgColor rgb="FF8ACA7E"/>
      </patternFill>
    </fill>
    <fill>
      <patternFill patternType="solid">
        <fgColor rgb="FFB3D680"/>
        <bgColor rgb="FFB3D680"/>
      </patternFill>
    </fill>
    <fill>
      <patternFill patternType="solid">
        <fgColor rgb="FF9FD07F"/>
        <bgColor rgb="FF9FD07F"/>
      </patternFill>
    </fill>
    <fill>
      <patternFill patternType="solid">
        <fgColor rgb="FF8BCA7E"/>
        <bgColor rgb="FF8BCA7E"/>
      </patternFill>
    </fill>
    <fill>
      <patternFill patternType="solid">
        <fgColor rgb="FF77C47D"/>
        <bgColor rgb="FF77C47D"/>
      </patternFill>
    </fill>
    <fill>
      <patternFill patternType="solid">
        <fgColor rgb="FFDFE283"/>
        <bgColor rgb="FFDFE283"/>
      </patternFill>
    </fill>
    <fill>
      <patternFill patternType="solid">
        <fgColor rgb="FFF8726C"/>
        <bgColor rgb="FFF8726C"/>
      </patternFill>
    </fill>
    <fill>
      <patternFill patternType="solid">
        <fgColor rgb="FFFAA075"/>
        <bgColor rgb="FFFAA075"/>
      </patternFill>
    </fill>
    <fill>
      <patternFill patternType="solid">
        <fgColor rgb="FFFDCE7E"/>
        <bgColor rgb="FFFDCE7E"/>
      </patternFill>
    </fill>
    <fill>
      <patternFill patternType="solid">
        <fgColor rgb="FFF9EA84"/>
        <bgColor rgb="FFF9EA84"/>
      </patternFill>
    </fill>
    <fill>
      <patternFill patternType="solid">
        <fgColor rgb="FFE8E583"/>
        <bgColor rgb="FFE8E583"/>
      </patternFill>
    </fill>
    <fill>
      <patternFill patternType="solid">
        <fgColor rgb="FFFA8E72"/>
        <bgColor rgb="FFFA8E72"/>
      </patternFill>
    </fill>
    <fill>
      <patternFill patternType="solid">
        <fgColor rgb="FFF5E884"/>
        <bgColor rgb="FFF5E884"/>
      </patternFill>
    </fill>
    <fill>
      <patternFill patternType="solid">
        <fgColor rgb="FFC7DB81"/>
        <bgColor rgb="FFC7DB81"/>
      </patternFill>
    </fill>
    <fill>
      <patternFill patternType="solid">
        <fgColor rgb="FFFBA977"/>
        <bgColor rgb="FFFBA977"/>
      </patternFill>
    </fill>
    <fill>
      <patternFill patternType="solid">
        <fgColor rgb="FFFCEA84"/>
        <bgColor rgb="FFFCEA84"/>
      </patternFill>
    </fill>
    <fill>
      <patternFill patternType="solid">
        <fgColor rgb="FFC2DA81"/>
        <bgColor rgb="FFC2DA81"/>
      </patternFill>
    </fill>
    <fill>
      <patternFill patternType="solid">
        <fgColor rgb="FFA6D27F"/>
        <bgColor rgb="FFA6D27F"/>
      </patternFill>
    </fill>
    <fill>
      <patternFill patternType="solid">
        <fgColor rgb="FFEBE683"/>
        <bgColor rgb="FFEBE683"/>
      </patternFill>
    </fill>
    <fill>
      <patternFill patternType="solid">
        <fgColor rgb="FFC9DC81"/>
        <bgColor rgb="FFC9DC81"/>
      </patternFill>
    </fill>
    <fill>
      <patternFill patternType="solid">
        <fgColor rgb="FFA7D27F"/>
        <bgColor rgb="FFA7D27F"/>
      </patternFill>
    </fill>
    <fill>
      <patternFill patternType="solid">
        <fgColor rgb="FF85C87D"/>
        <bgColor rgb="FF85C87D"/>
      </patternFill>
    </fill>
    <fill>
      <patternFill patternType="solid">
        <fgColor rgb="FFFEE081"/>
        <bgColor rgb="FFFEE081"/>
      </patternFill>
    </fill>
    <fill>
      <patternFill patternType="solid">
        <fgColor rgb="FF8CCA7E"/>
        <bgColor rgb="FF8CCA7E"/>
      </patternFill>
    </fill>
    <fill>
      <patternFill patternType="solid">
        <fgColor rgb="FFCBDC81"/>
        <bgColor rgb="FFCBDC81"/>
      </patternFill>
    </fill>
    <fill>
      <patternFill patternType="solid">
        <fgColor rgb="FFF86A6B"/>
        <bgColor rgb="FFF86A6B"/>
      </patternFill>
    </fill>
    <fill>
      <patternFill patternType="solid">
        <fgColor rgb="FFF86B6B"/>
        <bgColor rgb="FFF86B6B"/>
      </patternFill>
    </fill>
    <fill>
      <patternFill patternType="solid">
        <fgColor rgb="FF66BF7C"/>
        <bgColor rgb="FF66BF7C"/>
      </patternFill>
    </fill>
    <fill>
      <patternFill patternType="solid">
        <fgColor rgb="FF6CC17C"/>
        <bgColor rgb="FF6CC17C"/>
      </patternFill>
    </fill>
    <fill>
      <patternFill patternType="solid">
        <fgColor rgb="FF6EC27C"/>
        <bgColor rgb="FF6EC27C"/>
      </patternFill>
    </fill>
    <fill>
      <patternFill patternType="solid">
        <fgColor rgb="FF71C27C"/>
        <bgColor rgb="FF71C27C"/>
      </patternFill>
    </fill>
    <fill>
      <patternFill patternType="solid">
        <fgColor rgb="FFF8756D"/>
        <bgColor rgb="FFF8756D"/>
      </patternFill>
    </fill>
    <fill>
      <patternFill patternType="solid">
        <fgColor rgb="FF96CD7E"/>
        <bgColor rgb="FF96CD7E"/>
      </patternFill>
    </fill>
    <fill>
      <patternFill patternType="solid">
        <fgColor rgb="FF98CE7F"/>
        <bgColor rgb="FF98CE7F"/>
      </patternFill>
    </fill>
    <fill>
      <patternFill patternType="solid">
        <fgColor rgb="FFA1D07F"/>
        <bgColor rgb="FFA1D07F"/>
      </patternFill>
    </fill>
    <fill>
      <patternFill patternType="solid">
        <fgColor rgb="FFF8796E"/>
        <bgColor rgb="FFF8796E"/>
      </patternFill>
    </fill>
    <fill>
      <patternFill patternType="solid">
        <fgColor rgb="FFC8DB81"/>
        <bgColor rgb="FFC8DB81"/>
      </patternFill>
    </fill>
    <fill>
      <patternFill patternType="solid">
        <fgColor rgb="FFD0DE82"/>
        <bgColor rgb="FFD0DE82"/>
      </patternFill>
    </fill>
    <fill>
      <patternFill patternType="solid">
        <fgColor rgb="FFD3DF82"/>
        <bgColor rgb="FFD3DF82"/>
      </patternFill>
    </fill>
    <fill>
      <patternFill patternType="solid">
        <fgColor rgb="FFF97E6F"/>
        <bgColor rgb="FFF97E6F"/>
      </patternFill>
    </fill>
    <fill>
      <patternFill patternType="solid">
        <fgColor rgb="FFFAEA84"/>
        <bgColor rgb="FFFAEA84"/>
      </patternFill>
    </fill>
    <fill>
      <patternFill patternType="solid">
        <fgColor rgb="FFFDEB84"/>
        <bgColor rgb="FFFDEB84"/>
      </patternFill>
    </fill>
    <fill>
      <patternFill patternType="solid">
        <fgColor rgb="FFFEE883"/>
        <bgColor rgb="FFFEE883"/>
      </patternFill>
    </fill>
    <fill>
      <patternFill patternType="solid">
        <fgColor rgb="FFFEE683"/>
        <bgColor rgb="FFFEE683"/>
      </patternFill>
    </fill>
    <fill>
      <patternFill patternType="solid">
        <fgColor rgb="FFFEE482"/>
        <bgColor rgb="FFFEE482"/>
      </patternFill>
    </fill>
    <fill>
      <patternFill patternType="solid">
        <fgColor rgb="FFF9826F"/>
        <bgColor rgb="FFF9826F"/>
      </patternFill>
    </fill>
    <fill>
      <patternFill patternType="solid">
        <fgColor rgb="FFFDC87D"/>
        <bgColor rgb="FFFDC87D"/>
      </patternFill>
    </fill>
    <fill>
      <patternFill patternType="solid">
        <fgColor rgb="FFFDC67C"/>
        <bgColor rgb="FFFDC67C"/>
      </patternFill>
    </fill>
    <fill>
      <patternFill patternType="solid">
        <fgColor rgb="FFFCC17C"/>
        <bgColor rgb="FFFCC17C"/>
      </patternFill>
    </fill>
    <fill>
      <patternFill patternType="solid">
        <fgColor rgb="FFFCBF7B"/>
        <bgColor rgb="FFFCBF7B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4" numFmtId="0" xfId="0" applyAlignment="1" applyBorder="1" applyFont="1">
      <alignment readingOrder="0" shrinkToFit="0" vertical="bottom" wrapText="0"/>
    </xf>
    <xf borderId="1" fillId="0" fontId="2" numFmtId="3" xfId="0" applyAlignment="1" applyBorder="1" applyFont="1" applyNumberFormat="1">
      <alignment horizontal="right" vertical="bottom"/>
    </xf>
    <xf borderId="0" fillId="0" fontId="5" numFmtId="0" xfId="0" applyAlignment="1" applyFont="1">
      <alignment readingOrder="0"/>
    </xf>
    <xf borderId="0" fillId="0" fontId="6" numFmtId="10" xfId="0" applyAlignment="1" applyFont="1" applyNumberFormat="1">
      <alignment readingOrder="0"/>
    </xf>
    <xf borderId="1" fillId="0" fontId="3" numFmtId="10" xfId="0" applyAlignment="1" applyBorder="1" applyFont="1" applyNumberFormat="1">
      <alignment horizontal="right" readingOrder="0" vertical="bottom"/>
    </xf>
    <xf borderId="1" fillId="0" fontId="3" numFmtId="9" xfId="0" applyAlignment="1" applyBorder="1" applyFont="1" applyNumberFormat="1">
      <alignment horizontal="right" vertical="bottom"/>
    </xf>
    <xf borderId="1" fillId="0" fontId="3" numFmtId="10" xfId="0" applyAlignment="1" applyBorder="1" applyFont="1" applyNumberFormat="1">
      <alignment horizontal="right" vertical="bottom"/>
    </xf>
    <xf borderId="1" fillId="2" fontId="7" numFmtId="0" xfId="0" applyAlignment="1" applyBorder="1" applyFill="1" applyFont="1">
      <alignment shrinkToFit="0" vertical="bottom" wrapText="0"/>
    </xf>
    <xf borderId="1" fillId="0" fontId="2" numFmtId="10" xfId="0" applyAlignment="1" applyBorder="1" applyFont="1" applyNumberFormat="1">
      <alignment vertical="bottom"/>
    </xf>
    <xf borderId="1" fillId="0" fontId="3" numFmtId="3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1" fillId="0" fontId="5" numFmtId="0" xfId="0" applyBorder="1" applyFont="1"/>
    <xf borderId="1" fillId="0" fontId="3" numFmtId="0" xfId="0" applyAlignment="1" applyBorder="1" applyFont="1">
      <alignment horizontal="right" readingOrder="0" vertical="bottom"/>
    </xf>
    <xf borderId="1" fillId="0" fontId="3" numFmtId="9" xfId="0" applyAlignment="1" applyBorder="1" applyFont="1" applyNumberFormat="1">
      <alignment horizontal="right" readingOrder="0" vertical="bottom"/>
    </xf>
    <xf borderId="1" fillId="0" fontId="2" numFmtId="0" xfId="0" applyAlignment="1" applyBorder="1" applyFont="1">
      <alignment horizontal="right" vertical="bottom"/>
    </xf>
    <xf borderId="1" fillId="0" fontId="3" numFmtId="4" xfId="0" applyAlignment="1" applyBorder="1" applyFont="1" applyNumberFormat="1">
      <alignment horizontal="right" readingOrder="0" vertical="bottom"/>
    </xf>
    <xf borderId="1" fillId="2" fontId="2" numFmtId="0" xfId="0" applyAlignment="1" applyBorder="1" applyFont="1">
      <alignment vertical="bottom"/>
    </xf>
    <xf borderId="1" fillId="0" fontId="3" numFmtId="4" xfId="0" applyAlignment="1" applyBorder="1" applyFont="1" applyNumberFormat="1">
      <alignment horizontal="right" vertical="bottom"/>
    </xf>
    <xf borderId="1" fillId="0" fontId="8" numFmtId="0" xfId="0" applyAlignment="1" applyBorder="1" applyFont="1">
      <alignment readingOrder="0"/>
    </xf>
    <xf borderId="1" fillId="2" fontId="9" numFmtId="0" xfId="0" applyAlignment="1" applyBorder="1" applyFont="1">
      <alignment readingOrder="0" shrinkToFit="0" vertical="bottom" wrapText="0"/>
    </xf>
    <xf borderId="1" fillId="0" fontId="10" numFmtId="4" xfId="0" applyAlignment="1" applyBorder="1" applyFont="1" applyNumberFormat="1">
      <alignment horizontal="right" vertical="bottom"/>
    </xf>
    <xf borderId="1" fillId="0" fontId="2" numFmtId="4" xfId="0" applyAlignment="1" applyBorder="1" applyFont="1" applyNumberFormat="1">
      <alignment horizontal="right" vertical="bottom"/>
    </xf>
    <xf borderId="1" fillId="0" fontId="3" numFmtId="3" xfId="0" applyAlignment="1" applyBorder="1" applyFont="1" applyNumberFormat="1">
      <alignment horizontal="right" readingOrder="0" vertical="bottom"/>
    </xf>
    <xf borderId="1" fillId="3" fontId="1" numFmtId="4" xfId="0" applyAlignment="1" applyBorder="1" applyFill="1" applyFont="1" applyNumberFormat="1">
      <alignment horizontal="right" vertical="bottom"/>
    </xf>
    <xf borderId="1" fillId="0" fontId="1" numFmtId="4" xfId="0" applyAlignment="1" applyBorder="1" applyFont="1" applyNumberFormat="1">
      <alignment horizontal="right" vertical="bottom"/>
    </xf>
    <xf borderId="1" fillId="0" fontId="2" numFmtId="4" xfId="0" applyAlignment="1" applyBorder="1" applyFont="1" applyNumberFormat="1">
      <alignment vertical="bottom"/>
    </xf>
    <xf borderId="1" fillId="0" fontId="11" numFmtId="0" xfId="0" applyAlignment="1" applyBorder="1" applyFont="1">
      <alignment readingOrder="0"/>
    </xf>
    <xf borderId="1" fillId="0" fontId="10" numFmtId="10" xfId="0" applyAlignment="1" applyBorder="1" applyFont="1" applyNumberFormat="1">
      <alignment readingOrder="0" vertical="bottom"/>
    </xf>
    <xf borderId="1" fillId="0" fontId="3" numFmtId="9" xfId="0" applyAlignment="1" applyBorder="1" applyFont="1" applyNumberFormat="1">
      <alignment readingOrder="0" vertical="bottom"/>
    </xf>
    <xf borderId="1" fillId="2" fontId="3" numFmtId="10" xfId="0" applyAlignment="1" applyBorder="1" applyFont="1" applyNumberFormat="1">
      <alignment horizontal="right" vertical="bottom"/>
    </xf>
    <xf borderId="1" fillId="0" fontId="3" numFmtId="164" xfId="0" applyAlignment="1" applyBorder="1" applyFont="1" applyNumberFormat="1">
      <alignment horizontal="right" vertical="bottom"/>
    </xf>
    <xf borderId="1" fillId="2" fontId="1" numFmtId="0" xfId="0" applyAlignment="1" applyBorder="1" applyFont="1">
      <alignment vertical="bottom"/>
    </xf>
    <xf borderId="1" fillId="2" fontId="1" numFmtId="4" xfId="0" applyAlignment="1" applyBorder="1" applyFont="1" applyNumberFormat="1">
      <alignment horizontal="right" vertical="bottom"/>
    </xf>
    <xf borderId="1" fillId="4" fontId="1" numFmtId="0" xfId="0" applyAlignment="1" applyBorder="1" applyFill="1" applyFont="1">
      <alignment vertical="bottom"/>
    </xf>
    <xf borderId="1" fillId="4" fontId="1" numFmtId="4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readingOrder="0"/>
    </xf>
    <xf borderId="1" fillId="0" fontId="12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right" readingOrder="0" vertical="bottom"/>
    </xf>
    <xf borderId="1" fillId="0" fontId="1" numFmtId="164" xfId="0" applyAlignment="1" applyBorder="1" applyFont="1" applyNumberFormat="1">
      <alignment shrinkToFit="0" vertical="bottom" wrapText="0"/>
    </xf>
    <xf borderId="1" fillId="2" fontId="3" numFmtId="4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readingOrder="0" vertical="bottom"/>
    </xf>
    <xf borderId="1" fillId="0" fontId="10" numFmtId="0" xfId="0" applyAlignment="1" applyBorder="1" applyFon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0" fontId="1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1" fillId="0" fontId="2" numFmtId="4" xfId="0" applyAlignment="1" applyBorder="1" applyFont="1" applyNumberFormat="1">
      <alignment horizontal="right" readingOrder="0" vertical="bottom"/>
    </xf>
    <xf borderId="0" fillId="0" fontId="5" numFmtId="4" xfId="0" applyFont="1" applyNumberFormat="1"/>
    <xf borderId="0" fillId="0" fontId="5" numFmtId="0" xfId="0" applyFont="1"/>
    <xf borderId="1" fillId="0" fontId="2" numFmtId="4" xfId="0" applyAlignment="1" applyBorder="1" applyFont="1" applyNumberFormat="1">
      <alignment readingOrder="0" vertical="bottom"/>
    </xf>
    <xf borderId="1" fillId="0" fontId="14" numFmtId="49" xfId="0" applyAlignment="1" applyBorder="1" applyFont="1" applyNumberFormat="1">
      <alignment horizontal="right" vertical="bottom"/>
    </xf>
    <xf borderId="1" fillId="0" fontId="14" numFmtId="0" xfId="0" applyAlignment="1" applyBorder="1" applyFont="1">
      <alignment horizontal="right" vertical="bottom"/>
    </xf>
    <xf borderId="1" fillId="0" fontId="15" numFmtId="0" xfId="0" applyAlignment="1" applyBorder="1" applyFont="1">
      <alignment readingOrder="0"/>
    </xf>
    <xf borderId="1" fillId="4" fontId="1" numFmtId="0" xfId="0" applyAlignment="1" applyBorder="1" applyFont="1">
      <alignment readingOrder="0" vertical="bottom"/>
    </xf>
    <xf borderId="1" fillId="4" fontId="1" numFmtId="165" xfId="0" applyAlignment="1" applyBorder="1" applyFont="1" applyNumberFormat="1">
      <alignment vertical="bottom"/>
    </xf>
    <xf borderId="0" fillId="3" fontId="5" numFmtId="0" xfId="0" applyFont="1"/>
    <xf borderId="0" fillId="3" fontId="16" numFmtId="0" xfId="0" applyAlignment="1" applyFont="1">
      <alignment shrinkToFit="0" vertical="bottom" wrapText="0"/>
    </xf>
    <xf borderId="0" fillId="3" fontId="16" numFmtId="4" xfId="0" applyAlignment="1" applyFont="1" applyNumberFormat="1">
      <alignment horizontal="right" readingOrder="0" shrinkToFit="0" vertical="bottom" wrapText="0"/>
    </xf>
    <xf borderId="0" fillId="3" fontId="16" numFmtId="3" xfId="0" applyAlignment="1" applyFont="1" applyNumberFormat="1">
      <alignment horizontal="right" readingOrder="0" shrinkToFit="0" vertical="bottom" wrapText="0"/>
    </xf>
    <xf borderId="0" fillId="3" fontId="17" numFmtId="0" xfId="0" applyAlignment="1" applyFont="1">
      <alignment horizontal="center" readingOrder="0" shrinkToFit="0" vertical="bottom" wrapText="0"/>
    </xf>
    <xf borderId="0" fillId="3" fontId="16" numFmtId="0" xfId="0" applyAlignment="1" applyFont="1">
      <alignment horizontal="right" readingOrder="0" shrinkToFit="0" vertical="bottom" wrapText="0"/>
    </xf>
    <xf borderId="0" fillId="3" fontId="2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1" numFmtId="4" xfId="0" applyAlignment="1" applyFont="1" applyNumberFormat="1">
      <alignment horizontal="right" readingOrder="0" vertical="bottom"/>
    </xf>
    <xf borderId="0" fillId="0" fontId="5" numFmtId="3" xfId="0" applyAlignment="1" applyFont="1" applyNumberFormat="1">
      <alignment readingOrder="0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horizontal="center" readingOrder="0" shrinkToFit="0" vertical="bottom" wrapText="0"/>
    </xf>
    <xf borderId="1" fillId="5" fontId="16" numFmtId="4" xfId="0" applyAlignment="1" applyBorder="1" applyFill="1" applyFont="1" applyNumberFormat="1">
      <alignment horizontal="right" readingOrder="0" shrinkToFit="0" vertical="bottom" wrapText="0"/>
    </xf>
    <xf borderId="1" fillId="6" fontId="16" numFmtId="9" xfId="0" applyAlignment="1" applyBorder="1" applyFill="1" applyFont="1" applyNumberFormat="1">
      <alignment horizontal="right" readingOrder="0" shrinkToFit="0" vertical="bottom" wrapText="0"/>
    </xf>
    <xf borderId="1" fillId="7" fontId="16" numFmtId="0" xfId="0" applyAlignment="1" applyBorder="1" applyFill="1" applyFont="1">
      <alignment horizontal="right" readingOrder="0" shrinkToFit="0" vertical="bottom" wrapText="0"/>
    </xf>
    <xf borderId="1" fillId="8" fontId="16" numFmtId="0" xfId="0" applyAlignment="1" applyBorder="1" applyFill="1" applyFont="1">
      <alignment horizontal="right" readingOrder="0" shrinkToFit="0" vertical="bottom" wrapText="0"/>
    </xf>
    <xf borderId="1" fillId="9" fontId="16" numFmtId="0" xfId="0" applyAlignment="1" applyBorder="1" applyFill="1" applyFont="1">
      <alignment horizontal="right" readingOrder="0" shrinkToFit="0" vertical="bottom" wrapText="0"/>
    </xf>
    <xf borderId="1" fillId="10" fontId="16" numFmtId="0" xfId="0" applyAlignment="1" applyBorder="1" applyFill="1" applyFont="1">
      <alignment horizontal="right" readingOrder="0" shrinkToFit="0" vertical="bottom" wrapText="0"/>
    </xf>
    <xf borderId="1" fillId="11" fontId="16" numFmtId="0" xfId="0" applyAlignment="1" applyBorder="1" applyFill="1" applyFont="1">
      <alignment horizontal="right" readingOrder="0" shrinkToFit="0" vertical="bottom" wrapText="0"/>
    </xf>
    <xf borderId="1" fillId="12" fontId="16" numFmtId="0" xfId="0" applyAlignment="1" applyBorder="1" applyFill="1" applyFont="1">
      <alignment horizontal="right" readingOrder="0" shrinkToFit="0" vertical="bottom" wrapText="0"/>
    </xf>
    <xf borderId="1" fillId="13" fontId="16" numFmtId="0" xfId="0" applyAlignment="1" applyBorder="1" applyFill="1" applyFont="1">
      <alignment horizontal="right" readingOrder="0" shrinkToFit="0" vertical="bottom" wrapText="0"/>
    </xf>
    <xf borderId="1" fillId="14" fontId="16" numFmtId="0" xfId="0" applyAlignment="1" applyBorder="1" applyFill="1" applyFont="1">
      <alignment horizontal="right" readingOrder="0" shrinkToFit="0" vertical="bottom" wrapText="0"/>
    </xf>
    <xf borderId="1" fillId="15" fontId="16" numFmtId="0" xfId="0" applyAlignment="1" applyBorder="1" applyFill="1" applyFont="1">
      <alignment horizontal="right" readingOrder="0" shrinkToFit="0" vertical="bottom" wrapText="0"/>
    </xf>
    <xf borderId="1" fillId="16" fontId="16" numFmtId="0" xfId="0" applyAlignment="1" applyBorder="1" applyFill="1" applyFont="1">
      <alignment horizontal="right" readingOrder="0" shrinkToFit="0" vertical="bottom" wrapText="0"/>
    </xf>
    <xf borderId="1" fillId="17" fontId="16" numFmtId="0" xfId="0" applyAlignment="1" applyBorder="1" applyFill="1" applyFont="1">
      <alignment horizontal="right" readingOrder="0" shrinkToFit="0" vertical="bottom" wrapText="0"/>
    </xf>
    <xf borderId="1" fillId="18" fontId="16" numFmtId="0" xfId="0" applyAlignment="1" applyBorder="1" applyFill="1" applyFont="1">
      <alignment horizontal="right" readingOrder="0" shrinkToFit="0" vertical="bottom" wrapText="0"/>
    </xf>
    <xf borderId="1" fillId="5" fontId="16" numFmtId="0" xfId="0" applyAlignment="1" applyBorder="1" applyFont="1">
      <alignment horizontal="right" readingOrder="0" shrinkToFit="0" vertical="bottom" wrapText="0"/>
    </xf>
    <xf borderId="1" fillId="19" fontId="16" numFmtId="0" xfId="0" applyAlignment="1" applyBorder="1" applyFill="1" applyFont="1">
      <alignment horizontal="right" readingOrder="0" shrinkToFit="0" vertical="bottom" wrapText="0"/>
    </xf>
    <xf borderId="1" fillId="20" fontId="16" numFmtId="0" xfId="0" applyAlignment="1" applyBorder="1" applyFill="1" applyFont="1">
      <alignment horizontal="right" readingOrder="0" shrinkToFit="0" vertical="bottom" wrapText="0"/>
    </xf>
    <xf borderId="1" fillId="21" fontId="16" numFmtId="0" xfId="0" applyAlignment="1" applyBorder="1" applyFill="1" applyFont="1">
      <alignment horizontal="right" readingOrder="0" shrinkToFit="0" vertical="bottom" wrapText="0"/>
    </xf>
    <xf borderId="1" fillId="22" fontId="16" numFmtId="0" xfId="0" applyAlignment="1" applyBorder="1" applyFill="1" applyFont="1">
      <alignment horizontal="right" readingOrder="0" shrinkToFit="0" vertical="bottom" wrapText="0"/>
    </xf>
    <xf borderId="1" fillId="23" fontId="16" numFmtId="0" xfId="0" applyAlignment="1" applyBorder="1" applyFill="1" applyFont="1">
      <alignment horizontal="right" readingOrder="0" shrinkToFit="0" vertical="bottom" wrapText="0"/>
    </xf>
    <xf borderId="1" fillId="24" fontId="16" numFmtId="0" xfId="0" applyAlignment="1" applyBorder="1" applyFill="1" applyFont="1">
      <alignment horizontal="right" readingOrder="0" shrinkToFit="0" vertical="bottom" wrapText="0"/>
    </xf>
    <xf borderId="1" fillId="25" fontId="16" numFmtId="0" xfId="0" applyAlignment="1" applyBorder="1" applyFill="1" applyFont="1">
      <alignment horizontal="right" readingOrder="0" shrinkToFit="0" vertical="bottom" wrapText="0"/>
    </xf>
    <xf borderId="1" fillId="26" fontId="16" numFmtId="0" xfId="0" applyAlignment="1" applyBorder="1" applyFill="1" applyFont="1">
      <alignment horizontal="right" readingOrder="0" shrinkToFit="0" vertical="bottom" wrapText="0"/>
    </xf>
    <xf borderId="1" fillId="27" fontId="16" numFmtId="0" xfId="0" applyAlignment="1" applyBorder="1" applyFill="1" applyFont="1">
      <alignment horizontal="right" readingOrder="0" shrinkToFit="0" vertical="bottom" wrapText="0"/>
    </xf>
    <xf borderId="1" fillId="28" fontId="16" numFmtId="0" xfId="0" applyAlignment="1" applyBorder="1" applyFill="1" applyFont="1">
      <alignment horizontal="right" readingOrder="0" shrinkToFit="0" vertical="bottom" wrapText="0"/>
    </xf>
    <xf borderId="1" fillId="29" fontId="16" numFmtId="0" xfId="0" applyAlignment="1" applyBorder="1" applyFill="1" applyFont="1">
      <alignment horizontal="right" readingOrder="0" shrinkToFit="0" vertical="bottom" wrapText="0"/>
    </xf>
    <xf borderId="1" fillId="30" fontId="16" numFmtId="0" xfId="0" applyAlignment="1" applyBorder="1" applyFill="1" applyFont="1">
      <alignment horizontal="right" readingOrder="0" shrinkToFit="0" vertical="bottom" wrapText="0"/>
    </xf>
    <xf borderId="1" fillId="31" fontId="16" numFmtId="4" xfId="0" applyAlignment="1" applyBorder="1" applyFill="1" applyFont="1" applyNumberFormat="1">
      <alignment horizontal="right" readingOrder="0" shrinkToFit="0" vertical="bottom" wrapText="0"/>
    </xf>
    <xf borderId="1" fillId="32" fontId="16" numFmtId="3" xfId="0" applyAlignment="1" applyBorder="1" applyFill="1" applyFont="1" applyNumberFormat="1">
      <alignment horizontal="right" readingOrder="0" shrinkToFit="0" vertical="bottom" wrapText="0"/>
    </xf>
    <xf borderId="1" fillId="33" fontId="16" numFmtId="0" xfId="0" applyAlignment="1" applyBorder="1" applyFill="1" applyFont="1">
      <alignment horizontal="right" readingOrder="0" shrinkToFit="0" vertical="bottom" wrapText="0"/>
    </xf>
    <xf borderId="1" fillId="34" fontId="16" numFmtId="0" xfId="0" applyAlignment="1" applyBorder="1" applyFill="1" applyFont="1">
      <alignment horizontal="right" readingOrder="0" shrinkToFit="0" vertical="bottom" wrapText="0"/>
    </xf>
    <xf borderId="1" fillId="35" fontId="16" numFmtId="0" xfId="0" applyAlignment="1" applyBorder="1" applyFill="1" applyFont="1">
      <alignment horizontal="right" readingOrder="0" shrinkToFit="0" vertical="bottom" wrapText="0"/>
    </xf>
    <xf borderId="1" fillId="36" fontId="16" numFmtId="0" xfId="0" applyAlignment="1" applyBorder="1" applyFill="1" applyFont="1">
      <alignment horizontal="right" readingOrder="0" shrinkToFit="0" vertical="bottom" wrapText="0"/>
    </xf>
    <xf borderId="1" fillId="37" fontId="16" numFmtId="0" xfId="0" applyAlignment="1" applyBorder="1" applyFill="1" applyFont="1">
      <alignment horizontal="right" readingOrder="0" shrinkToFit="0" vertical="bottom" wrapText="0"/>
    </xf>
    <xf borderId="1" fillId="38" fontId="16" numFmtId="0" xfId="0" applyAlignment="1" applyBorder="1" applyFill="1" applyFont="1">
      <alignment horizontal="right" readingOrder="0" shrinkToFit="0" vertical="bottom" wrapText="0"/>
    </xf>
    <xf borderId="1" fillId="39" fontId="16" numFmtId="0" xfId="0" applyAlignment="1" applyBorder="1" applyFill="1" applyFont="1">
      <alignment horizontal="right" readingOrder="0" shrinkToFit="0" vertical="bottom" wrapText="0"/>
    </xf>
    <xf borderId="1" fillId="40" fontId="16" numFmtId="0" xfId="0" applyAlignment="1" applyBorder="1" applyFill="1" applyFont="1">
      <alignment horizontal="right" readingOrder="0" shrinkToFit="0" vertical="bottom" wrapText="0"/>
    </xf>
    <xf borderId="1" fillId="41" fontId="16" numFmtId="0" xfId="0" applyAlignment="1" applyBorder="1" applyFill="1" applyFont="1">
      <alignment horizontal="right" readingOrder="0" shrinkToFit="0" vertical="bottom" wrapText="0"/>
    </xf>
    <xf borderId="1" fillId="33" fontId="16" numFmtId="0" xfId="0" applyAlignment="1" applyBorder="1" applyFont="1">
      <alignment horizontal="right" readingOrder="0" shrinkToFit="0" vertical="bottom" wrapText="0"/>
    </xf>
    <xf borderId="1" fillId="42" fontId="16" numFmtId="0" xfId="0" applyAlignment="1" applyBorder="1" applyFill="1" applyFont="1">
      <alignment horizontal="right" readingOrder="0" shrinkToFit="0" vertical="bottom" wrapText="0"/>
    </xf>
    <xf borderId="1" fillId="43" fontId="16" numFmtId="0" xfId="0" applyAlignment="1" applyBorder="1" applyFill="1" applyFont="1">
      <alignment horizontal="right" readingOrder="0" shrinkToFit="0" vertical="bottom" wrapText="0"/>
    </xf>
    <xf borderId="1" fillId="31" fontId="16" numFmtId="0" xfId="0" applyAlignment="1" applyBorder="1" applyFont="1">
      <alignment horizontal="right" readingOrder="0" shrinkToFit="0" vertical="bottom" wrapText="0"/>
    </xf>
    <xf borderId="1" fillId="44" fontId="16" numFmtId="0" xfId="0" applyAlignment="1" applyBorder="1" applyFill="1" applyFont="1">
      <alignment horizontal="right" readingOrder="0" shrinkToFit="0" vertical="bottom" wrapText="0"/>
    </xf>
    <xf borderId="1" fillId="45" fontId="16" numFmtId="0" xfId="0" applyAlignment="1" applyBorder="1" applyFill="1" applyFont="1">
      <alignment horizontal="right" readingOrder="0" shrinkToFit="0" vertical="bottom" wrapText="0"/>
    </xf>
    <xf borderId="1" fillId="46" fontId="16" numFmtId="0" xfId="0" applyAlignment="1" applyBorder="1" applyFill="1" applyFont="1">
      <alignment horizontal="right" readingOrder="0" shrinkToFit="0" vertical="bottom" wrapText="0"/>
    </xf>
    <xf borderId="1" fillId="47" fontId="16" numFmtId="0" xfId="0" applyAlignment="1" applyBorder="1" applyFill="1" applyFont="1">
      <alignment horizontal="right" readingOrder="0" shrinkToFit="0" vertical="bottom" wrapText="0"/>
    </xf>
    <xf borderId="1" fillId="48" fontId="16" numFmtId="0" xfId="0" applyAlignment="1" applyBorder="1" applyFill="1" applyFont="1">
      <alignment horizontal="right" readingOrder="0" shrinkToFit="0" vertical="bottom" wrapText="0"/>
    </xf>
    <xf borderId="1" fillId="49" fontId="16" numFmtId="0" xfId="0" applyAlignment="1" applyBorder="1" applyFill="1" applyFont="1">
      <alignment horizontal="right" readingOrder="0" shrinkToFit="0" vertical="bottom" wrapText="0"/>
    </xf>
    <xf borderId="1" fillId="50" fontId="16" numFmtId="0" xfId="0" applyAlignment="1" applyBorder="1" applyFill="1" applyFont="1">
      <alignment horizontal="right" readingOrder="0" shrinkToFit="0" vertical="bottom" wrapText="0"/>
    </xf>
    <xf borderId="1" fillId="51" fontId="16" numFmtId="0" xfId="0" applyAlignment="1" applyBorder="1" applyFill="1" applyFont="1">
      <alignment horizontal="right" readingOrder="0" shrinkToFit="0" vertical="bottom" wrapText="0"/>
    </xf>
    <xf borderId="1" fillId="52" fontId="16" numFmtId="0" xfId="0" applyAlignment="1" applyBorder="1" applyFill="1" applyFont="1">
      <alignment horizontal="right" readingOrder="0" shrinkToFit="0" vertical="bottom" wrapText="0"/>
    </xf>
    <xf borderId="1" fillId="53" fontId="16" numFmtId="0" xfId="0" applyAlignment="1" applyBorder="1" applyFill="1" applyFont="1">
      <alignment horizontal="right" readingOrder="0" shrinkToFit="0" vertical="bottom" wrapText="0"/>
    </xf>
    <xf borderId="1" fillId="54" fontId="16" numFmtId="0" xfId="0" applyAlignment="1" applyBorder="1" applyFill="1" applyFont="1">
      <alignment horizontal="right" readingOrder="0" shrinkToFit="0" vertical="bottom" wrapText="0"/>
    </xf>
    <xf borderId="0" fillId="0" fontId="17" numFmtId="0" xfId="0" applyAlignment="1" applyFont="1">
      <alignment horizontal="center" readingOrder="0" shrinkToFit="0" vertical="bottom" wrapText="0"/>
    </xf>
    <xf borderId="1" fillId="55" fontId="16" numFmtId="4" xfId="0" applyAlignment="1" applyBorder="1" applyFill="1" applyFont="1" applyNumberFormat="1">
      <alignment horizontal="right" readingOrder="0" shrinkToFit="0" vertical="bottom" wrapText="0"/>
    </xf>
    <xf borderId="1" fillId="7" fontId="16" numFmtId="10" xfId="0" applyAlignment="1" applyBorder="1" applyFont="1" applyNumberFormat="1">
      <alignment horizontal="right" readingOrder="0" shrinkToFit="0" vertical="bottom" wrapText="0"/>
    </xf>
    <xf borderId="1" fillId="56" fontId="16" numFmtId="0" xfId="0" applyAlignment="1" applyBorder="1" applyFill="1" applyFont="1">
      <alignment horizontal="right" readingOrder="0" shrinkToFit="0" vertical="bottom" wrapText="0"/>
    </xf>
    <xf borderId="1" fillId="57" fontId="16" numFmtId="0" xfId="0" applyAlignment="1" applyBorder="1" applyFill="1" applyFont="1">
      <alignment horizontal="right" readingOrder="0" shrinkToFit="0" vertical="bottom" wrapText="0"/>
    </xf>
    <xf borderId="1" fillId="58" fontId="16" numFmtId="0" xfId="0" applyAlignment="1" applyBorder="1" applyFill="1" applyFont="1">
      <alignment horizontal="right" readingOrder="0" shrinkToFit="0" vertical="bottom" wrapText="0"/>
    </xf>
    <xf borderId="1" fillId="59" fontId="16" numFmtId="0" xfId="0" applyAlignment="1" applyBorder="1" applyFill="1" applyFont="1">
      <alignment horizontal="right" readingOrder="0" shrinkToFit="0" vertical="bottom" wrapText="0"/>
    </xf>
    <xf borderId="1" fillId="60" fontId="16" numFmtId="0" xfId="0" applyAlignment="1" applyBorder="1" applyFill="1" applyFont="1">
      <alignment horizontal="right" readingOrder="0" shrinkToFit="0" vertical="bottom" wrapText="0"/>
    </xf>
    <xf borderId="1" fillId="61" fontId="16" numFmtId="0" xfId="0" applyAlignment="1" applyBorder="1" applyFill="1" applyFont="1">
      <alignment horizontal="right" readingOrder="0" shrinkToFit="0" vertical="bottom" wrapText="0"/>
    </xf>
    <xf borderId="1" fillId="6" fontId="16" numFmtId="0" xfId="0" applyAlignment="1" applyBorder="1" applyFont="1">
      <alignment horizontal="right" readingOrder="0" shrinkToFit="0" vertical="bottom" wrapText="0"/>
    </xf>
    <xf borderId="1" fillId="62" fontId="16" numFmtId="0" xfId="0" applyAlignment="1" applyBorder="1" applyFill="1" applyFont="1">
      <alignment horizontal="right" readingOrder="0" shrinkToFit="0" vertical="bottom" wrapText="0"/>
    </xf>
    <xf borderId="1" fillId="55" fontId="16" numFmtId="0" xfId="0" applyAlignment="1" applyBorder="1" applyFont="1">
      <alignment horizontal="right" readingOrder="0" shrinkToFit="0" vertical="bottom" wrapText="0"/>
    </xf>
    <xf borderId="1" fillId="63" fontId="16" numFmtId="0" xfId="0" applyAlignment="1" applyBorder="1" applyFill="1" applyFont="1">
      <alignment horizontal="right" readingOrder="0" shrinkToFit="0" vertical="bottom" wrapText="0"/>
    </xf>
    <xf borderId="1" fillId="64" fontId="16" numFmtId="0" xfId="0" applyAlignment="1" applyBorder="1" applyFill="1" applyFont="1">
      <alignment horizontal="right" readingOrder="0" shrinkToFit="0" vertical="bottom" wrapText="0"/>
    </xf>
    <xf borderId="1" fillId="65" fontId="16" numFmtId="0" xfId="0" applyAlignment="1" applyBorder="1" applyFill="1" applyFont="1">
      <alignment horizontal="right" readingOrder="0" shrinkToFit="0" vertical="bottom" wrapText="0"/>
    </xf>
    <xf borderId="1" fillId="66" fontId="16" numFmtId="0" xfId="0" applyAlignment="1" applyBorder="1" applyFill="1" applyFont="1">
      <alignment horizontal="right" readingOrder="0" shrinkToFit="0" vertical="bottom" wrapText="0"/>
    </xf>
    <xf borderId="1" fillId="67" fontId="16" numFmtId="0" xfId="0" applyAlignment="1" applyBorder="1" applyFill="1" applyFont="1">
      <alignment horizontal="right" readingOrder="0" shrinkToFit="0" vertical="bottom" wrapText="0"/>
    </xf>
    <xf borderId="1" fillId="68" fontId="16" numFmtId="0" xfId="0" applyAlignment="1" applyBorder="1" applyFill="1" applyFont="1">
      <alignment horizontal="right" readingOrder="0" shrinkToFit="0" vertical="bottom" wrapText="0"/>
    </xf>
    <xf borderId="1" fillId="69" fontId="16" numFmtId="0" xfId="0" applyAlignment="1" applyBorder="1" applyFill="1" applyFont="1">
      <alignment horizontal="right" readingOrder="0" shrinkToFit="0" vertical="bottom" wrapText="0"/>
    </xf>
    <xf borderId="1" fillId="70" fontId="16" numFmtId="0" xfId="0" applyAlignment="1" applyBorder="1" applyFill="1" applyFont="1">
      <alignment horizontal="right" readingOrder="0" shrinkToFit="0" vertical="bottom" wrapText="0"/>
    </xf>
    <xf borderId="1" fillId="71" fontId="16" numFmtId="0" xfId="0" applyAlignment="1" applyBorder="1" applyFill="1" applyFont="1">
      <alignment horizontal="right" readingOrder="0" shrinkToFit="0" vertical="bottom" wrapText="0"/>
    </xf>
    <xf borderId="1" fillId="72" fontId="16" numFmtId="4" xfId="0" applyAlignment="1" applyBorder="1" applyFill="1" applyFont="1" applyNumberFormat="1">
      <alignment horizontal="right" readingOrder="0" shrinkToFit="0" vertical="bottom" wrapText="0"/>
    </xf>
    <xf borderId="1" fillId="7" fontId="16" numFmtId="9" xfId="0" applyAlignment="1" applyBorder="1" applyFont="1" applyNumberFormat="1">
      <alignment horizontal="right" readingOrder="0" shrinkToFit="0" vertical="bottom" wrapText="0"/>
    </xf>
    <xf borderId="1" fillId="73" fontId="16" numFmtId="0" xfId="0" applyAlignment="1" applyBorder="1" applyFill="1" applyFont="1">
      <alignment horizontal="right" readingOrder="0" shrinkToFit="0" vertical="bottom" wrapText="0"/>
    </xf>
    <xf borderId="1" fillId="74" fontId="16" numFmtId="0" xfId="0" applyAlignment="1" applyBorder="1" applyFill="1" applyFont="1">
      <alignment horizontal="right" readingOrder="0" shrinkToFit="0" vertical="bottom" wrapText="0"/>
    </xf>
    <xf borderId="1" fillId="75" fontId="16" numFmtId="0" xfId="0" applyAlignment="1" applyBorder="1" applyFill="1" applyFont="1">
      <alignment horizontal="right" readingOrder="0" shrinkToFit="0" vertical="bottom" wrapText="0"/>
    </xf>
    <xf borderId="1" fillId="76" fontId="16" numFmtId="0" xfId="0" applyAlignment="1" applyBorder="1" applyFill="1" applyFont="1">
      <alignment horizontal="right" readingOrder="0" shrinkToFit="0" vertical="bottom" wrapText="0"/>
    </xf>
    <xf borderId="1" fillId="77" fontId="16" numFmtId="0" xfId="0" applyAlignment="1" applyBorder="1" applyFill="1" applyFont="1">
      <alignment horizontal="right" readingOrder="0" shrinkToFit="0" vertical="bottom" wrapText="0"/>
    </xf>
    <xf borderId="1" fillId="78" fontId="16" numFmtId="0" xfId="0" applyAlignment="1" applyBorder="1" applyFill="1" applyFont="1">
      <alignment horizontal="right" readingOrder="0" shrinkToFit="0" vertical="bottom" wrapText="0"/>
    </xf>
    <xf borderId="1" fillId="79" fontId="16" numFmtId="0" xfId="0" applyAlignment="1" applyBorder="1" applyFill="1" applyFont="1">
      <alignment horizontal="right" readingOrder="0" shrinkToFit="0" vertical="bottom" wrapText="0"/>
    </xf>
    <xf borderId="1" fillId="80" fontId="16" numFmtId="0" xfId="0" applyAlignment="1" applyBorder="1" applyFill="1" applyFont="1">
      <alignment horizontal="right" readingOrder="0" shrinkToFit="0" vertical="bottom" wrapText="0"/>
    </xf>
    <xf borderId="1" fillId="81" fontId="16" numFmtId="0" xfId="0" applyAlignment="1" applyBorder="1" applyFill="1" applyFont="1">
      <alignment horizontal="right" readingOrder="0" shrinkToFit="0" vertical="bottom" wrapText="0"/>
    </xf>
    <xf borderId="1" fillId="82" fontId="16" numFmtId="0" xfId="0" applyAlignment="1" applyBorder="1" applyFill="1" applyFont="1">
      <alignment horizontal="right" readingOrder="0" shrinkToFit="0" vertical="bottom" wrapText="0"/>
    </xf>
    <xf borderId="1" fillId="72" fontId="16" numFmtId="0" xfId="0" applyAlignment="1" applyBorder="1" applyFont="1">
      <alignment horizontal="right" readingOrder="0" shrinkToFit="0" vertical="bottom" wrapText="0"/>
    </xf>
    <xf borderId="1" fillId="83" fontId="16" numFmtId="0" xfId="0" applyAlignment="1" applyBorder="1" applyFill="1" applyFont="1">
      <alignment horizontal="right" readingOrder="0" shrinkToFit="0" vertical="bottom" wrapText="0"/>
    </xf>
    <xf borderId="1" fillId="84" fontId="16" numFmtId="0" xfId="0" applyAlignment="1" applyBorder="1" applyFill="1" applyFont="1">
      <alignment horizontal="right" readingOrder="0" shrinkToFit="0" vertical="bottom" wrapText="0"/>
    </xf>
    <xf borderId="1" fillId="85" fontId="16" numFmtId="0" xfId="0" applyAlignment="1" applyBorder="1" applyFill="1" applyFont="1">
      <alignment horizontal="right" readingOrder="0" shrinkToFit="0" vertical="bottom" wrapText="0"/>
    </xf>
    <xf borderId="1" fillId="86" fontId="16" numFmtId="0" xfId="0" applyAlignment="1" applyBorder="1" applyFill="1" applyFont="1">
      <alignment horizontal="right" readingOrder="0" shrinkToFit="0" vertical="bottom" wrapText="0"/>
    </xf>
    <xf borderId="1" fillId="87" fontId="16" numFmtId="0" xfId="0" applyAlignment="1" applyBorder="1" applyFill="1" applyFont="1">
      <alignment horizontal="right" readingOrder="0" shrinkToFit="0" vertical="bottom" wrapText="0"/>
    </xf>
    <xf borderId="1" fillId="88" fontId="16" numFmtId="0" xfId="0" applyAlignment="1" applyBorder="1" applyFill="1" applyFont="1">
      <alignment horizontal="right" readingOrder="0" shrinkToFit="0" vertical="bottom" wrapText="0"/>
    </xf>
    <xf borderId="1" fillId="89" fontId="16" numFmtId="0" xfId="0" applyAlignment="1" applyBorder="1" applyFill="1" applyFont="1">
      <alignment horizontal="right" readingOrder="0" shrinkToFit="0" vertical="bottom" wrapText="0"/>
    </xf>
    <xf borderId="1" fillId="90" fontId="16" numFmtId="0" xfId="0" applyAlignment="1" applyBorder="1" applyFill="1" applyFont="1">
      <alignment horizontal="right" readingOrder="0" shrinkToFit="0" vertical="bottom" wrapText="0"/>
    </xf>
    <xf borderId="0" fillId="0" fontId="16" numFmtId="0" xfId="0" applyAlignment="1" applyFont="1">
      <alignment vertical="bottom"/>
    </xf>
    <xf borderId="2" fillId="0" fontId="16" numFmtId="0" xfId="0" applyAlignment="1" applyBorder="1" applyFont="1">
      <alignment vertical="bottom"/>
    </xf>
    <xf borderId="2" fillId="0" fontId="16" numFmtId="0" xfId="0" applyAlignment="1" applyBorder="1" applyFont="1">
      <alignment readingOrder="0" vertical="bottom"/>
    </xf>
    <xf borderId="3" fillId="0" fontId="16" numFmtId="0" xfId="0" applyAlignment="1" applyBorder="1" applyFont="1">
      <alignment vertical="bottom"/>
    </xf>
    <xf borderId="1" fillId="91" fontId="16" numFmtId="4" xfId="0" applyAlignment="1" applyBorder="1" applyFill="1" applyFont="1" applyNumberFormat="1">
      <alignment horizontal="right" readingOrder="0" vertical="bottom"/>
    </xf>
    <xf borderId="1" fillId="7" fontId="16" numFmtId="3" xfId="0" applyAlignment="1" applyBorder="1" applyFont="1" applyNumberFormat="1">
      <alignment horizontal="right" readingOrder="0" vertical="bottom"/>
    </xf>
    <xf borderId="1" fillId="92" fontId="16" numFmtId="3" xfId="0" applyAlignment="1" applyBorder="1" applyFill="1" applyFont="1" applyNumberFormat="1">
      <alignment horizontal="right" readingOrder="0" vertical="bottom"/>
    </xf>
    <xf borderId="1" fillId="93" fontId="16" numFmtId="3" xfId="0" applyAlignment="1" applyBorder="1" applyFill="1" applyFont="1" applyNumberFormat="1">
      <alignment horizontal="right" readingOrder="0" vertical="bottom"/>
    </xf>
    <xf borderId="3" fillId="0" fontId="17" numFmtId="0" xfId="0" applyAlignment="1" applyBorder="1" applyFont="1">
      <alignment horizontal="center" readingOrder="0"/>
    </xf>
    <xf borderId="1" fillId="37" fontId="16" numFmtId="3" xfId="0" applyAlignment="1" applyBorder="1" applyFont="1" applyNumberFormat="1">
      <alignment horizontal="right" readingOrder="0" vertical="bottom"/>
    </xf>
    <xf borderId="1" fillId="30" fontId="16" numFmtId="0" xfId="0" applyAlignment="1" applyBorder="1" applyFont="1">
      <alignment horizontal="right" readingOrder="0" vertical="bottom"/>
    </xf>
    <xf borderId="1" fillId="94" fontId="16" numFmtId="0" xfId="0" applyAlignment="1" applyBorder="1" applyFill="1" applyFont="1">
      <alignment horizontal="right" readingOrder="0" vertical="bottom"/>
    </xf>
    <xf borderId="1" fillId="95" fontId="16" numFmtId="0" xfId="0" applyAlignment="1" applyBorder="1" applyFill="1" applyFont="1">
      <alignment horizontal="right" readingOrder="0" vertical="bottom"/>
    </xf>
    <xf borderId="1" fillId="96" fontId="16" numFmtId="0" xfId="0" applyAlignment="1" applyBorder="1" applyFill="1" applyFont="1">
      <alignment horizontal="right" readingOrder="0" vertical="bottom"/>
    </xf>
    <xf borderId="1" fillId="97" fontId="16" numFmtId="0" xfId="0" applyAlignment="1" applyBorder="1" applyFill="1" applyFont="1">
      <alignment horizontal="right" readingOrder="0" vertical="bottom"/>
    </xf>
    <xf borderId="3" fillId="0" fontId="18" numFmtId="0" xfId="0" applyBorder="1" applyFont="1"/>
    <xf borderId="1" fillId="98" fontId="16" numFmtId="3" xfId="0" applyAlignment="1" applyBorder="1" applyFill="1" applyFont="1" applyNumberFormat="1">
      <alignment horizontal="right" readingOrder="0" vertical="bottom"/>
    </xf>
    <xf borderId="1" fillId="99" fontId="16" numFmtId="0" xfId="0" applyAlignment="1" applyBorder="1" applyFill="1" applyFont="1">
      <alignment horizontal="right" readingOrder="0" vertical="bottom"/>
    </xf>
    <xf borderId="1" fillId="100" fontId="16" numFmtId="0" xfId="0" applyAlignment="1" applyBorder="1" applyFill="1" applyFont="1">
      <alignment horizontal="right" readingOrder="0" vertical="bottom"/>
    </xf>
    <xf borderId="1" fillId="66" fontId="16" numFmtId="0" xfId="0" applyAlignment="1" applyBorder="1" applyFont="1">
      <alignment horizontal="right" readingOrder="0" vertical="bottom"/>
    </xf>
    <xf borderId="1" fillId="101" fontId="16" numFmtId="0" xfId="0" applyAlignment="1" applyBorder="1" applyFill="1" applyFont="1">
      <alignment horizontal="right" readingOrder="0" vertical="bottom"/>
    </xf>
    <xf borderId="1" fillId="19" fontId="16" numFmtId="0" xfId="0" applyAlignment="1" applyBorder="1" applyFont="1">
      <alignment horizontal="right" readingOrder="0" vertical="bottom"/>
    </xf>
    <xf borderId="1" fillId="102" fontId="16" numFmtId="3" xfId="0" applyAlignment="1" applyBorder="1" applyFill="1" applyFont="1" applyNumberFormat="1">
      <alignment horizontal="right" readingOrder="0" vertical="bottom"/>
    </xf>
    <xf borderId="1" fillId="103" fontId="16" numFmtId="0" xfId="0" applyAlignment="1" applyBorder="1" applyFill="1" applyFont="1">
      <alignment horizontal="right" readingOrder="0" vertical="bottom"/>
    </xf>
    <xf borderId="1" fillId="91" fontId="16" numFmtId="0" xfId="0" applyAlignment="1" applyBorder="1" applyFont="1">
      <alignment horizontal="right" readingOrder="0" vertical="bottom"/>
    </xf>
    <xf borderId="1" fillId="104" fontId="16" numFmtId="0" xfId="0" applyAlignment="1" applyBorder="1" applyFill="1" applyFont="1">
      <alignment horizontal="right" readingOrder="0" vertical="bottom"/>
    </xf>
    <xf borderId="1" fillId="105" fontId="16" numFmtId="0" xfId="0" applyAlignment="1" applyBorder="1" applyFill="1" applyFont="1">
      <alignment horizontal="right" readingOrder="0" vertical="bottom"/>
    </xf>
    <xf borderId="1" fillId="5" fontId="16" numFmtId="0" xfId="0" applyAlignment="1" applyBorder="1" applyFont="1">
      <alignment horizontal="right" readingOrder="0" vertical="bottom"/>
    </xf>
    <xf borderId="1" fillId="106" fontId="16" numFmtId="3" xfId="0" applyAlignment="1" applyBorder="1" applyFill="1" applyFont="1" applyNumberFormat="1">
      <alignment horizontal="right" readingOrder="0" vertical="bottom"/>
    </xf>
    <xf borderId="1" fillId="107" fontId="16" numFmtId="0" xfId="0" applyAlignment="1" applyBorder="1" applyFill="1" applyFont="1">
      <alignment horizontal="right" readingOrder="0" vertical="bottom"/>
    </xf>
    <xf borderId="1" fillId="108" fontId="16" numFmtId="0" xfId="0" applyAlignment="1" applyBorder="1" applyFill="1" applyFont="1">
      <alignment horizontal="right" readingOrder="0" vertical="bottom"/>
    </xf>
    <xf borderId="1" fillId="109" fontId="16" numFmtId="0" xfId="0" applyAlignment="1" applyBorder="1" applyFill="1" applyFont="1">
      <alignment horizontal="right" readingOrder="0" vertical="bottom"/>
    </xf>
    <xf borderId="1" fillId="110" fontId="16" numFmtId="0" xfId="0" applyAlignment="1" applyBorder="1" applyFill="1" applyFont="1">
      <alignment horizontal="right" readingOrder="0" vertical="bottom"/>
    </xf>
    <xf borderId="1" fillId="111" fontId="16" numFmtId="0" xfId="0" applyAlignment="1" applyBorder="1" applyFill="1" applyFont="1">
      <alignment horizontal="right" readingOrder="0" vertical="bottom"/>
    </xf>
    <xf borderId="1" fillId="112" fontId="16" numFmtId="3" xfId="0" applyAlignment="1" applyBorder="1" applyFill="1" applyFont="1" applyNumberFormat="1">
      <alignment horizontal="right" readingOrder="0" vertical="bottom"/>
    </xf>
    <xf borderId="1" fillId="113" fontId="16" numFmtId="0" xfId="0" applyAlignment="1" applyBorder="1" applyFill="1" applyFont="1">
      <alignment horizontal="right" readingOrder="0" vertical="bottom"/>
    </xf>
    <xf borderId="1" fillId="114" fontId="16" numFmtId="0" xfId="0" applyAlignment="1" applyBorder="1" applyFill="1" applyFont="1">
      <alignment horizontal="right" readingOrder="0" vertical="bottom"/>
    </xf>
    <xf borderId="1" fillId="115" fontId="16" numFmtId="0" xfId="0" applyAlignment="1" applyBorder="1" applyFill="1" applyFont="1">
      <alignment horizontal="right" readingOrder="0" vertical="bottom"/>
    </xf>
    <xf borderId="1" fillId="116" fontId="16" numFmtId="0" xfId="0" applyAlignment="1" applyBorder="1" applyFill="1" applyFont="1">
      <alignment horizontal="right" readingOrder="0" vertical="bottom"/>
    </xf>
    <xf borderId="1" fillId="57" fontId="16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payscale.com/research/PK/Job=Security_Guard/Salary" TargetMode="External"/><Relationship Id="rId11" Type="http://schemas.openxmlformats.org/officeDocument/2006/relationships/hyperlink" Target="https://www.shell.com.pk/motorists/shell-fuels/shell-station-price-board.html" TargetMode="External"/><Relationship Id="rId22" Type="http://schemas.openxmlformats.org/officeDocument/2006/relationships/hyperlink" Target="https://www.crunchbase.com/organization/daraz-pk/technology" TargetMode="External"/><Relationship Id="rId10" Type="http://schemas.openxmlformats.org/officeDocument/2006/relationships/hyperlink" Target="https://www.pakwheels.com/used-cars/master-foton-2019-for-sale-in-karachi-5966431" TargetMode="External"/><Relationship Id="rId21" Type="http://schemas.openxmlformats.org/officeDocument/2006/relationships/hyperlink" Target="https://www.similarweb.com/website/daraz.pk/" TargetMode="External"/><Relationship Id="rId13" Type="http://schemas.openxmlformats.org/officeDocument/2006/relationships/hyperlink" Target="http://www.ntrc.gov.pk/ntrc_studies/VehicleOperatingCost%20(VOC)forallClassesofVehicles(NTRC-332)May-2020.pdf" TargetMode="External"/><Relationship Id="rId12" Type="http://schemas.openxmlformats.org/officeDocument/2006/relationships/hyperlink" Target="https://www.webfleet.com/en_gb/webfleet/blog/do-you-know-the-diesel-consumption-of-a-lorry-per-km/" TargetMode="External"/><Relationship Id="rId23" Type="http://schemas.openxmlformats.org/officeDocument/2006/relationships/drawing" Target="../drawings/drawing2.xml"/><Relationship Id="rId1" Type="http://schemas.openxmlformats.org/officeDocument/2006/relationships/hyperlink" Target="https://www.internetworldstats.com/asia.htm" TargetMode="External"/><Relationship Id="rId2" Type="http://schemas.openxmlformats.org/officeDocument/2006/relationships/hyperlink" Target="https://www.pta.gov.pk/en/telecom-indicators/1" TargetMode="External"/><Relationship Id="rId3" Type="http://schemas.openxmlformats.org/officeDocument/2006/relationships/hyperlink" Target="https://www.pbs.gov.pk/sites/default/files//tables/2.0.pdf" TargetMode="External"/><Relationship Id="rId4" Type="http://schemas.openxmlformats.org/officeDocument/2006/relationships/hyperlink" Target="https://habitt.com/pages/delivery-information" TargetMode="External"/><Relationship Id="rId9" Type="http://schemas.openxmlformats.org/officeDocument/2006/relationships/hyperlink" Target="https://www.olx.com.pk/items/q-warehouse-rent" TargetMode="External"/><Relationship Id="rId15" Type="http://schemas.openxmlformats.org/officeDocument/2006/relationships/hyperlink" Target="https://www.payscale.com/research/PK/Job=Operations_Manager/Salary" TargetMode="External"/><Relationship Id="rId14" Type="http://schemas.openxmlformats.org/officeDocument/2006/relationships/hyperlink" Target="http://www.ntrc.gov.pk/ntrc_studies/VehicleOperatingCost%20(VOC)forallClassesofVehicles(NTRC-332)May-2020.pdf" TargetMode="External"/><Relationship Id="rId17" Type="http://schemas.openxmlformats.org/officeDocument/2006/relationships/hyperlink" Target="https://www.payscale.com/research/PK/Job=Finance_Officer/Salary" TargetMode="External"/><Relationship Id="rId16" Type="http://schemas.openxmlformats.org/officeDocument/2006/relationships/hyperlink" Target="https://www.payscale.com/research/PK/Job=Customer_Service_Officer/Salary" TargetMode="External"/><Relationship Id="rId5" Type="http://schemas.openxmlformats.org/officeDocument/2006/relationships/hyperlink" Target="https://sixads.net/blog/facebook-ads-cost/" TargetMode="External"/><Relationship Id="rId19" Type="http://schemas.openxmlformats.org/officeDocument/2006/relationships/hyperlink" Target="https://www.payscale.com/research/PK/Job=Delivery_Driver/Salary" TargetMode="External"/><Relationship Id="rId6" Type="http://schemas.openxmlformats.org/officeDocument/2006/relationships/hyperlink" Target="https://jasoren.com/how-much-does-it-cost-to-build-an-augmented-reality-app-like-ikea-place/" TargetMode="External"/><Relationship Id="rId18" Type="http://schemas.openxmlformats.org/officeDocument/2006/relationships/hyperlink" Target="https://www.payscale.com/research/PK/Job=Human_Resources_(HR)_Manager/Salary" TargetMode="External"/><Relationship Id="rId7" Type="http://schemas.openxmlformats.org/officeDocument/2006/relationships/hyperlink" Target="https://www.fiercewireless.com/developer/maintaining-app-critical-to-its-overall-success" TargetMode="External"/><Relationship Id="rId8" Type="http://schemas.openxmlformats.org/officeDocument/2006/relationships/hyperlink" Target="https://www.hostinger.com/tutorials/how-much-does-website-hosting-cost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75"/>
    <col customWidth="1" min="6" max="6" width="34.88"/>
    <col customWidth="1" min="7" max="7" width="7.0"/>
  </cols>
  <sheetData>
    <row r="1">
      <c r="A1" s="1" t="s">
        <v>0</v>
      </c>
      <c r="B1" s="2"/>
      <c r="C1" s="2"/>
      <c r="D1" s="2"/>
      <c r="E1" s="2"/>
      <c r="F1" s="1" t="s">
        <v>1</v>
      </c>
      <c r="G1" s="2"/>
    </row>
    <row r="2">
      <c r="A2" s="2" t="s">
        <v>2</v>
      </c>
      <c r="B2" s="2"/>
      <c r="C2" s="2"/>
      <c r="D2" s="2"/>
      <c r="E2" s="2"/>
      <c r="F2" s="2" t="s">
        <v>3</v>
      </c>
      <c r="G2" s="2" t="s">
        <v>4</v>
      </c>
    </row>
    <row r="3">
      <c r="A3" s="2" t="s">
        <v>5</v>
      </c>
      <c r="B3" s="2"/>
      <c r="C3" s="2"/>
      <c r="D3" s="2"/>
      <c r="E3" s="2"/>
      <c r="F3" s="2" t="s">
        <v>6</v>
      </c>
      <c r="G3" s="2" t="s">
        <v>4</v>
      </c>
    </row>
    <row r="4">
      <c r="A4" s="2" t="s">
        <v>7</v>
      </c>
      <c r="B4" s="2"/>
      <c r="C4" s="2"/>
      <c r="D4" s="2"/>
      <c r="E4" s="2"/>
      <c r="F4" s="2" t="s">
        <v>8</v>
      </c>
      <c r="G4" s="2" t="s">
        <v>4</v>
      </c>
    </row>
    <row r="5">
      <c r="A5" s="2" t="s">
        <v>9</v>
      </c>
      <c r="B5" s="2"/>
      <c r="C5" s="2"/>
      <c r="D5" s="2"/>
      <c r="E5" s="2"/>
      <c r="F5" s="2" t="s">
        <v>10</v>
      </c>
      <c r="G5" s="2" t="s">
        <v>4</v>
      </c>
    </row>
    <row r="6">
      <c r="A6" s="2" t="s">
        <v>11</v>
      </c>
      <c r="B6" s="2"/>
      <c r="C6" s="2"/>
      <c r="D6" s="2"/>
      <c r="E6" s="2"/>
      <c r="F6" s="2"/>
      <c r="G6" s="2"/>
    </row>
    <row r="7">
      <c r="A7" s="2" t="s">
        <v>12</v>
      </c>
      <c r="B7" s="2"/>
      <c r="C7" s="2"/>
      <c r="D7" s="2"/>
      <c r="E7" s="2"/>
      <c r="F7" s="2" t="s">
        <v>13</v>
      </c>
      <c r="G7" s="2" t="s">
        <v>4</v>
      </c>
    </row>
    <row r="8">
      <c r="A8" s="2" t="s">
        <v>14</v>
      </c>
      <c r="B8" s="2"/>
      <c r="C8" s="2"/>
      <c r="D8" s="2"/>
      <c r="E8" s="2"/>
      <c r="F8" s="2" t="s">
        <v>15</v>
      </c>
      <c r="G8" s="2" t="s">
        <v>4</v>
      </c>
    </row>
    <row r="9">
      <c r="A9" s="2" t="s">
        <v>16</v>
      </c>
      <c r="B9" s="2"/>
      <c r="C9" s="2"/>
      <c r="D9" s="2"/>
      <c r="E9" s="2"/>
      <c r="F9" s="2" t="s">
        <v>17</v>
      </c>
      <c r="G9" s="2" t="s">
        <v>18</v>
      </c>
    </row>
    <row r="10">
      <c r="A10" s="2" t="s">
        <v>19</v>
      </c>
      <c r="B10" s="2"/>
      <c r="C10" s="2"/>
      <c r="D10" s="2"/>
      <c r="E10" s="2"/>
      <c r="F10" s="2" t="s">
        <v>20</v>
      </c>
      <c r="G10" s="2" t="s">
        <v>4</v>
      </c>
    </row>
    <row r="11">
      <c r="A11" s="2"/>
      <c r="B11" s="2"/>
      <c r="C11" s="2"/>
      <c r="D11" s="2"/>
      <c r="E11" s="2"/>
      <c r="F11" s="2" t="s">
        <v>21</v>
      </c>
      <c r="G11" s="2" t="s">
        <v>4</v>
      </c>
    </row>
    <row r="12">
      <c r="A12" s="1" t="s">
        <v>22</v>
      </c>
      <c r="B12" s="2"/>
      <c r="C12" s="2"/>
      <c r="D12" s="2"/>
      <c r="E12" s="2"/>
      <c r="F12" s="2" t="s">
        <v>23</v>
      </c>
      <c r="G12" s="2" t="s">
        <v>4</v>
      </c>
    </row>
    <row r="13">
      <c r="A13" s="2" t="s">
        <v>24</v>
      </c>
      <c r="B13" s="2"/>
      <c r="C13" s="2"/>
      <c r="D13" s="2"/>
      <c r="E13" s="2"/>
      <c r="F13" s="2" t="s">
        <v>25</v>
      </c>
      <c r="G13" s="2" t="s">
        <v>4</v>
      </c>
    </row>
    <row r="14">
      <c r="A14" s="2" t="s">
        <v>26</v>
      </c>
      <c r="B14" s="2"/>
      <c r="C14" s="2"/>
      <c r="D14" s="2"/>
      <c r="E14" s="2"/>
      <c r="F14" s="2" t="s">
        <v>27</v>
      </c>
      <c r="G14" s="2" t="s">
        <v>4</v>
      </c>
    </row>
    <row r="15">
      <c r="A15" s="2" t="s">
        <v>28</v>
      </c>
      <c r="B15" s="2"/>
      <c r="C15" s="2"/>
      <c r="D15" s="2"/>
      <c r="E15" s="2"/>
      <c r="F15" s="2" t="s">
        <v>29</v>
      </c>
      <c r="G15" s="2" t="s">
        <v>4</v>
      </c>
    </row>
    <row r="16">
      <c r="A16" s="2" t="s">
        <v>30</v>
      </c>
      <c r="B16" s="2"/>
      <c r="C16" s="2"/>
      <c r="D16" s="2"/>
      <c r="E16" s="2"/>
      <c r="F16" s="2" t="s">
        <v>31</v>
      </c>
      <c r="G16" s="2" t="s">
        <v>4</v>
      </c>
    </row>
    <row r="17">
      <c r="A17" s="2" t="s">
        <v>32</v>
      </c>
      <c r="B17" s="2"/>
      <c r="C17" s="2"/>
      <c r="D17" s="2"/>
      <c r="E17" s="2"/>
      <c r="F17" s="2" t="s">
        <v>33</v>
      </c>
      <c r="G17" s="2" t="s">
        <v>18</v>
      </c>
    </row>
    <row r="18">
      <c r="A18" s="2" t="s">
        <v>34</v>
      </c>
      <c r="B18" s="2"/>
      <c r="C18" s="2"/>
      <c r="D18" s="2"/>
      <c r="E18" s="2"/>
      <c r="F18" s="2"/>
      <c r="G18" s="2"/>
    </row>
    <row r="19">
      <c r="A19" s="2" t="s">
        <v>35</v>
      </c>
      <c r="B19" s="2"/>
      <c r="C19" s="2"/>
      <c r="D19" s="2"/>
      <c r="E19" s="2"/>
      <c r="F19" s="2"/>
      <c r="G19" s="2"/>
    </row>
    <row r="20">
      <c r="A20" s="2" t="s">
        <v>36</v>
      </c>
      <c r="B20" s="2"/>
      <c r="C20" s="2"/>
      <c r="D20" s="2"/>
      <c r="E20" s="2"/>
      <c r="F20" s="2"/>
      <c r="G2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  <col customWidth="1" min="2" max="2" width="18.13"/>
    <col customWidth="1" min="3" max="3" width="18.0"/>
    <col customWidth="1" min="4" max="4" width="16.63"/>
    <col customWidth="1" min="5" max="5" width="16.75"/>
    <col customWidth="1" min="6" max="6" width="17.13"/>
    <col customWidth="1" min="7" max="7" width="17.38"/>
    <col customWidth="1" min="9" max="9" width="59.5"/>
    <col customWidth="1" min="10" max="10" width="16.38"/>
    <col customWidth="1" min="11" max="11" width="71.38"/>
  </cols>
  <sheetData>
    <row r="1">
      <c r="A1" s="3" t="s">
        <v>37</v>
      </c>
      <c r="B1" s="2"/>
      <c r="C1" s="2"/>
      <c r="D1" s="2"/>
      <c r="E1" s="2"/>
      <c r="F1" s="2"/>
      <c r="G1" s="2"/>
      <c r="H1" s="2"/>
      <c r="I1" s="3" t="s">
        <v>38</v>
      </c>
      <c r="J1" s="4"/>
      <c r="K1" s="5" t="s">
        <v>39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/>
      <c r="B2" s="5" t="s">
        <v>40</v>
      </c>
      <c r="C2" s="5" t="s">
        <v>41</v>
      </c>
      <c r="D2" s="5" t="s">
        <v>42</v>
      </c>
      <c r="E2" s="5" t="s">
        <v>43</v>
      </c>
      <c r="F2" s="5" t="s">
        <v>44</v>
      </c>
      <c r="G2" s="5" t="s">
        <v>45</v>
      </c>
      <c r="H2" s="2"/>
      <c r="I2" s="4" t="s">
        <v>46</v>
      </c>
      <c r="J2" s="6">
        <v>1.14E8</v>
      </c>
      <c r="K2" s="7" t="s">
        <v>47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46</v>
      </c>
      <c r="B3" s="8">
        <f>$J2</f>
        <v>114000000</v>
      </c>
      <c r="C3" s="8">
        <f t="shared" ref="C3:G3" si="1">ROUND(B3 * (1 + $J5),0)</f>
        <v>121296000</v>
      </c>
      <c r="D3" s="8">
        <f t="shared" si="1"/>
        <v>129058944</v>
      </c>
      <c r="E3" s="8">
        <f t="shared" si="1"/>
        <v>137318716</v>
      </c>
      <c r="F3" s="8">
        <f t="shared" si="1"/>
        <v>146107114</v>
      </c>
      <c r="G3" s="8">
        <f t="shared" si="1"/>
        <v>155457969</v>
      </c>
      <c r="H3" s="2"/>
      <c r="I3" s="9" t="s">
        <v>48</v>
      </c>
      <c r="J3" s="10">
        <v>0.002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49</v>
      </c>
      <c r="B4" s="11">
        <v>0.0</v>
      </c>
      <c r="C4" s="11">
        <f>$J3</f>
        <v>0.002</v>
      </c>
      <c r="D4" s="11">
        <f t="shared" ref="D4:G4" si="2">C4 + 0.25%</f>
        <v>0.0045</v>
      </c>
      <c r="E4" s="11">
        <f t="shared" si="2"/>
        <v>0.007</v>
      </c>
      <c r="F4" s="11">
        <f t="shared" si="2"/>
        <v>0.0095</v>
      </c>
      <c r="G4" s="11">
        <f t="shared" si="2"/>
        <v>0.012</v>
      </c>
      <c r="H4" s="2"/>
      <c r="I4" s="4" t="s">
        <v>50</v>
      </c>
      <c r="J4" s="12">
        <v>0.1</v>
      </c>
      <c r="K4" s="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51</v>
      </c>
      <c r="B5" s="8"/>
      <c r="C5" s="8">
        <f t="shared" ref="C5:G5" si="3">ROUND(C3 * C4,0)</f>
        <v>242592</v>
      </c>
      <c r="D5" s="8">
        <f t="shared" si="3"/>
        <v>580765</v>
      </c>
      <c r="E5" s="8">
        <f t="shared" si="3"/>
        <v>961231</v>
      </c>
      <c r="F5" s="8">
        <f t="shared" si="3"/>
        <v>1388018</v>
      </c>
      <c r="G5" s="8">
        <f t="shared" si="3"/>
        <v>1865496</v>
      </c>
      <c r="H5" s="2"/>
      <c r="I5" s="4" t="s">
        <v>52</v>
      </c>
      <c r="J5" s="13">
        <v>0.064</v>
      </c>
      <c r="K5" s="14" t="s">
        <v>53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/>
      <c r="B6" s="15"/>
      <c r="C6" s="15"/>
      <c r="D6" s="15"/>
      <c r="E6" s="15"/>
      <c r="F6" s="15"/>
      <c r="G6" s="15"/>
      <c r="H6" s="2"/>
      <c r="I6" s="4" t="s">
        <v>54</v>
      </c>
      <c r="J6" s="6">
        <v>130.0</v>
      </c>
      <c r="K6" s="7" t="s">
        <v>55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54</v>
      </c>
      <c r="B7" s="16"/>
      <c r="C7" s="16">
        <f>$J6 * 3</f>
        <v>390</v>
      </c>
      <c r="D7" s="16">
        <f t="shared" ref="D7:G7" si="4">ROUND(C7 * 1.2,0)</f>
        <v>468</v>
      </c>
      <c r="E7" s="16">
        <f t="shared" si="4"/>
        <v>562</v>
      </c>
      <c r="F7" s="16">
        <f t="shared" si="4"/>
        <v>674</v>
      </c>
      <c r="G7" s="16">
        <f t="shared" si="4"/>
        <v>809</v>
      </c>
      <c r="H7" s="2"/>
      <c r="I7" s="17" t="s">
        <v>56</v>
      </c>
      <c r="J7" s="18">
        <v>60.0</v>
      </c>
      <c r="K7" s="1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57</v>
      </c>
      <c r="B8" s="20"/>
      <c r="C8" s="11">
        <v>0.02</v>
      </c>
      <c r="D8" s="11">
        <v>0.04</v>
      </c>
      <c r="E8" s="11">
        <v>0.06</v>
      </c>
      <c r="F8" s="11">
        <v>0.08</v>
      </c>
      <c r="G8" s="11">
        <v>0.12</v>
      </c>
      <c r="H8" s="2"/>
      <c r="I8" s="17"/>
      <c r="J8" s="21"/>
      <c r="K8" s="19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58</v>
      </c>
      <c r="B9" s="22"/>
      <c r="C9" s="22">
        <f t="shared" ref="C9:G9" si="5">ROUND(C7*C8,0)</f>
        <v>8</v>
      </c>
      <c r="D9" s="22">
        <f t="shared" si="5"/>
        <v>19</v>
      </c>
      <c r="E9" s="22">
        <f t="shared" si="5"/>
        <v>34</v>
      </c>
      <c r="F9" s="22">
        <f t="shared" si="5"/>
        <v>54</v>
      </c>
      <c r="G9" s="22">
        <f t="shared" si="5"/>
        <v>97</v>
      </c>
      <c r="H9" s="2"/>
      <c r="I9" s="4" t="s">
        <v>59</v>
      </c>
      <c r="J9" s="23">
        <v>60000.0</v>
      </c>
      <c r="K9" s="19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7"/>
      <c r="B10" s="11"/>
      <c r="C10" s="13"/>
      <c r="D10" s="13"/>
      <c r="E10" s="13"/>
      <c r="F10" s="13"/>
      <c r="G10" s="13"/>
      <c r="H10" s="2"/>
      <c r="I10" s="4" t="s">
        <v>60</v>
      </c>
      <c r="J10" s="21">
        <v>0.25</v>
      </c>
      <c r="K10" s="2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7" t="s">
        <v>61</v>
      </c>
      <c r="B11" s="16"/>
      <c r="C11" s="16">
        <f>ROUND(C9*$J7,0)</f>
        <v>480</v>
      </c>
      <c r="D11" s="16">
        <f t="shared" ref="D11:G11" si="6">ROUND((C11 - C13) + D9*$J7,0)</f>
        <v>1260</v>
      </c>
      <c r="E11" s="16">
        <f t="shared" si="6"/>
        <v>2355</v>
      </c>
      <c r="F11" s="16">
        <f t="shared" si="6"/>
        <v>3829</v>
      </c>
      <c r="G11" s="16">
        <f t="shared" si="6"/>
        <v>6777</v>
      </c>
      <c r="H11" s="2"/>
      <c r="I11" s="4" t="s">
        <v>62</v>
      </c>
      <c r="J11" s="25">
        <v>3000.0</v>
      </c>
      <c r="K11" s="26" t="s">
        <v>63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64</v>
      </c>
      <c r="B12" s="11"/>
      <c r="C12" s="11">
        <v>0.75</v>
      </c>
      <c r="D12" s="11">
        <v>0.75</v>
      </c>
      <c r="E12" s="11">
        <v>0.75</v>
      </c>
      <c r="F12" s="11">
        <v>0.75</v>
      </c>
      <c r="G12" s="11">
        <v>0.75</v>
      </c>
      <c r="H12" s="2"/>
      <c r="I12" s="4" t="s">
        <v>65</v>
      </c>
      <c r="J12" s="20">
        <v>190.0</v>
      </c>
      <c r="K12" s="27" t="s">
        <v>66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67</v>
      </c>
      <c r="B13" s="8"/>
      <c r="C13" s="8">
        <f t="shared" ref="C13:G13" si="7">ROUND(C12*C11,0)</f>
        <v>360</v>
      </c>
      <c r="D13" s="8">
        <f t="shared" si="7"/>
        <v>945</v>
      </c>
      <c r="E13" s="8">
        <f t="shared" si="7"/>
        <v>1766</v>
      </c>
      <c r="F13" s="8">
        <f t="shared" si="7"/>
        <v>2872</v>
      </c>
      <c r="G13" s="8">
        <f t="shared" si="7"/>
        <v>5083</v>
      </c>
      <c r="H13" s="2"/>
      <c r="I13" s="17" t="s">
        <v>68</v>
      </c>
      <c r="J13" s="21">
        <v>0.1</v>
      </c>
      <c r="K13" s="1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59</v>
      </c>
      <c r="B14" s="28"/>
      <c r="C14" s="28">
        <f t="shared" ref="C14:G14" si="8">$J9</f>
        <v>60000</v>
      </c>
      <c r="D14" s="28">
        <f t="shared" si="8"/>
        <v>60000</v>
      </c>
      <c r="E14" s="28">
        <f t="shared" si="8"/>
        <v>60000</v>
      </c>
      <c r="F14" s="28">
        <f t="shared" si="8"/>
        <v>60000</v>
      </c>
      <c r="G14" s="28">
        <f t="shared" si="8"/>
        <v>60000</v>
      </c>
      <c r="H14" s="2"/>
      <c r="I14" s="4" t="s">
        <v>69</v>
      </c>
      <c r="J14" s="12">
        <v>0.4</v>
      </c>
      <c r="K14" s="24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70</v>
      </c>
      <c r="B15" s="29"/>
      <c r="C15" s="29">
        <f t="shared" ref="C15:G15" si="9">C13*C14</f>
        <v>21600000</v>
      </c>
      <c r="D15" s="29">
        <f t="shared" si="9"/>
        <v>56700000</v>
      </c>
      <c r="E15" s="29">
        <f t="shared" si="9"/>
        <v>105960000</v>
      </c>
      <c r="F15" s="29">
        <f t="shared" si="9"/>
        <v>172320000</v>
      </c>
      <c r="G15" s="29">
        <f t="shared" si="9"/>
        <v>304980000</v>
      </c>
      <c r="H15" s="2"/>
      <c r="I15" s="4" t="s">
        <v>71</v>
      </c>
      <c r="J15" s="13">
        <v>0.0025</v>
      </c>
      <c r="K15" s="1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72</v>
      </c>
      <c r="B16" s="13"/>
      <c r="C16" s="13">
        <f>$J10-5%</f>
        <v>0.2</v>
      </c>
      <c r="D16" s="13">
        <f t="shared" ref="D16:G16" si="10">$J10</f>
        <v>0.25</v>
      </c>
      <c r="E16" s="13">
        <f t="shared" si="10"/>
        <v>0.25</v>
      </c>
      <c r="F16" s="13">
        <f t="shared" si="10"/>
        <v>0.25</v>
      </c>
      <c r="G16" s="13">
        <f t="shared" si="10"/>
        <v>0.25</v>
      </c>
      <c r="H16" s="2"/>
      <c r="I16" s="4" t="s">
        <v>73</v>
      </c>
      <c r="J16" s="30">
        <v>8000.0</v>
      </c>
      <c r="K16" s="19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74</v>
      </c>
      <c r="B17" s="31"/>
      <c r="C17" s="32">
        <f t="shared" ref="C17:G17" si="11">C15*C16</f>
        <v>4320000</v>
      </c>
      <c r="D17" s="32">
        <f t="shared" si="11"/>
        <v>14175000</v>
      </c>
      <c r="E17" s="32">
        <f t="shared" si="11"/>
        <v>26490000</v>
      </c>
      <c r="F17" s="32">
        <f t="shared" si="11"/>
        <v>43080000</v>
      </c>
      <c r="G17" s="32">
        <f t="shared" si="11"/>
        <v>76245000</v>
      </c>
      <c r="H17" s="2"/>
      <c r="I17" s="4" t="s">
        <v>75</v>
      </c>
      <c r="J17" s="12">
        <v>0.05</v>
      </c>
      <c r="K17" s="19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/>
      <c r="B18" s="33"/>
      <c r="C18" s="33"/>
      <c r="D18" s="33"/>
      <c r="E18" s="33"/>
      <c r="F18" s="33"/>
      <c r="G18" s="33"/>
      <c r="H18" s="2"/>
      <c r="I18" s="4" t="s">
        <v>76</v>
      </c>
      <c r="J18" s="25">
        <v>1652200.0</v>
      </c>
      <c r="K18" s="7" t="s">
        <v>77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78</v>
      </c>
      <c r="B19" s="25"/>
      <c r="C19" s="25">
        <f t="shared" ref="C19:G19" si="12">$J11</f>
        <v>3000</v>
      </c>
      <c r="D19" s="25">
        <f t="shared" si="12"/>
        <v>3000</v>
      </c>
      <c r="E19" s="25">
        <f t="shared" si="12"/>
        <v>3000</v>
      </c>
      <c r="F19" s="25">
        <f t="shared" si="12"/>
        <v>3000</v>
      </c>
      <c r="G19" s="25">
        <f t="shared" si="12"/>
        <v>3000</v>
      </c>
      <c r="H19" s="2"/>
      <c r="I19" s="17" t="s">
        <v>79</v>
      </c>
      <c r="J19" s="12">
        <v>0.2</v>
      </c>
      <c r="K19" s="34" t="s">
        <v>80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81</v>
      </c>
      <c r="B20" s="32"/>
      <c r="C20" s="32">
        <f t="shared" ref="C20:G20" si="13">C19 * C13</f>
        <v>1080000</v>
      </c>
      <c r="D20" s="32">
        <f t="shared" si="13"/>
        <v>2835000</v>
      </c>
      <c r="E20" s="32">
        <f t="shared" si="13"/>
        <v>5298000</v>
      </c>
      <c r="F20" s="32">
        <f t="shared" si="13"/>
        <v>8616000</v>
      </c>
      <c r="G20" s="32">
        <f t="shared" si="13"/>
        <v>15249000</v>
      </c>
      <c r="H20" s="2"/>
      <c r="I20" s="4" t="s">
        <v>82</v>
      </c>
      <c r="J20" s="16">
        <v>200000.0</v>
      </c>
      <c r="K20" s="27" t="s">
        <v>83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/>
      <c r="B21" s="15"/>
      <c r="C21" s="15"/>
      <c r="D21" s="15"/>
      <c r="E21" s="15"/>
      <c r="F21" s="15"/>
      <c r="G21" s="15"/>
      <c r="H21" s="2"/>
      <c r="I21" s="17" t="s">
        <v>84</v>
      </c>
      <c r="J21" s="35">
        <v>0.3</v>
      </c>
      <c r="K21" s="19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85</v>
      </c>
      <c r="B22" s="29"/>
      <c r="C22" s="29">
        <f t="shared" ref="C22:G22" si="14">(C5 * $J13) * $J12</f>
        <v>4609248</v>
      </c>
      <c r="D22" s="29">
        <f t="shared" si="14"/>
        <v>11034535</v>
      </c>
      <c r="E22" s="29">
        <f t="shared" si="14"/>
        <v>18263389</v>
      </c>
      <c r="F22" s="29">
        <f t="shared" si="14"/>
        <v>26372342</v>
      </c>
      <c r="G22" s="29">
        <f t="shared" si="14"/>
        <v>35444424</v>
      </c>
      <c r="H22" s="2"/>
      <c r="I22" s="17" t="s">
        <v>86</v>
      </c>
      <c r="J22" s="36">
        <v>0.07</v>
      </c>
      <c r="K22" s="19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4" t="s">
        <v>69</v>
      </c>
      <c r="B23" s="37"/>
      <c r="C23" s="37">
        <f t="shared" ref="C23:G23" si="15">$J14</f>
        <v>0.4</v>
      </c>
      <c r="D23" s="37">
        <f t="shared" si="15"/>
        <v>0.4</v>
      </c>
      <c r="E23" s="37">
        <f t="shared" si="15"/>
        <v>0.4</v>
      </c>
      <c r="F23" s="37">
        <f t="shared" si="15"/>
        <v>0.4</v>
      </c>
      <c r="G23" s="37">
        <f t="shared" si="15"/>
        <v>0.4</v>
      </c>
      <c r="H23" s="2"/>
      <c r="I23" s="4" t="s">
        <v>87</v>
      </c>
      <c r="J23" s="38">
        <v>200000.0</v>
      </c>
      <c r="K23" s="27" t="s">
        <v>88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9" t="s">
        <v>89</v>
      </c>
      <c r="B24" s="40"/>
      <c r="C24" s="40">
        <f t="shared" ref="C24:G24" si="16">C22 * C23</f>
        <v>1843699.2</v>
      </c>
      <c r="D24" s="40">
        <f t="shared" si="16"/>
        <v>4413814</v>
      </c>
      <c r="E24" s="40">
        <f t="shared" si="16"/>
        <v>7305355.6</v>
      </c>
      <c r="F24" s="40">
        <f t="shared" si="16"/>
        <v>10548936.8</v>
      </c>
      <c r="G24" s="40">
        <f t="shared" si="16"/>
        <v>14177769.6</v>
      </c>
      <c r="H24" s="2"/>
      <c r="I24" s="4" t="s">
        <v>90</v>
      </c>
      <c r="J24" s="16">
        <v>100000.0</v>
      </c>
      <c r="K24" s="19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1" t="s">
        <v>91</v>
      </c>
      <c r="B25" s="42">
        <f t="shared" ref="B25:G25" si="17">B17 + B24 + B20</f>
        <v>0</v>
      </c>
      <c r="C25" s="42">
        <f t="shared" si="17"/>
        <v>7243699.2</v>
      </c>
      <c r="D25" s="42">
        <f t="shared" si="17"/>
        <v>21423814</v>
      </c>
      <c r="E25" s="42">
        <f t="shared" si="17"/>
        <v>39093355.6</v>
      </c>
      <c r="F25" s="42">
        <f t="shared" si="17"/>
        <v>62244936.8</v>
      </c>
      <c r="G25" s="42">
        <f t="shared" si="17"/>
        <v>105671769.6</v>
      </c>
      <c r="H25" s="2"/>
      <c r="I25" s="4" t="s">
        <v>92</v>
      </c>
      <c r="J25" s="23">
        <v>3000.0</v>
      </c>
      <c r="K25" s="19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H26" s="2"/>
      <c r="I26" s="4" t="s">
        <v>93</v>
      </c>
      <c r="J26" s="25">
        <v>2000000.0</v>
      </c>
      <c r="K26" s="7" t="s">
        <v>94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 t="s">
        <v>95</v>
      </c>
      <c r="B27" s="4"/>
      <c r="C27" s="4"/>
      <c r="D27" s="4"/>
      <c r="E27" s="4"/>
      <c r="F27" s="4"/>
      <c r="G27" s="4"/>
      <c r="H27" s="2"/>
      <c r="I27" s="4" t="s">
        <v>96</v>
      </c>
      <c r="J27" s="6">
        <v>800.0</v>
      </c>
      <c r="K27" s="19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 t="s">
        <v>97</v>
      </c>
      <c r="B28" s="25">
        <f t="shared" ref="B28:G28" si="18">-$J15 * B15</f>
        <v>0</v>
      </c>
      <c r="C28" s="25">
        <f t="shared" si="18"/>
        <v>-54000</v>
      </c>
      <c r="D28" s="25">
        <f t="shared" si="18"/>
        <v>-141750</v>
      </c>
      <c r="E28" s="25">
        <f t="shared" si="18"/>
        <v>-264900</v>
      </c>
      <c r="F28" s="25">
        <f t="shared" si="18"/>
        <v>-430800</v>
      </c>
      <c r="G28" s="25">
        <f t="shared" si="18"/>
        <v>-762450</v>
      </c>
      <c r="H28" s="2"/>
      <c r="I28" s="4" t="s">
        <v>98</v>
      </c>
      <c r="J28" s="6">
        <v>144.15</v>
      </c>
      <c r="K28" s="26" t="s">
        <v>99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 t="s">
        <v>100</v>
      </c>
      <c r="B29" s="29">
        <f t="shared" ref="B29:G29" si="19">-$J16 *B9</f>
        <v>0</v>
      </c>
      <c r="C29" s="29">
        <f t="shared" si="19"/>
        <v>-64000</v>
      </c>
      <c r="D29" s="29">
        <f t="shared" si="19"/>
        <v>-152000</v>
      </c>
      <c r="E29" s="29">
        <f t="shared" si="19"/>
        <v>-272000</v>
      </c>
      <c r="F29" s="29">
        <f t="shared" si="19"/>
        <v>-432000</v>
      </c>
      <c r="G29" s="29">
        <f t="shared" si="19"/>
        <v>-776000</v>
      </c>
      <c r="H29" s="2"/>
      <c r="I29" s="43" t="s">
        <v>101</v>
      </c>
      <c r="J29" s="44">
        <v>3.3</v>
      </c>
      <c r="K29" s="34" t="s">
        <v>102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1" t="s">
        <v>103</v>
      </c>
      <c r="B30" s="42">
        <f t="shared" ref="B30:G30" si="20">B25 + B28 + B29</f>
        <v>0</v>
      </c>
      <c r="C30" s="42">
        <f t="shared" si="20"/>
        <v>7125699.2</v>
      </c>
      <c r="D30" s="42">
        <f t="shared" si="20"/>
        <v>21130064</v>
      </c>
      <c r="E30" s="42">
        <f t="shared" si="20"/>
        <v>38556455.6</v>
      </c>
      <c r="F30" s="42">
        <f t="shared" si="20"/>
        <v>61382136.8</v>
      </c>
      <c r="G30" s="42">
        <f t="shared" si="20"/>
        <v>104133319.6</v>
      </c>
      <c r="H30" s="2"/>
      <c r="I30" s="17" t="s">
        <v>104</v>
      </c>
      <c r="J30" s="23">
        <v>70000.0</v>
      </c>
      <c r="K30" s="34" t="s">
        <v>105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17" t="s">
        <v>106</v>
      </c>
      <c r="J31" s="45">
        <v>40000.0</v>
      </c>
      <c r="K31" s="34" t="s">
        <v>105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4" t="s">
        <v>107</v>
      </c>
      <c r="J32" s="38">
        <v>500000.0</v>
      </c>
      <c r="K32" s="4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" t="s">
        <v>108</v>
      </c>
      <c r="B33" s="4"/>
      <c r="C33" s="4"/>
      <c r="D33" s="4"/>
      <c r="E33" s="4"/>
      <c r="F33" s="4"/>
      <c r="G33" s="4"/>
      <c r="H33" s="2"/>
      <c r="I33" s="19"/>
      <c r="J33" s="19"/>
      <c r="K33" s="19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 t="s">
        <v>109</v>
      </c>
      <c r="B34" s="29">
        <f t="shared" ref="B34:G34" si="21">-$J17*B30</f>
        <v>0</v>
      </c>
      <c r="C34" s="29">
        <f t="shared" si="21"/>
        <v>-356284.96</v>
      </c>
      <c r="D34" s="29">
        <f t="shared" si="21"/>
        <v>-1056503.2</v>
      </c>
      <c r="E34" s="29">
        <f t="shared" si="21"/>
        <v>-1927822.78</v>
      </c>
      <c r="F34" s="29">
        <f t="shared" si="21"/>
        <v>-3069106.84</v>
      </c>
      <c r="G34" s="29">
        <f t="shared" si="21"/>
        <v>-5206665.98</v>
      </c>
      <c r="H34" s="2"/>
      <c r="I34" s="5" t="s">
        <v>110</v>
      </c>
      <c r="J34" s="46" t="s">
        <v>111</v>
      </c>
      <c r="K34" s="19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 t="s">
        <v>76</v>
      </c>
      <c r="B35" s="25">
        <f>-$J18</f>
        <v>-1652200</v>
      </c>
      <c r="C35" s="33" t="s">
        <v>112</v>
      </c>
      <c r="D35" s="33" t="s">
        <v>112</v>
      </c>
      <c r="E35" s="33" t="s">
        <v>112</v>
      </c>
      <c r="F35" s="33" t="s">
        <v>112</v>
      </c>
      <c r="G35" s="33" t="s">
        <v>112</v>
      </c>
      <c r="H35" s="2"/>
      <c r="I35" s="4" t="s">
        <v>113</v>
      </c>
      <c r="J35" s="25">
        <v>200000.0</v>
      </c>
      <c r="K35" s="19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 t="s">
        <v>114</v>
      </c>
      <c r="B36" s="33" t="s">
        <v>112</v>
      </c>
      <c r="C36" s="29">
        <f>$J19*B35</f>
        <v>-330440</v>
      </c>
      <c r="D36" s="29">
        <f>$J19*B35</f>
        <v>-330440</v>
      </c>
      <c r="E36" s="29">
        <f>$J19*B35</f>
        <v>-330440</v>
      </c>
      <c r="F36" s="29">
        <f>$J19*B35</f>
        <v>-330440</v>
      </c>
      <c r="G36" s="29">
        <f>$J19*B35</f>
        <v>-330440</v>
      </c>
      <c r="H36" s="2"/>
      <c r="I36" s="4" t="s">
        <v>10</v>
      </c>
      <c r="J36" s="47">
        <v>100000.0</v>
      </c>
      <c r="K36" s="19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4" t="s">
        <v>3</v>
      </c>
      <c r="B37" s="25">
        <f>-J20</f>
        <v>-200000</v>
      </c>
      <c r="C37" s="25">
        <f t="shared" ref="C37:G37" si="22">-$J20</f>
        <v>-200000</v>
      </c>
      <c r="D37" s="25">
        <f t="shared" si="22"/>
        <v>-200000</v>
      </c>
      <c r="E37" s="25">
        <f t="shared" si="22"/>
        <v>-200000</v>
      </c>
      <c r="F37" s="25">
        <f t="shared" si="22"/>
        <v>-200000</v>
      </c>
      <c r="G37" s="25">
        <f t="shared" si="22"/>
        <v>-200000</v>
      </c>
      <c r="H37" s="2"/>
      <c r="I37" s="4" t="s">
        <v>115</v>
      </c>
      <c r="J37" s="23">
        <v>90000.0</v>
      </c>
      <c r="K37" s="26" t="s">
        <v>116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/>
      <c r="B38" s="4"/>
      <c r="C38" s="4"/>
      <c r="D38" s="4"/>
      <c r="E38" s="4"/>
      <c r="F38" s="4"/>
      <c r="G38" s="4"/>
      <c r="H38" s="2"/>
      <c r="I38" s="4" t="s">
        <v>117</v>
      </c>
      <c r="J38" s="25">
        <v>40000.0</v>
      </c>
      <c r="K38" s="26" t="s">
        <v>118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7" t="s">
        <v>119</v>
      </c>
      <c r="B39" s="8">
        <f>0</f>
        <v>0</v>
      </c>
      <c r="C39" s="8">
        <f t="shared" ref="C39:G39" si="23">ROUND(C11*$J21,0)</f>
        <v>144</v>
      </c>
      <c r="D39" s="8">
        <f t="shared" si="23"/>
        <v>378</v>
      </c>
      <c r="E39" s="8">
        <f t="shared" si="23"/>
        <v>707</v>
      </c>
      <c r="F39" s="8">
        <f t="shared" si="23"/>
        <v>1149</v>
      </c>
      <c r="G39" s="8">
        <f t="shared" si="23"/>
        <v>2033</v>
      </c>
      <c r="H39" s="2"/>
      <c r="I39" s="4" t="s">
        <v>120</v>
      </c>
      <c r="J39" s="25">
        <v>80000.0</v>
      </c>
      <c r="K39" s="26" t="s">
        <v>121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 t="s">
        <v>122</v>
      </c>
      <c r="B40" s="8">
        <f t="shared" ref="B40:G40" si="24">IF(ROUND(B39/$J25,0) &lt; 1, 1, ROUND(B39/$J25,0))</f>
        <v>1</v>
      </c>
      <c r="C40" s="8">
        <f t="shared" si="24"/>
        <v>1</v>
      </c>
      <c r="D40" s="8">
        <f t="shared" si="24"/>
        <v>1</v>
      </c>
      <c r="E40" s="8">
        <f t="shared" si="24"/>
        <v>1</v>
      </c>
      <c r="F40" s="8">
        <f t="shared" si="24"/>
        <v>1</v>
      </c>
      <c r="G40" s="8">
        <f t="shared" si="24"/>
        <v>1</v>
      </c>
      <c r="H40" s="2"/>
      <c r="I40" s="4" t="s">
        <v>123</v>
      </c>
      <c r="J40" s="23">
        <v>70000.0</v>
      </c>
      <c r="K40" s="26" t="s">
        <v>124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 t="s">
        <v>125</v>
      </c>
      <c r="B41" s="29">
        <f t="shared" ref="B41:G41" si="25">-$J23*B40*12</f>
        <v>-2400000</v>
      </c>
      <c r="C41" s="29">
        <f t="shared" si="25"/>
        <v>-2400000</v>
      </c>
      <c r="D41" s="29">
        <f t="shared" si="25"/>
        <v>-2400000</v>
      </c>
      <c r="E41" s="29">
        <f t="shared" si="25"/>
        <v>-2400000</v>
      </c>
      <c r="F41" s="29">
        <f t="shared" si="25"/>
        <v>-2400000</v>
      </c>
      <c r="G41" s="29">
        <f t="shared" si="25"/>
        <v>-2400000</v>
      </c>
      <c r="H41" s="2"/>
      <c r="I41" s="4" t="s">
        <v>20</v>
      </c>
      <c r="J41" s="25">
        <v>60000.0</v>
      </c>
      <c r="K41" s="26" t="s">
        <v>126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 t="s">
        <v>90</v>
      </c>
      <c r="B42" s="29">
        <f t="shared" ref="B42:G42" si="26">-$J24 * B40</f>
        <v>-100000</v>
      </c>
      <c r="C42" s="29">
        <f t="shared" si="26"/>
        <v>-100000</v>
      </c>
      <c r="D42" s="29">
        <f t="shared" si="26"/>
        <v>-100000</v>
      </c>
      <c r="E42" s="29">
        <f t="shared" si="26"/>
        <v>-100000</v>
      </c>
      <c r="F42" s="29">
        <f t="shared" si="26"/>
        <v>-100000</v>
      </c>
      <c r="G42" s="29">
        <f t="shared" si="26"/>
        <v>-100000</v>
      </c>
      <c r="H42" s="2"/>
      <c r="I42" s="4" t="s">
        <v>29</v>
      </c>
      <c r="J42" s="25">
        <v>50000.0</v>
      </c>
      <c r="K42" s="26" t="s">
        <v>127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9"/>
      <c r="B43" s="19"/>
      <c r="C43" s="19"/>
      <c r="D43" s="19"/>
      <c r="E43" s="19"/>
      <c r="F43" s="19"/>
      <c r="G43" s="19"/>
      <c r="H43" s="2"/>
      <c r="I43" s="4"/>
      <c r="J43" s="4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 t="s">
        <v>128</v>
      </c>
      <c r="B44" s="8">
        <f t="shared" ref="B44:G44" si="27">IF(ROUND(B13/$J27,0) &lt; 1, 1, ROUND(B13/$J27,0))</f>
        <v>1</v>
      </c>
      <c r="C44" s="8">
        <f t="shared" si="27"/>
        <v>1</v>
      </c>
      <c r="D44" s="8">
        <f t="shared" si="27"/>
        <v>1</v>
      </c>
      <c r="E44" s="8">
        <f t="shared" si="27"/>
        <v>2</v>
      </c>
      <c r="F44" s="8">
        <f t="shared" si="27"/>
        <v>4</v>
      </c>
      <c r="G44" s="8">
        <f t="shared" si="27"/>
        <v>6</v>
      </c>
      <c r="H44" s="2"/>
      <c r="I44" s="4" t="s">
        <v>129</v>
      </c>
      <c r="J44" s="21">
        <v>0.1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 t="s">
        <v>130</v>
      </c>
      <c r="B45" s="29">
        <f>ROUND(-$J26 * B44,0)</f>
        <v>-2000000</v>
      </c>
      <c r="C45" s="29">
        <f>(-$J26 * C44) - (B45)</f>
        <v>0</v>
      </c>
      <c r="D45" s="29">
        <f>-IF(D44=C44,0,J26 * (D44-C44))</f>
        <v>0</v>
      </c>
      <c r="E45" s="29">
        <f t="shared" ref="E45:G45" si="28">-IF(E44=D44,0,$J26 * (E44-D44))</f>
        <v>-2000000</v>
      </c>
      <c r="F45" s="29">
        <f t="shared" si="28"/>
        <v>-4000000</v>
      </c>
      <c r="G45" s="29">
        <f t="shared" si="28"/>
        <v>-4000000</v>
      </c>
      <c r="H45" s="2"/>
      <c r="I45" s="4" t="s">
        <v>131</v>
      </c>
      <c r="J45" s="21">
        <v>0.1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7" t="s">
        <v>132</v>
      </c>
      <c r="B46" s="48"/>
      <c r="C46" s="16">
        <f t="shared" ref="C46:G46" si="29">ROUND($J31*C44,0)</f>
        <v>40000</v>
      </c>
      <c r="D46" s="16">
        <f t="shared" si="29"/>
        <v>40000</v>
      </c>
      <c r="E46" s="16">
        <f t="shared" si="29"/>
        <v>80000</v>
      </c>
      <c r="F46" s="16">
        <f t="shared" si="29"/>
        <v>160000</v>
      </c>
      <c r="G46" s="16">
        <f t="shared" si="29"/>
        <v>240000</v>
      </c>
      <c r="H46" s="2"/>
      <c r="I46" s="4"/>
      <c r="J46" s="20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 t="s">
        <v>133</v>
      </c>
      <c r="B47" s="12">
        <v>0.0</v>
      </c>
      <c r="C47" s="21">
        <v>0.2</v>
      </c>
      <c r="D47" s="21">
        <v>0.2</v>
      </c>
      <c r="E47" s="21">
        <v>0.2</v>
      </c>
      <c r="F47" s="21">
        <v>0.2</v>
      </c>
      <c r="G47" s="21">
        <v>0.2</v>
      </c>
      <c r="H47" s="2"/>
      <c r="I47" s="4" t="s">
        <v>134</v>
      </c>
      <c r="J47" s="20">
        <v>150.0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 t="s">
        <v>135</v>
      </c>
      <c r="B48" s="29">
        <f>ROUND(-$J26 * B47 * (B44-1),0)</f>
        <v>0</v>
      </c>
      <c r="C48" s="29">
        <f t="shared" ref="C48:G48" si="30">ROUND(C44*$J26*C47,0)</f>
        <v>400000</v>
      </c>
      <c r="D48" s="29">
        <f t="shared" si="30"/>
        <v>400000</v>
      </c>
      <c r="E48" s="29">
        <f t="shared" si="30"/>
        <v>800000</v>
      </c>
      <c r="F48" s="29">
        <f t="shared" si="30"/>
        <v>1600000</v>
      </c>
      <c r="G48" s="29">
        <f t="shared" si="30"/>
        <v>2400000</v>
      </c>
      <c r="H48" s="2"/>
      <c r="I48" s="4" t="s">
        <v>136</v>
      </c>
      <c r="J48" s="6">
        <v>150.0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 t="s">
        <v>137</v>
      </c>
      <c r="B49" s="25">
        <f t="shared" ref="B49:G49" si="31">-$J32</f>
        <v>-500000</v>
      </c>
      <c r="C49" s="25">
        <f t="shared" si="31"/>
        <v>-500000</v>
      </c>
      <c r="D49" s="25">
        <f t="shared" si="31"/>
        <v>-500000</v>
      </c>
      <c r="E49" s="25">
        <f t="shared" si="31"/>
        <v>-500000</v>
      </c>
      <c r="F49" s="25">
        <f t="shared" si="31"/>
        <v>-500000</v>
      </c>
      <c r="G49" s="25">
        <f t="shared" si="31"/>
        <v>-500000</v>
      </c>
      <c r="H49" s="2"/>
      <c r="I49" s="4" t="s">
        <v>138</v>
      </c>
      <c r="J49" s="20">
        <v>150.0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1" t="s">
        <v>139</v>
      </c>
      <c r="B50" s="42">
        <f t="shared" ref="B50:G50" si="32">SUM(B41:B42) + B45 + B48 + B49 + SUM(B34:B37)</f>
        <v>-6852200</v>
      </c>
      <c r="C50" s="42">
        <f t="shared" si="32"/>
        <v>-3486724.96</v>
      </c>
      <c r="D50" s="42">
        <f t="shared" si="32"/>
        <v>-4186943.2</v>
      </c>
      <c r="E50" s="42">
        <f t="shared" si="32"/>
        <v>-6658262.78</v>
      </c>
      <c r="F50" s="42">
        <f t="shared" si="32"/>
        <v>-8999546.84</v>
      </c>
      <c r="G50" s="42">
        <f t="shared" si="32"/>
        <v>-10337105.98</v>
      </c>
      <c r="H50" s="2"/>
      <c r="I50" s="4" t="s">
        <v>140</v>
      </c>
      <c r="J50" s="6">
        <v>100.0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H51" s="2"/>
      <c r="I51" s="4" t="s">
        <v>141</v>
      </c>
      <c r="J51" s="20">
        <v>25.0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 t="s">
        <v>142</v>
      </c>
      <c r="B52" s="4"/>
      <c r="C52" s="4"/>
      <c r="D52" s="4"/>
      <c r="E52" s="4"/>
      <c r="F52" s="4"/>
      <c r="G52" s="4"/>
      <c r="H52" s="2"/>
      <c r="I52" s="4" t="s">
        <v>143</v>
      </c>
      <c r="J52" s="20">
        <v>250.0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 t="s">
        <v>113</v>
      </c>
      <c r="B53" s="6">
        <v>5.0</v>
      </c>
      <c r="C53" s="49">
        <f t="shared" ref="C53:G53" si="33">ROUND(B53* (1 + $J45),0)</f>
        <v>6</v>
      </c>
      <c r="D53" s="22">
        <f t="shared" si="33"/>
        <v>7</v>
      </c>
      <c r="E53" s="22">
        <f t="shared" si="33"/>
        <v>8</v>
      </c>
      <c r="F53" s="22">
        <f t="shared" si="33"/>
        <v>9</v>
      </c>
      <c r="G53" s="22">
        <f t="shared" si="33"/>
        <v>10</v>
      </c>
      <c r="H53" s="2"/>
      <c r="I53" s="17" t="s">
        <v>144</v>
      </c>
      <c r="J53" s="50">
        <v>5.0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 t="s">
        <v>10</v>
      </c>
      <c r="B54" s="6">
        <f>2</f>
        <v>2</v>
      </c>
      <c r="C54" s="22">
        <f t="shared" ref="C54:G54" si="34">IF(ROUND(C13/$J49,0) &gt; 0,ROUND(C13/$J49,0),$B54)</f>
        <v>2</v>
      </c>
      <c r="D54" s="22">
        <f t="shared" si="34"/>
        <v>6</v>
      </c>
      <c r="E54" s="22">
        <f t="shared" si="34"/>
        <v>12</v>
      </c>
      <c r="F54" s="22">
        <f t="shared" si="34"/>
        <v>19</v>
      </c>
      <c r="G54" s="22">
        <f t="shared" si="34"/>
        <v>34</v>
      </c>
      <c r="H54" s="2"/>
      <c r="I54" s="17" t="s">
        <v>145</v>
      </c>
      <c r="J54" s="50">
        <f>2</f>
        <v>2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 t="s">
        <v>20</v>
      </c>
      <c r="B55" s="6">
        <f>1</f>
        <v>1</v>
      </c>
      <c r="C55" s="22">
        <f t="shared" ref="C55:G55" si="35">IF(ROUND(C13/$J52,0) &gt; 0, ROUND(C13/$J52,0), $B55)</f>
        <v>1</v>
      </c>
      <c r="D55" s="22">
        <f t="shared" si="35"/>
        <v>4</v>
      </c>
      <c r="E55" s="22">
        <f t="shared" si="35"/>
        <v>7</v>
      </c>
      <c r="F55" s="22">
        <f t="shared" si="35"/>
        <v>11</v>
      </c>
      <c r="G55" s="22">
        <f t="shared" si="35"/>
        <v>20</v>
      </c>
      <c r="H55" s="2"/>
      <c r="I55" s="17" t="s">
        <v>146</v>
      </c>
      <c r="J55" s="50">
        <f>1</f>
        <v>1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 t="s">
        <v>115</v>
      </c>
      <c r="B56" s="6">
        <f t="shared" ref="B56:B57" si="37">2</f>
        <v>2</v>
      </c>
      <c r="C56" s="22">
        <f t="shared" ref="C56:G56" si="36">IF(ROUND(C13/$J48,0) &gt; 0, ROUND(C13/$J48,0), $B56)</f>
        <v>2</v>
      </c>
      <c r="D56" s="22">
        <f t="shared" si="36"/>
        <v>6</v>
      </c>
      <c r="E56" s="22">
        <f t="shared" si="36"/>
        <v>12</v>
      </c>
      <c r="F56" s="22">
        <f t="shared" si="36"/>
        <v>19</v>
      </c>
      <c r="G56" s="22">
        <f t="shared" si="36"/>
        <v>34</v>
      </c>
      <c r="H56" s="2"/>
      <c r="I56" s="17" t="s">
        <v>147</v>
      </c>
      <c r="J56" s="50">
        <f t="shared" ref="J56:J57" si="39">2</f>
        <v>2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 t="s">
        <v>29</v>
      </c>
      <c r="B57" s="6">
        <f t="shared" si="37"/>
        <v>2</v>
      </c>
      <c r="C57" s="22">
        <f t="shared" ref="C57:G57" si="38">If(ROUND(C13/$J50,0) &gt; 0, ROUND(C13/$J50,0), $B57)</f>
        <v>4</v>
      </c>
      <c r="D57" s="22">
        <f t="shared" si="38"/>
        <v>9</v>
      </c>
      <c r="E57" s="22">
        <f t="shared" si="38"/>
        <v>18</v>
      </c>
      <c r="F57" s="22">
        <f t="shared" si="38"/>
        <v>29</v>
      </c>
      <c r="G57" s="22">
        <f t="shared" si="38"/>
        <v>51</v>
      </c>
      <c r="H57" s="2"/>
      <c r="I57" s="17" t="s">
        <v>148</v>
      </c>
      <c r="J57" s="50">
        <f t="shared" si="39"/>
        <v>2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 t="s">
        <v>117</v>
      </c>
      <c r="B58" s="6">
        <f>ROUND(B13/$J47,0)</f>
        <v>0</v>
      </c>
      <c r="C58" s="22">
        <f t="shared" ref="C58:G58" si="40">If(ROUND(C13/$J47,0) &gt; 0, ROUND(C13/$J47,0), 1)</f>
        <v>2</v>
      </c>
      <c r="D58" s="22">
        <f t="shared" si="40"/>
        <v>6</v>
      </c>
      <c r="E58" s="22">
        <f t="shared" si="40"/>
        <v>12</v>
      </c>
      <c r="F58" s="22">
        <f t="shared" si="40"/>
        <v>19</v>
      </c>
      <c r="G58" s="22">
        <f t="shared" si="40"/>
        <v>34</v>
      </c>
      <c r="H58" s="2"/>
      <c r="I58" s="17" t="s">
        <v>149</v>
      </c>
      <c r="J58" s="44">
        <v>2.0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 t="s">
        <v>120</v>
      </c>
      <c r="B59" s="6">
        <v>2.0</v>
      </c>
      <c r="C59" s="22">
        <f t="shared" ref="C59:G59" si="41">ROUND(B59*(1+$J44),0)</f>
        <v>2</v>
      </c>
      <c r="D59" s="22">
        <f t="shared" si="41"/>
        <v>2</v>
      </c>
      <c r="E59" s="22">
        <f t="shared" si="41"/>
        <v>2</v>
      </c>
      <c r="F59" s="22">
        <f t="shared" si="41"/>
        <v>2</v>
      </c>
      <c r="G59" s="22">
        <f t="shared" si="41"/>
        <v>2</v>
      </c>
      <c r="H59" s="2"/>
      <c r="I59" s="51" t="s">
        <v>150</v>
      </c>
      <c r="J59" s="4"/>
      <c r="K59" s="24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 t="s">
        <v>151</v>
      </c>
      <c r="B60" s="6">
        <f>ROUND(B9/$J51,0)</f>
        <v>0</v>
      </c>
      <c r="C60" s="22">
        <f t="shared" ref="C60:G60" si="42">IF(ROUND(C9/$J51,0) &gt; 0, ROUND(C9/$J51,0), 1)</f>
        <v>1</v>
      </c>
      <c r="D60" s="22">
        <f t="shared" si="42"/>
        <v>1</v>
      </c>
      <c r="E60" s="22">
        <f t="shared" si="42"/>
        <v>1</v>
      </c>
      <c r="F60" s="22">
        <f t="shared" si="42"/>
        <v>2</v>
      </c>
      <c r="G60" s="22">
        <f t="shared" si="42"/>
        <v>4</v>
      </c>
      <c r="H60" s="2"/>
      <c r="I60" s="4" t="s">
        <v>152</v>
      </c>
      <c r="K60" s="7" t="s">
        <v>153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4" t="s">
        <v>154</v>
      </c>
      <c r="B61" s="22">
        <f t="shared" ref="B61:G61" si="43">SUM(B53:B60)</f>
        <v>14</v>
      </c>
      <c r="C61" s="22">
        <f t="shared" si="43"/>
        <v>20</v>
      </c>
      <c r="D61" s="22">
        <f t="shared" si="43"/>
        <v>41</v>
      </c>
      <c r="E61" s="22">
        <f t="shared" si="43"/>
        <v>72</v>
      </c>
      <c r="F61" s="22">
        <f t="shared" si="43"/>
        <v>110</v>
      </c>
      <c r="G61" s="22">
        <f t="shared" si="43"/>
        <v>189</v>
      </c>
      <c r="H61" s="2"/>
      <c r="K61" s="52" t="s">
        <v>155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9"/>
      <c r="B62" s="19"/>
      <c r="C62" s="19"/>
      <c r="D62" s="19"/>
      <c r="E62" s="19"/>
      <c r="F62" s="19"/>
      <c r="G62" s="19"/>
      <c r="H62" s="2"/>
      <c r="I62" s="5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4" t="s">
        <v>156</v>
      </c>
      <c r="B63" s="4"/>
      <c r="C63" s="4"/>
      <c r="D63" s="4"/>
      <c r="E63" s="4"/>
      <c r="F63" s="4"/>
      <c r="G63" s="4"/>
      <c r="H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4" t="s">
        <v>157</v>
      </c>
      <c r="B64" s="54">
        <v>1.0</v>
      </c>
      <c r="C64" s="54">
        <f t="shared" ref="C64:G64" si="44">B64 + (1 * $J4)</f>
        <v>1.1</v>
      </c>
      <c r="D64" s="54">
        <f t="shared" si="44"/>
        <v>1.2</v>
      </c>
      <c r="E64" s="54">
        <f t="shared" si="44"/>
        <v>1.3</v>
      </c>
      <c r="F64" s="54">
        <f t="shared" si="44"/>
        <v>1.4</v>
      </c>
      <c r="G64" s="54">
        <f t="shared" si="44"/>
        <v>1.5</v>
      </c>
      <c r="H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" t="s">
        <v>113</v>
      </c>
      <c r="B65" s="29">
        <f t="shared" ref="B65:G65" si="45">ROUND(-$J35 * B53 * B64,0)</f>
        <v>-1000000</v>
      </c>
      <c r="C65" s="29">
        <f t="shared" si="45"/>
        <v>-1320000</v>
      </c>
      <c r="D65" s="29">
        <f t="shared" si="45"/>
        <v>-1680000</v>
      </c>
      <c r="E65" s="29">
        <f t="shared" si="45"/>
        <v>-2080000</v>
      </c>
      <c r="F65" s="29">
        <f t="shared" si="45"/>
        <v>-2520000</v>
      </c>
      <c r="G65" s="29">
        <f t="shared" si="45"/>
        <v>-3000000</v>
      </c>
      <c r="H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4" t="s">
        <v>10</v>
      </c>
      <c r="B66" s="29">
        <f t="shared" ref="B66:G66" si="46">ROUND(-$J36 * B54 * B64,0)</f>
        <v>-200000</v>
      </c>
      <c r="C66" s="29">
        <f t="shared" si="46"/>
        <v>-220000</v>
      </c>
      <c r="D66" s="29">
        <f t="shared" si="46"/>
        <v>-720000</v>
      </c>
      <c r="E66" s="29">
        <f t="shared" si="46"/>
        <v>-1560000</v>
      </c>
      <c r="F66" s="29">
        <f t="shared" si="46"/>
        <v>-2660000</v>
      </c>
      <c r="G66" s="29">
        <f t="shared" si="46"/>
        <v>-5100000</v>
      </c>
      <c r="H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" t="s">
        <v>115</v>
      </c>
      <c r="B67" s="29">
        <f t="shared" ref="B67:G67" si="47">ROUND(-$J37 * B56 * B64,0)</f>
        <v>-180000</v>
      </c>
      <c r="C67" s="29">
        <f t="shared" si="47"/>
        <v>-198000</v>
      </c>
      <c r="D67" s="29">
        <f t="shared" si="47"/>
        <v>-648000</v>
      </c>
      <c r="E67" s="29">
        <f t="shared" si="47"/>
        <v>-1404000</v>
      </c>
      <c r="F67" s="29">
        <f t="shared" si="47"/>
        <v>-2394000</v>
      </c>
      <c r="G67" s="29">
        <f t="shared" si="47"/>
        <v>-4590000</v>
      </c>
      <c r="H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" t="s">
        <v>29</v>
      </c>
      <c r="B68" s="29">
        <f t="shared" ref="B68:G68" si="48">ROUND(-$J42 * B57 * B64,0)</f>
        <v>-100000</v>
      </c>
      <c r="C68" s="29">
        <f t="shared" si="48"/>
        <v>-220000</v>
      </c>
      <c r="D68" s="29">
        <f t="shared" si="48"/>
        <v>-540000</v>
      </c>
      <c r="E68" s="29">
        <f t="shared" si="48"/>
        <v>-1170000</v>
      </c>
      <c r="F68" s="29">
        <f t="shared" si="48"/>
        <v>-2030000</v>
      </c>
      <c r="G68" s="29">
        <f t="shared" si="48"/>
        <v>-3825000</v>
      </c>
      <c r="H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 t="s">
        <v>117</v>
      </c>
      <c r="B69" s="29">
        <f t="shared" ref="B69:G69" si="49">ROUND(-$J38 * B58 * B64,0)</f>
        <v>0</v>
      </c>
      <c r="C69" s="29">
        <f t="shared" si="49"/>
        <v>-88000</v>
      </c>
      <c r="D69" s="29">
        <f t="shared" si="49"/>
        <v>-288000</v>
      </c>
      <c r="E69" s="29">
        <f t="shared" si="49"/>
        <v>-624000</v>
      </c>
      <c r="F69" s="29">
        <f t="shared" si="49"/>
        <v>-1064000</v>
      </c>
      <c r="G69" s="29">
        <f t="shared" si="49"/>
        <v>-2040000</v>
      </c>
      <c r="H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4" t="s">
        <v>120</v>
      </c>
      <c r="B70" s="29">
        <f t="shared" ref="B70:G70" si="50">ROUND(-$J39 * B59 * B64,0)</f>
        <v>-160000</v>
      </c>
      <c r="C70" s="29">
        <f t="shared" si="50"/>
        <v>-176000</v>
      </c>
      <c r="D70" s="29">
        <f t="shared" si="50"/>
        <v>-192000</v>
      </c>
      <c r="E70" s="29">
        <f t="shared" si="50"/>
        <v>-208000</v>
      </c>
      <c r="F70" s="29">
        <f t="shared" si="50"/>
        <v>-224000</v>
      </c>
      <c r="G70" s="29">
        <f t="shared" si="50"/>
        <v>-240000</v>
      </c>
      <c r="H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4" t="s">
        <v>151</v>
      </c>
      <c r="B71" s="29">
        <f t="shared" ref="B71:G71" si="51">ROUND(-$J40 * B60 * B64,0)</f>
        <v>0</v>
      </c>
      <c r="C71" s="29">
        <f t="shared" si="51"/>
        <v>-77000</v>
      </c>
      <c r="D71" s="29">
        <f t="shared" si="51"/>
        <v>-84000</v>
      </c>
      <c r="E71" s="29">
        <f t="shared" si="51"/>
        <v>-91000</v>
      </c>
      <c r="F71" s="29">
        <f t="shared" si="51"/>
        <v>-196000</v>
      </c>
      <c r="G71" s="29">
        <f t="shared" si="51"/>
        <v>-420000</v>
      </c>
      <c r="H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4" t="s">
        <v>20</v>
      </c>
      <c r="B72" s="29">
        <f t="shared" ref="B72:G72" si="52">ROUND(-$J41 * B55 * B64,0)</f>
        <v>-60000</v>
      </c>
      <c r="C72" s="29">
        <f t="shared" si="52"/>
        <v>-66000</v>
      </c>
      <c r="D72" s="29">
        <f t="shared" si="52"/>
        <v>-288000</v>
      </c>
      <c r="E72" s="29">
        <f t="shared" si="52"/>
        <v>-546000</v>
      </c>
      <c r="F72" s="29">
        <f t="shared" si="52"/>
        <v>-924000</v>
      </c>
      <c r="G72" s="29">
        <f t="shared" si="52"/>
        <v>-1800000</v>
      </c>
      <c r="H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1" t="s">
        <v>158</v>
      </c>
      <c r="B73" s="42">
        <f t="shared" ref="B73:G73" si="53">SUM(B65:B72)</f>
        <v>-1700000</v>
      </c>
      <c r="C73" s="42">
        <f t="shared" si="53"/>
        <v>-2365000</v>
      </c>
      <c r="D73" s="42">
        <f t="shared" si="53"/>
        <v>-4440000</v>
      </c>
      <c r="E73" s="42">
        <f t="shared" si="53"/>
        <v>-7683000</v>
      </c>
      <c r="F73" s="42">
        <f t="shared" si="53"/>
        <v>-12012000</v>
      </c>
      <c r="G73" s="42">
        <f t="shared" si="53"/>
        <v>-21015000</v>
      </c>
      <c r="H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H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4" t="s">
        <v>159</v>
      </c>
      <c r="B75" s="29">
        <v>-960000.0</v>
      </c>
      <c r="C75" s="29">
        <f t="shared" ref="C75:G75" si="54">(B75*C64)</f>
        <v>-1056000</v>
      </c>
      <c r="D75" s="29">
        <f t="shared" si="54"/>
        <v>-1267200</v>
      </c>
      <c r="E75" s="29">
        <f t="shared" si="54"/>
        <v>-1647360</v>
      </c>
      <c r="F75" s="29">
        <f t="shared" si="54"/>
        <v>-2306304</v>
      </c>
      <c r="G75" s="29">
        <f t="shared" si="54"/>
        <v>-3459456</v>
      </c>
      <c r="H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4" t="s">
        <v>160</v>
      </c>
      <c r="B76" s="29">
        <v>-1200000.0</v>
      </c>
      <c r="C76" s="29">
        <f t="shared" ref="C76:G76" si="55">B76*C64</f>
        <v>-1320000</v>
      </c>
      <c r="D76" s="29">
        <f t="shared" si="55"/>
        <v>-1584000</v>
      </c>
      <c r="E76" s="29">
        <f t="shared" si="55"/>
        <v>-2059200</v>
      </c>
      <c r="F76" s="29">
        <f t="shared" si="55"/>
        <v>-2882880</v>
      </c>
      <c r="G76" s="29">
        <f t="shared" si="55"/>
        <v>-4324320</v>
      </c>
      <c r="H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4" t="s">
        <v>161</v>
      </c>
      <c r="B77" s="29">
        <f>B40 * -500000</f>
        <v>-500000</v>
      </c>
      <c r="C77" s="29">
        <f t="shared" ref="C77:G77" si="56">B77*C64</f>
        <v>-550000</v>
      </c>
      <c r="D77" s="29">
        <f t="shared" si="56"/>
        <v>-660000</v>
      </c>
      <c r="E77" s="29">
        <f t="shared" si="56"/>
        <v>-858000</v>
      </c>
      <c r="F77" s="29">
        <f t="shared" si="56"/>
        <v>-1201200</v>
      </c>
      <c r="G77" s="29">
        <f t="shared" si="56"/>
        <v>-1801800</v>
      </c>
      <c r="H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4" t="s">
        <v>162</v>
      </c>
      <c r="B78" s="29">
        <f t="shared" ref="B78:G78" si="57">ROUND(-B55 * 12 * 5000,0)</f>
        <v>-60000</v>
      </c>
      <c r="C78" s="29">
        <f t="shared" si="57"/>
        <v>-60000</v>
      </c>
      <c r="D78" s="29">
        <f t="shared" si="57"/>
        <v>-240000</v>
      </c>
      <c r="E78" s="29">
        <f t="shared" si="57"/>
        <v>-420000</v>
      </c>
      <c r="F78" s="29">
        <f t="shared" si="57"/>
        <v>-660000</v>
      </c>
      <c r="G78" s="29">
        <f t="shared" si="57"/>
        <v>-1200000</v>
      </c>
      <c r="H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4" t="s">
        <v>163</v>
      </c>
      <c r="B79" s="55">
        <v>0.0</v>
      </c>
      <c r="C79" s="29">
        <f t="shared" ref="C79:G79" si="58">ROUND(-(C44 * ($J30 / $J29) * $J28),0)</f>
        <v>-3057727</v>
      </c>
      <c r="D79" s="29">
        <f t="shared" si="58"/>
        <v>-3057727</v>
      </c>
      <c r="E79" s="29">
        <f t="shared" si="58"/>
        <v>-6115455</v>
      </c>
      <c r="F79" s="29">
        <f t="shared" si="58"/>
        <v>-12230909</v>
      </c>
      <c r="G79" s="29">
        <f t="shared" si="58"/>
        <v>-18346364</v>
      </c>
      <c r="H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41" t="s">
        <v>164</v>
      </c>
      <c r="B80" s="42">
        <f t="shared" ref="B80:G80" si="59">SUM(B75:B79)</f>
        <v>-2720000</v>
      </c>
      <c r="C80" s="42">
        <f t="shared" si="59"/>
        <v>-6043727</v>
      </c>
      <c r="D80" s="42">
        <f t="shared" si="59"/>
        <v>-6808927</v>
      </c>
      <c r="E80" s="42">
        <f t="shared" si="59"/>
        <v>-11100015</v>
      </c>
      <c r="F80" s="42">
        <f t="shared" si="59"/>
        <v>-19281293</v>
      </c>
      <c r="G80" s="42">
        <f t="shared" si="59"/>
        <v>-29131940</v>
      </c>
      <c r="H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9" t="s">
        <v>165</v>
      </c>
      <c r="B81" s="56">
        <f t="shared" ref="B81:G81" si="60">ROUND(B50 + B73+B80,0)</f>
        <v>-11272200</v>
      </c>
      <c r="C81" s="56">
        <f t="shared" si="60"/>
        <v>-11895452</v>
      </c>
      <c r="D81" s="56">
        <f t="shared" si="60"/>
        <v>-15435870</v>
      </c>
      <c r="E81" s="56">
        <f t="shared" si="60"/>
        <v>-25441278</v>
      </c>
      <c r="F81" s="56">
        <f t="shared" si="60"/>
        <v>-40292840</v>
      </c>
      <c r="G81" s="56">
        <f t="shared" si="60"/>
        <v>-60484046</v>
      </c>
      <c r="H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41" t="s">
        <v>166</v>
      </c>
      <c r="B82" s="42">
        <f t="shared" ref="B82:G82" si="61">ROUND(B30 + B50 + B73 + B80,0)</f>
        <v>-11272200</v>
      </c>
      <c r="C82" s="42">
        <f t="shared" si="61"/>
        <v>-4769753</v>
      </c>
      <c r="D82" s="42">
        <f t="shared" si="61"/>
        <v>5694194</v>
      </c>
      <c r="E82" s="42">
        <f t="shared" si="61"/>
        <v>13115178</v>
      </c>
      <c r="F82" s="42">
        <f t="shared" si="61"/>
        <v>21089297</v>
      </c>
      <c r="G82" s="42">
        <f t="shared" si="61"/>
        <v>43649274</v>
      </c>
      <c r="H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E83" s="57"/>
      <c r="H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5" t="s">
        <v>167</v>
      </c>
      <c r="B84" s="4"/>
      <c r="C84" s="4"/>
      <c r="D84" s="4"/>
      <c r="E84" s="4"/>
      <c r="F84" s="4"/>
      <c r="G84" s="4"/>
      <c r="H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4" t="s">
        <v>168</v>
      </c>
      <c r="B85" s="33"/>
      <c r="C85" s="33" t="str">
        <f t="shared" ref="C85:G85" si="62">B85</f>
        <v/>
      </c>
      <c r="D85" s="33" t="str">
        <f t="shared" si="62"/>
        <v/>
      </c>
      <c r="E85" s="33" t="str">
        <f t="shared" si="62"/>
        <v/>
      </c>
      <c r="F85" s="33" t="str">
        <f t="shared" si="62"/>
        <v/>
      </c>
      <c r="G85" s="33" t="str">
        <f t="shared" si="62"/>
        <v/>
      </c>
      <c r="H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4" t="s">
        <v>169</v>
      </c>
      <c r="B86" s="58"/>
      <c r="C86" s="58"/>
      <c r="D86" s="58"/>
      <c r="E86" s="58"/>
      <c r="F86" s="58"/>
      <c r="G86" s="58"/>
      <c r="H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7" t="s">
        <v>170</v>
      </c>
      <c r="B87" s="58">
        <v>0.0</v>
      </c>
      <c r="C87" s="33">
        <f t="shared" ref="C87:G87" si="63">ROUND(C39 * C14,0)</f>
        <v>8640000</v>
      </c>
      <c r="D87" s="33">
        <f t="shared" si="63"/>
        <v>22680000</v>
      </c>
      <c r="E87" s="33">
        <f t="shared" si="63"/>
        <v>42420000</v>
      </c>
      <c r="F87" s="33">
        <f t="shared" si="63"/>
        <v>68940000</v>
      </c>
      <c r="G87" s="33">
        <f t="shared" si="63"/>
        <v>121980000</v>
      </c>
      <c r="H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7" t="s">
        <v>171</v>
      </c>
      <c r="B88" s="58">
        <v>0.0</v>
      </c>
      <c r="C88" s="33">
        <f t="shared" ref="C88:G88" si="64">C87-((1 - $J22) *C87)</f>
        <v>604800</v>
      </c>
      <c r="D88" s="33">
        <f t="shared" si="64"/>
        <v>1587600</v>
      </c>
      <c r="E88" s="33">
        <f t="shared" si="64"/>
        <v>2969400</v>
      </c>
      <c r="F88" s="33">
        <f t="shared" si="64"/>
        <v>4825800</v>
      </c>
      <c r="G88" s="33">
        <f t="shared" si="64"/>
        <v>8538600</v>
      </c>
      <c r="H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41" t="s">
        <v>172</v>
      </c>
      <c r="B89" s="42">
        <f t="shared" ref="B89:G89" si="65"> ROUND(B85+B86+B88,0)</f>
        <v>0</v>
      </c>
      <c r="C89" s="42">
        <f t="shared" si="65"/>
        <v>604800</v>
      </c>
      <c r="D89" s="42">
        <f t="shared" si="65"/>
        <v>1587600</v>
      </c>
      <c r="E89" s="42">
        <f t="shared" si="65"/>
        <v>2969400</v>
      </c>
      <c r="F89" s="42">
        <f t="shared" si="65"/>
        <v>4825800</v>
      </c>
      <c r="G89" s="42">
        <f t="shared" si="65"/>
        <v>8538600</v>
      </c>
      <c r="H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H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5" t="s">
        <v>173</v>
      </c>
      <c r="B91" s="4"/>
      <c r="C91" s="4"/>
      <c r="D91" s="4"/>
      <c r="E91" s="4"/>
      <c r="F91" s="4"/>
      <c r="G91" s="4"/>
      <c r="H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4" t="s">
        <v>174</v>
      </c>
      <c r="B92" s="29">
        <f t="shared" ref="B92:G92" si="66">ROUND(B30 + B50 + B73 + B80,0)</f>
        <v>-11272200</v>
      </c>
      <c r="C92" s="29">
        <f t="shared" si="66"/>
        <v>-4769753</v>
      </c>
      <c r="D92" s="29">
        <f t="shared" si="66"/>
        <v>5694194</v>
      </c>
      <c r="E92" s="29">
        <f t="shared" si="66"/>
        <v>13115178</v>
      </c>
      <c r="F92" s="29">
        <f t="shared" si="66"/>
        <v>21089297</v>
      </c>
      <c r="G92" s="29">
        <f t="shared" si="66"/>
        <v>43649274</v>
      </c>
      <c r="H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4" t="s">
        <v>135</v>
      </c>
      <c r="B93" s="29">
        <f>-(B48)</f>
        <v>0</v>
      </c>
      <c r="C93" s="29">
        <f>-C48</f>
        <v>-400000</v>
      </c>
      <c r="D93" s="29">
        <f t="shared" ref="D93:G93" si="67">-(D48)</f>
        <v>-400000</v>
      </c>
      <c r="E93" s="29">
        <f t="shared" si="67"/>
        <v>-800000</v>
      </c>
      <c r="F93" s="29">
        <f t="shared" si="67"/>
        <v>-1600000</v>
      </c>
      <c r="G93" s="29">
        <f t="shared" si="67"/>
        <v>-2400000</v>
      </c>
      <c r="H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4" t="s">
        <v>175</v>
      </c>
      <c r="B94" s="29">
        <f> B89</f>
        <v>0</v>
      </c>
      <c r="C94" s="29">
        <f t="shared" ref="C94:H94" si="68">ROUNd(B89 - C89,0)</f>
        <v>-604800</v>
      </c>
      <c r="D94" s="29">
        <f t="shared" si="68"/>
        <v>-982800</v>
      </c>
      <c r="E94" s="29">
        <f t="shared" si="68"/>
        <v>-1381800</v>
      </c>
      <c r="F94" s="29">
        <f t="shared" si="68"/>
        <v>-1856400</v>
      </c>
      <c r="G94" s="29">
        <f t="shared" si="68"/>
        <v>-3712800</v>
      </c>
      <c r="H94" s="29">
        <f t="shared" si="68"/>
        <v>8538600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4" t="s">
        <v>176</v>
      </c>
      <c r="B95" s="29">
        <f>ROUND(B35 + B37 + B45,0)</f>
        <v>-3852200</v>
      </c>
      <c r="C95" s="29">
        <f t="shared" ref="C95:G95" si="69">ROUND(C36 + C37 + C45,0)</f>
        <v>-530440</v>
      </c>
      <c r="D95" s="29">
        <f t="shared" si="69"/>
        <v>-530440</v>
      </c>
      <c r="E95" s="29">
        <f t="shared" si="69"/>
        <v>-2530440</v>
      </c>
      <c r="F95" s="29">
        <f t="shared" si="69"/>
        <v>-4530440</v>
      </c>
      <c r="G95" s="29">
        <f t="shared" si="69"/>
        <v>-4530440</v>
      </c>
      <c r="H95" s="22">
        <f>ROUND(H42 + H43 + H52,0)</f>
        <v>0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41" t="s">
        <v>177</v>
      </c>
      <c r="B96" s="42">
        <f t="shared" ref="B96:H96" si="70">ROUND(SUM(B92:B95),0)</f>
        <v>-15124400</v>
      </c>
      <c r="C96" s="42">
        <f t="shared" si="70"/>
        <v>-6304993</v>
      </c>
      <c r="D96" s="42">
        <f t="shared" si="70"/>
        <v>3780954</v>
      </c>
      <c r="E96" s="42">
        <f t="shared" si="70"/>
        <v>8402938</v>
      </c>
      <c r="F96" s="42">
        <f t="shared" si="70"/>
        <v>13102457</v>
      </c>
      <c r="G96" s="42">
        <f t="shared" si="70"/>
        <v>33006034</v>
      </c>
      <c r="H96" s="42">
        <f t="shared" si="70"/>
        <v>8538600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5" t="s">
        <v>178</v>
      </c>
      <c r="B98" s="13">
        <v>0.08</v>
      </c>
      <c r="C98" s="13">
        <v>0.08</v>
      </c>
      <c r="D98" s="13">
        <v>0.08</v>
      </c>
      <c r="E98" s="13">
        <v>0.08</v>
      </c>
      <c r="F98" s="13">
        <v>0.08</v>
      </c>
      <c r="G98" s="13">
        <v>0.08</v>
      </c>
      <c r="H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5" t="s">
        <v>179</v>
      </c>
      <c r="B99" s="59" t="s">
        <v>180</v>
      </c>
      <c r="C99" s="60">
        <f t="shared" ref="C99:G99" si="71">ROUND(B99 * (1-C98), 3)</f>
        <v>0.92</v>
      </c>
      <c r="D99" s="60">
        <f t="shared" si="71"/>
        <v>0.846</v>
      </c>
      <c r="E99" s="60">
        <f t="shared" si="71"/>
        <v>0.778</v>
      </c>
      <c r="F99" s="60">
        <f t="shared" si="71"/>
        <v>0.716</v>
      </c>
      <c r="G99" s="60">
        <f t="shared" si="71"/>
        <v>0.659</v>
      </c>
      <c r="H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5" t="s">
        <v>181</v>
      </c>
      <c r="B100" s="29">
        <f t="shared" ref="B100:G100" si="72">ROUND(B96*B99,0)</f>
        <v>-15124400</v>
      </c>
      <c r="C100" s="29">
        <f t="shared" si="72"/>
        <v>-5800594</v>
      </c>
      <c r="D100" s="29">
        <f t="shared" si="72"/>
        <v>3198687</v>
      </c>
      <c r="E100" s="29">
        <f t="shared" si="72"/>
        <v>6537486</v>
      </c>
      <c r="F100" s="29">
        <f t="shared" si="72"/>
        <v>9381359</v>
      </c>
      <c r="G100" s="29">
        <f t="shared" si="72"/>
        <v>21750976</v>
      </c>
      <c r="H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41" t="s">
        <v>182</v>
      </c>
      <c r="B101" s="42">
        <f>sum(B100:G100)</f>
        <v>19943514</v>
      </c>
      <c r="C101" s="2"/>
      <c r="D101" s="2"/>
      <c r="E101" s="2"/>
      <c r="F101" s="2"/>
      <c r="G101" s="2"/>
      <c r="H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61" t="s">
        <v>183</v>
      </c>
      <c r="B102" s="61">
        <v>186.6</v>
      </c>
      <c r="C102" s="2"/>
      <c r="D102" s="2"/>
      <c r="E102" s="2"/>
      <c r="F102" s="2"/>
      <c r="G102" s="2"/>
      <c r="H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62" t="s">
        <v>184</v>
      </c>
      <c r="B103" s="63">
        <f>ROUND(B101/B102,0)</f>
        <v>106878</v>
      </c>
      <c r="C103" s="2"/>
      <c r="D103" s="2"/>
      <c r="E103" s="2"/>
      <c r="F103" s="2"/>
      <c r="G103" s="2"/>
      <c r="H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65"/>
      <c r="B109" s="66"/>
      <c r="C109" s="67"/>
      <c r="D109" s="67"/>
      <c r="E109" s="67"/>
      <c r="F109" s="67"/>
      <c r="G109" s="67"/>
      <c r="H109" s="64"/>
      <c r="I109" s="64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68"/>
      <c r="B110" s="67"/>
      <c r="C110" s="69"/>
      <c r="D110" s="69"/>
      <c r="E110" s="69"/>
      <c r="F110" s="69"/>
      <c r="G110" s="69"/>
      <c r="H110" s="70"/>
      <c r="I110" s="70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B111" s="67"/>
      <c r="C111" s="69"/>
      <c r="D111" s="69"/>
      <c r="E111" s="69"/>
      <c r="F111" s="69"/>
      <c r="G111" s="69"/>
      <c r="H111" s="70"/>
      <c r="I111" s="70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B112" s="67"/>
      <c r="C112" s="69"/>
      <c r="D112" s="69"/>
      <c r="E112" s="69"/>
      <c r="F112" s="69"/>
      <c r="G112" s="69"/>
      <c r="H112" s="70"/>
      <c r="I112" s="70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B113" s="67"/>
      <c r="C113" s="69"/>
      <c r="D113" s="69"/>
      <c r="E113" s="69"/>
      <c r="F113" s="69"/>
      <c r="G113" s="69"/>
      <c r="H113" s="70"/>
      <c r="I113" s="70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B114" s="67"/>
      <c r="C114" s="69"/>
      <c r="D114" s="69"/>
      <c r="E114" s="69"/>
      <c r="F114" s="69"/>
      <c r="G114" s="69"/>
      <c r="H114" s="70"/>
      <c r="I114" s="70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70"/>
      <c r="B115" s="70"/>
      <c r="C115" s="70"/>
      <c r="D115" s="70"/>
      <c r="E115" s="70"/>
      <c r="F115" s="70"/>
      <c r="G115" s="70"/>
      <c r="H115" s="70"/>
      <c r="I115" s="70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70"/>
      <c r="B116" s="70"/>
      <c r="C116" s="70"/>
      <c r="D116" s="70"/>
      <c r="E116" s="70"/>
      <c r="F116" s="70"/>
      <c r="G116" s="70"/>
      <c r="H116" s="70"/>
      <c r="I116" s="70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70"/>
      <c r="B117" s="70"/>
      <c r="C117" s="70"/>
      <c r="D117" s="70"/>
      <c r="E117" s="70"/>
      <c r="F117" s="70"/>
      <c r="G117" s="70"/>
      <c r="H117" s="70"/>
      <c r="I117" s="70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70"/>
      <c r="B118" s="70"/>
      <c r="C118" s="70"/>
      <c r="D118" s="70"/>
      <c r="E118" s="70"/>
      <c r="F118" s="70"/>
      <c r="G118" s="70"/>
      <c r="H118" s="70"/>
      <c r="I118" s="70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70"/>
      <c r="B119" s="70"/>
      <c r="C119" s="70"/>
      <c r="D119" s="70"/>
      <c r="E119" s="70"/>
      <c r="F119" s="70"/>
      <c r="G119" s="70"/>
      <c r="H119" s="70"/>
      <c r="I119" s="70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70"/>
      <c r="B120" s="70"/>
      <c r="C120" s="70"/>
      <c r="D120" s="70"/>
      <c r="E120" s="70"/>
      <c r="F120" s="70"/>
      <c r="G120" s="70"/>
      <c r="H120" s="70"/>
      <c r="I120" s="70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70"/>
      <c r="B121" s="70"/>
      <c r="C121" s="70"/>
      <c r="D121" s="70"/>
      <c r="E121" s="70"/>
      <c r="F121" s="70"/>
      <c r="G121" s="70"/>
      <c r="H121" s="70"/>
      <c r="I121" s="70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71"/>
      <c r="B131" s="72"/>
      <c r="C131" s="72"/>
      <c r="D131" s="72"/>
      <c r="E131" s="72"/>
      <c r="F131" s="72"/>
      <c r="G131" s="7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B158" s="73"/>
      <c r="C158" s="73"/>
      <c r="D158" s="73"/>
      <c r="E158" s="73"/>
      <c r="F158" s="73"/>
      <c r="G158" s="7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</sheetData>
  <mergeCells count="1">
    <mergeCell ref="A110:A114"/>
  </mergeCells>
  <hyperlinks>
    <hyperlink r:id="rId1" location="pk" ref="K2"/>
    <hyperlink r:id="rId2" location="broadband-subscribers" ref="K5"/>
    <hyperlink r:id="rId3" ref="K6"/>
    <hyperlink r:id="rId4" ref="K11"/>
    <hyperlink r:id="rId5" location=":~:text=Your%20Facebook%20advertising%20costs%20will,across%20all%20industries%20is%20%241.72." ref="K12"/>
    <hyperlink r:id="rId6" ref="K18"/>
    <hyperlink r:id="rId7" location=":~:text=Most%20actually%20incorporate%20a%20maintenance,That%20may%20sound%20expensive." ref="K19"/>
    <hyperlink r:id="rId8" ref="K20"/>
    <hyperlink r:id="rId9" ref="K23"/>
    <hyperlink r:id="rId10" ref="K26"/>
    <hyperlink r:id="rId11" ref="K28"/>
    <hyperlink r:id="rId12" ref="K29"/>
    <hyperlink r:id="rId13" ref="K30"/>
    <hyperlink r:id="rId14" ref="K31"/>
    <hyperlink r:id="rId15" ref="K37"/>
    <hyperlink r:id="rId16" ref="K38"/>
    <hyperlink r:id="rId17" ref="K39"/>
    <hyperlink r:id="rId18" ref="K40"/>
    <hyperlink r:id="rId19" ref="K41"/>
    <hyperlink r:id="rId20" ref="K42"/>
    <hyperlink r:id="rId21" location="overview" ref="K60"/>
    <hyperlink r:id="rId22" ref="K61"/>
  </hyperlinks>
  <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63"/>
  </cols>
  <sheetData>
    <row r="2">
      <c r="B2" s="74"/>
      <c r="C2" s="74"/>
      <c r="D2" s="75" t="s">
        <v>185</v>
      </c>
    </row>
    <row r="3">
      <c r="B3" s="75" t="s">
        <v>186</v>
      </c>
      <c r="C3" s="76">
        <v>1.9943514E7</v>
      </c>
      <c r="D3" s="77">
        <v>0.15</v>
      </c>
      <c r="E3" s="77">
        <v>0.2</v>
      </c>
      <c r="F3" s="77">
        <v>0.25</v>
      </c>
      <c r="G3" s="77">
        <v>0.3</v>
      </c>
      <c r="H3" s="77">
        <v>0.35</v>
      </c>
    </row>
    <row r="4">
      <c r="C4" s="77">
        <v>0.3</v>
      </c>
      <c r="D4" s="78">
        <v>-3.1799673E7</v>
      </c>
      <c r="E4" s="79">
        <v>-9254272.0</v>
      </c>
      <c r="F4" s="80">
        <v>1.3291129E7</v>
      </c>
      <c r="G4" s="81">
        <v>3.5836529E7</v>
      </c>
      <c r="H4" s="82">
        <v>5.8381931E7</v>
      </c>
    </row>
    <row r="5">
      <c r="C5" s="77">
        <v>0.35</v>
      </c>
      <c r="D5" s="83">
        <v>-2.8473479E7</v>
      </c>
      <c r="E5" s="84">
        <v>-5928080.0</v>
      </c>
      <c r="F5" s="85">
        <v>1.6617322E7</v>
      </c>
      <c r="G5" s="86">
        <v>3.9162722E7</v>
      </c>
      <c r="H5" s="87">
        <v>6.1708124E7</v>
      </c>
    </row>
    <row r="6">
      <c r="C6" s="77">
        <v>0.4</v>
      </c>
      <c r="D6" s="88">
        <v>-2.5147287E7</v>
      </c>
      <c r="E6" s="89">
        <v>-2601886.0</v>
      </c>
      <c r="F6" s="90">
        <v>1.9943514E7</v>
      </c>
      <c r="G6" s="91">
        <v>4.2488916E7</v>
      </c>
      <c r="H6" s="92">
        <v>6.5034316E7</v>
      </c>
    </row>
    <row r="7">
      <c r="C7" s="77">
        <v>0.45</v>
      </c>
      <c r="D7" s="93">
        <v>-2.1821094E7</v>
      </c>
      <c r="E7" s="94">
        <v>724307.0</v>
      </c>
      <c r="F7" s="95">
        <v>2.3269707E7</v>
      </c>
      <c r="G7" s="96">
        <v>4.5815109E7</v>
      </c>
      <c r="H7" s="97">
        <v>6.836051E7</v>
      </c>
    </row>
    <row r="8">
      <c r="C8" s="77">
        <v>0.5</v>
      </c>
      <c r="D8" s="98">
        <v>-1.8494902E7</v>
      </c>
      <c r="E8" s="99">
        <v>4050499.0</v>
      </c>
      <c r="F8" s="100">
        <v>2.6595901E7</v>
      </c>
      <c r="G8" s="101">
        <v>4.9141302E7</v>
      </c>
      <c r="H8" s="102">
        <v>7.1686702E7</v>
      </c>
    </row>
    <row r="11">
      <c r="B11" s="74"/>
      <c r="C11" s="74"/>
      <c r="D11" s="75" t="s">
        <v>187</v>
      </c>
    </row>
    <row r="12">
      <c r="B12" s="74"/>
      <c r="C12" s="103">
        <v>1.9943514E7</v>
      </c>
      <c r="D12" s="104">
        <v>40000.0</v>
      </c>
      <c r="E12" s="104">
        <v>50000.0</v>
      </c>
      <c r="F12" s="104">
        <v>60000.0</v>
      </c>
      <c r="G12" s="104">
        <v>70000.0</v>
      </c>
      <c r="H12" s="104">
        <v>80000.0</v>
      </c>
    </row>
    <row r="13">
      <c r="B13" s="75" t="s">
        <v>56</v>
      </c>
      <c r="C13" s="105">
        <v>40.0</v>
      </c>
      <c r="D13" s="78">
        <v>-2.0404692E7</v>
      </c>
      <c r="E13" s="106">
        <v>-8802023.0</v>
      </c>
      <c r="F13" s="94">
        <v>2800648.0</v>
      </c>
      <c r="G13" s="107">
        <v>1.4403319E7</v>
      </c>
      <c r="H13" s="108">
        <v>2.6005987E7</v>
      </c>
    </row>
    <row r="14">
      <c r="C14" s="105">
        <v>50.0</v>
      </c>
      <c r="D14" s="109">
        <v>-1.8832396E7</v>
      </c>
      <c r="E14" s="110">
        <v>-4330180.0</v>
      </c>
      <c r="F14" s="111">
        <v>1.0172036E7</v>
      </c>
      <c r="G14" s="112">
        <v>2.4674254E7</v>
      </c>
      <c r="H14" s="113">
        <v>3.9176468E7</v>
      </c>
    </row>
    <row r="15">
      <c r="C15" s="114">
        <v>60.0</v>
      </c>
      <c r="D15" s="115">
        <v>-1.486215E7</v>
      </c>
      <c r="E15" s="116">
        <v>2540682.0</v>
      </c>
      <c r="F15" s="117">
        <v>1.9943514E7</v>
      </c>
      <c r="G15" s="118">
        <v>3.7346345E7</v>
      </c>
      <c r="H15" s="119">
        <v>5.4749178E7</v>
      </c>
    </row>
    <row r="16">
      <c r="C16" s="105">
        <v>70.0</v>
      </c>
      <c r="D16" s="120">
        <v>-1.1497329E7</v>
      </c>
      <c r="E16" s="121">
        <v>8804957.0</v>
      </c>
      <c r="F16" s="122">
        <v>2.9107245E7</v>
      </c>
      <c r="G16" s="123">
        <v>4.9409533E7</v>
      </c>
      <c r="H16" s="124">
        <v>6.971182E7</v>
      </c>
    </row>
    <row r="17">
      <c r="C17" s="105">
        <v>80.0</v>
      </c>
      <c r="D17" s="125">
        <v>-1.0491405E7</v>
      </c>
      <c r="E17" s="126">
        <v>1.2711778E7</v>
      </c>
      <c r="F17" s="127">
        <v>3.5914961E7</v>
      </c>
      <c r="G17" s="128">
        <v>5.9118144E7</v>
      </c>
      <c r="H17" s="102">
        <v>8.2321327E7</v>
      </c>
    </row>
    <row r="20">
      <c r="B20" s="74"/>
      <c r="C20" s="74"/>
      <c r="D20" s="129" t="s">
        <v>48</v>
      </c>
    </row>
    <row r="21">
      <c r="B21" s="74"/>
      <c r="C21" s="130">
        <v>1.9943514E7</v>
      </c>
      <c r="D21" s="131">
        <v>0.001</v>
      </c>
      <c r="E21" s="131">
        <v>0.0015</v>
      </c>
      <c r="F21" s="131">
        <v>0.002</v>
      </c>
      <c r="G21" s="131">
        <v>0.0025</v>
      </c>
      <c r="H21" s="131">
        <v>0.003</v>
      </c>
    </row>
    <row r="22">
      <c r="B22" s="129" t="s">
        <v>78</v>
      </c>
      <c r="C22" s="78">
        <v>2000.0</v>
      </c>
      <c r="D22" s="132">
        <v>8568060.0</v>
      </c>
      <c r="E22" s="133">
        <v>1.0498227E7</v>
      </c>
      <c r="F22" s="134">
        <v>1.2428381E7</v>
      </c>
      <c r="G22" s="105">
        <v>1.4358537E7</v>
      </c>
      <c r="H22" s="94">
        <v>1.6288697E7</v>
      </c>
    </row>
    <row r="23">
      <c r="C23" s="78">
        <v>2500.0</v>
      </c>
      <c r="D23" s="135">
        <v>1.2325627E7</v>
      </c>
      <c r="E23" s="136">
        <v>1.4255793E7</v>
      </c>
      <c r="F23" s="116">
        <v>1.6185947E7</v>
      </c>
      <c r="G23" s="126">
        <v>1.8116103E7</v>
      </c>
      <c r="H23" s="137">
        <v>2.0046264E7</v>
      </c>
    </row>
    <row r="24">
      <c r="C24" s="78">
        <v>3000.0</v>
      </c>
      <c r="D24" s="138">
        <v>1.6083193E7</v>
      </c>
      <c r="E24" s="139">
        <v>1.801336E7</v>
      </c>
      <c r="F24" s="140">
        <v>1.9943514E7</v>
      </c>
      <c r="G24" s="141">
        <v>2.187367E7</v>
      </c>
      <c r="H24" s="142">
        <v>2.3803831E7</v>
      </c>
    </row>
    <row r="25">
      <c r="C25" s="78">
        <v>3500.0</v>
      </c>
      <c r="D25" s="143">
        <v>1.9840759E7</v>
      </c>
      <c r="E25" s="100">
        <v>2.1770926E7</v>
      </c>
      <c r="F25" s="81">
        <v>2.370108E7</v>
      </c>
      <c r="G25" s="144">
        <v>2.5631238E7</v>
      </c>
      <c r="H25" s="145">
        <v>2.7561398E7</v>
      </c>
    </row>
    <row r="26">
      <c r="C26" s="78">
        <v>4000.0</v>
      </c>
      <c r="D26" s="146">
        <v>2.3598327E7</v>
      </c>
      <c r="E26" s="147">
        <v>2.5528493E7</v>
      </c>
      <c r="F26" s="148">
        <v>2.7458649E7</v>
      </c>
      <c r="G26" s="149">
        <v>2.9388804E7</v>
      </c>
      <c r="H26" s="102">
        <v>3.1318964E7</v>
      </c>
    </row>
    <row r="29">
      <c r="B29" s="74"/>
      <c r="C29" s="74"/>
      <c r="D29" s="129" t="s">
        <v>188</v>
      </c>
    </row>
    <row r="30">
      <c r="B30" s="74"/>
      <c r="C30" s="150">
        <v>1.9943514E7</v>
      </c>
      <c r="D30" s="78">
        <v>90.0</v>
      </c>
      <c r="E30" s="78">
        <v>140.0</v>
      </c>
      <c r="F30" s="78">
        <v>190.0</v>
      </c>
      <c r="G30" s="78">
        <v>240.0</v>
      </c>
      <c r="H30" s="78">
        <v>290.0</v>
      </c>
    </row>
    <row r="31">
      <c r="B31" s="129" t="s">
        <v>189</v>
      </c>
      <c r="C31" s="151">
        <v>0.06</v>
      </c>
      <c r="D31" s="152">
        <v>896684.0</v>
      </c>
      <c r="E31" s="153">
        <v>5098190.0</v>
      </c>
      <c r="F31" s="154">
        <v>9299698.0</v>
      </c>
      <c r="G31" s="155">
        <v>1.3501204E7</v>
      </c>
      <c r="H31" s="156">
        <v>1.770271E7</v>
      </c>
    </row>
    <row r="32">
      <c r="C32" s="151">
        <v>0.08</v>
      </c>
      <c r="D32" s="157">
        <v>3417588.0</v>
      </c>
      <c r="E32" s="135">
        <v>9019597.0</v>
      </c>
      <c r="F32" s="158">
        <v>1.4621605E7</v>
      </c>
      <c r="G32" s="117">
        <v>2.0223613E7</v>
      </c>
      <c r="H32" s="159">
        <v>2.5825624E7</v>
      </c>
    </row>
    <row r="33">
      <c r="C33" s="151">
        <v>0.1</v>
      </c>
      <c r="D33" s="160">
        <v>5938492.0</v>
      </c>
      <c r="E33" s="161">
        <v>1.2941002E7</v>
      </c>
      <c r="F33" s="162">
        <v>1.9943514E7</v>
      </c>
      <c r="G33" s="163">
        <v>2.6946026E7</v>
      </c>
      <c r="H33" s="164">
        <v>3.3948536E7</v>
      </c>
    </row>
    <row r="34">
      <c r="C34" s="151">
        <v>0.12</v>
      </c>
      <c r="D34" s="79">
        <v>8459396.0</v>
      </c>
      <c r="E34" s="165">
        <v>1.686241E7</v>
      </c>
      <c r="F34" s="166">
        <v>2.5265423E7</v>
      </c>
      <c r="G34" s="167">
        <v>3.3668437E7</v>
      </c>
      <c r="H34" s="168">
        <v>4.2071451E7</v>
      </c>
    </row>
    <row r="35">
      <c r="C35" s="151">
        <v>0.14</v>
      </c>
      <c r="D35" s="169">
        <v>1.0980299E7</v>
      </c>
      <c r="E35" s="85">
        <v>2.0783815E7</v>
      </c>
      <c r="F35" s="146">
        <v>3.0587332E7</v>
      </c>
      <c r="G35" s="170">
        <v>4.0390847E7</v>
      </c>
      <c r="H35" s="102">
        <v>5.0194364E7</v>
      </c>
    </row>
    <row r="38">
      <c r="B38" s="171"/>
      <c r="C38" s="172"/>
      <c r="D38" s="172"/>
      <c r="E38" s="173" t="s">
        <v>190</v>
      </c>
      <c r="F38" s="172"/>
      <c r="G38" s="172"/>
      <c r="H38" s="172"/>
    </row>
    <row r="39">
      <c r="B39" s="174"/>
      <c r="C39" s="175">
        <v>1.9943514E7</v>
      </c>
      <c r="D39" s="176">
        <v>50000.0</v>
      </c>
      <c r="E39" s="176">
        <v>100000.0</v>
      </c>
      <c r="F39" s="177">
        <v>200000.0</v>
      </c>
      <c r="G39" s="177">
        <v>250000.0</v>
      </c>
      <c r="H39" s="178">
        <v>300000.0</v>
      </c>
    </row>
    <row r="40">
      <c r="B40" s="179" t="s">
        <v>191</v>
      </c>
      <c r="C40" s="180">
        <v>1000000.0</v>
      </c>
      <c r="D40" s="181">
        <v>2.9245464E7</v>
      </c>
      <c r="E40" s="182">
        <v>2.8999514E7</v>
      </c>
      <c r="F40" s="183">
        <v>2.8507614E7</v>
      </c>
      <c r="G40" s="184">
        <v>2.8261664E7</v>
      </c>
      <c r="H40" s="185">
        <v>2.8015714E7</v>
      </c>
    </row>
    <row r="41">
      <c r="B41" s="186"/>
      <c r="C41" s="187">
        <v>1500000.0</v>
      </c>
      <c r="D41" s="188">
        <v>2.4717464E7</v>
      </c>
      <c r="E41" s="189">
        <v>2.4471514E7</v>
      </c>
      <c r="F41" s="190">
        <v>2.3979614E7</v>
      </c>
      <c r="G41" s="191">
        <v>2.3733664E7</v>
      </c>
      <c r="H41" s="192">
        <v>2.3487714E7</v>
      </c>
    </row>
    <row r="42">
      <c r="B42" s="186"/>
      <c r="C42" s="193">
        <v>2000000.0</v>
      </c>
      <c r="D42" s="194">
        <v>2.0189464E7</v>
      </c>
      <c r="E42" s="195">
        <v>1.9943514E7</v>
      </c>
      <c r="F42" s="196">
        <v>1.9451614E7</v>
      </c>
      <c r="G42" s="197">
        <v>1.9205664E7</v>
      </c>
      <c r="H42" s="198">
        <v>1.8959714E7</v>
      </c>
    </row>
    <row r="43">
      <c r="B43" s="186"/>
      <c r="C43" s="199">
        <v>2500000.0</v>
      </c>
      <c r="D43" s="200">
        <v>1.5661464E7</v>
      </c>
      <c r="E43" s="201">
        <v>1.5415514E7</v>
      </c>
      <c r="F43" s="202">
        <v>1.4923614E7</v>
      </c>
      <c r="G43" s="203">
        <v>1.4677664E7</v>
      </c>
      <c r="H43" s="204">
        <v>1.4431714E7</v>
      </c>
    </row>
    <row r="44">
      <c r="B44" s="186"/>
      <c r="C44" s="205">
        <v>3000000.0</v>
      </c>
      <c r="D44" s="206">
        <v>1.1133464E7</v>
      </c>
      <c r="E44" s="207">
        <v>1.0887514E7</v>
      </c>
      <c r="F44" s="208">
        <v>1.0395614E7</v>
      </c>
      <c r="G44" s="209">
        <v>1.0149664E7</v>
      </c>
      <c r="H44" s="210">
        <v>9903714.0</v>
      </c>
    </row>
  </sheetData>
  <mergeCells count="9">
    <mergeCell ref="B31:B35"/>
    <mergeCell ref="B40:B44"/>
    <mergeCell ref="D2:H2"/>
    <mergeCell ref="B3:B8"/>
    <mergeCell ref="D11:H11"/>
    <mergeCell ref="B13:B17"/>
    <mergeCell ref="D20:H20"/>
    <mergeCell ref="B22:B26"/>
    <mergeCell ref="D29:H29"/>
  </mergeCells>
  <drawing r:id="rId1"/>
</worksheet>
</file>