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ork\Dokumente_D03\Testdaten_Stereo-Kalibrierung\"/>
    </mc:Choice>
  </mc:AlternateContent>
  <bookViews>
    <workbookView xWindow="0" yWindow="0" windowWidth="28800" windowHeight="14010" tabRatio="638" firstSheet="2" activeTab="8"/>
  </bookViews>
  <sheets>
    <sheet name="USAC-testing" sheetId="1" r:id="rId1"/>
    <sheet name="USAC_vs_RANSAC" sheetId="2" r:id="rId2"/>
    <sheet name="Refinement_BA" sheetId="3" r:id="rId3"/>
    <sheet name="VFC_GMS_SOF" sheetId="4" r:id="rId4"/>
    <sheet name="Refinement_BA_stereo" sheetId="5" r:id="rId5"/>
    <sheet name="Correspondence_Pool" sheetId="6" r:id="rId6"/>
    <sheet name="Robustness" sheetId="7" r:id="rId7"/>
    <sheet name="USAC_vs_Autocalib" sheetId="10" r:id="rId8"/>
    <sheet name="Overview" sheetId="8" r:id="rId9"/>
    <sheet name="Zeitplan" sheetId="9" r:id="rId1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8" l="1"/>
  <c r="B17" i="8"/>
  <c r="B13" i="8"/>
  <c r="B8" i="8"/>
  <c r="B5" i="8"/>
  <c r="B85" i="10"/>
  <c r="B84" i="10"/>
  <c r="B83" i="10"/>
  <c r="B82" i="10"/>
  <c r="B74" i="10"/>
  <c r="C74" i="10" s="1"/>
  <c r="D74" i="10" s="1"/>
  <c r="D75" i="10" s="1"/>
  <c r="B62" i="10"/>
  <c r="B61" i="10"/>
  <c r="C61" i="10" s="1"/>
  <c r="D61" i="10" s="1"/>
  <c r="B60" i="10"/>
  <c r="B59" i="10"/>
  <c r="C59" i="10" s="1"/>
  <c r="D59" i="10" s="1"/>
  <c r="D73" i="10"/>
  <c r="C62" i="10"/>
  <c r="D62" i="10" s="1"/>
  <c r="C60" i="10"/>
  <c r="D60" i="10" s="1"/>
  <c r="E51" i="10"/>
  <c r="I50" i="10"/>
  <c r="E50" i="10"/>
  <c r="D50" i="10"/>
  <c r="I49" i="10"/>
  <c r="I48" i="10"/>
  <c r="E48" i="10"/>
  <c r="D48" i="10"/>
  <c r="E46" i="10"/>
  <c r="E45" i="10"/>
  <c r="E44" i="10"/>
  <c r="D44" i="10"/>
  <c r="D46" i="10"/>
  <c r="D45" i="10"/>
  <c r="D43" i="10"/>
  <c r="D51" i="10" s="1"/>
  <c r="B27" i="10"/>
  <c r="B23" i="10"/>
  <c r="B37" i="1"/>
  <c r="B86" i="10" l="1"/>
  <c r="C77" i="10"/>
  <c r="D77" i="10" s="1"/>
  <c r="D64" i="10"/>
  <c r="D65" i="10" s="1"/>
  <c r="D71" i="10" s="1"/>
  <c r="B32" i="10"/>
  <c r="I46" i="10"/>
  <c r="I51" i="10" s="1"/>
  <c r="B31" i="10"/>
  <c r="B56" i="7"/>
  <c r="B39" i="7"/>
  <c r="D79" i="10" l="1"/>
  <c r="D80" i="10" s="1"/>
  <c r="B34" i="10"/>
  <c r="B54" i="9"/>
  <c r="E66" i="9"/>
  <c r="C58" i="9"/>
  <c r="D58" i="9"/>
  <c r="E58" i="9"/>
  <c r="B58" i="9"/>
  <c r="B57" i="9"/>
  <c r="C57" i="9" s="1"/>
  <c r="D57" i="9" s="1"/>
  <c r="E57" i="9" s="1"/>
  <c r="B56" i="9"/>
  <c r="B60" i="9" s="1"/>
  <c r="C60" i="9" s="1"/>
  <c r="D60" i="9" s="1"/>
  <c r="E60" i="9" s="1"/>
  <c r="B5" i="9"/>
  <c r="B14" i="9"/>
  <c r="C14" i="9" s="1"/>
  <c r="D14" i="9" s="1"/>
  <c r="E14" i="9" s="1"/>
  <c r="B15" i="9"/>
  <c r="B16" i="9"/>
  <c r="C16" i="9" s="1"/>
  <c r="D16" i="9" s="1"/>
  <c r="E16" i="9" s="1"/>
  <c r="B20" i="9"/>
  <c r="B21" i="9"/>
  <c r="C21" i="9" s="1"/>
  <c r="D21" i="9" s="1"/>
  <c r="E21" i="9" s="1"/>
  <c r="B22" i="9"/>
  <c r="B30" i="9"/>
  <c r="B29" i="9"/>
  <c r="B28" i="9"/>
  <c r="B27" i="9"/>
  <c r="B26" i="9"/>
  <c r="C26" i="9" s="1"/>
  <c r="D26" i="9" s="1"/>
  <c r="E26" i="9" s="1"/>
  <c r="B25" i="9"/>
  <c r="C25" i="9" s="1"/>
  <c r="D25" i="9" s="1"/>
  <c r="E25" i="9" s="1"/>
  <c r="B24" i="9"/>
  <c r="C24" i="9" s="1"/>
  <c r="D24" i="9" s="1"/>
  <c r="E24" i="9" s="1"/>
  <c r="B39" i="9"/>
  <c r="B40" i="9"/>
  <c r="B38" i="9"/>
  <c r="B37" i="9"/>
  <c r="B36" i="9"/>
  <c r="B35" i="9"/>
  <c r="C35" i="9" s="1"/>
  <c r="D35" i="9" s="1"/>
  <c r="E35" i="9" s="1"/>
  <c r="B34" i="9"/>
  <c r="C34" i="9" s="1"/>
  <c r="D34" i="9" s="1"/>
  <c r="E34" i="9" s="1"/>
  <c r="B47" i="9"/>
  <c r="B46" i="9"/>
  <c r="B45" i="9"/>
  <c r="C45" i="9" s="1"/>
  <c r="D45" i="9" s="1"/>
  <c r="E45" i="9" s="1"/>
  <c r="B44" i="9"/>
  <c r="B43" i="9"/>
  <c r="B42" i="9"/>
  <c r="B41" i="9"/>
  <c r="C5" i="9"/>
  <c r="D5" i="9" s="1"/>
  <c r="E5" i="9" s="1"/>
  <c r="C6" i="9"/>
  <c r="D6" i="9"/>
  <c r="E6" i="9"/>
  <c r="C7" i="9"/>
  <c r="D7" i="9"/>
  <c r="E7" i="9" s="1"/>
  <c r="C8" i="9"/>
  <c r="D8" i="9"/>
  <c r="E8" i="9" s="1"/>
  <c r="C9" i="9"/>
  <c r="D9" i="9"/>
  <c r="E9" i="9"/>
  <c r="C10" i="9"/>
  <c r="D10" i="9" s="1"/>
  <c r="E10" i="9" s="1"/>
  <c r="C11" i="9"/>
  <c r="D11" i="9" s="1"/>
  <c r="E11" i="9" s="1"/>
  <c r="C12" i="9"/>
  <c r="D12" i="9"/>
  <c r="E12" i="9"/>
  <c r="C13" i="9"/>
  <c r="D13" i="9" s="1"/>
  <c r="E13" i="9" s="1"/>
  <c r="C15" i="9"/>
  <c r="D15" i="9"/>
  <c r="E15" i="9" s="1"/>
  <c r="C17" i="9"/>
  <c r="D17" i="9"/>
  <c r="E17" i="9" s="1"/>
  <c r="C18" i="9"/>
  <c r="D18" i="9" s="1"/>
  <c r="E18" i="9" s="1"/>
  <c r="C19" i="9"/>
  <c r="D19" i="9" s="1"/>
  <c r="E19" i="9" s="1"/>
  <c r="C20" i="9"/>
  <c r="D20" i="9"/>
  <c r="E20" i="9"/>
  <c r="C22" i="9"/>
  <c r="D22" i="9" s="1"/>
  <c r="E22" i="9" s="1"/>
  <c r="C23" i="9"/>
  <c r="D23" i="9" s="1"/>
  <c r="E23" i="9" s="1"/>
  <c r="C27" i="9"/>
  <c r="D27" i="9" s="1"/>
  <c r="E27" i="9" s="1"/>
  <c r="C28" i="9"/>
  <c r="D28" i="9" s="1"/>
  <c r="E28" i="9" s="1"/>
  <c r="C29" i="9"/>
  <c r="D29" i="9" s="1"/>
  <c r="E29" i="9" s="1"/>
  <c r="C30" i="9"/>
  <c r="D30" i="9"/>
  <c r="E30" i="9" s="1"/>
  <c r="C31" i="9"/>
  <c r="D31" i="9"/>
  <c r="E31" i="9" s="1"/>
  <c r="C32" i="9"/>
  <c r="D32" i="9"/>
  <c r="E32" i="9" s="1"/>
  <c r="C33" i="9"/>
  <c r="D33" i="9"/>
  <c r="E33" i="9"/>
  <c r="C36" i="9"/>
  <c r="D36" i="9"/>
  <c r="E36" i="9" s="1"/>
  <c r="C37" i="9"/>
  <c r="D37" i="9" s="1"/>
  <c r="E37" i="9" s="1"/>
  <c r="C38" i="9"/>
  <c r="D38" i="9" s="1"/>
  <c r="E38" i="9" s="1"/>
  <c r="C39" i="9"/>
  <c r="D39" i="9" s="1"/>
  <c r="E39" i="9" s="1"/>
  <c r="C40" i="9"/>
  <c r="D40" i="9"/>
  <c r="E40" i="9" s="1"/>
  <c r="C41" i="9"/>
  <c r="D41" i="9"/>
  <c r="C42" i="9"/>
  <c r="D42" i="9" s="1"/>
  <c r="E42" i="9" s="1"/>
  <c r="C43" i="9"/>
  <c r="D43" i="9" s="1"/>
  <c r="E43" i="9" s="1"/>
  <c r="C44" i="9"/>
  <c r="D44" i="9"/>
  <c r="E44" i="9"/>
  <c r="C46" i="9"/>
  <c r="D46" i="9"/>
  <c r="E46" i="9"/>
  <c r="C47" i="9"/>
  <c r="D47" i="9" s="1"/>
  <c r="E47" i="9" s="1"/>
  <c r="E4" i="9"/>
  <c r="D4" i="9"/>
  <c r="C4" i="9"/>
  <c r="B7" i="9"/>
  <c r="B6" i="9"/>
  <c r="B4" i="9"/>
  <c r="B4" i="8"/>
  <c r="B3" i="8"/>
  <c r="B221" i="7"/>
  <c r="B220" i="7"/>
  <c r="B219" i="7"/>
  <c r="B218" i="7"/>
  <c r="B217" i="7"/>
  <c r="B215" i="7"/>
  <c r="B214" i="7"/>
  <c r="B216" i="7"/>
  <c r="B213" i="7"/>
  <c r="B168" i="7"/>
  <c r="B167" i="7"/>
  <c r="B205" i="7"/>
  <c r="C205" i="7" s="1"/>
  <c r="D205" i="7" s="1"/>
  <c r="D206" i="7" s="1"/>
  <c r="C191" i="7"/>
  <c r="D191" i="7"/>
  <c r="C192" i="7"/>
  <c r="D192" i="7" s="1"/>
  <c r="C193" i="7"/>
  <c r="D193" i="7"/>
  <c r="B193" i="7"/>
  <c r="B192" i="7"/>
  <c r="B191" i="7"/>
  <c r="B190" i="7"/>
  <c r="B189" i="7"/>
  <c r="C189" i="7" s="1"/>
  <c r="D189" i="7" s="1"/>
  <c r="B188" i="7"/>
  <c r="C188" i="7" s="1"/>
  <c r="D188" i="7" s="1"/>
  <c r="C185" i="7"/>
  <c r="D185" i="7" s="1"/>
  <c r="C186" i="7"/>
  <c r="D186" i="7" s="1"/>
  <c r="C187" i="7"/>
  <c r="D187" i="7"/>
  <c r="B187" i="7"/>
  <c r="B186" i="7"/>
  <c r="B185" i="7"/>
  <c r="B184" i="7"/>
  <c r="C184" i="7"/>
  <c r="D184" i="7" s="1"/>
  <c r="B183" i="7"/>
  <c r="C183" i="7"/>
  <c r="D183" i="7" s="1"/>
  <c r="B182" i="7"/>
  <c r="C182" i="7" s="1"/>
  <c r="D182" i="7" s="1"/>
  <c r="C179" i="7"/>
  <c r="D179" i="7"/>
  <c r="C180" i="7"/>
  <c r="D180" i="7" s="1"/>
  <c r="C181" i="7"/>
  <c r="D181" i="7"/>
  <c r="B181" i="7"/>
  <c r="B180" i="7"/>
  <c r="B179" i="7"/>
  <c r="B178" i="7"/>
  <c r="C178" i="7" s="1"/>
  <c r="D178" i="7" s="1"/>
  <c r="B177" i="7"/>
  <c r="C177" i="7" s="1"/>
  <c r="D177" i="7" s="1"/>
  <c r="B176" i="7"/>
  <c r="C176" i="7" s="1"/>
  <c r="D176" i="7" s="1"/>
  <c r="C172" i="7"/>
  <c r="D172" i="7" s="1"/>
  <c r="C173" i="7"/>
  <c r="D173" i="7" s="1"/>
  <c r="C174" i="7"/>
  <c r="D174" i="7"/>
  <c r="B174" i="7"/>
  <c r="B173" i="7"/>
  <c r="B172" i="7"/>
  <c r="B171" i="7"/>
  <c r="C171" i="7" s="1"/>
  <c r="D171" i="7" s="1"/>
  <c r="B170" i="7"/>
  <c r="C170" i="7" s="1"/>
  <c r="D170" i="7" s="1"/>
  <c r="B169" i="7"/>
  <c r="C168" i="7"/>
  <c r="D168" i="7" s="1"/>
  <c r="C167" i="7"/>
  <c r="D167" i="7" s="1"/>
  <c r="D204" i="7"/>
  <c r="C190" i="7"/>
  <c r="D190" i="7" s="1"/>
  <c r="C169" i="7"/>
  <c r="D169" i="7" s="1"/>
  <c r="B93" i="6"/>
  <c r="B92" i="6"/>
  <c r="I158" i="7"/>
  <c r="E158" i="7"/>
  <c r="D158" i="7"/>
  <c r="I157" i="7"/>
  <c r="I155" i="7"/>
  <c r="I153" i="7"/>
  <c r="I151" i="7"/>
  <c r="I150" i="7"/>
  <c r="D151" i="7"/>
  <c r="E151" i="7"/>
  <c r="E150" i="7"/>
  <c r="D150" i="7"/>
  <c r="D149" i="7"/>
  <c r="I140" i="7"/>
  <c r="E140" i="7"/>
  <c r="D140" i="7"/>
  <c r="I138" i="7"/>
  <c r="I137" i="7"/>
  <c r="E138" i="7"/>
  <c r="E137" i="7"/>
  <c r="D138" i="7"/>
  <c r="D137" i="7"/>
  <c r="E136" i="7"/>
  <c r="D136" i="7"/>
  <c r="I121" i="7"/>
  <c r="E121" i="7"/>
  <c r="D121" i="7"/>
  <c r="B49" i="7"/>
  <c r="E125" i="7"/>
  <c r="D125" i="7"/>
  <c r="E124" i="7"/>
  <c r="D124" i="7"/>
  <c r="I123" i="7"/>
  <c r="E123" i="7"/>
  <c r="D123" i="7"/>
  <c r="E122" i="7"/>
  <c r="D122" i="7"/>
  <c r="I116" i="7"/>
  <c r="E116" i="7"/>
  <c r="D116" i="7"/>
  <c r="E105" i="7"/>
  <c r="D105" i="7"/>
  <c r="E104" i="7"/>
  <c r="D104" i="7"/>
  <c r="E103" i="7"/>
  <c r="D103" i="7"/>
  <c r="I106" i="7"/>
  <c r="E102" i="7"/>
  <c r="D102" i="7"/>
  <c r="C56" i="9" l="1"/>
  <c r="D56" i="9" s="1"/>
  <c r="E56" i="9" s="1"/>
  <c r="B49" i="9"/>
  <c r="C49" i="9"/>
  <c r="D49" i="9"/>
  <c r="E41" i="9"/>
  <c r="E49" i="9" s="1"/>
  <c r="B52" i="9" s="1"/>
  <c r="B222" i="7"/>
  <c r="D195" i="7"/>
  <c r="D196" i="7" s="1"/>
  <c r="D106" i="7"/>
  <c r="E106" i="7"/>
  <c r="I118" i="7"/>
  <c r="E120" i="7"/>
  <c r="D120" i="7"/>
  <c r="E119" i="7"/>
  <c r="D119" i="7"/>
  <c r="E118" i="7"/>
  <c r="E126" i="7" s="1"/>
  <c r="D118" i="7"/>
  <c r="E117" i="7"/>
  <c r="D117" i="7"/>
  <c r="E92" i="7"/>
  <c r="D92" i="7"/>
  <c r="E91" i="7"/>
  <c r="D91" i="7"/>
  <c r="E90" i="7"/>
  <c r="D90" i="7"/>
  <c r="I92" i="7"/>
  <c r="I90" i="7"/>
  <c r="E89" i="7"/>
  <c r="D89" i="7"/>
  <c r="I89" i="7"/>
  <c r="D203" i="1"/>
  <c r="D186" i="1"/>
  <c r="D181" i="1"/>
  <c r="B168" i="1"/>
  <c r="B167" i="1"/>
  <c r="B166" i="1"/>
  <c r="B165" i="1"/>
  <c r="B164" i="1"/>
  <c r="B163" i="1"/>
  <c r="B161" i="1"/>
  <c r="B160" i="1"/>
  <c r="B155" i="1"/>
  <c r="B154" i="1"/>
  <c r="B153" i="1"/>
  <c r="B152" i="1"/>
  <c r="B151" i="1"/>
  <c r="B150" i="1"/>
  <c r="B149" i="1"/>
  <c r="B147" i="1"/>
  <c r="B146" i="1"/>
  <c r="E78" i="7"/>
  <c r="D78" i="7"/>
  <c r="I72" i="7"/>
  <c r="B94" i="6"/>
  <c r="I71" i="7"/>
  <c r="B27" i="7"/>
  <c r="I124" i="7" s="1"/>
  <c r="B31" i="7"/>
  <c r="B48" i="7"/>
  <c r="B59" i="7" s="1"/>
  <c r="B38" i="7"/>
  <c r="B37" i="7"/>
  <c r="B36" i="7"/>
  <c r="B35" i="7"/>
  <c r="D202" i="7" l="1"/>
  <c r="C208" i="7"/>
  <c r="D208" i="7" s="1"/>
  <c r="I117" i="7"/>
  <c r="I126" i="7" s="1"/>
  <c r="I122" i="7"/>
  <c r="D126" i="7"/>
  <c r="I73" i="7"/>
  <c r="I78" i="7" s="1"/>
  <c r="B58" i="7"/>
  <c r="I119" i="7"/>
  <c r="D94" i="7"/>
  <c r="I91" i="7"/>
  <c r="I94" i="7" s="1"/>
  <c r="E94" i="7"/>
  <c r="B57" i="7"/>
  <c r="B61" i="7"/>
  <c r="B60" i="7"/>
  <c r="B43" i="6"/>
  <c r="B98" i="6" s="1"/>
  <c r="C98" i="6" s="1"/>
  <c r="D98" i="6" s="1"/>
  <c r="I81" i="6"/>
  <c r="B30" i="6"/>
  <c r="B126" i="6"/>
  <c r="B125" i="6"/>
  <c r="B124" i="6"/>
  <c r="B159" i="1"/>
  <c r="C119" i="6"/>
  <c r="D119" i="6" s="1"/>
  <c r="D115" i="6"/>
  <c r="C90" i="6"/>
  <c r="D90" i="6" s="1"/>
  <c r="I73" i="6"/>
  <c r="D71" i="6"/>
  <c r="E69" i="6"/>
  <c r="D69" i="6"/>
  <c r="I62" i="6"/>
  <c r="B116" i="6" s="1"/>
  <c r="C116" i="6" s="1"/>
  <c r="D116" i="6" s="1"/>
  <c r="D59" i="6"/>
  <c r="D58" i="6"/>
  <c r="E57" i="6"/>
  <c r="E56" i="6"/>
  <c r="E55" i="6"/>
  <c r="E51" i="6"/>
  <c r="D51" i="6"/>
  <c r="B38" i="6"/>
  <c r="B90" i="6" s="1"/>
  <c r="B34" i="6"/>
  <c r="E54" i="6" s="1"/>
  <c r="B32" i="6"/>
  <c r="B31" i="6"/>
  <c r="E72" i="6" s="1"/>
  <c r="B29" i="6"/>
  <c r="D57" i="6" s="1"/>
  <c r="D68" i="5"/>
  <c r="I45" i="5"/>
  <c r="B69" i="5" s="1"/>
  <c r="C69" i="5" s="1"/>
  <c r="D69" i="5" s="1"/>
  <c r="E41" i="5"/>
  <c r="D41" i="5"/>
  <c r="B29" i="5"/>
  <c r="B25" i="5"/>
  <c r="E43" i="5" s="1"/>
  <c r="D62" i="4"/>
  <c r="I40" i="4"/>
  <c r="B63" i="4" s="1"/>
  <c r="C63" i="4" s="1"/>
  <c r="D63" i="4" s="1"/>
  <c r="E36" i="4"/>
  <c r="D36" i="4"/>
  <c r="E38" i="4"/>
  <c r="D38" i="4"/>
  <c r="E35" i="4"/>
  <c r="E40" i="4" s="1"/>
  <c r="B51" i="4" s="1"/>
  <c r="D35" i="4"/>
  <c r="D40" i="4" s="1"/>
  <c r="B24" i="4"/>
  <c r="B20" i="4"/>
  <c r="B62" i="3"/>
  <c r="C62" i="3" s="1"/>
  <c r="D62" i="3" s="1"/>
  <c r="D63" i="3" s="1"/>
  <c r="I38" i="3"/>
  <c r="D61" i="3"/>
  <c r="E34" i="3"/>
  <c r="E38" i="3" s="1"/>
  <c r="E36" i="3"/>
  <c r="D36" i="3"/>
  <c r="D34" i="3"/>
  <c r="D38" i="3" s="1"/>
  <c r="B22" i="3"/>
  <c r="B26" i="3" s="1"/>
  <c r="B18" i="3"/>
  <c r="D63" i="2"/>
  <c r="B143" i="1"/>
  <c r="I42" i="2"/>
  <c r="B64" i="2" s="1"/>
  <c r="C64" i="2" s="1"/>
  <c r="D64" i="2" s="1"/>
  <c r="D65" i="2" s="1"/>
  <c r="E41" i="2"/>
  <c r="D41" i="2"/>
  <c r="E39" i="2"/>
  <c r="D39" i="2"/>
  <c r="I38" i="2"/>
  <c r="I35" i="2"/>
  <c r="E35" i="2"/>
  <c r="D35" i="2"/>
  <c r="D34" i="2"/>
  <c r="D33" i="2"/>
  <c r="B21" i="2"/>
  <c r="B17" i="2"/>
  <c r="E38" i="2" s="1"/>
  <c r="D210" i="7" l="1"/>
  <c r="D36" i="2"/>
  <c r="E36" i="2"/>
  <c r="B50" i="3"/>
  <c r="C50" i="3" s="1"/>
  <c r="D50" i="3" s="1"/>
  <c r="B73" i="3"/>
  <c r="B47" i="3"/>
  <c r="C47" i="3" s="1"/>
  <c r="D47" i="3" s="1"/>
  <c r="B70" i="3"/>
  <c r="B71" i="3"/>
  <c r="B48" i="3"/>
  <c r="C48" i="3" s="1"/>
  <c r="D48" i="3" s="1"/>
  <c r="B49" i="3"/>
  <c r="C49" i="3" s="1"/>
  <c r="D49" i="3" s="1"/>
  <c r="B72" i="3"/>
  <c r="B50" i="4"/>
  <c r="C50" i="4" s="1"/>
  <c r="B73" i="4"/>
  <c r="C51" i="4"/>
  <c r="D51" i="4" s="1"/>
  <c r="B74" i="4"/>
  <c r="B27" i="4"/>
  <c r="E45" i="5"/>
  <c r="B80" i="5" s="1"/>
  <c r="D79" i="6"/>
  <c r="D81" i="6" s="1"/>
  <c r="B101" i="6" s="1"/>
  <c r="C101" i="6" s="1"/>
  <c r="D101" i="6" s="1"/>
  <c r="C94" i="6"/>
  <c r="D94" i="6" s="1"/>
  <c r="B127" i="6"/>
  <c r="E79" i="6"/>
  <c r="E81" i="6" s="1"/>
  <c r="B104" i="6" s="1"/>
  <c r="C104" i="6" s="1"/>
  <c r="D104" i="6" s="1"/>
  <c r="B128" i="6"/>
  <c r="E60" i="6"/>
  <c r="B91" i="6"/>
  <c r="C91" i="6" s="1"/>
  <c r="D91" i="6" s="1"/>
  <c r="D61" i="6"/>
  <c r="B42" i="6"/>
  <c r="B57" i="5"/>
  <c r="C57" i="5" s="1"/>
  <c r="D57" i="5" s="1"/>
  <c r="D72" i="6"/>
  <c r="D73" i="6" s="1"/>
  <c r="E71" i="6"/>
  <c r="E73" i="6" s="1"/>
  <c r="B103" i="6" s="1"/>
  <c r="C103" i="6" s="1"/>
  <c r="D103" i="6" s="1"/>
  <c r="B41" i="6"/>
  <c r="D60" i="6"/>
  <c r="D117" i="6"/>
  <c r="D53" i="6"/>
  <c r="E61" i="6"/>
  <c r="E53" i="6"/>
  <c r="D55" i="6"/>
  <c r="D54" i="6"/>
  <c r="D56" i="6"/>
  <c r="B33" i="5"/>
  <c r="D43" i="5"/>
  <c r="D45" i="5" s="1"/>
  <c r="D70" i="5"/>
  <c r="D64" i="4"/>
  <c r="D52" i="3"/>
  <c r="D53" i="3" s="1"/>
  <c r="D59" i="3" s="1"/>
  <c r="E42" i="2"/>
  <c r="D38" i="2"/>
  <c r="D42" i="2" s="1"/>
  <c r="B74" i="2" s="1"/>
  <c r="B24" i="2"/>
  <c r="D211" i="7" l="1"/>
  <c r="B50" i="2"/>
  <c r="B73" i="2"/>
  <c r="B72" i="2"/>
  <c r="B52" i="2"/>
  <c r="C52" i="2" s="1"/>
  <c r="D52" i="2" s="1"/>
  <c r="B75" i="2"/>
  <c r="B74" i="3"/>
  <c r="D50" i="4"/>
  <c r="B49" i="4"/>
  <c r="C49" i="4" s="1"/>
  <c r="D49" i="4" s="1"/>
  <c r="D53" i="4" s="1"/>
  <c r="D54" i="4" s="1"/>
  <c r="D60" i="4" s="1"/>
  <c r="B72" i="4"/>
  <c r="B48" i="4"/>
  <c r="C48" i="4" s="1"/>
  <c r="D48" i="4" s="1"/>
  <c r="B71" i="4"/>
  <c r="B130" i="6"/>
  <c r="B129" i="6"/>
  <c r="B133" i="6" s="1"/>
  <c r="B100" i="6"/>
  <c r="C100" i="6" s="1"/>
  <c r="D100" i="6" s="1"/>
  <c r="B131" i="6"/>
  <c r="E62" i="6"/>
  <c r="B132" i="6" s="1"/>
  <c r="B97" i="6"/>
  <c r="C97" i="6" s="1"/>
  <c r="D97" i="6" s="1"/>
  <c r="C93" i="6"/>
  <c r="D93" i="6" s="1"/>
  <c r="D62" i="6"/>
  <c r="B79" i="5"/>
  <c r="B56" i="5"/>
  <c r="C56" i="5" s="1"/>
  <c r="D56" i="5" s="1"/>
  <c r="B77" i="5"/>
  <c r="B55" i="5"/>
  <c r="C55" i="5" s="1"/>
  <c r="D55" i="5" s="1"/>
  <c r="B78" i="5"/>
  <c r="B54" i="5"/>
  <c r="C54" i="5" s="1"/>
  <c r="D54" i="5" s="1"/>
  <c r="B102" i="6"/>
  <c r="C102" i="6" s="1"/>
  <c r="D102" i="6" s="1"/>
  <c r="B99" i="6"/>
  <c r="C99" i="6" s="1"/>
  <c r="D99" i="6" s="1"/>
  <c r="B96" i="6"/>
  <c r="C96" i="6" s="1"/>
  <c r="D96" i="6" s="1"/>
  <c r="C65" i="3"/>
  <c r="D65" i="3" s="1"/>
  <c r="D67" i="3" s="1"/>
  <c r="D68" i="3" s="1"/>
  <c r="B51" i="2"/>
  <c r="C51" i="2" s="1"/>
  <c r="D51" i="2" s="1"/>
  <c r="C50" i="2"/>
  <c r="D50" i="2" s="1"/>
  <c r="B49" i="2"/>
  <c r="C49" i="2" s="1"/>
  <c r="D49" i="2" s="1"/>
  <c r="D201" i="1"/>
  <c r="D199" i="1"/>
  <c r="I122" i="1"/>
  <c r="B202" i="1" s="1"/>
  <c r="C202" i="1" s="1"/>
  <c r="D202" i="1" s="1"/>
  <c r="E121" i="1"/>
  <c r="E120" i="1"/>
  <c r="D120" i="1"/>
  <c r="E116" i="1"/>
  <c r="E115" i="1"/>
  <c r="E114" i="1"/>
  <c r="E113" i="1"/>
  <c r="E112" i="1"/>
  <c r="E111" i="1"/>
  <c r="E110" i="1"/>
  <c r="E106" i="1"/>
  <c r="E105" i="1"/>
  <c r="E104" i="1"/>
  <c r="E103" i="1"/>
  <c r="E102" i="1"/>
  <c r="E101" i="1"/>
  <c r="E100" i="1"/>
  <c r="B76" i="2" l="1"/>
  <c r="C66" i="4"/>
  <c r="D66" i="4" s="1"/>
  <c r="D68" i="4"/>
  <c r="D69" i="4" s="1"/>
  <c r="B75" i="4"/>
  <c r="B81" i="5"/>
  <c r="D59" i="5"/>
  <c r="D60" i="5" s="1"/>
  <c r="D66" i="5" s="1"/>
  <c r="C92" i="6"/>
  <c r="D92" i="6" s="1"/>
  <c r="D54" i="2"/>
  <c r="D55" i="2" s="1"/>
  <c r="D61" i="2" s="1"/>
  <c r="C67" i="2" s="1"/>
  <c r="D67" i="2" s="1"/>
  <c r="D69" i="2" s="1"/>
  <c r="D70" i="2" s="1"/>
  <c r="I66" i="1"/>
  <c r="I63" i="1"/>
  <c r="I62" i="1"/>
  <c r="E51" i="1"/>
  <c r="D53" i="1"/>
  <c r="D51" i="1"/>
  <c r="I50" i="1"/>
  <c r="I48" i="1"/>
  <c r="D119" i="1"/>
  <c r="D121" i="1"/>
  <c r="E119" i="1"/>
  <c r="D115" i="1"/>
  <c r="D116" i="1"/>
  <c r="D114" i="1"/>
  <c r="D113" i="1"/>
  <c r="D112" i="1"/>
  <c r="D111" i="1"/>
  <c r="D109" i="1"/>
  <c r="D110" i="1"/>
  <c r="E109" i="1"/>
  <c r="E108" i="1"/>
  <c r="D108" i="1"/>
  <c r="D106" i="1"/>
  <c r="D105" i="1"/>
  <c r="D104" i="1"/>
  <c r="D103" i="1"/>
  <c r="D102" i="1"/>
  <c r="D101" i="1"/>
  <c r="D100" i="1"/>
  <c r="D99" i="1"/>
  <c r="E97" i="1"/>
  <c r="D97" i="1"/>
  <c r="E99" i="1"/>
  <c r="E70" i="1"/>
  <c r="D70" i="1"/>
  <c r="E69" i="1"/>
  <c r="D69" i="1"/>
  <c r="E67" i="1"/>
  <c r="D67" i="1"/>
  <c r="E66" i="1"/>
  <c r="D66" i="1"/>
  <c r="E63" i="1"/>
  <c r="D63" i="1"/>
  <c r="E62" i="1"/>
  <c r="D62" i="1"/>
  <c r="D61" i="1"/>
  <c r="D60" i="1"/>
  <c r="E53" i="1"/>
  <c r="E48" i="1"/>
  <c r="D48" i="1"/>
  <c r="D47" i="1"/>
  <c r="D46" i="1"/>
  <c r="B33" i="1"/>
  <c r="B35" i="1" s="1"/>
  <c r="B82" i="1"/>
  <c r="B80" i="1"/>
  <c r="B27" i="1"/>
  <c r="B31" i="1"/>
  <c r="D50" i="1" l="1"/>
  <c r="D54" i="1" s="1"/>
  <c r="B178" i="1" s="1"/>
  <c r="C178" i="1" s="1"/>
  <c r="D178" i="1" s="1"/>
  <c r="D64" i="1"/>
  <c r="E64" i="1"/>
  <c r="E71" i="1" s="1"/>
  <c r="B184" i="1" s="1"/>
  <c r="C184" i="1" s="1"/>
  <c r="D184" i="1" s="1"/>
  <c r="B130" i="1"/>
  <c r="B135" i="1"/>
  <c r="C135" i="1" s="1"/>
  <c r="D135" i="1" s="1"/>
  <c r="E122" i="1"/>
  <c r="B185" i="1" s="1"/>
  <c r="C185" i="1" s="1"/>
  <c r="D185" i="1" s="1"/>
  <c r="B132" i="1"/>
  <c r="C132" i="1" s="1"/>
  <c r="D132" i="1" s="1"/>
  <c r="D106" i="6"/>
  <c r="D107" i="6" s="1"/>
  <c r="D113" i="6" s="1"/>
  <c r="D121" i="6" s="1"/>
  <c r="D122" i="6" s="1"/>
  <c r="C72" i="5"/>
  <c r="D72" i="5" s="1"/>
  <c r="D74" i="5" s="1"/>
  <c r="D75" i="5" s="1"/>
  <c r="I54" i="1"/>
  <c r="B198" i="1" s="1"/>
  <c r="C198" i="1" s="1"/>
  <c r="D198" i="1" s="1"/>
  <c r="B88" i="1"/>
  <c r="B175" i="1" s="1"/>
  <c r="C175" i="1" s="1"/>
  <c r="D175" i="1" s="1"/>
  <c r="E50" i="1"/>
  <c r="E54" i="1" s="1"/>
  <c r="B131" i="1"/>
  <c r="C131" i="1" s="1"/>
  <c r="D131" i="1" s="1"/>
  <c r="D71" i="1"/>
  <c r="B173" i="1"/>
  <c r="C173" i="1" s="1"/>
  <c r="D173" i="1" s="1"/>
  <c r="D122" i="1"/>
  <c r="B180" i="1" s="1"/>
  <c r="C180" i="1" s="1"/>
  <c r="D180" i="1" s="1"/>
  <c r="I71" i="1"/>
  <c r="B200" i="1" s="1"/>
  <c r="C200" i="1" s="1"/>
  <c r="D200" i="1" s="1"/>
  <c r="B136" i="1"/>
  <c r="C136" i="1" s="1"/>
  <c r="D136" i="1" s="1"/>
  <c r="C130" i="1"/>
  <c r="D130" i="1" s="1"/>
  <c r="B137" i="1" l="1"/>
  <c r="C137" i="1" s="1"/>
  <c r="D137" i="1" s="1"/>
  <c r="B183" i="1"/>
  <c r="C183" i="1" s="1"/>
  <c r="D183" i="1" s="1"/>
  <c r="B174" i="1"/>
  <c r="C174" i="1" s="1"/>
  <c r="D174" i="1" s="1"/>
  <c r="D176" i="1" s="1"/>
  <c r="B179" i="1"/>
  <c r="C179" i="1" s="1"/>
  <c r="D179" i="1" s="1"/>
  <c r="B133" i="1"/>
  <c r="C133" i="1" s="1"/>
  <c r="D133" i="1" s="1"/>
  <c r="D138" i="1" s="1"/>
  <c r="B170" i="1" l="1"/>
  <c r="B140" i="1"/>
  <c r="D187" i="1"/>
  <c r="D188" i="1" s="1"/>
  <c r="D142" i="1" l="1"/>
  <c r="D194" i="1" s="1"/>
  <c r="C205" i="1" l="1"/>
  <c r="D205" i="1" s="1"/>
  <c r="D207" i="1" s="1"/>
  <c r="D208" i="1" l="1"/>
  <c r="B210" i="1" s="1"/>
  <c r="B211" i="1" s="1"/>
  <c r="B9" i="8" l="1"/>
  <c r="B10" i="8" s="1"/>
  <c r="D8" i="8"/>
  <c r="E8" i="8" s="1"/>
  <c r="C8" i="8"/>
  <c r="C10" i="8" l="1"/>
  <c r="C62" i="9"/>
  <c r="D10" i="8"/>
  <c r="E10" i="8" s="1"/>
  <c r="B16" i="8" s="1"/>
  <c r="D9" i="8"/>
  <c r="E9" i="8" s="1"/>
  <c r="C9" i="8"/>
  <c r="D62" i="9" l="1"/>
  <c r="E62" i="9" s="1"/>
  <c r="E64" i="9" s="1"/>
  <c r="E65" i="9" s="1"/>
  <c r="B68" i="9"/>
  <c r="B15" i="8"/>
  <c r="B62" i="9"/>
  <c r="B69" i="9" l="1"/>
  <c r="B70" i="9" s="1"/>
  <c r="B72" i="9" s="1"/>
</calcChain>
</file>

<file path=xl/sharedStrings.xml><?xml version="1.0" encoding="utf-8"?>
<sst xmlns="http://schemas.openxmlformats.org/spreadsheetml/2006/main" count="1317" uniqueCount="633">
  <si>
    <t>Test USAC without correspondence aggregation and without refinement and BA</t>
  </si>
  <si>
    <t>Disable degeneracy check (4th digit)</t>
  </si>
  <si>
    <t>No VFC, SOF, or GMS filtering</t>
  </si>
  <si>
    <t>USACInlratFilt</t>
  </si>
  <si>
    <t>Möglichkeiten</t>
  </si>
  <si>
    <t>th</t>
  </si>
  <si>
    <t>nur wenn cfgUSAC digit 1 &gt;1: 2-&gt;Automatic estimation of SPRT epsilon (only without option refineVFC); 3-&gt;Automatic estimation of SPRT delta and epsilon</t>
  </si>
  <si>
    <t>digit 2</t>
  </si>
  <si>
    <t>digit 3</t>
  </si>
  <si>
    <t>digit 5</t>
  </si>
  <si>
    <t>digit 6</t>
  </si>
  <si>
    <t>cfgUSAC (digits 1-3,5-6):</t>
  </si>
  <si>
    <t>digit 1 (0-3)</t>
  </si>
  <si>
    <t>Scenes keypoint 
position distribution</t>
  </si>
  <si>
    <t>Depth distribution</t>
  </si>
  <si>
    <t>only within ~50xbaseline, completely distributed, mainly far depth</t>
  </si>
  <si>
    <t>Inlier ratios</t>
  </si>
  <si>
    <t>Possibilities for digits 5 &amp; 6</t>
  </si>
  <si>
    <t>0.6-2.0(res0.2)</t>
  </si>
  <si>
    <t>1. Test different possibilities
for digits 5 &amp; 6</t>
  </si>
  <si>
    <t>2. Choose best combination</t>
  </si>
  <si>
    <t>3. Test different possibilities
for digits 1 -3</t>
  </si>
  <si>
    <t>0.1-0.9(0.1res)</t>
  </si>
  <si>
    <t>Keypoint position accuracy,
0.5-4pixel (0,5pix res)</t>
  </si>
  <si>
    <t>3. Choose best combination</t>
  </si>
  <si>
    <t>Time:</t>
  </si>
  <si>
    <t>Use 50 frames per scene</t>
  </si>
  <si>
    <t>s</t>
  </si>
  <si>
    <t>h</t>
  </si>
  <si>
    <t>test combinations of digits 5&amp;6 with other digits fixed (digits1-4: 3110) but with varying th, 
keypoint position accuracy (3 pixel), scenes, and inlier ratios (0.2, 0.4, 0.6, 0.8)</t>
  </si>
  <si>
    <t>d</t>
  </si>
  <si>
    <t>Possibilities for digits 1-3</t>
  </si>
  <si>
    <t>Test degeneracy detection</t>
  </si>
  <si>
    <t>only on 1 scene with 1 depth distribution (completely distributed depth, distributed over whole image)</t>
  </si>
  <si>
    <t>Test of USAC without degeneracy detection</t>
  </si>
  <si>
    <t>Scenes</t>
  </si>
  <si>
    <t>Rotation only (10 frames), no cam movement (10 frames), R &amp; small translation t (50 frames), normal R&amp;t (50 frames: take from already calculated scenes);
keypoints fully distributed over image</t>
  </si>
  <si>
    <t>cfgUSAC (digit 4):</t>
  </si>
  <si>
    <t>Possibilities</t>
  </si>
  <si>
    <t>Generation of scenes alg</t>
  </si>
  <si>
    <t>Generation of GT matches alg</t>
  </si>
  <si>
    <t>Generation of scenes degen</t>
  </si>
  <si>
    <t>Generation of GT matches degen</t>
  </si>
  <si>
    <t>Possibilities for digits 4</t>
  </si>
  <si>
    <t>Auswertungen:</t>
  </si>
  <si>
    <t>For every combination of digits 5&amp;6:</t>
  </si>
  <si>
    <t>For every threshold th:</t>
  </si>
  <si>
    <t>Output for every possibility:</t>
  </si>
  <si>
    <t>Use ~500 Correspondences and 100-1000 (varying from frame to frame) correspondences per image pair, no moving objects</t>
  </si>
  <si>
    <t>Number of correspondences</t>
  </si>
  <si>
    <t>500 and once varying from 100-1000 per frame</t>
  </si>
  <si>
    <t>Execution time and number of correspondences for every scene (per frame)</t>
  </si>
  <si>
    <t>For every combination of digit 4:</t>
  </si>
  <si>
    <t>Use only thresholds that are larger or equal to the general threshold th</t>
  </si>
  <si>
    <t>USACdegenTh 0.6-2.0 (0.2pix res)</t>
  </si>
  <si>
    <t>For every th:</t>
  </si>
  <si>
    <t>For every USACdegenTh:</t>
  </si>
  <si>
    <t>For every scene seperately (R only, no R&amp;t, mainly R, normal R&amp;t)</t>
  </si>
  <si>
    <t>Number of correctly/false detected degeneracy per scene</t>
  </si>
  <si>
    <t>Calculations of statistics
for digits 5 &amp; 6</t>
  </si>
  <si>
    <t>Calculations of statistics
for digits 1-3</t>
  </si>
  <si>
    <t>Calculations of statistics
for digit 4</t>
  </si>
  <si>
    <t>Sum</t>
  </si>
  <si>
    <t>Gewünschte Rechenzeit</t>
  </si>
  <si>
    <t>Anzahl Cores</t>
  </si>
  <si>
    <t>Einrichtung</t>
  </si>
  <si>
    <t>Sichtung Ergebnisse digits 5 &amp; 6</t>
  </si>
  <si>
    <t>For every threshold th and scene (keypoint distributions, depth distributions, 500 correspondences) 
(in the end, pick one th):</t>
  </si>
  <si>
    <t>Statistic for execution time (fixed time budget and time per keypoint) 
over all scenes with varying number of correspondences (100-1000) compared to inlier ratios and thresholds th</t>
  </si>
  <si>
    <t>Statistic for execution time (fixed time budget and time per keypoint) 
over all scenes with varying number of correspondences (100-1000) compared to inlier ratios</t>
  </si>
  <si>
    <t>Statistic for execution time (fixed time budget and time per keypoint) 
over all scenes with varying number of correspondences (100-1000) and keypoint accuracies compared to inlier ratios and thresholds th</t>
  </si>
  <si>
    <t>Statistic for execution time (fixed time budget and time per keypoint) 
over all scenes with varying number of correspondences (100-1000) and keypoint accuracies compared to inlier ratios</t>
  </si>
  <si>
    <t xml:space="preserve">Statistic for execution time (fixed time budget and time per keypoint) 
over all scenes with varying number of correspondences (100-1000) compared to inlier ratios  and keypoint accuracies </t>
  </si>
  <si>
    <t>Anzahl an
Sichtungen</t>
  </si>
  <si>
    <t>Nur Sichtung der Mean-values</t>
  </si>
  <si>
    <t>For every threshold th and scene (keypoint accuracy, depth distributions, 500 correspondences) 
(in the end, pick one th):</t>
  </si>
  <si>
    <t>Sums</t>
  </si>
  <si>
    <t>For every combination of digits 1-3 &amp; USACInlratFilt:</t>
  </si>
  <si>
    <t>Percentage (and number of correct/false) degeneracy detections 
over all depth distributions, keypoint accuracies, and inlier ratios (accumulated) compared to thresholds th and USACdegenTh</t>
  </si>
  <si>
    <t>Percentage (and number of correct/false) degeneracy detections 
over all depth distributions, keypoint accuracies, and inlier ratios (accumulated) compared to USACdegenTh</t>
  </si>
  <si>
    <t>Percentage (and number of correct/false) degeneracy detections 
over all depth distributions, and keypoint accuracies (accumulated) compared to USACdegenTh and inlier ratios</t>
  </si>
  <si>
    <t>Nur Figures für Prozentwerte</t>
  </si>
  <si>
    <t xml:space="preserve">Percentage (and number of correct/false) degeneracy detections 
over all depth distributions, and inlier ratios (accumulated) compared to USACdegenTh and keypoint accuracies </t>
  </si>
  <si>
    <t>Percentage (and number of correct/false) degeneracy detections 
over all keypoint accuracies, and inlier ratios (accumulated) compared to USACdegenTh and depth distributions</t>
  </si>
  <si>
    <t>Percentage (and number of correct/false) degeneracy detections 
over all scenes, keypoint accuracies, and inlier ratios (accumulated) compared to thresholds th</t>
  </si>
  <si>
    <t>Percentage (and number of correct/false) degeneracy detections 
over all depth distributions, keypoint accuracies, and inlier ratios (accumulated) compared to thresholds th</t>
  </si>
  <si>
    <t>Percentage (and number of correct/false) degeneracy detections 
over all depth distributions, and keypoint accuracies (accumulated) compared to thresholds th and inlier ratios</t>
  </si>
  <si>
    <t xml:space="preserve">Percentage (and number of correct/false) degeneracy detections 
over all depth distributions, and inlier ratios (accumulated) compared to thresholds th and keypoint accuracies </t>
  </si>
  <si>
    <t>Percentage (and number of correct/false) degeneracy detections 
over all keypoint accuracies, and inlier ratios (accumulated) compared to thresholds th and depth distributions</t>
  </si>
  <si>
    <t>Statistikwerte</t>
  </si>
  <si>
    <t>Für 2D-Figures werden mehrere Ergebnisse (algorithmen-Möglichkeiten bzw.  Kombinationen) zum Vergleich in die gleiche Figure eingetragen</t>
  </si>
  <si>
    <t>Anzahl an 
Figures
(nur tex-Files)</t>
  </si>
  <si>
    <t>Welche Sichtungen</t>
  </si>
  <si>
    <t>Berechnung von</t>
  </si>
  <si>
    <t>Additional
Figures</t>
  </si>
  <si>
    <t>b vs th for every comb</t>
  </si>
  <si>
    <t>Additional
# Figures</t>
  </si>
  <si>
    <t>b vs inlier ratio 
for every comb</t>
  </si>
  <si>
    <t>See left</t>
  </si>
  <si>
    <t>Sichtung der Zeiten nur für 1 Threshold 
calculated in step 5 of results 7</t>
  </si>
  <si>
    <t>1. Calculate the ta = overall execution time for 1000 keypoints from the mean values of fixed time budget and t/keypoint
2. Get min/max execution time [tmi, tma] over all inlier ratios (remember corresponding inl rat) for all combinations and th
3. Get min/max execution time [tmi2, tma2] over all th for every combination (remember corr. ths and inl rats)
4. Box plot from above for all combinations for min/max values side by side</t>
  </si>
  <si>
    <t>Nur Figures für Prozentwerte;
Sichtung von nur 1 Threshold von Step 4 of results 15</t>
  </si>
  <si>
    <t>Nur Figures für Prozentwerte;
Sichtung von most interesting USACdegenTh from step 9 (nearest one) of result 23</t>
  </si>
  <si>
    <t>500 correspondences</t>
  </si>
  <si>
    <t>Compare to execution time without degeneracy check (only scene with normal R&amp;t) and 
take the overall time per frame for scenes with 500 correspondences only:</t>
  </si>
  <si>
    <t>Percentage of execution time difference 
over all depth distributions and keypoint accuracies with the most interesting  USACdegenTh from step 9 (nearest one) of result 23 compared to inlier ratios</t>
  </si>
  <si>
    <t xml:space="preserve">Percentage of execution time difference 
over all depth distributions and  the most interesting  USACdegenTh from step 9 (nearest one) of result 23 compared to inlier ratios  and keypoint accuracies </t>
  </si>
  <si>
    <t>Percentage of execution time difference over all depth distributions and keypoint accuracies compared to inlier ratios and USACdegenThs</t>
  </si>
  <si>
    <t>Only most interesting th from step 9 (nearest one) of result 23</t>
  </si>
  <si>
    <t>Einrichtung für Tests digits 1-3</t>
  </si>
  <si>
    <t>Sichtung Ergebnisse digits 1-3</t>
  </si>
  <si>
    <t>Einrichtung für Tests digit 4</t>
  </si>
  <si>
    <t>Sichtung Ergebnisse digit 4</t>
  </si>
  <si>
    <t>Generation of tex-files for
digits 5 &amp; 6</t>
  </si>
  <si>
    <t>Generation of tex-files for
digits 1-3</t>
  </si>
  <si>
    <t>Generation of tex-files for
digit 4</t>
  </si>
  <si>
    <t>Generation of PDF-Files for
digits 5 &amp; 6</t>
  </si>
  <si>
    <t>Generation of PDF-Files for
digits 1-3</t>
  </si>
  <si>
    <t>Generation of PDF-Files for
digit 4</t>
  </si>
  <si>
    <t>Iterationen durch Fehler im Code</t>
  </si>
  <si>
    <t>Gesamtsumme für Auswertungen</t>
  </si>
  <si>
    <t>Anzahl gewählte Cores</t>
  </si>
  <si>
    <t>Rechenzeit</t>
  </si>
  <si>
    <t>Rechenzeit mit multiple Cores</t>
  </si>
  <si>
    <t>Rechenzeit mit Iterationen</t>
  </si>
  <si>
    <t>Zeit für Fehlerbehebung
(jedes mal)</t>
  </si>
  <si>
    <t>Gesamtzeit am Server (durchgehend)</t>
  </si>
  <si>
    <t>Gesamtzeit am Server 
(excl. Wochenende)</t>
  </si>
  <si>
    <t>entpicht Stunden:</t>
  </si>
  <si>
    <t>Voraussichtliche Kosten (EUR):</t>
  </si>
  <si>
    <t>Compare USAC with RANSAC</t>
  </si>
  <si>
    <t>RANSAC without correspondence aggregation and without refinement and BA</t>
  </si>
  <si>
    <t>Take best configuration and results from testing USAC (without degeneracy check (4th digit)) for comparison with RANSAC</t>
  </si>
  <si>
    <t>Use the same scenes that were generated for USAC testing</t>
  </si>
  <si>
    <t>RANSAC vs USAC:</t>
  </si>
  <si>
    <t>every combination or combination stands for RANSAC vs USAC</t>
  </si>
  <si>
    <t>RAM benötigt [GB]</t>
  </si>
  <si>
    <t>Speicher benötigt [GB]</t>
  </si>
  <si>
    <t>Possibilities for RANSAC</t>
  </si>
  <si>
    <t>Calculations of statistics
for RANSAC</t>
  </si>
  <si>
    <t>Generation of tex-files for
RANSAC vs USAC</t>
  </si>
  <si>
    <t>Einrichtung für Tests RANSAC vs USAC</t>
  </si>
  <si>
    <t>Sichtung Ergebnisse RANSAC vs USAC</t>
  </si>
  <si>
    <t>mögliche Leerlaufzeit (Nacht)</t>
  </si>
  <si>
    <t>zusätzlicher Speicher [GB]</t>
  </si>
  <si>
    <t>Compare different refinement methods and Bundle Adjustment after USAC</t>
  </si>
  <si>
    <t>Use best configuration and threshold th from testing USAC (without degeneracy check (4th digit))</t>
  </si>
  <si>
    <t>USAC without correspondence aggregation</t>
  </si>
  <si>
    <t>Testing of pre-filtering with VFC, SOF, or GMS</t>
  </si>
  <si>
    <t>refineRT</t>
  </si>
  <si>
    <t>BART</t>
  </si>
  <si>
    <t>enable/disable, with/without intrinsics</t>
  </si>
  <si>
    <t>Distort initial intrinsics</t>
  </si>
  <si>
    <t>with and without distortion of the camera matrix (focal length and image center)  - test only on the best refineRT combination with/without BART combinations</t>
  </si>
  <si>
    <t>For every scene (keypoint accuracy, depth distributions, 500 correspondences):</t>
  </si>
  <si>
    <r>
      <t>For every combination of 
refineRT &amp; BART (</t>
    </r>
    <r>
      <rPr>
        <b/>
        <sz val="11"/>
        <color theme="1"/>
        <rFont val="Calibri"/>
        <family val="2"/>
        <scheme val="minor"/>
      </rPr>
      <t>use the results from USAC without refinement for comparison</t>
    </r>
    <r>
      <rPr>
        <sz val="11"/>
        <color theme="1"/>
        <rFont val="Calibri"/>
        <family val="2"/>
        <scheme val="minor"/>
      </rPr>
      <t>):</t>
    </r>
  </si>
  <si>
    <t>Statistic for execution time -  only for refinement (fixed time budget and time per keypoint) 
over all inlier ratios and scenes with varying number of correspondences (100-1000)</t>
  </si>
  <si>
    <t>smallest b vs inlier ratio 
and corresponding 
th vs inlier ratio in same 
figure for every comb;
bar chart of 5.</t>
  </si>
  <si>
    <t>1. Calculate the ta = overall execution time for 1000 keypoints from the mean values of fixed time budget and t/keypoint
2. Get the tam = mean ta over all th for every inlier ratio &amp; combination
3. Get the minimum tam over all combinations (remember the corresponding comb) for every inlier ratio
4. Generate bar chart from above</t>
  </si>
  <si>
    <t>smallest b vs kp acc 
and corresponding 
th vs kp acc in same 
figure for every comb;
bar chart of 5.</t>
  </si>
  <si>
    <t>1. Calculate the ta = overall execution time for 1000 keypoints from the mean values of fixed time budget and t/keypoint
2.1. Get mean execution time over all inlier ratios for all combinations, keypoint accuracies and th
2.2. Get mean execution time over all keypoint accuracies for all combinations, inlier ratios and th
3.1. Get min/max execution time [timi, tima] over all keypoint accuracies (from 2.1, remember kp accs) for every th and combination
3.2. Get min/max execution time [tami, tama] over all inlier ratios (from 2.2, remember inl rats) for every th and combination
4.1. Get min/max execution time [timi2, tima2] over all th (from 3.1) for every combination (remember corr. ths and kp accs)
4.2. Get min/max execution time [tami2, tama2] over all th (from 3.2) for every combination (remember corr. ths and inl rats)
5. 2 bar charts from 4.1 and 4.2 for all combinations</t>
  </si>
  <si>
    <t>1. Get highest/lowest percentage [rh, rl] over every th and USACdegenTh (remember them) for every scene and combination
2. Get highest/lowest percentage [rch, rcl] from [rh, rl] over every combination (remember it) for every scene and generate a bar chart from that
3. Get the combination from 2 which is present in the bar chart most often (there might be no single solution)
4. Get the combination with the highest percentage and its corresponding th and USACdegenTh from 2
5. Calculate the difference to the second highest percentage and the range from the smallest to biggest percentage</t>
  </si>
  <si>
    <t>1. Get highest/lowest percentage [rh, rl] over every th and USACdegenTh (remember them) for every scene, inlier ratio, and combination
2.1. Get highest/lowest percentage [rch, rcl] from [rh, rl] over every combination (remember it) for every scene and inlier ratio and generate a bar chart from the highest percentages (inl rats side-by-side for every scene; add the ths and USACdegenThs on the y-axis; add combination number on the x-axis for every inlier ratio and scene; Generate a table for the used combinations)
2.2. Get highest/lowest percentage [rch, rcl] from [rh, rl] over every inlier ratio (remember it) for every scene and combination and generate a bar chart from the highest percentages (combinations side-by-side for every scene; add the ths and USACdegenThs on the y-axis; add inlier ratio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</si>
  <si>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keypoint accuracy, and combination
2.1. Get highest/lowest percentage [rch, rcl] from [rh, rl] over every combination (remember it) for every scene and  keypoint accuracy and generate a bar chart from the highest percentages (kp accs side-by-side for every scene; add the ths and USACdegenThs on the y-axis; add combination number on the x-axis for every inlier ratio and scene; Generate a table for the used combinations)
2.2. Get highest/lowest percentage [rch, rcl] from [rh, rl] over every  keypoint accuracy (remember it) for every scene and combination and generate a bar chart from the highest percentages (combinations side-by-side for every scene; add the ths and USACdegenThs on the y-axis; add keypoint accuracy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</si>
  <si>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depth distribution, and combination
2.1. Get highest/lowest percentage [rch, rcl] from [rh, rl] over every combination (remember it) for every scene and  depth distribution and generate a bar chart from the highest percentages (depth distributions side-by-side for every scene; add the ths and USACdegenThs on the y-axis; add combination number on the x-axis for every inlier ratio and scene; Generate a table for the used combinations)
2.2. Get highest/lowest percentage [rch, rcl] from [rh, rl] over every  depth distribution (remember it) for every scene and combination and generate a bar chart from the highest percentages (combinations side-by-side for every scene; add the ths and USACdegenThs on the y-axis; add depth distribution on the x-axis for every combination and scene)
3. Get the combination from 2.1 which is present in the bar chart most often (there might be no single solution)
4. Get the combination with the highest percentage and its corresponding th and USACdegenTh from 2.1
5. Get the combination which is present in steps 4-5 of results 15-19 most often and calculate its mean th and USACdegenTh
6. Calculate the difference to the second highest percentage (step 4) and the range from the smallest to biggest percentage</t>
  </si>
  <si>
    <t>1. Calculate the mean percentage rtm over all inlier ratios and scenes for every combination and th
2. Get min/max rtm over all th (remember them) for every combination and build a bar chart from that (min/max side-by-side; show th also on x axis or above every box)</t>
  </si>
  <si>
    <t>1. Calculate the mean percentage rtm over all inlier ratios and scenes for every 
combination, USACdegenTh, and th (store in table)
2. Get the most and second most interesting th, USACdegenTh and their corresponding combination from steps 4-5 of results 15, 17, 18, steps 4 &amp; 6 of result 19, steps 6 &amp; 7 from result 20, steps 7 &amp; 8 from results 21 &amp; 22, and steps 7 &amp; 10 from result 23 (there might be different combinations - take every combination that is present at least once and perform a ranking based on their position (1st, 2nd) and their number of occurances)
3. Build a bar chart for the combinations from step 2, their rtm, and corresponding th and USACdegenTh (put these thresholds on the y-axis)</t>
  </si>
  <si>
    <t>b vs inlier ratio 
for every comb;
bar chart for sn's</t>
  </si>
  <si>
    <t>Generate box-plot for every 
combination</t>
  </si>
  <si>
    <t>Generate box-plot for every 
combination for fixed and variable time</t>
  </si>
  <si>
    <t>Mean, Median, Standardabweichung, Min, Max, lower quartil, upper quartil (insgesamt 7 Werte, nur 5 (keine Quartile) werden bei Auswertung verwendet)</t>
  </si>
  <si>
    <t>Camera matrix difference (f, x, y, norm(xy_diff), norm(xyf_diff))</t>
  </si>
  <si>
    <t>Statistic on absolut inlier ratio difference (input data vs output) compared to thresholds th for every combination, keypoint accuracy, and depth distribution</t>
  </si>
  <si>
    <t>Sichtung von mean-values</t>
  </si>
  <si>
    <t>1. Get im = mean difference over every keypoint accuracy and depth distribution for every combination and threshold th
2. Get minimum im for every combination (remember the th) and build a bar chart from that (add the corresponding th on the y-axis)
3. Get the combination and its th with the smallest im-value</t>
  </si>
  <si>
    <t>Generate also distorted camera matrices (~5% difference) which is not used in this test scenario but for testing the refinement opions later on</t>
  </si>
  <si>
    <t>Possibilities for refineRT &amp;
BART</t>
  </si>
  <si>
    <t>Calculations of statistics</t>
  </si>
  <si>
    <t>Generation of tex-files</t>
  </si>
  <si>
    <t>Generation of PDF-Files</t>
  </si>
  <si>
    <t>Einrichtung für Tests</t>
  </si>
  <si>
    <t>Sichtung Ergebnisse</t>
  </si>
  <si>
    <t>If best USAC solution is without GMS or VFC (for estimating some USAC parameters (cfgUSAC digit 1 &gt;1)), try using them for pre-filtering, otherwise use RANSAC and compare with its original results</t>
  </si>
  <si>
    <t>Use best configuration and threshold th from testing USAC (without degeneracy check (4th digit)) or from testing RANSAC</t>
  </si>
  <si>
    <t>refineVFC</t>
  </si>
  <si>
    <t>enable/disable</t>
  </si>
  <si>
    <t>refineSOF</t>
  </si>
  <si>
    <t>refineGMS</t>
  </si>
  <si>
    <r>
      <t>For every combination of 
refineRT &amp; BART (</t>
    </r>
    <r>
      <rPr>
        <b/>
        <sz val="11"/>
        <color theme="1"/>
        <rFont val="Calibri"/>
        <family val="2"/>
        <scheme val="minor"/>
      </rPr>
      <t>use the results from USAC/RANSAC without refinement for comparison</t>
    </r>
    <r>
      <rPr>
        <sz val="11"/>
        <color theme="1"/>
        <rFont val="Calibri"/>
        <family val="2"/>
        <scheme val="minor"/>
      </rPr>
      <t>):</t>
    </r>
  </si>
  <si>
    <t>RANSAC/USAC without correspondence aggregation and without refinement</t>
  </si>
  <si>
    <t>For every scene (keypoint accuracy, depth distributions, kp position distr, 500 correspondences):</t>
  </si>
  <si>
    <t>Statistic on absolut inlier ratio difference (input data vs output) for every filter technique, keypoint accuracy, keypoint position distribution, and depth distribution. Figure for inlier ratio differences vs keypoint accuracies (sum over all other scenes); Box-plots for inlier ratio differences (y-axis) vs keypoint position distribution and depth distribution (x-axis)</t>
  </si>
  <si>
    <t>1. Get im = mean difference over every keypoint accuracy, depth distribution, and keypoint position distribution for every filter technique and build a bar chart from that
2. Get filter technique with smallest im</t>
  </si>
  <si>
    <t>Generate box-plot for every 
filter technique for fixed and variable time</t>
  </si>
  <si>
    <t>Statistic for execution time -  only for filtering (fixed time budget and time per keypoint) 
over all inlier ratios and scenes with varying number of correspondences (100-1000)</t>
  </si>
  <si>
    <t>1. Calculate the ta = overall execution time for 1000 keypoints from the mean values of fixed time budget and t/keypoint
3. Get the minimum/maximum ta over all filter techniques (remember the corresponding filter)
4. Generate bar chart from step 1</t>
  </si>
  <si>
    <t>Possibilities for different 
filters</t>
  </si>
  <si>
    <t>Compare different refinement methods and Bundle Adjustment for stereo refinement</t>
  </si>
  <si>
    <t>Use correspondence aggregation</t>
  </si>
  <si>
    <t>Use best configuration for refinement and/or BA after USAC</t>
  </si>
  <si>
    <t>Use ~500 Correspondences correspondences per image pair, no moving objects</t>
  </si>
  <si>
    <t>Disable useOnlyStablePose</t>
  </si>
  <si>
    <t>Disable useMostLikelyPose</t>
  </si>
  <si>
    <t>Use default values for the rest</t>
  </si>
  <si>
    <t>Disable useRANSAC_fewMatches</t>
  </si>
  <si>
    <t>refineRT_stereo</t>
  </si>
  <si>
    <t>BART_stereo</t>
  </si>
  <si>
    <r>
      <t>For every combination of 
refineRT_stereo &amp; BART_stereo (</t>
    </r>
    <r>
      <rPr>
        <b/>
        <sz val="11"/>
        <color theme="1"/>
        <rFont val="Calibri"/>
        <family val="2"/>
        <scheme val="minor"/>
      </rPr>
      <t>use the results from USAC with refinement for comparison</t>
    </r>
    <r>
      <rPr>
        <sz val="11"/>
        <color theme="1"/>
        <rFont val="Calibri"/>
        <family val="2"/>
        <scheme val="minor"/>
      </rPr>
      <t>):</t>
    </r>
  </si>
  <si>
    <t>Statistic for execution time -  only for stereo refinement (absolute time) 
over all inlier ratios and scenes with fixed number of correspondences (500)</t>
  </si>
  <si>
    <t>1. Calculate the ta = overall execution time for 1000 keypoints from the mean values of fixed time budget and t/keypoint
2. Get the minimum/maximum ta over all combinations (remember the corresponding comb)
3. Generate bar chart from step 1</t>
  </si>
  <si>
    <t>1. Get the minimum/maximum time over all combinations (remember the corresponding comb)
2. Generate bar chart from step 1</t>
  </si>
  <si>
    <t>Set maxPoolCorrespondences to 5000</t>
  </si>
  <si>
    <t>Possibilities for refineRT_stereo &amp;
BART_stereo</t>
  </si>
  <si>
    <t>Test the properties for the correspondence pool over multiple frames for stereo refinement</t>
  </si>
  <si>
    <t>Use best configuration for stereo-refinement and/or BA</t>
  </si>
  <si>
    <t>Use a camera trajectory where overlapping views from timestamp to timestamp are present (no simple forward movement), e.g. ellipse</t>
  </si>
  <si>
    <t>Use 150 frames per scene</t>
  </si>
  <si>
    <t>2 small/medium moving objects moving away from camera, same direction/parallel to camera, beginning depth is the same as the scene</t>
  </si>
  <si>
    <t>Only 1 stereo configuration for every scene</t>
  </si>
  <si>
    <t>Camera trajectory in z-direction, stereo pair points sideways</t>
  </si>
  <si>
    <t>minPtsDistance</t>
  </si>
  <si>
    <t>1-15(res2)</t>
  </si>
  <si>
    <t>maxPoolCorrespondences</t>
  </si>
  <si>
    <t>maxRat3DPtsFar</t>
  </si>
  <si>
    <t>0.1-0.8(res0.1)</t>
  </si>
  <si>
    <t>maxDist3DPtsZ</t>
  </si>
  <si>
    <t>20-300(res20)</t>
  </si>
  <si>
    <t>Possibilities for
minPtsDistance &amp;
maxPoolCorrespondences</t>
  </si>
  <si>
    <t>The best results from evaluating minPtsDistance &amp; maxPoolCorrespondences are used to evaluate maxRat3DPtsFar &amp; maxDist3DPtsZ</t>
  </si>
  <si>
    <t>minPtsDistance &amp; maxPoolCorrespondences are evaluated together in the beginning with default values for maxRat3DPtsFar &amp; maxDist3DPtsZ</t>
  </si>
  <si>
    <t>For every combination of 
minPtsDistance &amp;
maxPoolCorrespondences:</t>
  </si>
  <si>
    <t>For every scene (keypoint accuracy, depth distributions):</t>
  </si>
  <si>
    <t>R&amp;t differences (3 angles, 1 combined angle, x, y, z, 
norm(t_diff)) from frame to frame (From the first to the last frame) compared to inlier ratios (3D figure) - use only largest maxPoolCorrespondences size (40000)</t>
  </si>
  <si>
    <t>Differences of R&amp;t differences (3 angles, 1 combined angle, x, y, z, 
norm(t_diff)) from frame to frame (From the first to the last frame) compared to inlier ratios (3D figure) - use only largest maxPoolCorrespondences size (40000)</t>
  </si>
  <si>
    <t>distributed mainly over half image</t>
  </si>
  <si>
    <t>Statistic for execution time -  only for stereo refinement (absolute time) 
over all inlier ratios and scenes</t>
  </si>
  <si>
    <t>Only take max values</t>
  </si>
  <si>
    <t>Statistic for execution time over the last 30 (out of 150) frames -  only for stereo refinement (absolute time) over all inlier ratios and scenes</t>
  </si>
  <si>
    <t>Only take mean values</t>
  </si>
  <si>
    <t>1. Calculate the mean execution time over the mean values of all minPTSDistance
2. Build a logarithmic figure for this mean execution time vs maxPoolCorrespondences</t>
  </si>
  <si>
    <t>Number of correspondences within the correspondence pool for every scene (per frame)</t>
  </si>
  <si>
    <t>For every combination of maxRat3DPtsFar &amp; maxDist3DPtsZ 
(use minPtsDistance from step 7 of results 3 and the nearest value of maxPoolCorrespondences to the value from step 8 of results 8:</t>
  </si>
  <si>
    <t>1.1. Calculate the mean execution time over the mean values of all maxRat3DPtsFar and build a bar chart from that (vs maxDist3DPtsZ)
1.2. Calculate the mean execution time over the mean values of all maxDist3DPtsZ and build a bar chart from that (vs maxRat3DPtsFar)
2. Calculate a statistic over execution time values from 1.1 and 1.2</t>
  </si>
  <si>
    <t>Possibilities for
maxRat3DPtsFar &amp; maxDist3DPtsZ</t>
  </si>
  <si>
    <t>Calculations of statistics  for
minPtsDistance &amp;
maxPoolCorrespondences</t>
  </si>
  <si>
    <t>Calculations of statistics  for
maxRat3DPtsFar &amp; maxDist3DPtsZ</t>
  </si>
  <si>
    <t>Generation of tex-files for
maxRat3DPtsFar &amp; maxDist3DPtsZ</t>
  </si>
  <si>
    <t>Generation of tex-files for
minPtsDistance &amp;
maxPoolCorrespondences</t>
  </si>
  <si>
    <t>Generation of PDF-Files minPtsDistance &amp;
maxPoolCorrespondences</t>
  </si>
  <si>
    <t>Generation of PDF-Files maxRat3DPtsFar &amp; maxDist3DPtsZ</t>
  </si>
  <si>
    <t>Grundspeicher [GB]</t>
  </si>
  <si>
    <t>Speicher für 
Szenenerstellungs-Algorithmus [GB]</t>
  </si>
  <si>
    <t>Speicher Szenen 
(Correspondences) [GB]</t>
  </si>
  <si>
    <t>Speicher Szenen 
(Matches) [GB]</t>
  </si>
  <si>
    <t>Speicher CSV-Files [GB]</t>
  </si>
  <si>
    <t>Speicher tex-files [GB]</t>
  </si>
  <si>
    <t>Speicher PDF-Files [GB]</t>
  </si>
  <si>
    <t>Speicher Szenen Pointclouds stat. Obj. (Correspondences) [GB]</t>
  </si>
  <si>
    <t>Speicher Szenen Pointclouds mov. Obj. (Correspondences) [GB]</t>
  </si>
  <si>
    <t>Speicher GTM-Files [GB]</t>
  </si>
  <si>
    <t>Speicher Statistiken</t>
  </si>
  <si>
    <t>200-30000(res100, ab 1000-&gt;res200, ab 2000-&gt;res500, ab 5000-&gt;res1000, ab 10000-&gt;res2000, 
ab 20000-&gt;res5000)</t>
  </si>
  <si>
    <t>distributed over whole image, mainly in 1 corner</t>
  </si>
  <si>
    <t>Use one scene from USAC testing to compare the results from USAC with/without refinement (use the best paramter sets from 
their evaluation) to the best solution from here: Inlier ratio 0.6, correspondences distributed mainly in 1 corner, Depth completely distributed, 500 correspondences, 50 frames, keypoint accuracy 0.5-4pixel</t>
  </si>
  <si>
    <t>Compare the found best solution to results from USAC with/without refinement</t>
  </si>
  <si>
    <t>b vs keypoint acc 
for every comb</t>
  </si>
  <si>
    <t>Compare the mean absolute execution time over all frames and keypoint accuracies for 
every combination</t>
  </si>
  <si>
    <t>Possibilities for comparison with USAC with/without refinement</t>
  </si>
  <si>
    <t>Calculations of statistics  for comparison with USAC with/without refinement</t>
  </si>
  <si>
    <t>Generation of tex-files for
 comparison with USAC with/without refinement</t>
  </si>
  <si>
    <t>Generation of PDF-Files for  comparison with USAC with/without refinement</t>
  </si>
  <si>
    <t>Testing of the rebustness of the stereo refinement for difficult scenes and changing intrinsics &amp; extrinsics</t>
  </si>
  <si>
    <t>Use best correspondence pool settings</t>
  </si>
  <si>
    <t>completely distributed, mainly far depth</t>
  </si>
  <si>
    <t>distributed mainly over half image - change positions over time</t>
  </si>
  <si>
    <t>Camera trajectory in z-direction, stereo pair points sideways, medium (1/4-1/3) overlap from frame to frame</t>
  </si>
  <si>
    <t>Stereo configurations 1
(test with every algorithm possibility)</t>
  </si>
  <si>
    <t>Stereo configurations 2
(test only with best algorithm parameters)</t>
  </si>
  <si>
    <t>Use outputs: R_new, t_new, R_mostLikely (check if empty), t_mostLikely (check if empty), poseIsStable (bool), mostLikelyPose_stable (bool)</t>
  </si>
  <si>
    <t>Change the code to not use options useOnlyStablePose and useMostLikelyPose (to be able to output all the results mentioned above)</t>
  </si>
  <si>
    <t>Set minStartAggInlRat to 0.075</t>
  </si>
  <si>
    <t>Set minStartAggInlRat to 0.2</t>
  </si>
  <si>
    <t>relInlRatThLast</t>
  </si>
  <si>
    <t>relInlRatThNew</t>
  </si>
  <si>
    <t>minInlierRatSkip</t>
  </si>
  <si>
    <t>0.1-0.5(0.1res)</t>
  </si>
  <si>
    <t>0.05-0.55(0.1res)</t>
  </si>
  <si>
    <t>0.1-0.55(0.075res)</t>
  </si>
  <si>
    <t>minInlierRatioReInit</t>
  </si>
  <si>
    <t>0.3-0.8(0.1res)</t>
  </si>
  <si>
    <t>minContStablePoses</t>
  </si>
  <si>
    <t>3-5</t>
  </si>
  <si>
    <t>checkPoolPoseRobust</t>
  </si>
  <si>
    <t>minNormDistStable</t>
  </si>
  <si>
    <t>0.25-0.75(res0.1)</t>
  </si>
  <si>
    <t>absThRankingStable</t>
  </si>
  <si>
    <t>After fixing all parameters above, evaluate the last one:</t>
  </si>
  <si>
    <t>useRANSAC_fewMatches</t>
  </si>
  <si>
    <t>Disable useRANSAC_fewMatches first</t>
  </si>
  <si>
    <t>Set minContStablePoses, checkPoolPoseRobust, and minNormDistStable to defaults first</t>
  </si>
  <si>
    <t>Check the parameters below later on with fixed parameters from above:</t>
  </si>
  <si>
    <t>For generation of sequences: disable background detection</t>
  </si>
  <si>
    <t>Possibilities for
inlier tresholds</t>
  </si>
  <si>
    <t>Possibilities for
stable pose calculations</t>
  </si>
  <si>
    <t>Possibilities for
useRANSAC_fewMatches</t>
  </si>
  <si>
    <t xml:space="preserve">range 0.3-0.8, changes by 10-70% (res15%) in addition to 100% from frame to frame </t>
  </si>
  <si>
    <r>
      <t xml:space="preserve">Change the overall rotation by 0.075° per frame (similar change of every rotation), t fixed (max. change, 11.25°), 150 frames;
Change the overall translation by 0.001 (based on norm) per frame (max. change 0.15), R fixed, 150 frames;
</t>
    </r>
    <r>
      <rPr>
        <strike/>
        <sz val="11"/>
        <color theme="1"/>
        <rFont val="Calibri"/>
        <family val="2"/>
        <scheme val="minor"/>
      </rPr>
      <t>Combination of linear R &amp; t change from frame to frame;</t>
    </r>
    <r>
      <rPr>
        <sz val="11"/>
        <color theme="1"/>
        <rFont val="Calibri"/>
        <family val="2"/>
        <scheme val="minor"/>
      </rPr>
      <t xml:space="preserve">
Change the rotation after 20 frames by 10° (similar change of every rotation), t fixed, 50 frames;
Change the translation after 20 frames by 0.15 (based on norm, equally on x,  y, and z), R fixed, 50 frames;
</t>
    </r>
    <r>
      <rPr>
        <strike/>
        <sz val="11"/>
        <color theme="1"/>
        <rFont val="Calibri"/>
        <family val="2"/>
        <scheme val="minor"/>
      </rPr>
      <t>Combine R &amp; t abrupt changes from before, 50 frames</t>
    </r>
  </si>
  <si>
    <t>Keypoint position accuracy,
0.5-3.5pixel (1pix res)</t>
  </si>
  <si>
    <t>Change the rotation about x by 0.05° per frame, t fixed (max. change, 10°), 200 frames;
Change the rotation about y by 0.05° per frame, t fixed (max. change, 10°), 200 frames;
Change the rotation about z by 0.05° per frame, t fixed (max. change, 10°), 200 frames;
Combination of linear R &amp; t change from frame to frame;
Change the translation of x by 0.0005 (based on norm) per frame (max. change 0.1), R fixed, 200 frames;
Change the translation of y by 0.0005 (based on norm) per frame (max. change 0.1), R fixed, 200 frames;
Change the translation of z by 0.0005 (based on norm) per frame (max. change 0.1), R fixed, 200 frames;
Change the rotation about x after 20 frames by 10°, t fixed, 50 frames;
Change the rotation about y after 20 frames by 10°, t fixed, 50 frames;
Change the rotation about z after 20 frames by 10°, t fixed, 50 frames;
Change the translation of x after 20 frames by 0.1, R fixed, 50 frames;
Change the translation of y after 20 frames by 0.1, R fixed, 50 frames;
Change the translation of z after 20 frames by 0.1, R fixed, 50 frames;
Combine R &amp; t abrupt changes, 50 frames</t>
  </si>
  <si>
    <t>Possibilities for
Stereo configurations 2</t>
  </si>
  <si>
    <t>Set maxPoolCorrespondences to a good but not very high value (check runtimes from testing that-&gt;avg. Runtime per frame should be below 0,8s)</t>
  </si>
  <si>
    <t>For every combination of 
inlier tresholds:</t>
  </si>
  <si>
    <t>For every different stereo configuration scene:</t>
  </si>
  <si>
    <t>Nothing-&gt; Too many
possibilities</t>
  </si>
  <si>
    <t>Smallest b and parameters vs inlier change rate for every stereo conf scene (from step 4);
Bar chart for mean parameter values of step 5 (side-by-side) vs every stereo conf scene</t>
  </si>
  <si>
    <t>Smallest b and parameters vs inlier change rate for every stereo conf scene and depth distr (from step 4);
Bar chart for mean parameter values of step 5 (side-by-side) vs every stereo conf scene for every depth distr</t>
  </si>
  <si>
    <t>Smallest b and parameters vs inlier change rate for every stereo conf scene and keypoint acc (from step 4);
Bar chart for mean parameter values of step 5 (side-by-side) vs every stereo conf scene for every keypoint acc;
Bar chart for mean parameter values of step 6 (side-by-side) vs  every keypoint acc;</t>
  </si>
  <si>
    <t>For the stereo configuration scene with abrupt change of R:</t>
  </si>
  <si>
    <t>For the stereo configuration scene with abrupt change of t:</t>
  </si>
  <si>
    <r>
      <t>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</si>
  <si>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r>
      <t>Frame to frame difference of R&amp;t differences (x, y, z, norm(t_diff))(e.g.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</si>
  <si>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 xml:space="preserve">1. Calculate a statistic over the lower 80% (16) double differences of the combined angle (use only the scene with abrupt change of rotation)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t>
  </si>
  <si>
    <t>Bar charts for steps 3.1 to 3.3: 
same parameter types side-by-side</t>
  </si>
  <si>
    <t>WILL NOT BE TESTED AS THE TEST FRAMEWORK DOES NOT SUPPORT GENERATION OF SCENES WITH ROTATION ONLY OR NO CAMERA MOVEMENT</t>
  </si>
  <si>
    <t>Memory for Degeneracy detection (will not be evaluated)</t>
  </si>
  <si>
    <t>Speicher zum Testen von USAC ohne Degeneracy Detection</t>
  </si>
  <si>
    <t>Differences for R_mostLikely (check if empty), t_mostLikely (check if empty)</t>
  </si>
  <si>
    <t>poseIsStable (bool), mostLikelyPose_stable (bool)</t>
  </si>
  <si>
    <t>Check the parameter below later on with fixed parameters from above:</t>
  </si>
  <si>
    <t>Possibilities for
checkPoolPoseRobust</t>
  </si>
  <si>
    <t>Smallest b and parameters vs inlier change rate for every stereo conf scene (from step 5);
Bar chart from step 6</t>
  </si>
  <si>
    <t>Smallest b and parameters vs inlier change rate for every stereo conf scene and depth distr (from step 5);
Bar chart from step 6</t>
  </si>
  <si>
    <t>Smallest b and parameters vs inlier change rate for every stereo conf scene and keypoint acc (from step 5);
Bar charts from steps 6.1 &amp; 6.2</t>
  </si>
  <si>
    <t>Smallest b and parameters vs keypoint acc for every stereo conf scene and depth distr (from step 5);
Bar charts from steps 6.1-6.3</t>
  </si>
  <si>
    <r>
      <t>For every value of checkPoolPoseRobust (</t>
    </r>
    <r>
      <rPr>
        <b/>
        <sz val="11"/>
        <color theme="1"/>
        <rFont val="Calibri"/>
        <family val="2"/>
        <scheme val="minor"/>
      </rPr>
      <t>take best combination of inlier threshold parameters from step 7 of results 1</t>
    </r>
    <r>
      <rPr>
        <sz val="11"/>
        <color theme="1"/>
        <rFont val="Calibri"/>
        <family val="2"/>
        <scheme val="minor"/>
      </rPr>
      <t>):</t>
    </r>
  </si>
  <si>
    <r>
      <t>For every combination of 
stable pose calculations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</si>
  <si>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0-5</t>
  </si>
  <si>
    <t>Statisitc over absolute execution time over all depth distributions, keypoint accuracies, and inlier change rates (accumulated). Build a single box-plot.</t>
  </si>
  <si>
    <t>Write the time for generating sequences and matches (per frame) and the number of TN &amp; TP &amp; # moving objects into CSV file</t>
  </si>
  <si>
    <t>Bar charts with mean d vs parameter combinations for every stereo conf scene from step 6.1;
Bar charts with mean d vs parameter combinations for every inlier ratio change rate from step 6.2;
Bar charts with pd1 vs parameter combinations for every stereo conf scene from step 8.1;
Bar charts with pd2 vs parameter combinations for every inlier ratio change rate from step 8.2;
Bar charts from steps 7.1 &amp; 7.2;
Bar charts from steps 9.1 &amp; 9.2;</t>
  </si>
  <si>
    <t>Bar charts with mean d vs parameter combinations for every keypoint accuracy from step 6;
Bar charts with pd vs parameter combinations for every keypoint accuracy from step 8;
Bar chart from step 7;
Bar chart from step 9</t>
  </si>
  <si>
    <t>Bar charts with mean d vs parameter combinations for every depth distribution from step 6;
Bar charts with pd vs parameter combinations for every depth distribution from step 8;
Bar chart from step 7;
Bar chart from step 9</t>
  </si>
  <si>
    <t>Next, check with fixed parameters from above the most likely pose without variation of other parameters</t>
  </si>
  <si>
    <t>Check accuracy of 
most likely pose</t>
  </si>
  <si>
    <t>Bar chart with mean d vs stereo conf scenes from step 6.1;
Bar chart with mean d vs inlier ratio change rates from step 6.2;
Bar chart with pd1 vs stereo conf scenes from step 7.1;
Bar charts with pd2 vs inlier ratio change rates from step 7.2;</t>
  </si>
  <si>
    <t>Bar chart with mean d vs depth distributions from step 6;
Bar chart with pd vs depth distribution from step 7;</t>
  </si>
  <si>
    <t>Bar chart with mean d vs keypoint accuracy from step 6;
Bar chart with pd vs keypoint accuracy from step 7;</t>
  </si>
  <si>
    <t>Sichtung von Mean-Values</t>
  </si>
  <si>
    <t>Bar charts with tr vs inlier change rate for every stereo conf scene (inlier change rates side-by-side next to smallest/largest tr) (corresponding minNormDistStable values also on 2nd y-axis, minContStablePoses at corresponding bar at x-axis);
Bar charts with Rd &amp; td (side-by-side) vs inlier change rate for every stereo conf scene and smallest/largest tr (corresponding minNormDistStable values also on 2nd y-axis, minContStablePoses at corresponding bar at x-axis);
Bar charts with smallest d-values from step 5 and corresponding tr-value (side-by-side) vs inlier change rate for every stereo conf scene (corresponding minNormDistStable values also on 2nd y-axis, minContStablePoses at corresponding bar at x-axis)</t>
  </si>
  <si>
    <r>
      <t>Check accuracy of 
most likely pose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</si>
  <si>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0.05-0.5(res 0.075); set to 0.1 first</t>
  </si>
  <si>
    <r>
      <t xml:space="preserve">Statistic on the ratio tr = nst / (nst + nsf) of how often the flag </t>
    </r>
    <r>
      <rPr>
        <b/>
        <sz val="11"/>
        <color theme="1"/>
        <rFont val="Calibri"/>
        <family val="2"/>
        <scheme val="minor"/>
      </rPr>
      <t>poseIsStable</t>
    </r>
    <r>
      <rPr>
        <sz val="11"/>
        <color theme="1"/>
        <rFont val="Calibri"/>
        <family val="2"/>
        <scheme val="minor"/>
      </rPr>
      <t xml:space="preserve"> was set true (nst) 
compared to false (nsf) per scene over all keypoint accuracies and depth distributions (accumulated) compared to the inlier ratio change rates</t>
    </r>
  </si>
  <si>
    <r>
      <t xml:space="preserve">Statistic on the ratio tr = nst / (nst + nsf) of how often the flag </t>
    </r>
    <r>
      <rPr>
        <b/>
        <sz val="11"/>
        <color theme="1"/>
        <rFont val="Calibri"/>
        <family val="2"/>
        <scheme val="minor"/>
      </rPr>
      <t>mostLikelyPose_stable</t>
    </r>
    <r>
      <rPr>
        <sz val="11"/>
        <color theme="1"/>
        <rFont val="Calibri"/>
        <family val="2"/>
        <scheme val="minor"/>
      </rPr>
      <t xml:space="preserve"> was set true (nst) 
compared to false (nsf) per scene over all keypoint accuracies and depth distributions (accumulated) compared to the inlier ratio change rates</t>
    </r>
  </si>
  <si>
    <t>Figures with b vs inlier ratio change rate including all stereo configuration scenes and parameter options for every depth distr (from step 3);
Bar chart with smallest b vs inlier change rate from step 4 (parameter value at bottom of every bar; inlier change rates side-by-side)</t>
  </si>
  <si>
    <t>Figure with b vs inlier ratio change rate including all stereo configuration scenes and parameter options (from step 3);
Bar chart with smallest b vs inlier change rate from step 4 (parameter value at bottom of every bar)</t>
  </si>
  <si>
    <t>Figures with b vs inlier ratio change rate including all keypoint accs and parameter options for every stereo configuration scene (from step 3);
Bar chart with smallest b vs inlier change rate from step 4 for every keypoint acc (parameter value at bottom of every bar)</t>
  </si>
  <si>
    <r>
      <t>For every possibility of 
useRANSAC_fewMatches (</t>
    </r>
    <r>
      <rPr>
        <b/>
        <sz val="11"/>
        <color theme="1"/>
        <rFont val="Calibri"/>
        <family val="2"/>
        <scheme val="minor"/>
      </rPr>
      <t>take best combination of inlier threshold parameters from step 7 of results 1, the best value for checkPoolPoseRobust from step 8 of results 9, and the best parameters from step 12 of results 23; Use only a small number of matches for testing</t>
    </r>
    <r>
      <rPr>
        <sz val="11"/>
        <color theme="1"/>
        <rFont val="Calibri"/>
        <family val="2"/>
        <scheme val="minor"/>
      </rPr>
      <t>):</t>
    </r>
  </si>
  <si>
    <r>
      <t>For every possibility of 
Stereo configurations 2 (</t>
    </r>
    <r>
      <rPr>
        <b/>
        <sz val="11"/>
        <color theme="1"/>
        <rFont val="Calibri"/>
        <family val="2"/>
        <scheme val="minor"/>
      </rPr>
      <t>take best combination of inlier threshold parameters from step 7 of results 1, the best value for checkPoolPoseRobust from step 8 of results 9, and the best parameters from step 12 of results 23; Disable useRANSAC_fewMatches</t>
    </r>
    <r>
      <rPr>
        <sz val="11"/>
        <color theme="1"/>
        <rFont val="Calibri"/>
        <family val="2"/>
        <scheme val="minor"/>
      </rPr>
      <t>):</t>
    </r>
  </si>
  <si>
    <t>Set absThRankingStable to 0.1 first</t>
  </si>
  <si>
    <t>Devide every result of combining t-norms and angles by 2 (to get a value range between 0 and 1)</t>
  </si>
  <si>
    <t>Use only absolute values of R&amp;t differences</t>
  </si>
  <si>
    <t>b vs inlier change rate for every stereo conf scene (from step 3, in single figure);</t>
  </si>
  <si>
    <t>b vs inlier change rate for every stereo conf scene and depth distr (from step 3, all stereo configurations in single figure);</t>
  </si>
  <si>
    <t>b vs inlier change rate for every stereo conf scene and keypoint acc (from step 3, all stereo configurations in single figure);</t>
  </si>
  <si>
    <t>Bar charts with mean fd's for steps 3.1 to 3.3 (3 * #_stereo_confs diagrams);
Distribution diagram (see step 4) for every stereo configuration;
Bar charts with mean fd's for steps 3.1 to 3.3 (3 * #_stereo_confs diagrams) for most likely poses;
Distribution diagram (see step 4) for every stereo configuration for most likely poses</t>
  </si>
  <si>
    <r>
      <t xml:space="preserve">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</si>
  <si>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For the stereo configuration scene with abrupt change of R&amp;t:</t>
  </si>
  <si>
    <t xml:space="preserve">1. Calculate a statistic over the lower 80% (16) double differences of the combined angle (use only the scene with abrupt change of rotation)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</si>
  <si>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Calculations of statistics  for
inlier tresholds</t>
  </si>
  <si>
    <t>Calculations of statistics  for
checkPoolPoseRobust</t>
  </si>
  <si>
    <t>Generation of tex-files for
checkPoolPoseRobust</t>
  </si>
  <si>
    <t>Generation of tex-files for
inlier tresholds</t>
  </si>
  <si>
    <t>Calculations of statistics  for accuracy of most likely pose</t>
  </si>
  <si>
    <t>Generation of tex-files for
 accuracy of most likely pose</t>
  </si>
  <si>
    <t>Generation of PDF-Files for  accuracy of most likely pose</t>
  </si>
  <si>
    <t>Generation of PDF-Files for checkPoolPoseRobust</t>
  </si>
  <si>
    <t>Generation of PDF-Files for inlier tresholds</t>
  </si>
  <si>
    <t>Calculations of statistics  for stable pose calculations</t>
  </si>
  <si>
    <t>Generation of tex-files for
 stable pose calculations</t>
  </si>
  <si>
    <t>Generation of PDF-Files for  stable pose calculations</t>
  </si>
  <si>
    <t>Calculations of statistics  for useRANSAC_fewMatches</t>
  </si>
  <si>
    <t>Generation of tex-files for
 useRANSAC_fewMatches</t>
  </si>
  <si>
    <t>Generation of PDF-Files for  useRANSAC_fewMatches</t>
  </si>
  <si>
    <t>Calculations of statistics  for Stereo configurations 2</t>
  </si>
  <si>
    <t>Generation of tex-files for
 Stereo configurations 2</t>
  </si>
  <si>
    <t>Generation of PDF-Files for  Stereo configurations 2</t>
  </si>
  <si>
    <t>Overview of necessary resources</t>
  </si>
  <si>
    <t>Cores</t>
  </si>
  <si>
    <t>Speicher [GB]</t>
  </si>
  <si>
    <t>Gesamtzeit am Server 
(excl. jedes 2. Wochenende)</t>
  </si>
  <si>
    <t>Zeit durchgehend</t>
  </si>
  <si>
    <t>Monate</t>
  </si>
  <si>
    <t>Wochen</t>
  </si>
  <si>
    <t>gerechnete Kombinationen</t>
  </si>
  <si>
    <t>Speicher Kosten mit AWS (EBS)</t>
  </si>
  <si>
    <t>Summe</t>
  </si>
  <si>
    <t>Kosten mit AWS (EC2) ohne Speicher</t>
  </si>
  <si>
    <t>Zeitplan für Fertigstellung von Tests incl. Erstellen der notwendigen SW</t>
  </si>
  <si>
    <t>Erstellen eines Interfaces für die Szenenerstellungs-SW (YAML)</t>
  </si>
  <si>
    <t>Fertigstellen der Szenenerstellungs-SW (nur Matches)</t>
  </si>
  <si>
    <t>Testen der Szenenerstellungs-SW (nur Matches)</t>
  </si>
  <si>
    <t>Beheben von SW-Problemen (nur Matches)</t>
  </si>
  <si>
    <t>Erstellung Python-Code zur parallelen Erzeugung von
Sequenzen</t>
  </si>
  <si>
    <t>Tracken und Handling von Fehlern bei der Erstellung von 
Sequenzen</t>
  </si>
  <si>
    <t>YAML-Interface zur Erzeugung von meheren Sequenzen</t>
  </si>
  <si>
    <t>Erstellung Python-Code zur parallelen Erzeugung von
Matches</t>
  </si>
  <si>
    <t>Tracken und Handling von Fehlern bei der Erstellung von 
Matches</t>
  </si>
  <si>
    <t>YAML-Interface zur Erzeugung von meheren Sequenz-Matches</t>
  </si>
  <si>
    <t>Änderung des Autokalibrier-Interfaces für Tests und Erzeugung
der notwendigen CSV-Files</t>
  </si>
  <si>
    <t>Testen und Behebung von Fehlern in den Python-Files zur 
Erzeugung von Sequenzen und Matches</t>
  </si>
  <si>
    <t>Tracken und Handling von Fehlern für die Autokalibrierung</t>
  </si>
  <si>
    <t>Erstellen von Python-Code zum parallelen Ausführen der
Autokalibrierung mit YAML-File Input</t>
  </si>
  <si>
    <t>Test der Test-Umgebung</t>
  </si>
  <si>
    <t>Erstellen von Konfigurationsfiles (YAML) für verschiedene Szenen</t>
  </si>
  <si>
    <t>Erstellen von Konfigurationsfiles (YAML) für Matches</t>
  </si>
  <si>
    <t>Erstellen von Konfigurationsfiles (YAML) für die Autokalibreierung</t>
  </si>
  <si>
    <t>Python-Code mit YAML-Interface zur Ausführung von Tests
(Autokalibrierung) incl. Erzeugung von Sequenzen
(Berücksichtung zur Nutzung von fertigen Szenen von vorigen Tests)</t>
  </si>
  <si>
    <t>Erstellen von Python-Code zur Statistikberechnung für USAC-testing</t>
  </si>
  <si>
    <t>Erstellen von Python-Code zur Statistikberechnung für USAC_vs_RANSAC</t>
  </si>
  <si>
    <t>Erstellen von Python-Code zur Statistikberechnung für Refinement_BA</t>
  </si>
  <si>
    <t>Erstellen von Python-Code zur Statistikberechnung für VFC_GMS_SOF</t>
  </si>
  <si>
    <t>Erstellen von Python-Code zur Statistikberechnung für Refinement_BA_stereo</t>
  </si>
  <si>
    <t>Erstellen von Python-Code zur Statistikberechnung für Correspondence_Pool</t>
  </si>
  <si>
    <t>Erstellen von Python-Code zur Statistikberechnung für Robustness</t>
  </si>
  <si>
    <t>Test der automatischen Erzeugung von tex-Files</t>
  </si>
  <si>
    <t>Erstellen von Python-Code zur Erstellung von PDFs von tex-Files (fehlertolerant)</t>
  </si>
  <si>
    <t>Erstellen von Python-Code zur tex-File-Erstellung für USAC-testing</t>
  </si>
  <si>
    <t>Erstellen von Python-Code zur tex-File-Erstellung für USAC_vs_RANSAC</t>
  </si>
  <si>
    <t>Erstellen von Python-Code zur tex-File-Erstellung für Refinement_BA</t>
  </si>
  <si>
    <t>Erstellen von Python-Code zur tex-File-Erstellung für VFC_GMS_SOF</t>
  </si>
  <si>
    <t>Erstellen von Python-Code zur tex-File-Erstellung für Refinement_BA_stereo</t>
  </si>
  <si>
    <t>Erstellen von Python-Code zur tex-File-Erstellung für Correspondence_Pool</t>
  </si>
  <si>
    <t>Erstellen von Python-Code zur tex-File-Erstellung für Robustness</t>
  </si>
  <si>
    <t>Erstellen von Python-Code zum Aufruf von Statistikberechnungen,
Abspeichern von Statistiken (CSV)</t>
  </si>
  <si>
    <t>Erstellen von Python-Code zur Erstellung von tex-Files 
(Templates für verschiedene Figures &amp; Tables)</t>
  </si>
  <si>
    <t>Erstellen von Python-Code zur Auswertung der Statistiken für USAC-testing</t>
  </si>
  <si>
    <t>Erstellen von Python-Code zur Auswertung der Statistiken für USAC_vs_RANSAC</t>
  </si>
  <si>
    <t>Erstellen von Python-Code zur Auswertung der Statistiken für Refinement_BA</t>
  </si>
  <si>
    <t>Erstellen von Python-Code zur Auswertung der Statistiken für VFC_GMS_SOF</t>
  </si>
  <si>
    <t>Erstellen von Python-Code zur Auswertung der Statistiken für Refinement_BA_stereo</t>
  </si>
  <si>
    <t>Erstellen von Python-Code zur Auswertung der Statistiken für Correspondence_Pool</t>
  </si>
  <si>
    <t>Erstellen von Python-Code zur Auswertung der Statistiken für Robustness</t>
  </si>
  <si>
    <t>w</t>
  </si>
  <si>
    <t>m</t>
  </si>
  <si>
    <t>Startdatum</t>
  </si>
  <si>
    <t>Zeit zum Beheben von Fehlern während der Tests</t>
  </si>
  <si>
    <t>Sonstige Zeit auf VM (Einrichtung, …)</t>
  </si>
  <si>
    <t>Zeit zur Sichtung von Daten und Einrichtung von Tests</t>
  </si>
  <si>
    <t>Zeit für alle Tests auf VM</t>
  </si>
  <si>
    <t>Zeit zum Schreiben des Papers</t>
  </si>
  <si>
    <t>Zeit zum Schreiben am Paper während Tests auf VM</t>
  </si>
  <si>
    <t>Restzeit zum Schreiben des Papers nach Tests</t>
  </si>
  <si>
    <t>Einarbeiten von Testresultaten nach Tests</t>
  </si>
  <si>
    <t>Enddatum Tests auf VM</t>
  </si>
  <si>
    <t>Enddatum/Fertigstellung Paper</t>
  </si>
  <si>
    <t>Fertigstellung Diss (incl. Urlaub + Feiertage)</t>
  </si>
  <si>
    <t>Enddatum/Start auf Virtual Machine (excl. Feiertage, ZA)</t>
  </si>
  <si>
    <t>Feiertage, ZA</t>
  </si>
  <si>
    <t>Enddatum/Start auf Virtual Machine (incl. Feiertage, ZA) + Start an Wochentag</t>
  </si>
  <si>
    <t>Zeit bis Ausstellung von Dr-Titel</t>
  </si>
  <si>
    <t>Datum Ende Doktorat</t>
  </si>
  <si>
    <t>Statistic for R&amp;t difference (3 angles, 1 combined angle, x, y, z, norm(t_diff), angle(t_diff)) 
over all scenes and inlier ratios (accumulated) compared to the thresholds th (Combine all combinations in single plot (multiple plots for different statistics))</t>
  </si>
  <si>
    <t>Statistic for R&amp;t difference (3 angles, 1 combined angle, x, y, z, norm(t_diff), angle(t_diff)) 
over all scenes and thresholds th (accumulated) compared to the inlier ratios  (Combine all combinations in single plot)</t>
  </si>
  <si>
    <t>Statistic for R&amp;t difference (3 angles, 1 combined angle, x, y, z, norm(t_diff), angle(t_diff)) 
over all scenes (accumulated) compared to the thresholds th and inlier ratios  (single plots for every combination)</t>
  </si>
  <si>
    <t>Statistic for R&amp;t difference (3 angles, 1 combined angle, x, y, z, norm(t_diff), angle(t_diff)) compared to
 inlier ratios</t>
  </si>
  <si>
    <t>R&amp;t difference (3 angles, 1 combined angle, x, y, z, norm(t_diff), angle(t_diff)) for every scene (per frame), inlier ratio, and th (9216 CSV-Files)</t>
  </si>
  <si>
    <t>Statistic for R&amp;t difference (3 angles, 1 combined angle, x, y, z, norm(t_diff), angle(t_diff))
 over all scenes, keypoint accuarcies, and inlier ratios (accumulated) compared to the thresholds th (Combine all combinations in single plot (multiple plots for different statistics))</t>
  </si>
  <si>
    <t>Statistic for R&amp;t difference (3 angles, 1 combined angle, x, y, z, norm(t_diff), angle(t_diff)) 
over all scenes, keypoint accuarcies, and thresholds th (accumulated) compared to the inlier ratios  (Combine all combinations in single plot)</t>
  </si>
  <si>
    <t>Statistic for R&amp;t difference (3 angles, 1 combined angle, x, y, z, norm(t_diff), angle(t_diff)) 
over all scenes and inlier ratios (accumulated) compared to the thresholds th and keypoint accuarcies (single plots for every combination)</t>
  </si>
  <si>
    <t>Statistic for R&amp;t difference (3 angles, 1 combined angle, x, y, z, norm(t_diff), angle(t_diff)) 
over all scenes and keypoint accuarcies (accumulated) compared to the thresholds th and inlier ratios  (single plots for every combination)</t>
  </si>
  <si>
    <t>Statistic for R&amp;t difference (3 angles, 1 combined angle, x, y, z, norm(t_diff), angle(t_diff)) 
over all keypoint accuarcies (accumulated) compared to inlier ratios</t>
  </si>
  <si>
    <t>Statistic for R&amp;t difference (3 angles, 1 combined angle, x, y, z, norm(t_diff), angle(t_diff)) 
over all depth distributions, keypoint accuracies, and inlier ratios (accumulated) compared to USACdegenTh</t>
  </si>
  <si>
    <t>Statistic for R&amp;t difference (3 angles, 1 combined angle, x, y, z, norm(t_diff), angle(t_diff)) 
over all depth distributions, and keypoint accuracies (accumulated) compared to USACdegenTh and inlier ratios</t>
  </si>
  <si>
    <t xml:space="preserve">Statistic for R&amp;t difference (3 angles, 1 combined angle, x, y, z, norm(t_diff), angle(t_diff)) 
over all depth distributions, and inlier ratios (accumulated) compared to USACdegenTh and keypoint accuracies </t>
  </si>
  <si>
    <t>Statistic for R&amp;t difference (3 angles, 1 combined angle, x, y, z, norm(t_diff), angle(t_diff)) 
over all keypoint accuracies, and inlier ratios (accumulated) compared to USACdegenTh and depth distributions</t>
  </si>
  <si>
    <t>Statistic for R&amp;t difference (3 angles, 1 combined angle, x, y, z, norm(t_diff), angle(t_diff)) 
over all depth distributions, keypoint accuracies, and inlier ratios (accumulated) compared to thresholds th</t>
  </si>
  <si>
    <t>Statistic for R&amp;t difference (3 angles, 1 combined angle, x, y, z, norm(t_diff), angle(t_diff)) 
over all depth distributions, and keypoint accuracies (accumulated) compared to thresholds th and inlier ratios</t>
  </si>
  <si>
    <t xml:space="preserve">Statistic for R&amp;t difference (3 angles, 1 combined angle, x, y, z, norm(t_diff), angle(t_diff)) 
over all depth distributions, and inlier ratios (accumulated) compared to thresholds th and keypoint accuracies </t>
  </si>
  <si>
    <t>Statistic for R&amp;t difference (3 angles, 1 combined angle, x, y, z, norm(t_diff), angle(t_diff)) 
over all keypoint accuracies, and inlier ratios (accumulated) compared to thresholds th and depth distributions</t>
  </si>
  <si>
    <t>R&amp;t difference (3 angles, 1 combined angle, x, y, z, norm(t_diff), angle(t_diff)) for every scene (per frame), USACdegenTh, inlier ratio, and th (62208 CSV-Files)</t>
  </si>
  <si>
    <t>Statistic for R&amp;t difference (3 angles, 1 combined angle, x, y, z, norm(t_diff), angle(t_diff), angle(t_diff)) 
over all scenes and inlier ratios (accumulated) compared to the thresholds th (Combine all combinations in single plot (multiple plots for different statistics))</t>
  </si>
  <si>
    <t>Statistic for R&amp;t difference (3 angles, 1 combined angle, x, y, z, norm(t_diff), angle(t_diff), angle(t_diff)) 
over all scenes and thresholds th (accumulated) compared to the inlier ratios  (Combine all combinations in single plot)</t>
  </si>
  <si>
    <t>Statistic for R&amp;t difference (3 angles, 1 combined angle, x, y, z, norm(t_diff), angle(t_diff), angle(t_diff)) 
over all scenes (accumulated) compared to the thresholds th and inlier ratios  (single plots for every combination)</t>
  </si>
  <si>
    <t>Statistic for R&amp;t difference (3 angles, 1 combined angle, x, y, z, norm(t_diff), angle(t_diff), angle(t_diff)) compared to
 inlier ratios</t>
  </si>
  <si>
    <t>R&amp;t difference (3 angles, 1 combined angle, x, y, z, norm(t_diff), angle(t_diff), angle(t_diff)) for every scene (per frame), inlier ratio, and th (6912 CSV-Files)</t>
  </si>
  <si>
    <t>Statistic for R&amp;t difference (3 angles, 1 combined angle, x, y, z, norm(t_diff), angle(t_diff)) 
over all scenes (accumulated) compared to the inlier ratios  (Combine all combinations in single plot). Use camera matrix difference for BART=2 with intrinsics (f, x, y, norm(xy_diff), norm(xyf_diff))</t>
  </si>
  <si>
    <t>Statistic for R&amp;t difference (3 angles, 1 combined angle, x, y, z, norm(t_diff), angle(t_diff)) compared to inlier ratios. Use camera matrix difference for BART=2 with intrinsics (f, x, y, norm(xy_diff), norm(xyf_diff))</t>
  </si>
  <si>
    <t>R&amp;t difference (3 angles, 1 combined angle, x, y, z, norm(t_diff), angle(t_diff)) for every scene (per frame) and inlier ratio (22032 CSV-Files)</t>
  </si>
  <si>
    <t>Statistic for R&amp;t difference (3 angles, 1 combined angle, x, y, z, norm(t_diff), angle(t_diff)) 
over all scenes (accumulated) compared to the inlier ratios  (Combine all filter techniques in single plot).</t>
  </si>
  <si>
    <t>Statistic for R&amp;t difference (3 angles, 1 combined angle, x, y, z, norm(t_diff), angle(t_diff)) compared to inlier ratios</t>
  </si>
  <si>
    <t>R&amp;t difference (3 angles, 1 combined angle, x, y, z, norm(t_diff), angle(t_diff)) for every scene (per frame) and inlier ratio (1296 CSV-Files)</t>
  </si>
  <si>
    <t>Statistic for R&amp;t difference (3 angles, 1 combined angle, x, y, z, norm(t_diff), angle(t_diff)) 
over all scenes (accumulated) compared to the inlier ratios  (Combine all combinations in single plot).</t>
  </si>
  <si>
    <t>Statistic for R&amp;t difference (3 angles, 1 combined angle, x, y, z, norm(t_diff), angle(t_diff)) compared to inlier ratios.</t>
  </si>
  <si>
    <t>Statistic for R&amp;t difference over the last 30 (out of 150) frames (3 angles, 1 combined angle, x, y, z, norm(t_diff), angle(t_diff)) compared to inlier ratios.</t>
  </si>
  <si>
    <t>Statistic for R&amp;t difference (3 angles, 1 combined angle, x, y, z, norm(t_diff), angle(t_diff)) from frame to frame over all scenes (accumulated) compared to the inlier ratios  (3D figures with frame # on x-axis, inlier ratio on y-axis, and R&amp;t diff on z-axis).  Use only largest maxPoolCorrespondences size (40000)</t>
  </si>
  <si>
    <t>Statistic for R&amp;t difference (3 angles, 1 combined angle, x, y, z, norm(t_diff), angle(t_diff)) from frame to frame over all scenes and inlier ratios (accumulated)  (2D figures with frame # on x-axis and statistic on y-axis). Use only largest maxPoolCorrespondences size (40000)</t>
  </si>
  <si>
    <t>Differences of statistics over R&amp;t differences (3 angles, 1 combined angle, x, y, z, norm(t_diff), angle(t_diff)) from frame to frame over all scenes and inlier ratios (accumulated)  (2D figures with frame # on x-axis and double diff on y-axis). Use only largest maxPoolCorrespondences size (40000)</t>
  </si>
  <si>
    <t>R&amp;t difference (3 angles, 1 combined angle, x, y, z, norm(t_diff), angle(t_diff)) for every scene (per frame) and inlier ratio (58752 CSV-Files)</t>
  </si>
  <si>
    <t>R&amp;t difference (3 angles, 1 combined angle, x, y, z, norm(t_diff), angle(t_diff)) for every scene (per frame) and inlier ratio (24 CSV-Files)</t>
  </si>
  <si>
    <t>Statistic for R&amp;t difference (3 angles, 1 combined angle, x, y, z, norm(t_diff), angle(t_diff))  compared to the keypoint accuracies  (Combine all combinations in single plot).</t>
  </si>
  <si>
    <t>R&amp;t difference (3 angles, 1 combined angle, x, y, z, norm(t_diff), angle(t_diff)) for every scene (per frame) and inlier ratio (25920 CSV-Files)</t>
  </si>
  <si>
    <t>R&amp;t difference (3 angles, 1 combined angle, x, y, z, norm(t_diff), angle(t_diff)) for every scene (per frame) and inlier ratio (241920 CSV-Files)</t>
  </si>
  <si>
    <t>Statistic for R&amp;t in addition to R_mostLikely (check if empty), t_mostLikely (check if empty) differences 2*(3 angles, 1 combined angle, x, y, z, norm(t_diff), angle(t_diff)) 
over all keypoint accuracies and depth distributions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</si>
  <si>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</si>
  <si>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</si>
  <si>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</si>
  <si>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(1152 CSV-Files)</t>
  </si>
  <si>
    <t>Statistic for R&amp;t in addition to R_mostLikely (check if empty), t_mostLikely (check if empty) differences (3 angles, 1 combined angle, x, y, z, norm(t_diff), angle(t_diff)) over all keypoint accuracies and depth distribution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</si>
  <si>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</si>
  <si>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</si>
  <si>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</si>
  <si>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(192 CSV-Files)</t>
  </si>
  <si>
    <t>R&amp;t difference (3 angles, 1 combined angle, x, y, z, norm(t_diff), angle(t_diff)) for every scene (per frame) and inlier ratio (24192 CSV-Files)</t>
  </si>
  <si>
    <t>Statistic for R&amp;t difference (3 angles, 1 combined angle, x, y, z, norm(t_diff), angle(t_diff)) 
over all keypoint accuracies and depth distribution (accumulated) compared to the inlier ratio change rates</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</si>
  <si>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</si>
  <si>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</si>
  <si>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(384 CSV-Files)</t>
  </si>
  <si>
    <t>Statistic for R&amp;t difference (3 angles, 1 combined angle, x, y, z, norm(t_diff), angle(t_diff)) over all keypoint accuracies and depth distribution (accumulated) compared to the inlier ratio change rates (combine statistics in single figure)</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</si>
  <si>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</si>
  <si>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</si>
  <si>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(672 CSV-Files)</t>
  </si>
  <si>
    <r>
      <t>Statistic for R&amp;t difference (3 angles, 1 combined angle, x, y, z, norm(t_diff), angle(t_diff)) 
over all keypoint accuracies and depth distribution (accumulated) compared to the inlier ratio change rates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</si>
  <si>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keypoint accuracies (accumulated) compared to the inlier ratio change rates and depth distributions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</si>
  <si>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depth distribution (accumulated) compared to the inlier ratio change rates and keypoint accuracies (</t>
    </r>
    <r>
      <rPr>
        <b/>
        <sz val="11"/>
        <color theme="1"/>
        <rFont val="Calibri"/>
        <family val="2"/>
        <scheme val="minor"/>
      </rPr>
      <t>Write results only into CSV-Files</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</si>
  <si>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</si>
  <si>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</si>
  <si>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</si>
  <si>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</si>
  <si>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</si>
  <si>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</si>
  <si>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</si>
  <si>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mostLikelyPose_stable</t>
    </r>
    <r>
      <rPr>
        <sz val="11"/>
        <color theme="1"/>
        <rFont val="Calibri"/>
        <family val="2"/>
        <scheme val="minor"/>
      </rPr>
      <t>)</t>
    </r>
  </si>
  <si>
    <t>1. Calc [Ra, ta]=mean+2*std for every comb. Angle and angle(t_diff)
2. Calculate the range [rRa, rta] for [Ra, ta] over the whole data
3. Combine [Ra, ta]: b = Ra/rRa + ta/rta
4. Get best and worst Th for every combination based on b
5. Output best combination and its Th</t>
  </si>
  <si>
    <t>1. Calc [Ra, ta]=mean+2*std for every comb. Angle and angle(t_diff)
2. Calculate the range [rRa, rta] for [Ra, ta] over the whole data
3. Combine [Ra, ta]: b = Ra/rRa + ta/rta
4. Sum b over all inlier ratios for every combination
5. Output best combination and its mean error b</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</si>
  <si>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</si>
  <si>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t>
  </si>
  <si>
    <t>Sichtung von Mean-values for combined 
angle and angle(t_diff) in addition to the most interesting threshold calculated in step 5 of results 1</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</si>
  <si>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acc)
6. Generate a bar chart with Sb and th (both on y-axis) containing all scenes (depth dist &amp; kp acc) for every combination
7. Generate a bar chart with Sb containing all scenes (depth dist &amp; kp acc) and combinations (next to each other)</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</si>
  <si>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</si>
  <si>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keypoint accuracy
5. Get smallest b and its th over all combinations (remember it) for every kp acc (mean + std) and build a figure from that
6. Get combination from 5 that is present the most often (maybe there is no single solution)
7. Get combination from 5 with smallest b
8. Calculate the difference to the second smallest b and the range from the smallest to biggest b</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</si>
  <si>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
6. Get combination from 5 that is present the most often (maybe there is no single solution)
7. Get combination from 5 with smallest b
8. Compare the  result from steps 6-7 with the solution from steps 6-7 of results 9
9. Calculate the difference to the second smallest b (step 7) and the range from the smallest to biggest b</t>
  </si>
  <si>
    <t>Sichtung von Mean-values for combined 
angle and angle(t_diff) in addition to the most interesting threshold calculated in step 5 of results 7</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</si>
  <si>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distribution)
6. Generate a bar chart with Sb and th (both on y-axis) containing all scenes (depth dist &amp; kp dist) for every combination
7. Generate a bar chart with Sb containing all scenes (depth dist &amp; kp dist) and combinations (next to each other)</t>
  </si>
  <si>
    <t>Sichtung von Mean-values for combined 
angle and angle(t_diff) in addition to the most interesting threshold from step 4 of results 15</t>
  </si>
  <si>
    <t>1. Calc [Ra, ta]=mean+2*std for every comb. Angle and angle(t_diff)
2. Calculate the range [rRa, rta] for [Ra, ta] over the whole data
3. Combine [Ra, ta]: b = Ra/rRa + ta/rta
4. Get smallest b, its th, and USACdegenTh for every combination &amp; scene
5. Get smallest b, its th, and USACdegenTh over all combinations (remember it) for every scene and build a bar chart from that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t>
  </si>
  <si>
    <t>1. Calc [Ra, ta]=mean+2*std for every comb. Angle and angle(t_diff)
2. Calculate the range [rRa, rta] for [Ra, ta] over the whole data
3. Combine [Ra, ta]: b = Ra/rRa + ta/rta
4. Get smallest b, its th, and USACdegenTh for every combination, scene, and inlier ratio
5. Get smallest b, its th, and USACdegenTh over all combinations (remember it) for every scene &amp; inlier ratio and build a bar chart from that (inlier ratios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</si>
  <si>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keypoint accuracy
5. Get smallest b, its th, and USACdegenTh over all combinations (remember it) for every scene &amp; keypoint accuracy and build a bar chart from that (kp accs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</si>
  <si>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depth distribution
5. Get smallest b, its th, and USACdegenTh over all combinations (remember it) for every scene &amp; depth distribution and build a bar chart from that (depth dists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Get the combination which is present in steps 6-7 of results 20-23 most often and calculate its mean th and USACdegenTh
9. Get the combination which is present in steps 4-5 of results 15-19 and steps 6-7 of results 20-23 most often and calculate its mean th and USACdegenTh
10. Calculate the difference to the second smallest b (step 7) and the range from the smallest to biggest b</t>
  </si>
  <si>
    <t>Sichtung von Mean-values for combined 
angle and angle(t_diff) in addition to the most interesting USACdegenTh from step 9 (nearest one) of result 23</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</si>
  <si>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 comb with the smallest sn</t>
  </si>
  <si>
    <t>Sichtung von Mean-values for combined 
angle and angle(t_diff) in additon to norm(xyf_diff)</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</si>
  <si>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 comb followed by BART=2 and keypoint accuracy
8.2. For all results with BART=2: sn2=sum(norm(xyf_diff)) over all inlier ratios &amp; keypoint accuracies for every refineRT comb followed by BART=2 and depth distribution
8.3. For all results with BART=2: sn3=sum(norm(xyf_diff)) over all depth distributions &amp; keypoint accuracies for every refineRT comb followed by BART=2 and inlier ratio
9.1. Get minimum sn1 over every refineRT comb followed by BART=2 (remember it) for every keypoint acc
9.2. Get minimum sn2 over every refineRT comb followed by BART=2 (remember it) for every depth dist
9.3. Get minimum sn3 over every refineRT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</si>
  <si>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 Sum b over all inlier ratios for every filter technique
5. Output best filter technique and its mean error b</t>
  </si>
  <si>
    <t>1. Calc [Ra, ta]=mean+2*std for every comb. Angle and angle(t_diff)
2. Calculate the range [rRa, rta] for [Ra, ta] over the whole data
3. Combine [Ra, ta]: b = Ra/rRa + ta/rta
4.1. Sb1 = Sum b over all inlier ratios, depth distributions, and keypoint position distributions for every filter technique and keypoint accuracy
4.2. Sb2 = Sum b over all inlier ratios, keypoint accuracies, and keypoint position distributions for every filter technique and depth distribution
4.3. Sb3 = Sum b over all depth distributions, keypoint accuracies, and keypoint position distributions for every filter technique and inlier ratio
4.4. Sb4 = Sum b over all depth distributions, keypoint accuracies, and inlier ratios for every filter technique and keypoint position distribution
5.1. Get minimum Sb1 over every filter technique (remember it) for every keypoint acc
5.2. Get minimum Sb2 over every filter technique (remember it) for every depth dist
5.3. Get minimum Sb3 over every filter technique (remember it) for every inl rat
5.4. Get minimum Sb4 over every filter technique (remember it) for every kp position distr
6. Generate 4 bar charts for steps 5.1-5.4 (add filter technique on x axis)
7. Count, which filter technique is most often present in bar charts of steps 5.1-5.4</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</si>
  <si>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refineRT_stereo comb with the smallest sn</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</si>
  <si>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refineRT_stereo comb followed by BART=2 and keypoint accuracy
8.2. For all results with BART=2: sn2=sum(norm(xyf_diff)) over all inlier ratios &amp; keypoint accuracies for every refineRT_stereo comb followed by BART=2 and depth distribution
8.3. For all results with BART=2: sn3=sum(norm(xyf_diff)) over all depth distributions &amp; keypoint accuracies for every refineRT_stereo comb followed by BART=2 and inlier ratio
9.1. Get minimum sn1 over every refineRT_stereo comb followed by BART=2 (remember it) for every keypoint acc
9.2. Get minimum sn2 over every refineRT_stereo comb followed by BART=2 (remember it) for every depth dist
9.3. Get minimum sn3 over every refineRT_stereo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</si>
  <si>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t>
  </si>
  <si>
    <t>Sichtung von combined angle 
and angle(t_diff) for best minPtsDistance from step 7 of results 3</t>
  </si>
  <si>
    <t>1. Calc the range [rRa, rta] over all double differences of combined angles ca and tn=angle(t_diff)
2. Calc b = ca/rRa + tn/rta over all double differences
3. Build 3 frame cluster of size 50 frames (1-50, 51-100, 101-150) and calculate their mean double difference md1 to md3 over the including b
4.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5. Build 3 new clusters between frames of the found cluster mdn (e.g. frames 1-16, 17-33, 34-50) in the same way as in step 3
6. Go to step 4 and repeat until each cluster holds only 1 frame. This represents the frame number from which on the results (R&amp;t) are not expected to get better. Output the pool size ps for this frame (CSV-File) for every scene, inlier ratio, and minPtsDistance.
7.1. Calculate ps value statistic over all scenes &amp; inlier ratios for minPtsDistance and build a boxplot from that
7.2. Calculate ps value statistic over all scenes &amp; minPtsDistance for inlier ratios and build a boxplot from that
7.3. Calculate ps value statistic over all kp accs, minPtsDistance, and inlier ratios for depth distr and build a boxplot from that
7.4. Calculate ps value statistic over all depth distr, minPtsDistance, and inlier ratios for kp accs and build a boxplot from that</t>
  </si>
  <si>
    <t>Sichtung von mean values of combined angle 
and angle(t_diff) for best minPtsDistance from step 7 of results 3</t>
  </si>
  <si>
    <t>Sichtung von mean values of combined angle 
and angle(t_diff)</t>
  </si>
  <si>
    <t>1. Take [Ra, ta]=mean values over all double differences of combined angles ca and tn=angle(t_diff)
2. Calc the range [rRa, rta] over all [Ra, ta]
3. Calc b = Ra/rRa + ta/rta for all [Ra, ta]
4. Build 3 frame cluster of size 50 frames (1-50, 51-100, 101-150) and calculate their mean double difference md1 to md3 over the including b
5.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6. Build 3 new clusters between frames of the found cluster mdn (e.g. frames 1-16, 17-33, 34-50) in the same way as in step 4
7. Go to step 5 and repeat until each cluster holds only 1 frame. This represents the frame number from which on the results (R&amp;t) are not expected to get better. Output the pool size ps for this frame (CSV-File) for every minPtsDistance and build a bar chart from it.
8. Calculate the mean value over all ps</t>
  </si>
  <si>
    <t>1. Calc [Ra, ta]=mean+2*std for every comb. Angle and angle(t_diff)
2. Calculate the range [rRa, rta] for [Ra, ta] over the whole data
3. Combine [Ra, ta]: b = Ra/rRa + ta/rta
4. Sum b over all keypoint accuracies for every combination (USAC with &amp; without refinement, Stereo refinement with minPtsDistance from step 7 of results 3, the nearest value of maxPoolCorrespondences to the value from step 8 of results 8, in addition to maxRat3DPtsFar &amp; maxDist3DPtsZ from step 7 of results 12 (if no single solution, use best parameters from step 5 of results 11)
5. Output best combination and its mean error b</t>
  </si>
  <si>
    <t>1. Calc [Ra, ta]=mean+2*std for every comb. Angle and angle(t_diff)
2. Calculate the range [rRa, rta] for [Ra, ta] over the whole data
3. Combine [Ra, ta]: b = Ra/rRa + ta/rta
4. Get the smallest b and its corresponding parameters for every inlier ratio change rate and stereo conf scene
5. Calculate statistics for parameter values over all inlier ratio change rates for every stereo conf scene
6. Calculate mean values over parameter mean values from step 5 over all stereo conf scenes
7. Take parameter mean values from step 6 as best combination</t>
  </si>
  <si>
    <t>1. Calc [Ra, ta]=mean+2*std for every comb. Angle and angle(t_diff)
2. Calculate the range [rRa, rta] for [Ra, ta] over the whole data
3. Combine [Ra, ta]: b = Ra/rRa + ta/rta
4. Get the smallest b and its corresponding parameters for every inlier ratio change rate, depth distr, and stereo conf scene
5. Calculate statistics for parameter values over all inlier ratio change rates for every stereo conf scene and depth distr
6. Calculate mean values over parameter mean values from step 5 over all stereo conf scenes for every depth distr
7. Calculate mean values over parameter mean values from step 6 over all depth distr
8. Take parameter mean values from step 7 as best combination</t>
  </si>
  <si>
    <t>1. Calc [Ra, ta]=mean+2*std for every comb. Angle and angle(t_diff)
2. Calculate the range [rRa, rta] for [Ra, ta] over the whole data
3. Combine [Ra, ta]: b = Ra/rRa + ta/rta
4. Get the smallest b and its corresponding parameters for every inlier ratio change rate, keypoint acc, and stereo conf scene
5. Calculate statistics for parameter values over all inlier ratio change rates for every stereo conf scene and keypoint acc
6. Calculate mean values over parameter mean values from step 5 over all stereo conf scenes for every keypoint acc
7. Calculate mean values over parameter mean values from step 6 over all keypoint acc
8. Take parameter mean values from step 7 as best combination</t>
  </si>
  <si>
    <t xml:space="preserve">1. Calculate a statistic over the lower 80% (16) double differences of angle(t_diff) (use only the scene with abrupt change of translation)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6. Calculate a statistic (mean, median, min, max) for every mean parameter of step 5, step 7 of results 1, step 8 of results 2 &amp; 3, and step 5 of results 4
</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</si>
  <si>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and stereo conf scene
6. Count the used parameter value for the smallest b1 over all inlier ratio change rates for every stereo conf scene and build a bar chart from that (parameter values side-by-side)
7. Take the highest count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</si>
  <si>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depth distr, and stereo conf scene
6. Count the used parameter value for the smallest b1 over all inlier ratio change rates and depth distr for every stereo conf scene and build a bar chart from that (parameter values side-by-side)
7. Take the highest count (over all parameter values)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</si>
  <si>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keypoint acc, and stereo conf scene
6.1. Count the used parameter value for the smallest b1 over all inlier ratio change rates and keypoint acc for every stereo conf scene and build a bar chart from that (parameter values side-by-side)
6.2. Count the used parameter value for the smallest b1 over all inlier ratio change rates and stereo conf scene for every keypoint acc and build a bar chart from that (parameter values side-by-side)
7. Take the highest count (over all parameter values) from steps 6.1 &amp; 6.2 over all stereo conf scenes and keypoint accs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</si>
  <si>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depth distr, keypoint acc, and stereo conf scene
6.1. Count the used parameter value for the smallest b1 over all depth distr and keypoint acc for every stereo conf scene and build a bar chart from that (parameter values side-by-side)
6.2. Count the used parameter value for the smallest b1 over all depth distr and stereo conf scene for every keypoint acc and build a bar chart from that (parameter values side-by-side)
6.3. Count the used parameter value for the smallest b1 over all keypoint acc and stereo conf scene for every depth distr and build a bar chart from that (parameter values side-by-side)
7. Take the highest count (over all parameter values) from steps 6.1-6.3 over all stereo conf scenes, depth distr, and keypoint accs to get the best value (multiple solutions may exist)
8. Take the highest count (over all parameter values) from steps 6.1-6.3, steps 6.1 &amp; 6.2 of results 8, step 6 of results 7, and step 6 of results 6 to get the best value (multiple solutions may exist)</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</si>
  <si>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dl1 = Count negative d and dh1 = count positive d over all inlier ratio change rates for every stereo conf scene and calc pd1 = dl1 / (dl1 + dh1)
7.2. dl2 = Count negative d and dh2 = count positive d over all stereo conf scenes for every inlier ratio change rate and calc pd2 = dl2 / (dl2 + dh2)
8.1. Check if we have a pd1&gt;0. If not, the estimation of a most likely pose does not work.
8.2. Check if we have a pd2&gt;0.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</si>
  <si>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dl = Count negative d and dh = count positive d over all inlier ratio change rates and every stereo conf scenes for every depth distribution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</si>
  <si>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dl = Count negative d and dh = count positive d over all inlier ratio change rates and every stereo conf scenes for every keypoint accuracy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</si>
  <si>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In this case skip the calculation of statistics for results 18-19)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</si>
  <si>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In this case skip the calculation of statistics for results 23-24)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</si>
  <si>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</si>
  <si>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depth distr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</si>
  <si>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keypoint acc
5. Count how often useRANSAC_fewMatches was enabled and disabled in step 4. The higher count value defines the best result.
6. Accumulate the count values for enabled/disabled from step 5 and steps 5 of results 25 &amp; 26. The higher count value defines the best result.</t>
  </si>
  <si>
    <t>Sichtung von Mean-values for combined 
angle and angle(t_diff) - all stereo configuration scenes in one figure</t>
  </si>
  <si>
    <t>1. Calc [Ra, ta]=mean+2*std for every comb. Angle and angle(t_diff)
2. Calculate the range [rRa, rta] for [Ra, ta] over the whole data
3. Combine [Ra, ta]: b = Ra/rRa + ta/rta
4. Calculate a statistic over all inlier change rates for every stereo configuration</t>
  </si>
  <si>
    <t>1. Calc [Ra, ta]=mean+2*std for every comb. Angle and angle(t_diff)
2. Calculate the range [rRa, rta] for [Ra, ta] over the whole data
3. Combine [Ra, ta]: b = Ra/rRa + ta/rta
4. Calculate a statistic over all inlier change rates for every stereo configuration and depth distr</t>
  </si>
  <si>
    <t>1. Calc [Ra, ta]=mean+2*std for every comb. Angle and angle(t_diff)
2. Calculate the range [rRa, rta] for [Ra, ta] over the whole data
3. Combine [Ra, ta]: b = Ra/rRa + ta/rta
4. Calculate a statistic over all inlier change rates for every stereo configuration and keypoint acc</t>
  </si>
  <si>
    <t xml:space="preserve">1. Calculate a statistic over the lower 80% (16) double differences of angle(t_diff) (use only the scene with abrupt change of translation)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</si>
  <si>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 xml:space="preserve">1. Calculate the range [rRd, rtd] over the whole data for the R&amp;t differences (over every single frame) of td = angle(t_diff) and the combined angle Rd
2. Combine R&amp;t differences:  b = Rd/rRd + td/rtd
3. Calculate a statistic over the lower 80% (16) double differences (from frame to frame) of b's from step 2 (use only the scene with combined abrupt change of translation &amp; rotation) for the first 20 frames (which are stable) for every inlier ratio change rate, keypoint acc, and depth distr
4. From frame 21 on, the difference might rise. If it does not rise above mean+2*std (from step 3) within the next 2 frames, take a value fd=0, otherwise get the frame number when the double difference drops below mean+2*std and substract 21 -&gt;store into fd.
5.1. Calculate a statistic over fd's in addition to a  over all keypoint acc, and depth distr compared to the inlier ratio change rate
5.2. Calculate a statistic over fd's in addition to a distribution diagram over all inlier ratio change rates, and depth distr compared to the keypoint accs
5.3. Calculate a statistic over fd's in addition to a distribution diagram over all inlier ratio change rates, and keypoint accs compared to the depth distrs
6. Build a fd-distribution diagram over all keypoint acc, depth distr, and inlier ratio change rates
7.1. Calculate the mean values over the mean fd values from step 5.1
7.2. Calculate the mean values over the mean fd values from step 5.2
7.3. Calculate the mean values over the mean fd values from step 5.3
8. Calculate the mean values over the mean fd values from steps 7.1 to 7.3
9. Perform steps 1-9 also for the most likely pose
</t>
  </si>
  <si>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17-19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</si>
  <si>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16, and step 10 of results 17</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</si>
  <si>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22-24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</si>
  <si>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21, and step 10 of results 22
12. Calculate the mean parameter values from step 10, step 10 of results 21, step 10 of results 22, step 10 of results 18, step 10 of results 16, step 10 of results 17, step 5 of results 15, and step 5 of results 20 and take the nearest integer for minContStablePoses</t>
    </r>
  </si>
  <si>
    <t>1. Get the smallest and largest tr value (ignore tr values equal zero) over all parameter combinations (remember them) for every stereo conf scene and inlier ratio change rate and take their corresponding statistics (use only median value) of differences to GT for R&amp;t in addition to R_mostLikely &amp; t_mostLikely (use unly angle(t_diff) and the combined angle)
2. Calculate the differences [Rd, td] for the angle and t-angle difference medians between the actual and mostlikely poses from step 1
3. Calculate the range [rRd, rtd] for the double differences of step 2
4. Combine the angle and norm-t double differences by d = (Rd/rRd + td/rtd) / 2
5. Calculate mean parameter values over smallest d-values (from smallest and largest tr values)  over all inlier change rates and stereo conf scenes and take the nearest integer value for minContStablePoses as best result</t>
  </si>
  <si>
    <t>Use ~300 TP correspondences per image pair</t>
  </si>
  <si>
    <r>
      <t xml:space="preserve">30-500 TP correspondences; </t>
    </r>
    <r>
      <rPr>
        <b/>
        <sz val="11"/>
        <color theme="1"/>
        <rFont val="Calibri"/>
        <family val="2"/>
        <scheme val="minor"/>
      </rPr>
      <t>use 20-160 TP for testing only useRANSAC_fewMatches</t>
    </r>
  </si>
  <si>
    <t>relMinInlierRatSkip</t>
  </si>
  <si>
    <t>0.4-0.8(0.1res)</t>
  </si>
  <si>
    <t>enable/disable, 4 Möglichkeiten, 3 Weights (do not use refineRT &amp; BART disabled)</t>
  </si>
  <si>
    <t>enable/disable, 4 Möglichkeiten, 3 Weights (do not use refineRT disabled)</t>
  </si>
  <si>
    <t>Compare USAC with Autocalibration by providing aggregated keypoint data to USAC</t>
  </si>
  <si>
    <t>Use best Robustness settings for the autocalibration</t>
  </si>
  <si>
    <t>Stereo configurations</t>
  </si>
  <si>
    <t>Different chunk sizes (# of frames) 
for USAC</t>
  </si>
  <si>
    <t>Possibilities for USAC</t>
  </si>
  <si>
    <t>Possibilities for Autocalib</t>
  </si>
  <si>
    <t>0.1-0.9(0.2res)</t>
  </si>
  <si>
    <t>All scenes must be generated</t>
  </si>
  <si>
    <t>100-500 TP correspondences;</t>
  </si>
  <si>
    <t>1. Calc [Ra, ta]=mean+2*std for every comb. Angle and angle(t_diff)
2. Calculate the range [rRa, rta] for [Ra, ta] over the whole data
3. Combine [Ra, ta]: b = Ra/rRa + ta/rta
4. Sum b over all inlier ratios for every combination</t>
  </si>
  <si>
    <t>b vs inlier ratio 
for every comb;
bar chart for sum(b)</t>
  </si>
  <si>
    <t>Statistic for R&amp;t difference (3 angles, 1 combined angle, x, y, z, norm(t_diff), angle(t_diff)) 
over all scenes with fixed R &amp; t (accumulated) compared to the inlier ratios  (Combine all combinations in single plot).</t>
  </si>
  <si>
    <t>For every algorithm (USAC, Autocalib)
and chunk size:</t>
  </si>
  <si>
    <t>1. Calc [Ra, ta]=mean+2*std for every comb. Angle and angle(t_diff)
2. Calculate the range [rRa, rta] for [Ra, ta] over the whole data
3. Combine [Ra, ta]: b = Ra/rRa + ta/rta
4. Sum b over all inlier ratios for every combination &amp; keypoint acc</t>
  </si>
  <si>
    <t>sum(b) vs keypoint acc 
for every comb &amp;
chunk size;</t>
  </si>
  <si>
    <t>Statistic for R&amp;t difference (3 angles, 1 combined angle, x, y, z, norm(t_diff), angle(t_diff)) 
over all scenes with fixed R &amp; t (accumulated) compared to depth distributions  (Combine all combinations in single plot).</t>
  </si>
  <si>
    <t>1. Calc [Ra, ta]=mean+2*std for every comb. Angle and angle(t_diff)
2. Calculate the range [rRa, rta] for [Ra, ta] over the whole data
3. Combine [Ra, ta]: b = Ra/rRa + ta/rta</t>
  </si>
  <si>
    <t>b vs depth distribution 
for every comb;</t>
  </si>
  <si>
    <t>Statistic for R&amp;t difference (3 angles, 1 combined angle, x, y, z, norm(t_diff), angle(t_diff)) 
over all scenes with fixed R &amp; t (accumulated) compared to the inlier ratios &amp; keypoint accuracies</t>
  </si>
  <si>
    <t>For  every stereo configuration with changing extrinsics:</t>
  </si>
  <si>
    <t>1. Calc [Ra, ta]=mean+2*std for every comb. Angle and angle(t_diff)
2. Calculate the range [rRa, rta] for [Ra, ta] over the whole data
3. Combine [Ra, ta]: b = Ra/rRa + ta/rta
4. Sum b over all inlier ratios for every combination &amp; frame number</t>
  </si>
  <si>
    <t>b vs frame # 
for every comb sep. for every inl rat;
figure from 4</t>
  </si>
  <si>
    <t>Statistic for R&amp;t difference (3 angles, 1 combined angle, x, y, z, norm(t_diff), angle(t_diff)) 
over all scenes with fixed R &amp; t (accumulated) compared to frame number for every inlier ratio separately (Combine all combinations in single plot).</t>
  </si>
  <si>
    <t>Fixed R &amp; t for 180 frames
Combination of linear R &amp; t change (rotation about x, y, z =  0.05° per frame, translation of x, y, z = 0.0005 per frame), 180 frames 
-&gt; same as for testing Robustness;
Combination of abrupt R &amp; t change (rotation about x, y, z =  10° after 60 frames, translation of x, y, z = 0.1 after 60 frames), 120 frames 
-&gt; same as for testing Robustness;</t>
  </si>
  <si>
    <t>1-5 (res 1), 10-20 (res 5); Sliding aggregation window for frames (aggregate matches); at the end stop at a frame number 
where it is guaranteed that the chunk size can be kept</t>
  </si>
  <si>
    <t>Statistic for R&amp;t difference (3 angles, 1 combined angle, x, y, z, norm(t_diff), angle(t_diff)) 
over all scenes with fixed R &amp; t (accumulated) compared to frame number for every inlier ratio separately 
(Combine all combinations in single plot).</t>
  </si>
  <si>
    <t>b vs frame # 
for every comb &amp; stereo conf. sep. for every inl rat;
figure from 4</t>
  </si>
  <si>
    <t>1. Calc [Ra, ta]=mean+2*std for every comb. Angle and angle(t_diff)
2. Calculate the range [rRa, rta] for [Ra, ta] over the whole data
3. Combine [Ra, ta]: b = Ra/rRa + ta/rta
4. Sum b over all inlier ratios for every combination, stereo configuration &amp; frame number</t>
  </si>
  <si>
    <t>Statistic for execution time (fixed and linear time) -  only for fixed R &amp; t - compared to inlier ratios
over all scenes (depth distr., keypoint accuracy)</t>
  </si>
  <si>
    <t>1. Calculate the ta = overall execution time for 1000 keypoints from the mean values of fixed time budget and t/keypoint for every inlier ratio and combination
2. Sum ta over inlier ratios
3. Generate figures from steps 1 &amp; 2</t>
  </si>
  <si>
    <t>Statistic for execution time (fixed and linear time) -  only for fixed R &amp; t - compared to inlier ratios &amp; keypoint accs
over all scenes (depth distr.)</t>
  </si>
  <si>
    <t>Figures for all points</t>
  </si>
  <si>
    <t>1. Calculate the ta = overall execution time for 1000 keypoints from the mean values of fixed time budget and t/keypoint for every inlier ratio, keypoint acc, and combination
2. Sum ta over keypoint accs; chart sum(ta) vs inl rat
3. Sum ta over inl rats; chart sum(ta) vs keypoint acc
4. Sum ta over keypoint accs &amp; inl rats; bar chart</t>
  </si>
  <si>
    <t>Possibilities for algorithms</t>
  </si>
  <si>
    <t>c5.18xlarge</t>
  </si>
  <si>
    <t>https://aws.amazon.com/de/ec2/pricing/on-demand/</t>
  </si>
  <si>
    <t>Datenübertragung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</si>
</sst>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FF0000"/>
      <name val="Calibri"/>
      <family val="2"/>
      <scheme val="minor"/>
    </font>
    <font>
      <b/>
      <sz val="11"/>
      <color rgb="FF006100"/>
      <name val="Calibri"/>
      <family val="2"/>
      <scheme val="minor"/>
    </font>
    <font>
      <strike/>
      <sz val="11"/>
      <color theme="1"/>
      <name val="Calibri"/>
      <family val="2"/>
      <scheme val="minor"/>
    </font>
    <font>
      <b/>
      <sz val="11"/>
      <color theme="0" tint="-0.499984740745262"/>
      <name val="Calibri"/>
      <family val="2"/>
      <scheme val="minor"/>
    </font>
    <font>
      <sz val="11"/>
      <color theme="0" tint="-0.499984740745262"/>
      <name val="Calibri"/>
      <family val="2"/>
      <scheme val="minor"/>
    </font>
    <font>
      <i/>
      <sz val="11"/>
      <color theme="0" tint="-0.499984740745262"/>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35">
    <xf numFmtId="0" fontId="0" fillId="0" borderId="0" xfId="0"/>
    <xf numFmtId="0" fontId="0" fillId="0" borderId="0" xfId="0" applyAlignment="1">
      <alignment wrapText="1"/>
    </xf>
    <xf numFmtId="0" fontId="0" fillId="0" borderId="0" xfId="0" applyAlignment="1">
      <alignment horizontal="left"/>
    </xf>
    <xf numFmtId="0" fontId="1" fillId="0" borderId="0" xfId="0" applyFont="1"/>
    <xf numFmtId="0" fontId="2" fillId="0" borderId="0" xfId="0" applyFont="1"/>
    <xf numFmtId="0" fontId="0" fillId="0" borderId="0" xfId="0" applyAlignment="1">
      <alignment horizontal="right" wrapText="1"/>
    </xf>
    <xf numFmtId="0" fontId="0" fillId="0" borderId="0" xfId="0" applyFont="1"/>
    <xf numFmtId="0" fontId="0" fillId="0" borderId="0" xfId="0" applyAlignment="1">
      <alignment horizontal="left"/>
    </xf>
    <xf numFmtId="0" fontId="3" fillId="2" borderId="0" xfId="1"/>
    <xf numFmtId="0" fontId="5" fillId="2" borderId="0" xfId="1" applyFont="1"/>
    <xf numFmtId="0" fontId="5" fillId="2" borderId="0" xfId="1" applyFont="1" applyAlignment="1">
      <alignment wrapText="1"/>
    </xf>
    <xf numFmtId="0" fontId="0" fillId="0" borderId="0" xfId="0" applyAlignment="1">
      <alignment horizontal="right"/>
    </xf>
    <xf numFmtId="0" fontId="0" fillId="0" borderId="0" xfId="0" quotePrefix="1"/>
    <xf numFmtId="0" fontId="1" fillId="0" borderId="0" xfId="0" applyFont="1" applyAlignment="1">
      <alignment horizontal="left" wrapText="1"/>
    </xf>
    <xf numFmtId="0" fontId="1" fillId="0" borderId="0" xfId="0" applyFont="1" applyAlignment="1">
      <alignment horizontal="left"/>
    </xf>
    <xf numFmtId="0" fontId="0" fillId="0" borderId="0" xfId="0" applyAlignment="1"/>
    <xf numFmtId="0" fontId="4"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8" fillId="0" borderId="0" xfId="0" applyFont="1" applyAlignment="1">
      <alignment horizontal="right" wrapText="1"/>
    </xf>
    <xf numFmtId="0" fontId="8" fillId="0" borderId="0" xfId="0" applyFont="1" applyAlignment="1">
      <alignment horizontal="left"/>
    </xf>
    <xf numFmtId="0" fontId="3" fillId="2" borderId="0" xfId="1" applyAlignment="1">
      <alignment wrapText="1"/>
    </xf>
    <xf numFmtId="14"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8" fillId="0" borderId="0" xfId="0" applyFont="1" applyAlignment="1">
      <alignment horizontal="left" wrapText="1"/>
    </xf>
    <xf numFmtId="0" fontId="8"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cellXfs>
  <cellStyles count="2">
    <cellStyle name="Gut" xfId="1" builtinId="26"/>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1"/>
  <sheetViews>
    <sheetView topLeftCell="A124" workbookViewId="0">
      <selection activeCell="C32" sqref="C32"/>
    </sheetView>
  </sheetViews>
  <sheetFormatPr baseColWidth="10" defaultRowHeight="15" x14ac:dyDescent="0.25"/>
  <cols>
    <col min="1" max="1" width="31" customWidth="1"/>
    <col min="2" max="2" width="12" bestFit="1" customWidth="1"/>
    <col min="3" max="3" width="81.85546875" customWidth="1"/>
    <col min="4" max="4" width="14.140625" customWidth="1"/>
    <col min="6" max="6" width="38.42578125" customWidth="1"/>
    <col min="7" max="7" width="76.42578125" customWidth="1"/>
    <col min="8" max="8" width="22" customWidth="1"/>
  </cols>
  <sheetData>
    <row r="2" spans="1:1" x14ac:dyDescent="0.25">
      <c r="A2" s="3" t="s">
        <v>34</v>
      </c>
    </row>
    <row r="3" spans="1:1" x14ac:dyDescent="0.25">
      <c r="A3" t="s">
        <v>0</v>
      </c>
    </row>
    <row r="4" spans="1:1" x14ac:dyDescent="0.25">
      <c r="A4" t="s">
        <v>1</v>
      </c>
    </row>
    <row r="5" spans="1:1" x14ac:dyDescent="0.25">
      <c r="A5" t="s">
        <v>2</v>
      </c>
    </row>
    <row r="6" spans="1:1" x14ac:dyDescent="0.25">
      <c r="A6" t="s">
        <v>48</v>
      </c>
    </row>
    <row r="7" spans="1:1" x14ac:dyDescent="0.25">
      <c r="A7" t="s">
        <v>215</v>
      </c>
    </row>
    <row r="8" spans="1:1" x14ac:dyDescent="0.25">
      <c r="A8" t="s">
        <v>26</v>
      </c>
    </row>
    <row r="9" spans="1:1" x14ac:dyDescent="0.25">
      <c r="A9" t="s">
        <v>175</v>
      </c>
    </row>
    <row r="10" spans="1:1" x14ac:dyDescent="0.25">
      <c r="A10" t="s">
        <v>301</v>
      </c>
    </row>
    <row r="11" spans="1:1" x14ac:dyDescent="0.25">
      <c r="A11" t="s">
        <v>338</v>
      </c>
    </row>
    <row r="13" spans="1:1" x14ac:dyDescent="0.25">
      <c r="A13" t="s">
        <v>359</v>
      </c>
    </row>
    <row r="14" spans="1:1" x14ac:dyDescent="0.25">
      <c r="A14" t="s">
        <v>360</v>
      </c>
    </row>
    <row r="17" spans="1:3" x14ac:dyDescent="0.25">
      <c r="B17" t="s">
        <v>4</v>
      </c>
    </row>
    <row r="18" spans="1:3" x14ac:dyDescent="0.25">
      <c r="A18" t="s">
        <v>3</v>
      </c>
      <c r="B18">
        <v>2</v>
      </c>
      <c r="C18" t="s">
        <v>6</v>
      </c>
    </row>
    <row r="19" spans="1:3" x14ac:dyDescent="0.25">
      <c r="A19" t="s">
        <v>5</v>
      </c>
      <c r="B19">
        <v>8</v>
      </c>
      <c r="C19" t="s">
        <v>18</v>
      </c>
    </row>
    <row r="20" spans="1:3" x14ac:dyDescent="0.25">
      <c r="A20" t="s">
        <v>11</v>
      </c>
    </row>
    <row r="21" spans="1:3" x14ac:dyDescent="0.25">
      <c r="A21" t="s">
        <v>12</v>
      </c>
      <c r="B21">
        <v>4</v>
      </c>
    </row>
    <row r="22" spans="1:3" x14ac:dyDescent="0.25">
      <c r="A22" t="s">
        <v>7</v>
      </c>
      <c r="B22">
        <v>2</v>
      </c>
    </row>
    <row r="23" spans="1:3" x14ac:dyDescent="0.25">
      <c r="A23" t="s">
        <v>8</v>
      </c>
      <c r="B23">
        <v>2</v>
      </c>
    </row>
    <row r="24" spans="1:3" x14ac:dyDescent="0.25">
      <c r="A24" t="s">
        <v>9</v>
      </c>
      <c r="B24">
        <v>3</v>
      </c>
      <c r="C24" s="29" t="s">
        <v>29</v>
      </c>
    </row>
    <row r="25" spans="1:3" x14ac:dyDescent="0.25">
      <c r="A25" t="s">
        <v>10</v>
      </c>
      <c r="B25">
        <v>8</v>
      </c>
      <c r="C25" s="30"/>
    </row>
    <row r="27" spans="1:3" ht="30" x14ac:dyDescent="0.25">
      <c r="A27" s="1" t="s">
        <v>23</v>
      </c>
      <c r="B27">
        <f>(4-0.5)/0.5+1</f>
        <v>8</v>
      </c>
    </row>
    <row r="28" spans="1:3" ht="30" x14ac:dyDescent="0.25">
      <c r="A28" s="1" t="s">
        <v>13</v>
      </c>
      <c r="B28">
        <v>2</v>
      </c>
      <c r="C28" t="s">
        <v>262</v>
      </c>
    </row>
    <row r="29" spans="1:3" x14ac:dyDescent="0.25">
      <c r="A29" t="s">
        <v>14</v>
      </c>
      <c r="B29">
        <v>3</v>
      </c>
      <c r="C29" t="s">
        <v>15</v>
      </c>
    </row>
    <row r="30" spans="1:3" x14ac:dyDescent="0.25">
      <c r="A30" t="s">
        <v>49</v>
      </c>
      <c r="B30">
        <v>2</v>
      </c>
      <c r="C30" t="s">
        <v>50</v>
      </c>
    </row>
    <row r="31" spans="1:3" x14ac:dyDescent="0.25">
      <c r="A31" t="s">
        <v>16</v>
      </c>
      <c r="B31">
        <f>(0.9-0.1)/0.1+1</f>
        <v>9</v>
      </c>
      <c r="C31" t="s">
        <v>22</v>
      </c>
    </row>
    <row r="33" spans="1:9" x14ac:dyDescent="0.25">
      <c r="A33" t="s">
        <v>17</v>
      </c>
      <c r="B33">
        <f>B24*B25*B19*4*B28*B29*B30</f>
        <v>9216</v>
      </c>
    </row>
    <row r="35" spans="1:9" ht="30" x14ac:dyDescent="0.25">
      <c r="A35" s="1" t="s">
        <v>19</v>
      </c>
      <c r="B35">
        <f>B33</f>
        <v>9216</v>
      </c>
    </row>
    <row r="36" spans="1:9" x14ac:dyDescent="0.25">
      <c r="A36" t="s">
        <v>20</v>
      </c>
    </row>
    <row r="37" spans="1:9" ht="30" x14ac:dyDescent="0.25">
      <c r="A37" s="1" t="s">
        <v>21</v>
      </c>
      <c r="B37">
        <f>(2+2*B18)*B22*B23*B19*B27*B31*B28*B29*B30</f>
        <v>165888</v>
      </c>
      <c r="C37" t="s">
        <v>33</v>
      </c>
    </row>
    <row r="38" spans="1:9" x14ac:dyDescent="0.25">
      <c r="A38" t="s">
        <v>24</v>
      </c>
    </row>
    <row r="40" spans="1:9" x14ac:dyDescent="0.25">
      <c r="A40" s="4" t="s">
        <v>44</v>
      </c>
    </row>
    <row r="41" spans="1:9" x14ac:dyDescent="0.25">
      <c r="A41" s="4"/>
    </row>
    <row r="42" spans="1:9" x14ac:dyDescent="0.25">
      <c r="A42" s="6" t="s">
        <v>89</v>
      </c>
      <c r="B42" t="s">
        <v>170</v>
      </c>
    </row>
    <row r="43" spans="1:9" x14ac:dyDescent="0.25">
      <c r="A43" s="6" t="s">
        <v>90</v>
      </c>
    </row>
    <row r="44" spans="1:9" x14ac:dyDescent="0.25">
      <c r="A44" s="4"/>
    </row>
    <row r="45" spans="1:9" ht="45" x14ac:dyDescent="0.25">
      <c r="A45" t="s">
        <v>45</v>
      </c>
      <c r="D45" s="1" t="s">
        <v>91</v>
      </c>
      <c r="E45" s="1" t="s">
        <v>73</v>
      </c>
      <c r="F45" t="s">
        <v>92</v>
      </c>
      <c r="G45" t="s">
        <v>93</v>
      </c>
      <c r="H45" s="1" t="s">
        <v>94</v>
      </c>
      <c r="I45" s="1" t="s">
        <v>96</v>
      </c>
    </row>
    <row r="46" spans="1:9" ht="74.25" customHeight="1" x14ac:dyDescent="0.25">
      <c r="A46">
        <v>1</v>
      </c>
      <c r="B46" s="27" t="s">
        <v>461</v>
      </c>
      <c r="C46" s="28"/>
      <c r="D46">
        <f>8*5</f>
        <v>40</v>
      </c>
      <c r="E46">
        <v>8</v>
      </c>
      <c r="F46" t="s">
        <v>74</v>
      </c>
      <c r="G46" s="1" t="s">
        <v>532</v>
      </c>
      <c r="H46" t="s">
        <v>95</v>
      </c>
      <c r="I46">
        <v>1</v>
      </c>
    </row>
    <row r="47" spans="1:9" ht="72.75" customHeight="1" x14ac:dyDescent="0.25">
      <c r="A47">
        <v>2</v>
      </c>
      <c r="B47" s="27" t="s">
        <v>462</v>
      </c>
      <c r="C47" s="28"/>
      <c r="D47">
        <f>8*5</f>
        <v>40</v>
      </c>
      <c r="E47">
        <v>8</v>
      </c>
      <c r="F47" t="s">
        <v>74</v>
      </c>
      <c r="G47" s="1" t="s">
        <v>533</v>
      </c>
      <c r="H47" s="1" t="s">
        <v>97</v>
      </c>
      <c r="I47">
        <v>1</v>
      </c>
    </row>
    <row r="48" spans="1:9" ht="90" customHeight="1" x14ac:dyDescent="0.25">
      <c r="A48">
        <v>3</v>
      </c>
      <c r="B48" s="27" t="s">
        <v>463</v>
      </c>
      <c r="C48" s="28"/>
      <c r="D48">
        <f>8*5*B24*B25</f>
        <v>960</v>
      </c>
      <c r="E48">
        <f>2*B25*B24</f>
        <v>48</v>
      </c>
      <c r="F48" s="1" t="s">
        <v>534</v>
      </c>
      <c r="G48" s="1" t="s">
        <v>535</v>
      </c>
      <c r="H48" s="1" t="s">
        <v>157</v>
      </c>
      <c r="I48">
        <f>$B$24*$B$25+1</f>
        <v>25</v>
      </c>
    </row>
    <row r="49" spans="1:9" ht="33" customHeight="1" x14ac:dyDescent="0.25">
      <c r="B49" s="27" t="s">
        <v>75</v>
      </c>
      <c r="C49" s="28"/>
    </row>
    <row r="50" spans="1:9" ht="150" customHeight="1" x14ac:dyDescent="0.25">
      <c r="A50">
        <v>4</v>
      </c>
      <c r="C50" s="1" t="s">
        <v>464</v>
      </c>
      <c r="D50">
        <f>8*5*$B$19*$B$27*$B$29</f>
        <v>7680</v>
      </c>
      <c r="E50">
        <f>2*$B$29*$B$27</f>
        <v>48</v>
      </c>
      <c r="F50" s="1" t="s">
        <v>536</v>
      </c>
      <c r="G50" s="1" t="s">
        <v>537</v>
      </c>
      <c r="H50" s="1" t="s">
        <v>98</v>
      </c>
      <c r="I50">
        <f>$B$24*$B$25+1</f>
        <v>25</v>
      </c>
    </row>
    <row r="51" spans="1:9" ht="105.75" customHeight="1" x14ac:dyDescent="0.25">
      <c r="A51">
        <v>5</v>
      </c>
      <c r="B51" s="27" t="s">
        <v>68</v>
      </c>
      <c r="C51" s="28"/>
      <c r="D51">
        <f>$B$24*$B$25*2*5</f>
        <v>240</v>
      </c>
      <c r="E51">
        <f>$B$24*$B$25*2</f>
        <v>48</v>
      </c>
      <c r="F51" t="s">
        <v>74</v>
      </c>
      <c r="G51" s="1" t="s">
        <v>158</v>
      </c>
      <c r="H51" s="1" t="s">
        <v>98</v>
      </c>
      <c r="I51">
        <v>1</v>
      </c>
    </row>
    <row r="52" spans="1:9" x14ac:dyDescent="0.25">
      <c r="B52" t="s">
        <v>46</v>
      </c>
    </row>
    <row r="53" spans="1:9" ht="45" x14ac:dyDescent="0.25">
      <c r="A53">
        <v>6</v>
      </c>
      <c r="C53" s="1" t="s">
        <v>69</v>
      </c>
      <c r="D53">
        <f>2*$B$19*5</f>
        <v>80</v>
      </c>
      <c r="E53">
        <f>2*$B$19</f>
        <v>16</v>
      </c>
      <c r="F53" t="s">
        <v>74</v>
      </c>
    </row>
    <row r="54" spans="1:9" x14ac:dyDescent="0.25">
      <c r="C54" s="5" t="s">
        <v>76</v>
      </c>
      <c r="D54">
        <f>SUM(D46:D53)</f>
        <v>9040</v>
      </c>
      <c r="E54">
        <f>SUM(E46:E53)</f>
        <v>176</v>
      </c>
      <c r="I54">
        <f>SUM(I46:I53)</f>
        <v>53</v>
      </c>
    </row>
    <row r="55" spans="1:9" x14ac:dyDescent="0.25">
      <c r="A55" t="s">
        <v>47</v>
      </c>
    </row>
    <row r="56" spans="1:9" x14ac:dyDescent="0.25">
      <c r="B56" t="s">
        <v>465</v>
      </c>
    </row>
    <row r="57" spans="1:9" x14ac:dyDescent="0.25">
      <c r="B57" t="s">
        <v>51</v>
      </c>
    </row>
    <row r="59" spans="1:9" ht="45" x14ac:dyDescent="0.25">
      <c r="A59" t="s">
        <v>77</v>
      </c>
      <c r="D59" s="1" t="s">
        <v>91</v>
      </c>
      <c r="E59" s="1" t="s">
        <v>73</v>
      </c>
      <c r="F59" t="s">
        <v>92</v>
      </c>
      <c r="G59" t="s">
        <v>93</v>
      </c>
      <c r="H59" s="1" t="s">
        <v>94</v>
      </c>
      <c r="I59" s="1" t="s">
        <v>96</v>
      </c>
    </row>
    <row r="60" spans="1:9" ht="75.75" customHeight="1" x14ac:dyDescent="0.25">
      <c r="A60">
        <v>7</v>
      </c>
      <c r="B60" s="27" t="s">
        <v>466</v>
      </c>
      <c r="C60" s="28"/>
      <c r="D60">
        <f>8*5</f>
        <v>40</v>
      </c>
      <c r="E60">
        <v>8</v>
      </c>
      <c r="F60" t="s">
        <v>74</v>
      </c>
      <c r="G60" s="1" t="s">
        <v>532</v>
      </c>
      <c r="H60" t="s">
        <v>95</v>
      </c>
      <c r="I60">
        <v>1</v>
      </c>
    </row>
    <row r="61" spans="1:9" ht="75.75" customHeight="1" x14ac:dyDescent="0.25">
      <c r="A61">
        <v>8</v>
      </c>
      <c r="B61" s="27" t="s">
        <v>467</v>
      </c>
      <c r="C61" s="28"/>
      <c r="D61">
        <f>8*5</f>
        <v>40</v>
      </c>
      <c r="E61">
        <v>8</v>
      </c>
      <c r="F61" t="s">
        <v>74</v>
      </c>
      <c r="G61" s="1" t="s">
        <v>533</v>
      </c>
      <c r="H61" s="1" t="s">
        <v>97</v>
      </c>
      <c r="I61">
        <v>1</v>
      </c>
    </row>
    <row r="62" spans="1:9" ht="162.75" customHeight="1" x14ac:dyDescent="0.25">
      <c r="A62">
        <v>9</v>
      </c>
      <c r="B62" s="27" t="s">
        <v>468</v>
      </c>
      <c r="C62" s="28"/>
      <c r="D62">
        <f>5*8*(2+2*B18)*B22*B23</f>
        <v>960</v>
      </c>
      <c r="E62">
        <f>2*(2+2*B18)*B22*B23</f>
        <v>48</v>
      </c>
      <c r="F62" s="1" t="s">
        <v>538</v>
      </c>
      <c r="G62" s="1" t="s">
        <v>539</v>
      </c>
      <c r="H62" s="1" t="s">
        <v>159</v>
      </c>
      <c r="I62">
        <f>(2+2*$B$18)*$B$22*$B$23+1</f>
        <v>25</v>
      </c>
    </row>
    <row r="63" spans="1:9" ht="180" x14ac:dyDescent="0.25">
      <c r="A63">
        <v>10</v>
      </c>
      <c r="B63" s="27" t="s">
        <v>469</v>
      </c>
      <c r="C63" s="28"/>
      <c r="D63">
        <f>5*8*(2+2*B18)*B22*B23</f>
        <v>960</v>
      </c>
      <c r="E63">
        <f>2*(2+2*B18)*B22*B23</f>
        <v>48</v>
      </c>
      <c r="F63" s="1" t="s">
        <v>538</v>
      </c>
      <c r="G63" s="1" t="s">
        <v>540</v>
      </c>
      <c r="H63" s="1" t="s">
        <v>157</v>
      </c>
      <c r="I63">
        <f>(2+2*$B$18)*$B$22*$B$23+1</f>
        <v>25</v>
      </c>
    </row>
    <row r="64" spans="1:9" ht="78" customHeight="1" x14ac:dyDescent="0.25">
      <c r="A64">
        <v>36</v>
      </c>
      <c r="B64" s="27" t="s">
        <v>172</v>
      </c>
      <c r="C64" s="27"/>
      <c r="D64">
        <f>5*$B$27*$B$29</f>
        <v>120</v>
      </c>
      <c r="E64">
        <f>$B$27*$B$29</f>
        <v>24</v>
      </c>
      <c r="F64" s="1" t="s">
        <v>173</v>
      </c>
      <c r="G64" s="1" t="s">
        <v>174</v>
      </c>
      <c r="H64" s="1" t="s">
        <v>98</v>
      </c>
      <c r="I64">
        <v>1</v>
      </c>
    </row>
    <row r="65" spans="1:9" ht="30" customHeight="1" x14ac:dyDescent="0.25">
      <c r="B65" s="27" t="s">
        <v>67</v>
      </c>
      <c r="C65" s="28"/>
    </row>
    <row r="66" spans="1:9" ht="151.5" customHeight="1" x14ac:dyDescent="0.25">
      <c r="A66">
        <v>11</v>
      </c>
      <c r="C66" s="1" t="s">
        <v>470</v>
      </c>
      <c r="D66">
        <f>5*8*$B$19*$B$28*$B$29</f>
        <v>1920</v>
      </c>
      <c r="E66">
        <f>2*2*$B$28*$B$29</f>
        <v>24</v>
      </c>
      <c r="F66" s="1" t="s">
        <v>541</v>
      </c>
      <c r="G66" s="1" t="s">
        <v>542</v>
      </c>
      <c r="H66" s="1" t="s">
        <v>98</v>
      </c>
      <c r="I66">
        <f>(2+2*$B$18)*$B$22*$B$23+1</f>
        <v>25</v>
      </c>
    </row>
    <row r="67" spans="1:9" ht="109.5" customHeight="1" x14ac:dyDescent="0.25">
      <c r="A67">
        <v>12</v>
      </c>
      <c r="B67" s="27" t="s">
        <v>70</v>
      </c>
      <c r="C67" s="28"/>
      <c r="D67">
        <f>2*(2+2*B18)*B22*B23</f>
        <v>48</v>
      </c>
      <c r="E67">
        <f>2*(2+2*B18)*B22*B23</f>
        <v>48</v>
      </c>
      <c r="G67" s="1" t="s">
        <v>158</v>
      </c>
      <c r="H67" s="1" t="s">
        <v>98</v>
      </c>
      <c r="I67">
        <v>1</v>
      </c>
    </row>
    <row r="68" spans="1:9" x14ac:dyDescent="0.25">
      <c r="B68" t="s">
        <v>46</v>
      </c>
    </row>
    <row r="69" spans="1:9" ht="105" x14ac:dyDescent="0.25">
      <c r="A69">
        <v>13</v>
      </c>
      <c r="C69" s="1" t="s">
        <v>71</v>
      </c>
      <c r="D69">
        <f>$B$19*2</f>
        <v>16</v>
      </c>
      <c r="E69">
        <f>$B$19*2</f>
        <v>16</v>
      </c>
      <c r="G69" s="1" t="s">
        <v>100</v>
      </c>
      <c r="H69" s="1" t="s">
        <v>98</v>
      </c>
      <c r="I69">
        <v>1</v>
      </c>
    </row>
    <row r="70" spans="1:9" ht="228.75" customHeight="1" x14ac:dyDescent="0.25">
      <c r="A70">
        <v>14</v>
      </c>
      <c r="C70" s="1" t="s">
        <v>72</v>
      </c>
      <c r="D70">
        <f>2*(2+2*$B$18)*$B$22*$B$23*$B$19</f>
        <v>384</v>
      </c>
      <c r="E70">
        <f>2*(2+2*$B$18)*$B$22*$B$23</f>
        <v>48</v>
      </c>
      <c r="F70" s="1" t="s">
        <v>99</v>
      </c>
      <c r="G70" s="1" t="s">
        <v>160</v>
      </c>
      <c r="H70" s="1" t="s">
        <v>98</v>
      </c>
      <c r="I70">
        <v>2</v>
      </c>
    </row>
    <row r="71" spans="1:9" x14ac:dyDescent="0.25">
      <c r="C71" s="5" t="s">
        <v>76</v>
      </c>
      <c r="D71">
        <f>SUM(D60:D70)</f>
        <v>4488</v>
      </c>
      <c r="E71">
        <f>SUM(E60:E70)</f>
        <v>272</v>
      </c>
      <c r="I71">
        <f>SUM(I60:I70)</f>
        <v>82</v>
      </c>
    </row>
    <row r="72" spans="1:9" x14ac:dyDescent="0.25">
      <c r="A72" t="s">
        <v>47</v>
      </c>
    </row>
    <row r="73" spans="1:9" x14ac:dyDescent="0.25">
      <c r="B73" t="s">
        <v>465</v>
      </c>
    </row>
    <row r="74" spans="1:9" x14ac:dyDescent="0.25">
      <c r="B74" t="s">
        <v>51</v>
      </c>
    </row>
    <row r="77" spans="1:9" x14ac:dyDescent="0.25">
      <c r="A77" s="17" t="s">
        <v>32</v>
      </c>
      <c r="B77" s="16" t="s">
        <v>323</v>
      </c>
    </row>
    <row r="78" spans="1:9" ht="45" x14ac:dyDescent="0.25">
      <c r="A78" s="18" t="s">
        <v>35</v>
      </c>
      <c r="B78" s="18">
        <v>4</v>
      </c>
      <c r="C78" s="19" t="s">
        <v>36</v>
      </c>
      <c r="D78" s="18"/>
      <c r="E78" s="18"/>
      <c r="F78" s="18"/>
      <c r="G78" s="18"/>
      <c r="H78" s="18"/>
      <c r="I78" s="18"/>
    </row>
    <row r="79" spans="1:9" x14ac:dyDescent="0.25">
      <c r="A79" s="18" t="s">
        <v>14</v>
      </c>
      <c r="B79" s="18">
        <v>3</v>
      </c>
      <c r="C79" s="18" t="s">
        <v>15</v>
      </c>
      <c r="D79" s="18"/>
      <c r="E79" s="18"/>
      <c r="F79" s="18"/>
      <c r="G79" s="18"/>
      <c r="H79" s="18"/>
      <c r="I79" s="18"/>
    </row>
    <row r="80" spans="1:9" x14ac:dyDescent="0.25">
      <c r="A80" s="18" t="s">
        <v>16</v>
      </c>
      <c r="B80" s="18">
        <f>(0.9-0.1)/0.1+1</f>
        <v>9</v>
      </c>
      <c r="C80" s="18" t="s">
        <v>22</v>
      </c>
      <c r="D80" s="18"/>
      <c r="E80" s="18"/>
      <c r="F80" s="18"/>
      <c r="G80" s="18"/>
      <c r="H80" s="18"/>
      <c r="I80" s="18"/>
    </row>
    <row r="81" spans="1:9" x14ac:dyDescent="0.25">
      <c r="A81" s="18" t="s">
        <v>49</v>
      </c>
      <c r="B81" s="18">
        <v>1</v>
      </c>
      <c r="C81" s="18" t="s">
        <v>103</v>
      </c>
      <c r="D81" s="18"/>
      <c r="E81" s="18"/>
      <c r="F81" s="18"/>
      <c r="G81" s="18"/>
      <c r="H81" s="18"/>
      <c r="I81" s="18"/>
    </row>
    <row r="82" spans="1:9" ht="30" x14ac:dyDescent="0.25">
      <c r="A82" s="19" t="s">
        <v>23</v>
      </c>
      <c r="B82" s="18">
        <f>(4-0.5)/0.5+1</f>
        <v>8</v>
      </c>
      <c r="C82" s="18"/>
      <c r="D82" s="18"/>
      <c r="E82" s="18"/>
      <c r="F82" s="18"/>
      <c r="G82" s="18"/>
      <c r="H82" s="18"/>
      <c r="I82" s="18"/>
    </row>
    <row r="83" spans="1:9" x14ac:dyDescent="0.25">
      <c r="A83" s="18"/>
      <c r="B83" s="18"/>
      <c r="C83" s="18"/>
      <c r="D83" s="18"/>
      <c r="E83" s="18"/>
      <c r="F83" s="18"/>
      <c r="G83" s="18"/>
      <c r="H83" s="18"/>
      <c r="I83" s="18"/>
    </row>
    <row r="84" spans="1:9" x14ac:dyDescent="0.25">
      <c r="A84" s="18" t="s">
        <v>54</v>
      </c>
      <c r="B84" s="18">
        <v>8</v>
      </c>
      <c r="C84" s="18" t="s">
        <v>53</v>
      </c>
      <c r="D84" s="18"/>
      <c r="E84" s="18"/>
      <c r="F84" s="18"/>
      <c r="G84" s="18"/>
      <c r="H84" s="18"/>
      <c r="I84" s="18"/>
    </row>
    <row r="85" spans="1:9" x14ac:dyDescent="0.25">
      <c r="A85" s="18" t="s">
        <v>37</v>
      </c>
      <c r="B85" s="18">
        <v>2</v>
      </c>
      <c r="C85" s="18"/>
      <c r="D85" s="18"/>
      <c r="E85" s="18"/>
      <c r="F85" s="18"/>
      <c r="G85" s="18"/>
      <c r="H85" s="18"/>
      <c r="I85" s="18"/>
    </row>
    <row r="86" spans="1:9" x14ac:dyDescent="0.25">
      <c r="A86" s="18" t="s">
        <v>5</v>
      </c>
      <c r="B86" s="18">
        <v>8</v>
      </c>
      <c r="C86" s="18" t="s">
        <v>18</v>
      </c>
      <c r="D86" s="18"/>
      <c r="E86" s="18"/>
      <c r="F86" s="18"/>
      <c r="G86" s="18"/>
      <c r="H86" s="18"/>
      <c r="I86" s="18"/>
    </row>
    <row r="87" spans="1:9" x14ac:dyDescent="0.25">
      <c r="A87" s="18"/>
      <c r="B87" s="18"/>
      <c r="C87" s="18"/>
      <c r="D87" s="18"/>
      <c r="E87" s="18"/>
      <c r="F87" s="18"/>
      <c r="G87" s="18"/>
      <c r="H87" s="18"/>
      <c r="I87" s="18"/>
    </row>
    <row r="88" spans="1:9" x14ac:dyDescent="0.25">
      <c r="A88" s="18" t="s">
        <v>38</v>
      </c>
      <c r="B88" s="18">
        <f>B78*B79*B80*B82*36*B85</f>
        <v>62208</v>
      </c>
      <c r="C88" s="18"/>
      <c r="D88" s="18"/>
      <c r="E88" s="18"/>
      <c r="F88" s="18"/>
      <c r="G88" s="18"/>
      <c r="H88" s="18"/>
      <c r="I88" s="18"/>
    </row>
    <row r="89" spans="1:9" x14ac:dyDescent="0.25">
      <c r="A89" s="18"/>
      <c r="B89" s="18"/>
      <c r="C89" s="18"/>
      <c r="D89" s="18"/>
      <c r="E89" s="18"/>
      <c r="F89" s="18"/>
      <c r="G89" s="18"/>
      <c r="H89" s="18"/>
      <c r="I89" s="18"/>
    </row>
    <row r="90" spans="1:9" x14ac:dyDescent="0.25">
      <c r="A90" s="20" t="s">
        <v>44</v>
      </c>
      <c r="B90" s="18"/>
      <c r="C90" s="18"/>
      <c r="D90" s="18"/>
      <c r="E90" s="18"/>
      <c r="F90" s="18"/>
      <c r="G90" s="18"/>
      <c r="H90" s="18"/>
      <c r="I90" s="18"/>
    </row>
    <row r="91" spans="1:9" x14ac:dyDescent="0.25">
      <c r="A91" s="20"/>
      <c r="B91" s="18"/>
      <c r="C91" s="18"/>
      <c r="D91" s="18"/>
      <c r="E91" s="18"/>
      <c r="F91" s="18"/>
      <c r="G91" s="18"/>
      <c r="H91" s="18"/>
      <c r="I91" s="18"/>
    </row>
    <row r="92" spans="1:9" x14ac:dyDescent="0.25">
      <c r="A92" s="18" t="s">
        <v>89</v>
      </c>
      <c r="B92" s="18" t="s">
        <v>170</v>
      </c>
      <c r="C92" s="18"/>
      <c r="D92" s="18"/>
      <c r="E92" s="18"/>
      <c r="F92" s="18"/>
      <c r="G92" s="18"/>
      <c r="H92" s="18"/>
      <c r="I92" s="18"/>
    </row>
    <row r="93" spans="1:9" x14ac:dyDescent="0.25">
      <c r="A93" s="18" t="s">
        <v>90</v>
      </c>
      <c r="B93" s="18"/>
      <c r="C93" s="18"/>
      <c r="D93" s="18"/>
      <c r="E93" s="18"/>
      <c r="F93" s="18"/>
      <c r="G93" s="18"/>
      <c r="H93" s="18"/>
      <c r="I93" s="18"/>
    </row>
    <row r="94" spans="1:9" x14ac:dyDescent="0.25">
      <c r="A94" s="20"/>
      <c r="B94" s="18"/>
      <c r="C94" s="18"/>
      <c r="D94" s="18"/>
      <c r="E94" s="18"/>
      <c r="F94" s="18"/>
      <c r="G94" s="18"/>
      <c r="H94" s="18"/>
      <c r="I94" s="18"/>
    </row>
    <row r="95" spans="1:9" ht="45" x14ac:dyDescent="0.25">
      <c r="A95" s="18" t="s">
        <v>52</v>
      </c>
      <c r="B95" s="18"/>
      <c r="C95" s="18"/>
      <c r="D95" s="19" t="s">
        <v>91</v>
      </c>
      <c r="E95" s="19" t="s">
        <v>73</v>
      </c>
      <c r="F95" s="18" t="s">
        <v>92</v>
      </c>
      <c r="G95" s="18" t="s">
        <v>93</v>
      </c>
      <c r="H95" s="19" t="s">
        <v>94</v>
      </c>
      <c r="I95" s="19" t="s">
        <v>96</v>
      </c>
    </row>
    <row r="96" spans="1:9" x14ac:dyDescent="0.25">
      <c r="A96" s="18"/>
      <c r="B96" s="18" t="s">
        <v>57</v>
      </c>
      <c r="C96" s="18"/>
      <c r="D96" s="18"/>
      <c r="E96" s="18"/>
      <c r="F96" s="18"/>
      <c r="G96" s="18"/>
      <c r="H96" s="18"/>
      <c r="I96" s="18"/>
    </row>
    <row r="97" spans="1:9" ht="150" x14ac:dyDescent="0.25">
      <c r="A97" s="18">
        <v>15</v>
      </c>
      <c r="B97" s="18"/>
      <c r="C97" s="19" t="s">
        <v>78</v>
      </c>
      <c r="D97" s="18">
        <f>$B$85*4</f>
        <v>8</v>
      </c>
      <c r="E97" s="18">
        <f>$B$85*4</f>
        <v>8</v>
      </c>
      <c r="F97" s="18" t="s">
        <v>81</v>
      </c>
      <c r="G97" s="19" t="s">
        <v>161</v>
      </c>
      <c r="H97" s="18" t="s">
        <v>98</v>
      </c>
      <c r="I97" s="18">
        <v>1</v>
      </c>
    </row>
    <row r="98" spans="1:9" x14ac:dyDescent="0.25">
      <c r="A98" s="18"/>
      <c r="B98" s="18"/>
      <c r="C98" s="18" t="s">
        <v>55</v>
      </c>
      <c r="D98" s="18"/>
      <c r="E98" s="18"/>
      <c r="F98" s="18"/>
      <c r="G98" s="18"/>
      <c r="H98" s="18"/>
      <c r="I98" s="18"/>
    </row>
    <row r="99" spans="1:9" ht="45" x14ac:dyDescent="0.25">
      <c r="A99" s="18">
        <v>16</v>
      </c>
      <c r="B99" s="18"/>
      <c r="C99" s="19" t="s">
        <v>79</v>
      </c>
      <c r="D99" s="18">
        <f>$B$86*4</f>
        <v>32</v>
      </c>
      <c r="E99" s="18">
        <f>$B$86*4</f>
        <v>32</v>
      </c>
      <c r="F99" s="18" t="s">
        <v>81</v>
      </c>
      <c r="G99" s="18"/>
      <c r="H99" s="18"/>
      <c r="I99" s="18"/>
    </row>
    <row r="100" spans="1:9" ht="270" x14ac:dyDescent="0.25">
      <c r="A100" s="18">
        <v>17</v>
      </c>
      <c r="B100" s="18"/>
      <c r="C100" s="19" t="s">
        <v>80</v>
      </c>
      <c r="D100" s="18">
        <f>$B$86*4*$B$85</f>
        <v>64</v>
      </c>
      <c r="E100" s="18">
        <f>4*$B$85</f>
        <v>8</v>
      </c>
      <c r="F100" s="19" t="s">
        <v>101</v>
      </c>
      <c r="G100" s="19" t="s">
        <v>162</v>
      </c>
      <c r="H100" s="18" t="s">
        <v>98</v>
      </c>
      <c r="I100" s="18">
        <v>2</v>
      </c>
    </row>
    <row r="101" spans="1:9" ht="270" x14ac:dyDescent="0.25">
      <c r="A101" s="18">
        <v>18</v>
      </c>
      <c r="B101" s="18"/>
      <c r="C101" s="19" t="s">
        <v>82</v>
      </c>
      <c r="D101" s="18">
        <f>$B$86*4*$B$85</f>
        <v>64</v>
      </c>
      <c r="E101" s="18">
        <f>4*$B$85</f>
        <v>8</v>
      </c>
      <c r="F101" s="19" t="s">
        <v>101</v>
      </c>
      <c r="G101" s="19" t="s">
        <v>163</v>
      </c>
      <c r="H101" s="18" t="s">
        <v>98</v>
      </c>
      <c r="I101" s="18">
        <v>2</v>
      </c>
    </row>
    <row r="102" spans="1:9" ht="300" x14ac:dyDescent="0.25">
      <c r="A102" s="18">
        <v>19</v>
      </c>
      <c r="B102" s="18"/>
      <c r="C102" s="19" t="s">
        <v>83</v>
      </c>
      <c r="D102" s="18">
        <f>$B$86*4*$B$85</f>
        <v>64</v>
      </c>
      <c r="E102" s="18">
        <f>4*$B$85</f>
        <v>8</v>
      </c>
      <c r="F102" s="19" t="s">
        <v>101</v>
      </c>
      <c r="G102" s="19" t="s">
        <v>164</v>
      </c>
      <c r="H102" s="18" t="s">
        <v>98</v>
      </c>
      <c r="I102" s="18">
        <v>2</v>
      </c>
    </row>
    <row r="103" spans="1:9" ht="165" x14ac:dyDescent="0.25">
      <c r="A103" s="18">
        <v>20</v>
      </c>
      <c r="B103" s="18"/>
      <c r="C103" s="19" t="s">
        <v>471</v>
      </c>
      <c r="D103" s="18">
        <f>$B$86*4*5*8</f>
        <v>1280</v>
      </c>
      <c r="E103" s="18">
        <f>4*2</f>
        <v>8</v>
      </c>
      <c r="F103" s="19" t="s">
        <v>543</v>
      </c>
      <c r="G103" s="19" t="s">
        <v>544</v>
      </c>
      <c r="H103" s="18" t="s">
        <v>98</v>
      </c>
      <c r="I103" s="18">
        <v>1</v>
      </c>
    </row>
    <row r="104" spans="1:9" ht="225" x14ac:dyDescent="0.25">
      <c r="A104" s="18">
        <v>21</v>
      </c>
      <c r="B104" s="18"/>
      <c r="C104" s="19" t="s">
        <v>472</v>
      </c>
      <c r="D104" s="18">
        <f>$B$86*4*5*8*$B$85</f>
        <v>2560</v>
      </c>
      <c r="E104" s="18">
        <f>4*2*$B$85</f>
        <v>16</v>
      </c>
      <c r="F104" s="19" t="s">
        <v>543</v>
      </c>
      <c r="G104" s="19" t="s">
        <v>545</v>
      </c>
      <c r="H104" s="18" t="s">
        <v>98</v>
      </c>
      <c r="I104" s="18">
        <v>1</v>
      </c>
    </row>
    <row r="105" spans="1:9" ht="225" x14ac:dyDescent="0.25">
      <c r="A105" s="18">
        <v>22</v>
      </c>
      <c r="B105" s="18"/>
      <c r="C105" s="19" t="s">
        <v>473</v>
      </c>
      <c r="D105" s="18">
        <f>$B$86*4*5*8*$B$85</f>
        <v>2560</v>
      </c>
      <c r="E105" s="18">
        <f>4*2*$B$85</f>
        <v>16</v>
      </c>
      <c r="F105" s="19" t="s">
        <v>543</v>
      </c>
      <c r="G105" s="19" t="s">
        <v>546</v>
      </c>
      <c r="H105" s="18" t="s">
        <v>98</v>
      </c>
      <c r="I105" s="18">
        <v>1</v>
      </c>
    </row>
    <row r="106" spans="1:9" ht="285" x14ac:dyDescent="0.25">
      <c r="A106" s="18">
        <v>23</v>
      </c>
      <c r="B106" s="18"/>
      <c r="C106" s="19" t="s">
        <v>474</v>
      </c>
      <c r="D106" s="18">
        <f>$B$86*4*5*8*$B$85</f>
        <v>2560</v>
      </c>
      <c r="E106" s="18">
        <f>4*2*$B$85</f>
        <v>16</v>
      </c>
      <c r="F106" s="19" t="s">
        <v>543</v>
      </c>
      <c r="G106" s="19" t="s">
        <v>547</v>
      </c>
      <c r="H106" s="18" t="s">
        <v>98</v>
      </c>
      <c r="I106" s="18">
        <v>1</v>
      </c>
    </row>
    <row r="107" spans="1:9" x14ac:dyDescent="0.25">
      <c r="A107" s="18"/>
      <c r="B107" s="18"/>
      <c r="C107" s="18" t="s">
        <v>56</v>
      </c>
      <c r="D107" s="18"/>
      <c r="E107" s="18"/>
      <c r="F107" s="18"/>
      <c r="G107" s="18"/>
      <c r="H107" s="18"/>
      <c r="I107" s="18"/>
    </row>
    <row r="108" spans="1:9" ht="45" x14ac:dyDescent="0.25">
      <c r="A108" s="18">
        <v>24</v>
      </c>
      <c r="B108" s="18"/>
      <c r="C108" s="19" t="s">
        <v>84</v>
      </c>
      <c r="D108" s="18">
        <f>$B$84</f>
        <v>8</v>
      </c>
      <c r="E108" s="18">
        <f>$B$84</f>
        <v>8</v>
      </c>
      <c r="F108" s="18" t="s">
        <v>81</v>
      </c>
      <c r="G108" s="18"/>
      <c r="H108" s="18"/>
      <c r="I108" s="18"/>
    </row>
    <row r="109" spans="1:9" ht="45" x14ac:dyDescent="0.25">
      <c r="A109" s="18">
        <v>25</v>
      </c>
      <c r="B109" s="18"/>
      <c r="C109" s="19" t="s">
        <v>85</v>
      </c>
      <c r="D109" s="18">
        <f>$B$84*4</f>
        <v>32</v>
      </c>
      <c r="E109" s="18">
        <f>$B$84*4</f>
        <v>32</v>
      </c>
      <c r="F109" s="18" t="s">
        <v>81</v>
      </c>
      <c r="G109" s="18"/>
      <c r="H109" s="18"/>
      <c r="I109" s="18"/>
    </row>
    <row r="110" spans="1:9" ht="60" x14ac:dyDescent="0.25">
      <c r="A110" s="18">
        <v>26</v>
      </c>
      <c r="B110" s="18"/>
      <c r="C110" s="19" t="s">
        <v>86</v>
      </c>
      <c r="D110" s="18">
        <f>$B$84*4*$B$85</f>
        <v>64</v>
      </c>
      <c r="E110" s="18">
        <f>4*$B$85</f>
        <v>8</v>
      </c>
      <c r="F110" s="19" t="s">
        <v>102</v>
      </c>
      <c r="G110" s="18"/>
      <c r="H110" s="18"/>
      <c r="I110" s="18"/>
    </row>
    <row r="111" spans="1:9" ht="60" x14ac:dyDescent="0.25">
      <c r="A111" s="18">
        <v>27</v>
      </c>
      <c r="B111" s="18"/>
      <c r="C111" s="19" t="s">
        <v>87</v>
      </c>
      <c r="D111" s="18">
        <f>$B$84*4*$B$85</f>
        <v>64</v>
      </c>
      <c r="E111" s="18">
        <f>4*$B$85</f>
        <v>8</v>
      </c>
      <c r="F111" s="19" t="s">
        <v>102</v>
      </c>
      <c r="G111" s="18"/>
      <c r="H111" s="18"/>
      <c r="I111" s="18"/>
    </row>
    <row r="112" spans="1:9" ht="60" x14ac:dyDescent="0.25">
      <c r="A112" s="18">
        <v>28</v>
      </c>
      <c r="B112" s="18"/>
      <c r="C112" s="19" t="s">
        <v>88</v>
      </c>
      <c r="D112" s="18">
        <f>$B$84*4*$B$85</f>
        <v>64</v>
      </c>
      <c r="E112" s="18">
        <f>4*$B$85</f>
        <v>8</v>
      </c>
      <c r="F112" s="19" t="s">
        <v>102</v>
      </c>
      <c r="G112" s="18"/>
      <c r="H112" s="18"/>
      <c r="I112" s="18"/>
    </row>
    <row r="113" spans="1:9" ht="60" x14ac:dyDescent="0.25">
      <c r="A113" s="18">
        <v>29</v>
      </c>
      <c r="B113" s="18"/>
      <c r="C113" s="19" t="s">
        <v>475</v>
      </c>
      <c r="D113" s="18">
        <f>$B$84*4*8*5</f>
        <v>1280</v>
      </c>
      <c r="E113" s="18">
        <f>4*2</f>
        <v>8</v>
      </c>
      <c r="F113" s="19" t="s">
        <v>548</v>
      </c>
      <c r="G113" s="18"/>
      <c r="H113" s="18"/>
      <c r="I113" s="18"/>
    </row>
    <row r="114" spans="1:9" ht="60" x14ac:dyDescent="0.25">
      <c r="A114" s="18">
        <v>30</v>
      </c>
      <c r="B114" s="18"/>
      <c r="C114" s="19" t="s">
        <v>476</v>
      </c>
      <c r="D114" s="18">
        <f>$B$84*4*8*5*$B$85</f>
        <v>2560</v>
      </c>
      <c r="E114" s="18">
        <f>4*2*$B$85</f>
        <v>16</v>
      </c>
      <c r="F114" s="19" t="s">
        <v>548</v>
      </c>
      <c r="G114" s="18"/>
      <c r="H114" s="18"/>
      <c r="I114" s="18"/>
    </row>
    <row r="115" spans="1:9" ht="60" x14ac:dyDescent="0.25">
      <c r="A115" s="18">
        <v>31</v>
      </c>
      <c r="B115" s="18"/>
      <c r="C115" s="19" t="s">
        <v>477</v>
      </c>
      <c r="D115" s="18">
        <f t="shared" ref="D115:D116" si="0">$B$84*4*8*5*$B$85</f>
        <v>2560</v>
      </c>
      <c r="E115" s="18">
        <f>4*2*$B$85</f>
        <v>16</v>
      </c>
      <c r="F115" s="19" t="s">
        <v>548</v>
      </c>
      <c r="G115" s="18"/>
      <c r="H115" s="18"/>
      <c r="I115" s="18"/>
    </row>
    <row r="116" spans="1:9" ht="60" x14ac:dyDescent="0.25">
      <c r="A116" s="18">
        <v>32</v>
      </c>
      <c r="B116" s="18"/>
      <c r="C116" s="19" t="s">
        <v>478</v>
      </c>
      <c r="D116" s="18">
        <f t="shared" si="0"/>
        <v>2560</v>
      </c>
      <c r="E116" s="18">
        <f>4*2*$B$85</f>
        <v>16</v>
      </c>
      <c r="F116" s="19" t="s">
        <v>548</v>
      </c>
      <c r="G116" s="18"/>
      <c r="H116" s="18"/>
      <c r="I116" s="18"/>
    </row>
    <row r="117" spans="1:9" ht="30.75" customHeight="1" x14ac:dyDescent="0.25">
      <c r="A117" s="18"/>
      <c r="B117" s="31" t="s">
        <v>104</v>
      </c>
      <c r="C117" s="32"/>
      <c r="D117" s="18"/>
      <c r="E117" s="18"/>
      <c r="F117" s="18"/>
      <c r="G117" s="18"/>
      <c r="H117" s="18"/>
      <c r="I117" s="18"/>
    </row>
    <row r="118" spans="1:9" x14ac:dyDescent="0.25">
      <c r="A118" s="18"/>
      <c r="B118" s="18"/>
      <c r="C118" s="18" t="s">
        <v>46</v>
      </c>
      <c r="D118" s="18"/>
      <c r="E118" s="18"/>
      <c r="F118" s="18"/>
      <c r="G118" s="18"/>
      <c r="H118" s="18"/>
      <c r="I118" s="18"/>
    </row>
    <row r="119" spans="1:9" ht="75" x14ac:dyDescent="0.25">
      <c r="A119" s="18">
        <v>33</v>
      </c>
      <c r="B119" s="18"/>
      <c r="C119" s="19" t="s">
        <v>105</v>
      </c>
      <c r="D119" s="18">
        <f>$B$86*4</f>
        <v>32</v>
      </c>
      <c r="E119" s="18">
        <f>$B$86*4</f>
        <v>32</v>
      </c>
      <c r="F119" s="18"/>
      <c r="G119" s="19" t="s">
        <v>165</v>
      </c>
      <c r="H119" s="18" t="s">
        <v>98</v>
      </c>
      <c r="I119" s="18">
        <v>1</v>
      </c>
    </row>
    <row r="120" spans="1:9" ht="150" x14ac:dyDescent="0.25">
      <c r="A120" s="18">
        <v>34</v>
      </c>
      <c r="B120" s="18"/>
      <c r="C120" s="19" t="s">
        <v>107</v>
      </c>
      <c r="D120" s="18">
        <f>$B$86*4*$B$85</f>
        <v>64</v>
      </c>
      <c r="E120" s="18">
        <f>4*$B$85</f>
        <v>8</v>
      </c>
      <c r="F120" s="19" t="s">
        <v>108</v>
      </c>
      <c r="G120" s="19" t="s">
        <v>166</v>
      </c>
      <c r="H120" s="18" t="s">
        <v>98</v>
      </c>
      <c r="I120" s="18">
        <v>1</v>
      </c>
    </row>
    <row r="121" spans="1:9" ht="45" x14ac:dyDescent="0.25">
      <c r="A121" s="18">
        <v>35</v>
      </c>
      <c r="B121" s="18"/>
      <c r="C121" s="19" t="s">
        <v>106</v>
      </c>
      <c r="D121" s="18">
        <f>$B$86*4*$B$85</f>
        <v>64</v>
      </c>
      <c r="E121" s="18">
        <f>4*$B$85</f>
        <v>8</v>
      </c>
      <c r="F121" s="19" t="s">
        <v>108</v>
      </c>
      <c r="G121" s="18"/>
      <c r="H121" s="18"/>
      <c r="I121" s="18"/>
    </row>
    <row r="122" spans="1:9" x14ac:dyDescent="0.25">
      <c r="A122" s="18"/>
      <c r="B122" s="18"/>
      <c r="C122" s="21" t="s">
        <v>76</v>
      </c>
      <c r="D122" s="18">
        <f>SUM(D97:D121)</f>
        <v>18544</v>
      </c>
      <c r="E122" s="18">
        <f>SUM(E97:E121)</f>
        <v>288</v>
      </c>
      <c r="F122" s="18"/>
      <c r="G122" s="18"/>
      <c r="H122" s="18"/>
      <c r="I122" s="18">
        <f>SUM(I97:I121)</f>
        <v>13</v>
      </c>
    </row>
    <row r="123" spans="1:9" x14ac:dyDescent="0.25">
      <c r="A123" s="18" t="s">
        <v>47</v>
      </c>
      <c r="B123" s="18"/>
      <c r="C123" s="18"/>
      <c r="D123" s="18"/>
      <c r="E123" s="18"/>
      <c r="F123" s="18"/>
      <c r="G123" s="18"/>
      <c r="H123" s="18"/>
      <c r="I123" s="18"/>
    </row>
    <row r="124" spans="1:9" x14ac:dyDescent="0.25">
      <c r="A124" s="18"/>
      <c r="B124" s="18" t="s">
        <v>479</v>
      </c>
      <c r="C124" s="18"/>
      <c r="D124" s="18"/>
      <c r="E124" s="18"/>
      <c r="F124" s="18"/>
      <c r="G124" s="18"/>
      <c r="H124" s="18"/>
      <c r="I124" s="18"/>
    </row>
    <row r="125" spans="1:9" x14ac:dyDescent="0.25">
      <c r="A125" s="18"/>
      <c r="B125" s="18" t="s">
        <v>51</v>
      </c>
      <c r="C125" s="18"/>
      <c r="D125" s="18"/>
      <c r="E125" s="18"/>
      <c r="F125" s="18"/>
      <c r="G125" s="18"/>
      <c r="H125" s="18"/>
      <c r="I125" s="18"/>
    </row>
    <row r="126" spans="1:9" x14ac:dyDescent="0.25">
      <c r="A126" s="18"/>
      <c r="B126" s="18" t="s">
        <v>58</v>
      </c>
      <c r="C126" s="18"/>
      <c r="D126" s="18"/>
      <c r="E126" s="18"/>
      <c r="F126" s="18"/>
      <c r="G126" s="18"/>
      <c r="H126" s="18"/>
      <c r="I126" s="18"/>
    </row>
    <row r="129" spans="1:4" x14ac:dyDescent="0.25">
      <c r="A129" t="s">
        <v>25</v>
      </c>
      <c r="B129" t="s">
        <v>27</v>
      </c>
      <c r="C129" t="s">
        <v>28</v>
      </c>
      <c r="D129" t="s">
        <v>30</v>
      </c>
    </row>
    <row r="130" spans="1:4" x14ac:dyDescent="0.25">
      <c r="A130" t="s">
        <v>39</v>
      </c>
      <c r="B130">
        <f>50*30*B28*B29*B31*B30</f>
        <v>162000</v>
      </c>
      <c r="C130" s="2">
        <f>B130/3600</f>
        <v>45</v>
      </c>
      <c r="D130">
        <f>ROUNDUP(2*C130/24,0)/2</f>
        <v>2</v>
      </c>
    </row>
    <row r="131" spans="1:4" x14ac:dyDescent="0.25">
      <c r="A131" t="s">
        <v>40</v>
      </c>
      <c r="B131">
        <f>50*B31*B29*B28*B27*B30*20</f>
        <v>864000</v>
      </c>
      <c r="C131" s="2">
        <f>B131/3600</f>
        <v>240</v>
      </c>
      <c r="D131">
        <f t="shared" ref="D131:D137" si="1">ROUNDUP(2*C131/24,0)/2</f>
        <v>10</v>
      </c>
    </row>
    <row r="132" spans="1:4" x14ac:dyDescent="0.25">
      <c r="A132" t="s">
        <v>17</v>
      </c>
      <c r="B132">
        <f>50*B35*0.2</f>
        <v>92160</v>
      </c>
      <c r="C132" s="2">
        <f t="shared" ref="C132:C137" si="2">B132/3600</f>
        <v>25.6</v>
      </c>
      <c r="D132">
        <f t="shared" si="1"/>
        <v>1.5</v>
      </c>
    </row>
    <row r="133" spans="1:4" x14ac:dyDescent="0.25">
      <c r="A133" t="s">
        <v>31</v>
      </c>
      <c r="B133">
        <f>50*B37*0.2</f>
        <v>1658880</v>
      </c>
      <c r="C133" s="2">
        <f t="shared" si="2"/>
        <v>460.8</v>
      </c>
      <c r="D133">
        <f t="shared" si="1"/>
        <v>19.5</v>
      </c>
    </row>
    <row r="134" spans="1:4" x14ac:dyDescent="0.25">
      <c r="C134" s="2"/>
    </row>
    <row r="135" spans="1:4" x14ac:dyDescent="0.25">
      <c r="A135" s="18" t="s">
        <v>41</v>
      </c>
      <c r="B135" s="18">
        <f>(2*10+50)*B79*B80*30</f>
        <v>56700</v>
      </c>
      <c r="C135" s="22">
        <f t="shared" si="2"/>
        <v>15.75</v>
      </c>
      <c r="D135" s="18">
        <f t="shared" si="1"/>
        <v>1</v>
      </c>
    </row>
    <row r="136" spans="1:4" x14ac:dyDescent="0.25">
      <c r="A136" s="18" t="s">
        <v>42</v>
      </c>
      <c r="B136" s="18">
        <f>(2*10+50)*B79*B80*B82*20</f>
        <v>302400</v>
      </c>
      <c r="C136" s="22">
        <f t="shared" si="2"/>
        <v>84</v>
      </c>
      <c r="D136" s="18">
        <f t="shared" si="1"/>
        <v>3.5</v>
      </c>
    </row>
    <row r="137" spans="1:4" x14ac:dyDescent="0.25">
      <c r="A137" s="18" t="s">
        <v>43</v>
      </c>
      <c r="B137" s="18">
        <f>(2*10+50)*B88*0.2</f>
        <v>870912</v>
      </c>
      <c r="C137" s="22">
        <f t="shared" si="2"/>
        <v>241.92</v>
      </c>
      <c r="D137" s="18">
        <f t="shared" si="1"/>
        <v>10.5</v>
      </c>
    </row>
    <row r="138" spans="1:4" x14ac:dyDescent="0.25">
      <c r="C138" t="s">
        <v>62</v>
      </c>
      <c r="D138" s="3">
        <f>SUM(D130:D133)</f>
        <v>33</v>
      </c>
    </row>
    <row r="139" spans="1:4" x14ac:dyDescent="0.25">
      <c r="A139" t="s">
        <v>63</v>
      </c>
      <c r="D139">
        <v>0.5</v>
      </c>
    </row>
    <row r="140" spans="1:4" x14ac:dyDescent="0.25">
      <c r="A140" t="s">
        <v>64</v>
      </c>
      <c r="B140">
        <f>MIN(D138/D139,B28*B29*B30*B31)</f>
        <v>66</v>
      </c>
    </row>
    <row r="141" spans="1:4" x14ac:dyDescent="0.25">
      <c r="A141" t="s">
        <v>121</v>
      </c>
      <c r="B141">
        <v>72</v>
      </c>
    </row>
    <row r="142" spans="1:4" x14ac:dyDescent="0.25">
      <c r="A142" t="s">
        <v>122</v>
      </c>
      <c r="D142">
        <f>ROUNDUP(2*D138/B141,0)/2</f>
        <v>0.5</v>
      </c>
    </row>
    <row r="143" spans="1:4" x14ac:dyDescent="0.25">
      <c r="A143" s="9" t="s">
        <v>136</v>
      </c>
      <c r="B143" s="9">
        <f>ROUNDUP((8+B141*(100*1280*720/(10^9)+0.5+0.1+0.5))/10,0)*10</f>
        <v>100</v>
      </c>
    </row>
    <row r="145" spans="1:2" x14ac:dyDescent="0.25">
      <c r="A145" t="s">
        <v>324</v>
      </c>
    </row>
    <row r="146" spans="1:2" ht="30" x14ac:dyDescent="0.25">
      <c r="A146" s="1" t="s">
        <v>252</v>
      </c>
      <c r="B146">
        <f>(((2*10+50)*$B$79*$B$80)*(3380+130*0.5*500+22*0.5*500))/(10^9)+((2*10+50)*$B$79*$B$80)*5/(10^6)</f>
        <v>8.7658200000000006E-2</v>
      </c>
    </row>
    <row r="147" spans="1:2" ht="30" x14ac:dyDescent="0.25">
      <c r="A147" s="1" t="s">
        <v>257</v>
      </c>
      <c r="B147">
        <f>(((2*10+50)*$B$79*$B$80)*(120+45*0.5*500))/(10^9)</f>
        <v>2.1489299999999999E-2</v>
      </c>
    </row>
    <row r="148" spans="1:2" ht="45" x14ac:dyDescent="0.25">
      <c r="A148" s="1" t="s">
        <v>258</v>
      </c>
      <c r="B148">
        <v>0</v>
      </c>
    </row>
    <row r="149" spans="1:2" ht="30" x14ac:dyDescent="0.25">
      <c r="A149" s="1" t="s">
        <v>253</v>
      </c>
      <c r="B149">
        <f>((2*10+50)*$B$79*$B$80*$B$82)*(1180+554*500)/(10^9)+((2*10+50)*$B$79*$B$80*$B$82)*5/(10^6)</f>
        <v>4.2816815999999998</v>
      </c>
    </row>
    <row r="150" spans="1:2" x14ac:dyDescent="0.25">
      <c r="A150" t="s">
        <v>259</v>
      </c>
      <c r="B150">
        <f>((2*10+50)*$B$79*$B$80*$B$82)*(115+500*(6+(2*5+10)+2*(2*8+12+8+5+3+4)))/(10^9)</f>
        <v>0.92405879999999996</v>
      </c>
    </row>
    <row r="151" spans="1:2" x14ac:dyDescent="0.25">
      <c r="A151" t="s">
        <v>254</v>
      </c>
      <c r="B151">
        <f>((2*10+50)*$B$88)*(5*8*20+3*20+2*20+2*20+200)/(10^9)</f>
        <v>4.9641983999999999</v>
      </c>
    </row>
    <row r="152" spans="1:2" x14ac:dyDescent="0.25">
      <c r="A152" s="1" t="s">
        <v>260</v>
      </c>
      <c r="B152">
        <f>(20*$B$88)*(5*8*20+10*20+200)/(10^9)</f>
        <v>1.4929920000000001</v>
      </c>
    </row>
    <row r="153" spans="1:2" x14ac:dyDescent="0.25">
      <c r="A153" t="s">
        <v>255</v>
      </c>
      <c r="B153">
        <f>($D$122)*250/(10^6)</f>
        <v>4.6360000000000001</v>
      </c>
    </row>
    <row r="154" spans="1:2" x14ac:dyDescent="0.25">
      <c r="A154" t="s">
        <v>256</v>
      </c>
      <c r="B154">
        <f>($E$122)/1000</f>
        <v>0.28799999999999998</v>
      </c>
    </row>
    <row r="155" spans="1:2" x14ac:dyDescent="0.25">
      <c r="A155" t="s">
        <v>62</v>
      </c>
      <c r="B155">
        <f>SUM(B146:B154)</f>
        <v>16.6960783</v>
      </c>
    </row>
    <row r="157" spans="1:2" x14ac:dyDescent="0.25">
      <c r="A157" s="4" t="s">
        <v>325</v>
      </c>
    </row>
    <row r="158" spans="1:2" x14ac:dyDescent="0.25">
      <c r="A158" t="s">
        <v>250</v>
      </c>
      <c r="B158">
        <v>30</v>
      </c>
    </row>
    <row r="159" spans="1:2" ht="45" x14ac:dyDescent="0.25">
      <c r="A159" s="1" t="s">
        <v>251</v>
      </c>
      <c r="B159">
        <f>1000*(1280*720+200)/(10^9)</f>
        <v>0.92179999999999995</v>
      </c>
    </row>
    <row r="160" spans="1:2" ht="30" x14ac:dyDescent="0.25">
      <c r="A160" s="1" t="s">
        <v>252</v>
      </c>
      <c r="B160">
        <f>((50*$B$28*$B$29*$B$31*$B$30)*(3380+130*0.5*500+22*0.5*500))/(10^9)+(50*$B$28*$B$29*$B$31*$B$30)*5/(10^6)</f>
        <v>0.25045200000000001</v>
      </c>
    </row>
    <row r="161" spans="1:4" ht="30" x14ac:dyDescent="0.25">
      <c r="A161" s="1" t="s">
        <v>257</v>
      </c>
      <c r="B161">
        <f>((50*$B$28*$B$29*$B$31*$B$30)*(120+45*0.5*500))/(10^9)</f>
        <v>6.1398000000000001E-2</v>
      </c>
    </row>
    <row r="162" spans="1:4" ht="45" x14ac:dyDescent="0.25">
      <c r="A162" s="1" t="s">
        <v>258</v>
      </c>
      <c r="B162">
        <v>0</v>
      </c>
    </row>
    <row r="163" spans="1:4" ht="30" x14ac:dyDescent="0.25">
      <c r="A163" s="1" t="s">
        <v>253</v>
      </c>
      <c r="B163">
        <f>(50*$B$31*$B$29*$B$28*$B$27*$B$30)*(1180+554*500)/(10^9)+(50*$B$31*$B$29*$B$28*$B$27*$B$30)*5/(10^6)</f>
        <v>12.233376</v>
      </c>
    </row>
    <row r="164" spans="1:4" x14ac:dyDescent="0.25">
      <c r="A164" t="s">
        <v>259</v>
      </c>
      <c r="B164">
        <f>(50*$B$31*$B$29*$B$28*$B$27*$B$30)*(115+500*(6+(2*5+10)+2*(2*8+12+8+5+3+4)))/(10^9)</f>
        <v>2.6401680000000001</v>
      </c>
    </row>
    <row r="165" spans="1:4" x14ac:dyDescent="0.25">
      <c r="A165" t="s">
        <v>254</v>
      </c>
      <c r="B165">
        <f>(50*$B$35+50*$B$37)*(5*8*20+3*20+2*20+2*20+200)/(10^9)</f>
        <v>9.9809280000000005</v>
      </c>
    </row>
    <row r="166" spans="1:4" x14ac:dyDescent="0.25">
      <c r="A166" s="1" t="s">
        <v>260</v>
      </c>
      <c r="B166">
        <f>(8*$B$37+6*$B$35)*(5*8*20+10*20+200)/(10^9)</f>
        <v>1.6588799999999999</v>
      </c>
    </row>
    <row r="167" spans="1:4" x14ac:dyDescent="0.25">
      <c r="A167" t="s">
        <v>255</v>
      </c>
      <c r="B167">
        <f>($D$71+$D$54)*250/(10^6)</f>
        <v>3.3820000000000001</v>
      </c>
    </row>
    <row r="168" spans="1:4" x14ac:dyDescent="0.25">
      <c r="A168" t="s">
        <v>256</v>
      </c>
      <c r="B168">
        <f>($E$54+$E$71)/1000</f>
        <v>0.44800000000000001</v>
      </c>
    </row>
    <row r="170" spans="1:4" x14ac:dyDescent="0.25">
      <c r="A170" s="8" t="s">
        <v>137</v>
      </c>
      <c r="B170" s="8">
        <f>ROUNDUP(SUM(B158:B168)/10,0)*10</f>
        <v>70</v>
      </c>
    </row>
    <row r="173" spans="1:4" ht="30" x14ac:dyDescent="0.25">
      <c r="A173" s="1" t="s">
        <v>59</v>
      </c>
      <c r="B173">
        <f>6*B35*0.1</f>
        <v>5529.6</v>
      </c>
      <c r="C173" s="2">
        <f>B173/3600</f>
        <v>1.536</v>
      </c>
      <c r="D173">
        <f>ROUNDUP(2*C173/24,0)/2</f>
        <v>0.5</v>
      </c>
    </row>
    <row r="174" spans="1:4" ht="30" x14ac:dyDescent="0.25">
      <c r="A174" s="1" t="s">
        <v>60</v>
      </c>
      <c r="B174">
        <f>9*B37*0.1</f>
        <v>149299.20000000001</v>
      </c>
      <c r="C174" s="2">
        <f t="shared" ref="C174:C175" si="3">B174/3600</f>
        <v>41.472000000000001</v>
      </c>
      <c r="D174">
        <f t="shared" ref="D174:D175" si="4">ROUNDUP(2*C174/24,0)/2</f>
        <v>2</v>
      </c>
    </row>
    <row r="175" spans="1:4" ht="30" x14ac:dyDescent="0.25">
      <c r="A175" s="19" t="s">
        <v>61</v>
      </c>
      <c r="B175" s="18">
        <f>20*B88*0.1</f>
        <v>124416</v>
      </c>
      <c r="C175" s="22">
        <f t="shared" si="3"/>
        <v>34.56</v>
      </c>
      <c r="D175" s="18">
        <f t="shared" si="4"/>
        <v>1.5</v>
      </c>
    </row>
    <row r="176" spans="1:4" x14ac:dyDescent="0.25">
      <c r="C176" t="s">
        <v>62</v>
      </c>
      <c r="D176" s="3">
        <f>SUM(D173:D174)</f>
        <v>2.5</v>
      </c>
    </row>
    <row r="177" spans="1:4" x14ac:dyDescent="0.25">
      <c r="D177" s="3"/>
    </row>
    <row r="178" spans="1:4" ht="30" x14ac:dyDescent="0.25">
      <c r="A178" s="1" t="s">
        <v>113</v>
      </c>
      <c r="B178">
        <f>$D$54*0.2</f>
        <v>1808</v>
      </c>
      <c r="C178" s="2">
        <f>B178/3600</f>
        <v>0.50222222222222224</v>
      </c>
      <c r="D178">
        <f>ROUNDUP(4*C178/24,0)/4</f>
        <v>0.25</v>
      </c>
    </row>
    <row r="179" spans="1:4" ht="30" x14ac:dyDescent="0.25">
      <c r="A179" s="1" t="s">
        <v>114</v>
      </c>
      <c r="B179">
        <f>$D$71*0.2</f>
        <v>897.6</v>
      </c>
      <c r="C179" s="2">
        <f t="shared" ref="C179:C180" si="5">B179/3600</f>
        <v>0.24933333333333335</v>
      </c>
      <c r="D179">
        <f>ROUNDUP(4*C179/24,0)/4</f>
        <v>0.25</v>
      </c>
    </row>
    <row r="180" spans="1:4" ht="30" x14ac:dyDescent="0.25">
      <c r="A180" s="19" t="s">
        <v>115</v>
      </c>
      <c r="B180" s="18">
        <f>$D$122*0.2</f>
        <v>3708.8</v>
      </c>
      <c r="C180" s="22">
        <f t="shared" si="5"/>
        <v>1.0302222222222224</v>
      </c>
      <c r="D180" s="18">
        <f>ROUNDUP(4*C180/24,0)/4</f>
        <v>0.25</v>
      </c>
    </row>
    <row r="181" spans="1:4" x14ac:dyDescent="0.25">
      <c r="C181" t="s">
        <v>62</v>
      </c>
      <c r="D181" s="3">
        <f>SUM(D178:D179)</f>
        <v>0.5</v>
      </c>
    </row>
    <row r="182" spans="1:4" x14ac:dyDescent="0.25">
      <c r="D182" s="3"/>
    </row>
    <row r="183" spans="1:4" ht="30" x14ac:dyDescent="0.25">
      <c r="A183" s="1" t="s">
        <v>116</v>
      </c>
      <c r="B183">
        <f>$E$54*12</f>
        <v>2112</v>
      </c>
      <c r="C183" s="2">
        <f>B183/3600</f>
        <v>0.58666666666666667</v>
      </c>
      <c r="D183">
        <f>ROUNDUP(4*C183/24,0)/4</f>
        <v>0.25</v>
      </c>
    </row>
    <row r="184" spans="1:4" ht="30" x14ac:dyDescent="0.25">
      <c r="A184" s="1" t="s">
        <v>117</v>
      </c>
      <c r="B184">
        <f>$E$71*12</f>
        <v>3264</v>
      </c>
      <c r="C184" s="2">
        <f>B184/3600</f>
        <v>0.90666666666666662</v>
      </c>
      <c r="D184">
        <f>ROUNDUP(4*C184/24,0)/4</f>
        <v>0.25</v>
      </c>
    </row>
    <row r="185" spans="1:4" ht="30" x14ac:dyDescent="0.25">
      <c r="A185" s="19" t="s">
        <v>118</v>
      </c>
      <c r="B185" s="18">
        <f>$E$122*12</f>
        <v>3456</v>
      </c>
      <c r="C185" s="22">
        <f>B185/3600</f>
        <v>0.96</v>
      </c>
      <c r="D185" s="18">
        <f>ROUNDUP(4*C185/24,0)/4</f>
        <v>0.25</v>
      </c>
    </row>
    <row r="186" spans="1:4" x14ac:dyDescent="0.25">
      <c r="C186" t="s">
        <v>62</v>
      </c>
      <c r="D186" s="3">
        <f>SUM(D183:D184)</f>
        <v>0.5</v>
      </c>
    </row>
    <row r="187" spans="1:4" ht="30" x14ac:dyDescent="0.25">
      <c r="A187" s="1" t="s">
        <v>120</v>
      </c>
      <c r="D187" s="3">
        <f>D176+D181+D186</f>
        <v>3.5</v>
      </c>
    </row>
    <row r="188" spans="1:4" x14ac:dyDescent="0.25">
      <c r="A188" s="1" t="s">
        <v>123</v>
      </c>
      <c r="D188" s="3">
        <f>ROUNDUP(4*D187/$B$141,0)/4</f>
        <v>0.25</v>
      </c>
    </row>
    <row r="189" spans="1:4" x14ac:dyDescent="0.25">
      <c r="D189" s="3"/>
    </row>
    <row r="190" spans="1:4" x14ac:dyDescent="0.25">
      <c r="A190" s="1" t="s">
        <v>119</v>
      </c>
      <c r="B190">
        <v>3</v>
      </c>
      <c r="D190" s="3"/>
    </row>
    <row r="191" spans="1:4" x14ac:dyDescent="0.25">
      <c r="A191" s="1"/>
      <c r="D191" s="3"/>
    </row>
    <row r="192" spans="1:4" ht="30" x14ac:dyDescent="0.25">
      <c r="A192" s="1" t="s">
        <v>125</v>
      </c>
      <c r="D192" s="6">
        <v>0.5</v>
      </c>
    </row>
    <row r="193" spans="1:4" x14ac:dyDescent="0.25">
      <c r="A193" s="1"/>
      <c r="D193" s="3"/>
    </row>
    <row r="194" spans="1:4" x14ac:dyDescent="0.25">
      <c r="A194" s="1" t="s">
        <v>124</v>
      </c>
      <c r="D194" s="3">
        <f>(D142+D188+D192)*B190</f>
        <v>3.75</v>
      </c>
    </row>
    <row r="195" spans="1:4" x14ac:dyDescent="0.25">
      <c r="A195" s="1"/>
      <c r="D195" s="3"/>
    </row>
    <row r="197" spans="1:4" x14ac:dyDescent="0.25">
      <c r="A197" s="1" t="s">
        <v>65</v>
      </c>
      <c r="D197">
        <v>1</v>
      </c>
    </row>
    <row r="198" spans="1:4" x14ac:dyDescent="0.25">
      <c r="A198" s="1" t="s">
        <v>66</v>
      </c>
      <c r="B198">
        <f>$I$54*60*2</f>
        <v>6360</v>
      </c>
      <c r="C198" s="2">
        <f>B198/3600</f>
        <v>1.7666666666666666</v>
      </c>
      <c r="D198">
        <f>ROUNDUP(4*C198/8,0)/4</f>
        <v>0.25</v>
      </c>
    </row>
    <row r="199" spans="1:4" x14ac:dyDescent="0.25">
      <c r="A199" s="1" t="s">
        <v>109</v>
      </c>
      <c r="C199">
        <v>2</v>
      </c>
      <c r="D199">
        <f>ROUNDUP(4*C199/8,0)/4</f>
        <v>0.25</v>
      </c>
    </row>
    <row r="200" spans="1:4" x14ac:dyDescent="0.25">
      <c r="A200" s="1" t="s">
        <v>110</v>
      </c>
      <c r="B200">
        <f>$I$71*60*2</f>
        <v>9840</v>
      </c>
      <c r="C200" s="2">
        <f>B200/3600</f>
        <v>2.7333333333333334</v>
      </c>
      <c r="D200">
        <f>ROUNDUP(4*C200/8,0)/4</f>
        <v>0.5</v>
      </c>
    </row>
    <row r="201" spans="1:4" x14ac:dyDescent="0.25">
      <c r="A201" s="19" t="s">
        <v>111</v>
      </c>
      <c r="B201" s="18"/>
      <c r="C201" s="18">
        <v>2</v>
      </c>
      <c r="D201" s="18">
        <f>ROUNDUP(4*C201/8,0)/4</f>
        <v>0.25</v>
      </c>
    </row>
    <row r="202" spans="1:4" x14ac:dyDescent="0.25">
      <c r="A202" s="19" t="s">
        <v>112</v>
      </c>
      <c r="B202" s="18">
        <f>$I$122*60*2</f>
        <v>1560</v>
      </c>
      <c r="C202" s="22">
        <f>B202/3600</f>
        <v>0.43333333333333335</v>
      </c>
      <c r="D202" s="18">
        <f>ROUNDUP(4*C202/8,0)/4</f>
        <v>0.25</v>
      </c>
    </row>
    <row r="203" spans="1:4" x14ac:dyDescent="0.25">
      <c r="C203" t="s">
        <v>62</v>
      </c>
      <c r="D203" s="3">
        <f>SUM(D197:D200)</f>
        <v>2</v>
      </c>
    </row>
    <row r="204" spans="1:4" x14ac:dyDescent="0.25">
      <c r="D204" s="3"/>
    </row>
    <row r="205" spans="1:4" x14ac:dyDescent="0.25">
      <c r="A205" s="1" t="s">
        <v>143</v>
      </c>
      <c r="C205">
        <f>MIN((B190+1),ROUNDDOWN($D$194,0))*15</f>
        <v>45</v>
      </c>
      <c r="D205">
        <f>ROUNDUP(4*C205/24,0)/4</f>
        <v>2</v>
      </c>
    </row>
    <row r="207" spans="1:4" x14ac:dyDescent="0.25">
      <c r="A207" t="s">
        <v>126</v>
      </c>
      <c r="D207">
        <f>D203+D194+D205</f>
        <v>7.75</v>
      </c>
    </row>
    <row r="208" spans="1:4" ht="30" x14ac:dyDescent="0.25">
      <c r="A208" s="10" t="s">
        <v>127</v>
      </c>
      <c r="D208" s="9">
        <f>ROUNDDOWN(D207/5,0)*7+(D207-ROUNDDOWN(D207/5,0)*5)</f>
        <v>9.75</v>
      </c>
    </row>
    <row r="210" spans="1:2" x14ac:dyDescent="0.25">
      <c r="A210" t="s">
        <v>128</v>
      </c>
      <c r="B210">
        <f>D208*24</f>
        <v>234</v>
      </c>
    </row>
    <row r="211" spans="1:2" x14ac:dyDescent="0.25">
      <c r="A211" t="s">
        <v>129</v>
      </c>
      <c r="B211">
        <f>B210*3.996/1.18</f>
        <v>792.42711864406783</v>
      </c>
    </row>
  </sheetData>
  <mergeCells count="14">
    <mergeCell ref="B117:C117"/>
    <mergeCell ref="B60:C60"/>
    <mergeCell ref="B61:C61"/>
    <mergeCell ref="B62:C62"/>
    <mergeCell ref="B63:C63"/>
    <mergeCell ref="B67:C67"/>
    <mergeCell ref="B65:C65"/>
    <mergeCell ref="B51:C51"/>
    <mergeCell ref="B64:C64"/>
    <mergeCell ref="C24:C25"/>
    <mergeCell ref="B46:C46"/>
    <mergeCell ref="B47:C47"/>
    <mergeCell ref="B48:C48"/>
    <mergeCell ref="B49:C49"/>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opLeftCell="A34" workbookViewId="0">
      <selection activeCell="B20" sqref="B20"/>
    </sheetView>
  </sheetViews>
  <sheetFormatPr baseColWidth="10" defaultRowHeight="15" x14ac:dyDescent="0.25"/>
  <cols>
    <col min="1" max="1" width="78.140625" bestFit="1" customWidth="1"/>
  </cols>
  <sheetData>
    <row r="1" spans="1:5" x14ac:dyDescent="0.25">
      <c r="A1" s="3" t="s">
        <v>397</v>
      </c>
    </row>
    <row r="3" spans="1:5" x14ac:dyDescent="0.25">
      <c r="B3" t="s">
        <v>28</v>
      </c>
      <c r="C3" t="s">
        <v>30</v>
      </c>
      <c r="D3" t="s">
        <v>442</v>
      </c>
      <c r="E3" t="s">
        <v>443</v>
      </c>
    </row>
    <row r="4" spans="1:5" x14ac:dyDescent="0.25">
      <c r="A4" t="s">
        <v>399</v>
      </c>
      <c r="B4">
        <f>5*9</f>
        <v>45</v>
      </c>
      <c r="C4">
        <f>B4/8</f>
        <v>5.625</v>
      </c>
      <c r="D4">
        <f>C4/5</f>
        <v>1.125</v>
      </c>
      <c r="E4">
        <f>D4/4.33</f>
        <v>0.25981524249422633</v>
      </c>
    </row>
    <row r="5" spans="1:5" x14ac:dyDescent="0.25">
      <c r="A5" t="s">
        <v>400</v>
      </c>
      <c r="B5">
        <f>5*8</f>
        <v>40</v>
      </c>
      <c r="C5">
        <f t="shared" ref="C5:C47" si="0">B5/8</f>
        <v>5</v>
      </c>
      <c r="D5">
        <f t="shared" ref="D5:D47" si="1">C5/5</f>
        <v>1</v>
      </c>
      <c r="E5">
        <f t="shared" ref="E5:E47" si="2">D5/4.33</f>
        <v>0.23094688221709006</v>
      </c>
    </row>
    <row r="6" spans="1:5" x14ac:dyDescent="0.25">
      <c r="A6" t="s">
        <v>401</v>
      </c>
      <c r="B6">
        <f>2*8</f>
        <v>16</v>
      </c>
      <c r="C6">
        <f t="shared" si="0"/>
        <v>2</v>
      </c>
      <c r="D6">
        <f t="shared" si="1"/>
        <v>0.4</v>
      </c>
      <c r="E6">
        <f t="shared" si="2"/>
        <v>9.237875288683603E-2</v>
      </c>
    </row>
    <row r="7" spans="1:5" x14ac:dyDescent="0.25">
      <c r="A7" t="s">
        <v>398</v>
      </c>
      <c r="B7">
        <f>2*9</f>
        <v>18</v>
      </c>
      <c r="C7">
        <f t="shared" si="0"/>
        <v>2.25</v>
      </c>
      <c r="D7">
        <f t="shared" si="1"/>
        <v>0.45</v>
      </c>
      <c r="E7">
        <f t="shared" si="2"/>
        <v>0.10392609699769054</v>
      </c>
    </row>
    <row r="8" spans="1:5" ht="30" x14ac:dyDescent="0.25">
      <c r="A8" s="1" t="s">
        <v>402</v>
      </c>
      <c r="B8">
        <v>16</v>
      </c>
      <c r="C8">
        <f t="shared" si="0"/>
        <v>2</v>
      </c>
      <c r="D8">
        <f t="shared" si="1"/>
        <v>0.4</v>
      </c>
      <c r="E8">
        <f t="shared" si="2"/>
        <v>9.237875288683603E-2</v>
      </c>
    </row>
    <row r="9" spans="1:5" ht="30" x14ac:dyDescent="0.25">
      <c r="A9" s="1" t="s">
        <v>403</v>
      </c>
      <c r="B9">
        <v>9</v>
      </c>
      <c r="C9">
        <f t="shared" si="0"/>
        <v>1.125</v>
      </c>
      <c r="D9">
        <f t="shared" si="1"/>
        <v>0.22500000000000001</v>
      </c>
      <c r="E9">
        <f t="shared" si="2"/>
        <v>5.1963048498845268E-2</v>
      </c>
    </row>
    <row r="10" spans="1:5" x14ac:dyDescent="0.25">
      <c r="A10" t="s">
        <v>404</v>
      </c>
      <c r="B10">
        <v>8</v>
      </c>
      <c r="C10">
        <f t="shared" si="0"/>
        <v>1</v>
      </c>
      <c r="D10">
        <f t="shared" si="1"/>
        <v>0.2</v>
      </c>
      <c r="E10">
        <f t="shared" si="2"/>
        <v>4.6189376443418015E-2</v>
      </c>
    </row>
    <row r="11" spans="1:5" ht="30" x14ac:dyDescent="0.25">
      <c r="A11" s="1" t="s">
        <v>405</v>
      </c>
      <c r="B11">
        <v>16</v>
      </c>
      <c r="C11">
        <f t="shared" si="0"/>
        <v>2</v>
      </c>
      <c r="D11">
        <f t="shared" si="1"/>
        <v>0.4</v>
      </c>
      <c r="E11">
        <f t="shared" si="2"/>
        <v>9.237875288683603E-2</v>
      </c>
    </row>
    <row r="12" spans="1:5" ht="30" x14ac:dyDescent="0.25">
      <c r="A12" s="1" t="s">
        <v>406</v>
      </c>
      <c r="B12">
        <v>7</v>
      </c>
      <c r="C12">
        <f t="shared" si="0"/>
        <v>0.875</v>
      </c>
      <c r="D12">
        <f t="shared" si="1"/>
        <v>0.17499999999999999</v>
      </c>
      <c r="E12">
        <f t="shared" si="2"/>
        <v>4.0415704387990761E-2</v>
      </c>
    </row>
    <row r="13" spans="1:5" x14ac:dyDescent="0.25">
      <c r="A13" t="s">
        <v>407</v>
      </c>
      <c r="B13">
        <v>8</v>
      </c>
      <c r="C13">
        <f t="shared" si="0"/>
        <v>1</v>
      </c>
      <c r="D13">
        <f t="shared" si="1"/>
        <v>0.2</v>
      </c>
      <c r="E13">
        <f t="shared" si="2"/>
        <v>4.6189376443418015E-2</v>
      </c>
    </row>
    <row r="14" spans="1:5" ht="30" x14ac:dyDescent="0.25">
      <c r="A14" s="1" t="s">
        <v>409</v>
      </c>
      <c r="B14">
        <f>2.5*8</f>
        <v>20</v>
      </c>
      <c r="C14">
        <f t="shared" si="0"/>
        <v>2.5</v>
      </c>
      <c r="D14">
        <f t="shared" si="1"/>
        <v>0.5</v>
      </c>
      <c r="E14">
        <f t="shared" si="2"/>
        <v>0.11547344110854503</v>
      </c>
    </row>
    <row r="15" spans="1:5" ht="30" x14ac:dyDescent="0.25">
      <c r="A15" s="1" t="s">
        <v>408</v>
      </c>
      <c r="B15">
        <f>4*8</f>
        <v>32</v>
      </c>
      <c r="C15">
        <f t="shared" si="0"/>
        <v>4</v>
      </c>
      <c r="D15">
        <f t="shared" si="1"/>
        <v>0.8</v>
      </c>
      <c r="E15">
        <f t="shared" si="2"/>
        <v>0.18475750577367206</v>
      </c>
    </row>
    <row r="16" spans="1:5" ht="30" x14ac:dyDescent="0.25">
      <c r="A16" s="1" t="s">
        <v>411</v>
      </c>
      <c r="B16">
        <f>2.5*8</f>
        <v>20</v>
      </c>
      <c r="C16">
        <f t="shared" si="0"/>
        <v>2.5</v>
      </c>
      <c r="D16">
        <f t="shared" si="1"/>
        <v>0.5</v>
      </c>
      <c r="E16">
        <f t="shared" si="2"/>
        <v>0.11547344110854503</v>
      </c>
    </row>
    <row r="17" spans="1:5" x14ac:dyDescent="0.25">
      <c r="A17" s="1" t="s">
        <v>410</v>
      </c>
      <c r="B17">
        <v>5</v>
      </c>
      <c r="C17">
        <f t="shared" si="0"/>
        <v>0.625</v>
      </c>
      <c r="D17">
        <f t="shared" si="1"/>
        <v>0.125</v>
      </c>
      <c r="E17">
        <f t="shared" si="2"/>
        <v>2.8868360277136258E-2</v>
      </c>
    </row>
    <row r="18" spans="1:5" ht="45" x14ac:dyDescent="0.25">
      <c r="A18" s="1" t="s">
        <v>416</v>
      </c>
      <c r="B18">
        <v>24</v>
      </c>
      <c r="C18">
        <f t="shared" si="0"/>
        <v>3</v>
      </c>
      <c r="D18">
        <f t="shared" si="1"/>
        <v>0.6</v>
      </c>
      <c r="E18">
        <f t="shared" si="2"/>
        <v>0.13856812933025403</v>
      </c>
    </row>
    <row r="19" spans="1:5" x14ac:dyDescent="0.25">
      <c r="A19" s="1" t="s">
        <v>412</v>
      </c>
      <c r="B19">
        <v>8</v>
      </c>
      <c r="C19">
        <f t="shared" si="0"/>
        <v>1</v>
      </c>
      <c r="D19">
        <f t="shared" si="1"/>
        <v>0.2</v>
      </c>
      <c r="E19">
        <f t="shared" si="2"/>
        <v>4.6189376443418015E-2</v>
      </c>
    </row>
    <row r="20" spans="1:5" x14ac:dyDescent="0.25">
      <c r="A20" t="s">
        <v>413</v>
      </c>
      <c r="B20">
        <f>5*0.5</f>
        <v>2.5</v>
      </c>
      <c r="C20">
        <f t="shared" si="0"/>
        <v>0.3125</v>
      </c>
      <c r="D20">
        <f t="shared" si="1"/>
        <v>6.25E-2</v>
      </c>
      <c r="E20">
        <f t="shared" si="2"/>
        <v>1.4434180138568129E-2</v>
      </c>
    </row>
    <row r="21" spans="1:5" x14ac:dyDescent="0.25">
      <c r="A21" t="s">
        <v>414</v>
      </c>
      <c r="B21">
        <f>5*0.5</f>
        <v>2.5</v>
      </c>
      <c r="C21">
        <f t="shared" si="0"/>
        <v>0.3125</v>
      </c>
      <c r="D21">
        <f t="shared" si="1"/>
        <v>6.25E-2</v>
      </c>
      <c r="E21">
        <f t="shared" si="2"/>
        <v>1.4434180138568129E-2</v>
      </c>
    </row>
    <row r="22" spans="1:5" x14ac:dyDescent="0.25">
      <c r="A22" t="s">
        <v>415</v>
      </c>
      <c r="B22">
        <f>15*0.5</f>
        <v>7.5</v>
      </c>
      <c r="C22">
        <f t="shared" si="0"/>
        <v>0.9375</v>
      </c>
      <c r="D22">
        <f t="shared" si="1"/>
        <v>0.1875</v>
      </c>
      <c r="E22">
        <f t="shared" si="2"/>
        <v>4.3302540415704388E-2</v>
      </c>
    </row>
    <row r="23" spans="1:5" ht="30" x14ac:dyDescent="0.25">
      <c r="A23" s="1" t="s">
        <v>433</v>
      </c>
      <c r="B23">
        <v>4</v>
      </c>
      <c r="C23">
        <f t="shared" si="0"/>
        <v>0.5</v>
      </c>
      <c r="D23">
        <f t="shared" si="1"/>
        <v>0.1</v>
      </c>
      <c r="E23">
        <f t="shared" si="2"/>
        <v>2.3094688221709007E-2</v>
      </c>
    </row>
    <row r="24" spans="1:5" x14ac:dyDescent="0.25">
      <c r="A24" t="s">
        <v>417</v>
      </c>
      <c r="B24">
        <f>14</f>
        <v>14</v>
      </c>
      <c r="C24">
        <f t="shared" si="0"/>
        <v>1.75</v>
      </c>
      <c r="D24">
        <f t="shared" si="1"/>
        <v>0.35</v>
      </c>
      <c r="E24">
        <f t="shared" si="2"/>
        <v>8.0831408775981523E-2</v>
      </c>
    </row>
    <row r="25" spans="1:5" x14ac:dyDescent="0.25">
      <c r="A25" t="s">
        <v>418</v>
      </c>
      <c r="B25">
        <f>6</f>
        <v>6</v>
      </c>
      <c r="C25">
        <f t="shared" si="0"/>
        <v>0.75</v>
      </c>
      <c r="D25">
        <f t="shared" si="1"/>
        <v>0.15</v>
      </c>
      <c r="E25">
        <f t="shared" si="2"/>
        <v>3.4642032332563508E-2</v>
      </c>
    </row>
    <row r="26" spans="1:5" x14ac:dyDescent="0.25">
      <c r="A26" t="s">
        <v>419</v>
      </c>
      <c r="B26">
        <f>3</f>
        <v>3</v>
      </c>
      <c r="C26">
        <f t="shared" si="0"/>
        <v>0.375</v>
      </c>
      <c r="D26">
        <f t="shared" si="1"/>
        <v>7.4999999999999997E-2</v>
      </c>
      <c r="E26">
        <f t="shared" si="2"/>
        <v>1.7321016166281754E-2</v>
      </c>
    </row>
    <row r="27" spans="1:5" x14ac:dyDescent="0.25">
      <c r="A27" t="s">
        <v>420</v>
      </c>
      <c r="B27">
        <f>4</f>
        <v>4</v>
      </c>
      <c r="C27">
        <f t="shared" si="0"/>
        <v>0.5</v>
      </c>
      <c r="D27">
        <f t="shared" si="1"/>
        <v>0.1</v>
      </c>
      <c r="E27">
        <f t="shared" si="2"/>
        <v>2.3094688221709007E-2</v>
      </c>
    </row>
    <row r="28" spans="1:5" x14ac:dyDescent="0.25">
      <c r="A28" t="s">
        <v>421</v>
      </c>
      <c r="B28">
        <f>3</f>
        <v>3</v>
      </c>
      <c r="C28">
        <f t="shared" si="0"/>
        <v>0.375</v>
      </c>
      <c r="D28">
        <f t="shared" si="1"/>
        <v>7.4999999999999997E-2</v>
      </c>
      <c r="E28">
        <f t="shared" si="2"/>
        <v>1.7321016166281754E-2</v>
      </c>
    </row>
    <row r="29" spans="1:5" x14ac:dyDescent="0.25">
      <c r="A29" t="s">
        <v>422</v>
      </c>
      <c r="B29">
        <f>15*0.5</f>
        <v>7.5</v>
      </c>
      <c r="C29">
        <f t="shared" si="0"/>
        <v>0.9375</v>
      </c>
      <c r="D29">
        <f t="shared" si="1"/>
        <v>0.1875</v>
      </c>
      <c r="E29">
        <f t="shared" si="2"/>
        <v>4.3302540415704388E-2</v>
      </c>
    </row>
    <row r="30" spans="1:5" x14ac:dyDescent="0.25">
      <c r="A30" t="s">
        <v>423</v>
      </c>
      <c r="B30">
        <f>34*0.5</f>
        <v>17</v>
      </c>
      <c r="C30">
        <f t="shared" si="0"/>
        <v>2.125</v>
      </c>
      <c r="D30">
        <f t="shared" si="1"/>
        <v>0.42499999999999999</v>
      </c>
      <c r="E30">
        <f t="shared" si="2"/>
        <v>9.8152424942263269E-2</v>
      </c>
    </row>
    <row r="31" spans="1:5" ht="30" x14ac:dyDescent="0.25">
      <c r="A31" s="1" t="s">
        <v>434</v>
      </c>
      <c r="B31">
        <v>40</v>
      </c>
      <c r="C31">
        <f t="shared" si="0"/>
        <v>5</v>
      </c>
      <c r="D31">
        <f t="shared" si="1"/>
        <v>1</v>
      </c>
      <c r="E31">
        <f t="shared" si="2"/>
        <v>0.23094688221709006</v>
      </c>
    </row>
    <row r="32" spans="1:5" x14ac:dyDescent="0.25">
      <c r="A32" t="s">
        <v>424</v>
      </c>
      <c r="B32">
        <v>16</v>
      </c>
      <c r="C32">
        <f t="shared" si="0"/>
        <v>2</v>
      </c>
      <c r="D32">
        <f t="shared" si="1"/>
        <v>0.4</v>
      </c>
      <c r="E32">
        <f t="shared" si="2"/>
        <v>9.237875288683603E-2</v>
      </c>
    </row>
    <row r="33" spans="1:5" x14ac:dyDescent="0.25">
      <c r="A33" t="s">
        <v>425</v>
      </c>
      <c r="B33">
        <v>6</v>
      </c>
      <c r="C33">
        <f t="shared" si="0"/>
        <v>0.75</v>
      </c>
      <c r="D33">
        <f t="shared" si="1"/>
        <v>0.15</v>
      </c>
      <c r="E33">
        <f t="shared" si="2"/>
        <v>3.4642032332563508E-2</v>
      </c>
    </row>
    <row r="34" spans="1:5" x14ac:dyDescent="0.25">
      <c r="A34" t="s">
        <v>426</v>
      </c>
      <c r="B34">
        <f>14*1.5</f>
        <v>21</v>
      </c>
      <c r="C34">
        <f t="shared" si="0"/>
        <v>2.625</v>
      </c>
      <c r="D34">
        <f t="shared" si="1"/>
        <v>0.52500000000000002</v>
      </c>
      <c r="E34">
        <f t="shared" si="2"/>
        <v>0.12124711316397228</v>
      </c>
    </row>
    <row r="35" spans="1:5" x14ac:dyDescent="0.25">
      <c r="A35" t="s">
        <v>427</v>
      </c>
      <c r="B35">
        <f>6*1.5</f>
        <v>9</v>
      </c>
      <c r="C35">
        <f t="shared" si="0"/>
        <v>1.125</v>
      </c>
      <c r="D35">
        <f t="shared" si="1"/>
        <v>0.22500000000000001</v>
      </c>
      <c r="E35">
        <f t="shared" si="2"/>
        <v>5.1963048498845268E-2</v>
      </c>
    </row>
    <row r="36" spans="1:5" x14ac:dyDescent="0.25">
      <c r="A36" t="s">
        <v>428</v>
      </c>
      <c r="B36">
        <f>3*1.5</f>
        <v>4.5</v>
      </c>
      <c r="C36">
        <f t="shared" si="0"/>
        <v>0.5625</v>
      </c>
      <c r="D36">
        <f t="shared" si="1"/>
        <v>0.1125</v>
      </c>
      <c r="E36">
        <f t="shared" si="2"/>
        <v>2.5981524249422634E-2</v>
      </c>
    </row>
    <row r="37" spans="1:5" x14ac:dyDescent="0.25">
      <c r="A37" t="s">
        <v>429</v>
      </c>
      <c r="B37">
        <f>4*1.5</f>
        <v>6</v>
      </c>
      <c r="C37">
        <f t="shared" si="0"/>
        <v>0.75</v>
      </c>
      <c r="D37">
        <f t="shared" si="1"/>
        <v>0.15</v>
      </c>
      <c r="E37">
        <f t="shared" si="2"/>
        <v>3.4642032332563508E-2</v>
      </c>
    </row>
    <row r="38" spans="1:5" x14ac:dyDescent="0.25">
      <c r="A38" t="s">
        <v>430</v>
      </c>
      <c r="B38">
        <f>3*1.5</f>
        <v>4.5</v>
      </c>
      <c r="C38">
        <f t="shared" si="0"/>
        <v>0.5625</v>
      </c>
      <c r="D38">
        <f t="shared" si="1"/>
        <v>0.1125</v>
      </c>
      <c r="E38">
        <f t="shared" si="2"/>
        <v>2.5981524249422634E-2</v>
      </c>
    </row>
    <row r="39" spans="1:5" x14ac:dyDescent="0.25">
      <c r="A39" t="s">
        <v>431</v>
      </c>
      <c r="B39">
        <f>15*1</f>
        <v>15</v>
      </c>
      <c r="C39">
        <f t="shared" si="0"/>
        <v>1.875</v>
      </c>
      <c r="D39">
        <f t="shared" si="1"/>
        <v>0.375</v>
      </c>
      <c r="E39">
        <f t="shared" si="2"/>
        <v>8.6605080831408776E-2</v>
      </c>
    </row>
    <row r="40" spans="1:5" x14ac:dyDescent="0.25">
      <c r="A40" t="s">
        <v>432</v>
      </c>
      <c r="B40">
        <f>26*1</f>
        <v>26</v>
      </c>
      <c r="C40">
        <f t="shared" si="0"/>
        <v>3.25</v>
      </c>
      <c r="D40">
        <f t="shared" si="1"/>
        <v>0.65</v>
      </c>
      <c r="E40">
        <f t="shared" si="2"/>
        <v>0.15011547344110854</v>
      </c>
    </row>
    <row r="41" spans="1:5" x14ac:dyDescent="0.25">
      <c r="A41" t="s">
        <v>435</v>
      </c>
      <c r="B41">
        <f>14*2</f>
        <v>28</v>
      </c>
      <c r="C41">
        <f t="shared" si="0"/>
        <v>3.5</v>
      </c>
      <c r="D41">
        <f t="shared" si="1"/>
        <v>0.7</v>
      </c>
      <c r="E41">
        <f t="shared" si="2"/>
        <v>0.16166281755196305</v>
      </c>
    </row>
    <row r="42" spans="1:5" x14ac:dyDescent="0.25">
      <c r="A42" t="s">
        <v>436</v>
      </c>
      <c r="B42">
        <f>6*2</f>
        <v>12</v>
      </c>
      <c r="C42">
        <f t="shared" si="0"/>
        <v>1.5</v>
      </c>
      <c r="D42">
        <f t="shared" si="1"/>
        <v>0.3</v>
      </c>
      <c r="E42">
        <f t="shared" si="2"/>
        <v>6.9284064665127015E-2</v>
      </c>
    </row>
    <row r="43" spans="1:5" x14ac:dyDescent="0.25">
      <c r="A43" t="s">
        <v>437</v>
      </c>
      <c r="B43">
        <f>3*2</f>
        <v>6</v>
      </c>
      <c r="C43">
        <f t="shared" si="0"/>
        <v>0.75</v>
      </c>
      <c r="D43">
        <f t="shared" si="1"/>
        <v>0.15</v>
      </c>
      <c r="E43">
        <f t="shared" si="2"/>
        <v>3.4642032332563508E-2</v>
      </c>
    </row>
    <row r="44" spans="1:5" x14ac:dyDescent="0.25">
      <c r="A44" t="s">
        <v>438</v>
      </c>
      <c r="B44">
        <f>4*2</f>
        <v>8</v>
      </c>
      <c r="C44">
        <f t="shared" si="0"/>
        <v>1</v>
      </c>
      <c r="D44">
        <f t="shared" si="1"/>
        <v>0.2</v>
      </c>
      <c r="E44">
        <f t="shared" si="2"/>
        <v>4.6189376443418015E-2</v>
      </c>
    </row>
    <row r="45" spans="1:5" x14ac:dyDescent="0.25">
      <c r="A45" t="s">
        <v>439</v>
      </c>
      <c r="B45">
        <f>3*2</f>
        <v>6</v>
      </c>
      <c r="C45">
        <f t="shared" si="0"/>
        <v>0.75</v>
      </c>
      <c r="D45">
        <f t="shared" si="1"/>
        <v>0.15</v>
      </c>
      <c r="E45">
        <f t="shared" si="2"/>
        <v>3.4642032332563508E-2</v>
      </c>
    </row>
    <row r="46" spans="1:5" x14ac:dyDescent="0.25">
      <c r="A46" t="s">
        <v>440</v>
      </c>
      <c r="B46">
        <f>15*2</f>
        <v>30</v>
      </c>
      <c r="C46">
        <f t="shared" si="0"/>
        <v>3.75</v>
      </c>
      <c r="D46">
        <f t="shared" si="1"/>
        <v>0.75</v>
      </c>
      <c r="E46">
        <f t="shared" si="2"/>
        <v>0.17321016166281755</v>
      </c>
    </row>
    <row r="47" spans="1:5" x14ac:dyDescent="0.25">
      <c r="A47" t="s">
        <v>441</v>
      </c>
      <c r="B47">
        <f>34*2</f>
        <v>68</v>
      </c>
      <c r="C47">
        <f t="shared" si="0"/>
        <v>8.5</v>
      </c>
      <c r="D47">
        <f t="shared" si="1"/>
        <v>1.7</v>
      </c>
      <c r="E47">
        <f t="shared" si="2"/>
        <v>0.39260969976905308</v>
      </c>
    </row>
    <row r="49" spans="1:5" x14ac:dyDescent="0.25">
      <c r="A49" t="s">
        <v>395</v>
      </c>
      <c r="B49">
        <f>SUM(B4:B47)</f>
        <v>669</v>
      </c>
      <c r="C49">
        <f t="shared" ref="C49:E49" si="3">SUM(C4:C47)</f>
        <v>83.625</v>
      </c>
      <c r="D49">
        <f t="shared" si="3"/>
        <v>16.725000000000001</v>
      </c>
      <c r="E49">
        <f t="shared" si="3"/>
        <v>3.8625866050808315</v>
      </c>
    </row>
    <row r="51" spans="1:5" x14ac:dyDescent="0.25">
      <c r="A51" t="s">
        <v>444</v>
      </c>
      <c r="B51" s="24">
        <v>43558</v>
      </c>
    </row>
    <row r="52" spans="1:5" x14ac:dyDescent="0.25">
      <c r="A52" t="s">
        <v>456</v>
      </c>
      <c r="B52" s="24">
        <f>B51+ROUNDUP(E49*4.33*7,0)</f>
        <v>43676</v>
      </c>
    </row>
    <row r="53" spans="1:5" x14ac:dyDescent="0.25">
      <c r="A53" t="s">
        <v>457</v>
      </c>
      <c r="B53" s="25">
        <v>12</v>
      </c>
    </row>
    <row r="54" spans="1:5" x14ac:dyDescent="0.25">
      <c r="A54" t="s">
        <v>458</v>
      </c>
      <c r="B54" s="24">
        <f>B52+B53+8</f>
        <v>43696</v>
      </c>
    </row>
    <row r="56" spans="1:5" x14ac:dyDescent="0.25">
      <c r="A56" t="s">
        <v>447</v>
      </c>
      <c r="B56">
        <f>'USAC-testing'!$D$203*8+USAC_vs_RANSAC!$D$65*8+Refinement_BA!$D$63*8+VFC_GMS_SOF!$D$64*8+Refinement_BA_stereo!$D$70*8+Correspondence_Pool!$D$117*8+Robustness!$D$206*8</f>
        <v>58</v>
      </c>
      <c r="C56">
        <f t="shared" ref="C56:C58" si="4">B56/8</f>
        <v>7.25</v>
      </c>
      <c r="D56">
        <f t="shared" ref="D56:D58" si="5">C56/5</f>
        <v>1.45</v>
      </c>
      <c r="E56">
        <f t="shared" ref="E56:E58" si="6">D56/4.33</f>
        <v>0.3348729792147806</v>
      </c>
    </row>
    <row r="57" spans="1:5" x14ac:dyDescent="0.25">
      <c r="A57" t="s">
        <v>445</v>
      </c>
      <c r="B57">
        <f>'USAC-testing'!$B$190*'USAC-testing'!$D$192*8+USAC_vs_RANSAC!$B$57*USAC_vs_RANSAC!$D$59*8+Refinement_BA!$B$55*Refinement_BA!$D$57*8+VFC_GMS_SOF!$B$56*VFC_GMS_SOF!$D$58*8+Refinement_BA_stereo!$B$62*Refinement_BA_stereo!$D$64*8+Correspondence_Pool!$B$109*Correspondence_Pool!$D$111*8+Robustness!$B$198*Robustness!$D$200*8</f>
        <v>60</v>
      </c>
      <c r="C57">
        <f t="shared" si="4"/>
        <v>7.5</v>
      </c>
      <c r="D57">
        <f t="shared" si="5"/>
        <v>1.5</v>
      </c>
      <c r="E57">
        <f t="shared" si="6"/>
        <v>0.3464203233256351</v>
      </c>
    </row>
    <row r="58" spans="1:5" x14ac:dyDescent="0.25">
      <c r="A58" t="s">
        <v>446</v>
      </c>
      <c r="B58">
        <f>7*2</f>
        <v>14</v>
      </c>
      <c r="C58">
        <f t="shared" si="4"/>
        <v>1.75</v>
      </c>
      <c r="D58">
        <f t="shared" si="5"/>
        <v>0.35</v>
      </c>
      <c r="E58">
        <f t="shared" si="6"/>
        <v>8.0831408775981523E-2</v>
      </c>
    </row>
    <row r="60" spans="1:5" x14ac:dyDescent="0.25">
      <c r="A60" t="s">
        <v>395</v>
      </c>
      <c r="B60">
        <f>SUM(B56:B58)</f>
        <v>132</v>
      </c>
      <c r="C60">
        <f t="shared" ref="C60" si="7">B60/8</f>
        <v>16.5</v>
      </c>
      <c r="D60">
        <f t="shared" ref="D60" si="8">C60/5</f>
        <v>3.3</v>
      </c>
      <c r="E60">
        <f t="shared" ref="E60:E62" si="9">D60/4.33</f>
        <v>0.76212471131639714</v>
      </c>
    </row>
    <row r="62" spans="1:5" x14ac:dyDescent="0.25">
      <c r="A62" t="s">
        <v>448</v>
      </c>
      <c r="B62">
        <f>Overview!$C$10</f>
        <v>1560</v>
      </c>
      <c r="C62">
        <f>Overview!$B$10</f>
        <v>65</v>
      </c>
      <c r="D62">
        <f>C62/7</f>
        <v>9.2857142857142865</v>
      </c>
      <c r="E62">
        <f t="shared" si="9"/>
        <v>2.1445067634444079</v>
      </c>
    </row>
    <row r="63" spans="1:5" x14ac:dyDescent="0.25">
      <c r="A63" t="s">
        <v>449</v>
      </c>
      <c r="E63">
        <v>1</v>
      </c>
    </row>
    <row r="64" spans="1:5" x14ac:dyDescent="0.25">
      <c r="A64" t="s">
        <v>450</v>
      </c>
      <c r="E64">
        <f>E62-E60</f>
        <v>1.3823820521280108</v>
      </c>
    </row>
    <row r="65" spans="1:5" x14ac:dyDescent="0.25">
      <c r="A65" t="s">
        <v>451</v>
      </c>
      <c r="E65">
        <f>IF((E63-E64) &lt; 0.25,0.25,E63-E64)</f>
        <v>0.25</v>
      </c>
    </row>
    <row r="66" spans="1:5" x14ac:dyDescent="0.25">
      <c r="A66" t="s">
        <v>452</v>
      </c>
      <c r="D66">
        <v>1</v>
      </c>
      <c r="E66">
        <f>D66/4.33</f>
        <v>0.23094688221709006</v>
      </c>
    </row>
    <row r="68" spans="1:5" x14ac:dyDescent="0.25">
      <c r="A68" t="s">
        <v>453</v>
      </c>
      <c r="B68" s="24">
        <f>B54+C62</f>
        <v>43761</v>
      </c>
    </row>
    <row r="69" spans="1:5" x14ac:dyDescent="0.25">
      <c r="A69" t="s">
        <v>454</v>
      </c>
      <c r="B69" s="24">
        <f>B68+ROUNDUP((E65+E66)*4.33*7,0)</f>
        <v>43776</v>
      </c>
    </row>
    <row r="70" spans="1:5" x14ac:dyDescent="0.25">
      <c r="A70" t="s">
        <v>455</v>
      </c>
      <c r="B70" s="24">
        <f>B69+ROUNDUP(3*4.33*7,0)+2+5+21+15</f>
        <v>43910</v>
      </c>
    </row>
    <row r="71" spans="1:5" x14ac:dyDescent="0.25">
      <c r="A71" t="s">
        <v>459</v>
      </c>
      <c r="E71">
        <v>1</v>
      </c>
    </row>
    <row r="72" spans="1:5" x14ac:dyDescent="0.25">
      <c r="A72" t="s">
        <v>460</v>
      </c>
      <c r="B72" s="24">
        <f>B70+ROUNDUP(E71*4.33*7,0)</f>
        <v>43941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17" workbookViewId="0">
      <selection activeCell="B33" sqref="B33:C33"/>
    </sheetView>
  </sheetViews>
  <sheetFormatPr baseColWidth="10" defaultRowHeight="15" x14ac:dyDescent="0.25"/>
  <cols>
    <col min="1" max="1" width="27.42578125" customWidth="1"/>
    <col min="2" max="2" width="21.42578125" customWidth="1"/>
    <col min="3" max="3" width="82" customWidth="1"/>
    <col min="4" max="4" width="13.7109375" customWidth="1"/>
    <col min="6" max="6" width="38.5703125" customWidth="1"/>
    <col min="7" max="7" width="66.140625" customWidth="1"/>
    <col min="8" max="8" width="25.28515625" customWidth="1"/>
  </cols>
  <sheetData>
    <row r="1" spans="1:3" x14ac:dyDescent="0.25">
      <c r="A1" s="3" t="s">
        <v>130</v>
      </c>
    </row>
    <row r="3" spans="1:3" x14ac:dyDescent="0.25">
      <c r="A3" t="s">
        <v>132</v>
      </c>
    </row>
    <row r="4" spans="1:3" x14ac:dyDescent="0.25">
      <c r="A4" t="s">
        <v>131</v>
      </c>
    </row>
    <row r="5" spans="1:3" x14ac:dyDescent="0.25">
      <c r="A5" t="s">
        <v>2</v>
      </c>
    </row>
    <row r="6" spans="1:3" x14ac:dyDescent="0.25">
      <c r="A6" t="s">
        <v>48</v>
      </c>
    </row>
    <row r="7" spans="1:3" x14ac:dyDescent="0.25">
      <c r="A7" t="s">
        <v>26</v>
      </c>
    </row>
    <row r="8" spans="1:3" x14ac:dyDescent="0.25">
      <c r="A8" t="s">
        <v>133</v>
      </c>
    </row>
    <row r="10" spans="1:3" x14ac:dyDescent="0.25">
      <c r="A10" t="s">
        <v>359</v>
      </c>
    </row>
    <row r="11" spans="1:3" x14ac:dyDescent="0.25">
      <c r="A11" t="s">
        <v>360</v>
      </c>
    </row>
    <row r="14" spans="1:3" x14ac:dyDescent="0.25">
      <c r="B14" t="s">
        <v>4</v>
      </c>
    </row>
    <row r="15" spans="1:3" x14ac:dyDescent="0.25">
      <c r="A15" t="s">
        <v>5</v>
      </c>
      <c r="B15">
        <v>8</v>
      </c>
      <c r="C15" t="s">
        <v>18</v>
      </c>
    </row>
    <row r="17" spans="1:9" ht="30" x14ac:dyDescent="0.25">
      <c r="A17" s="1" t="s">
        <v>23</v>
      </c>
      <c r="B17">
        <f>(4-0.5)/0.5+1</f>
        <v>8</v>
      </c>
    </row>
    <row r="18" spans="1:9" ht="30" x14ac:dyDescent="0.25">
      <c r="A18" s="1" t="s">
        <v>13</v>
      </c>
      <c r="B18">
        <v>2</v>
      </c>
      <c r="C18" t="s">
        <v>262</v>
      </c>
    </row>
    <row r="19" spans="1:9" x14ac:dyDescent="0.25">
      <c r="A19" t="s">
        <v>14</v>
      </c>
      <c r="B19">
        <v>3</v>
      </c>
      <c r="C19" t="s">
        <v>15</v>
      </c>
    </row>
    <row r="20" spans="1:9" x14ac:dyDescent="0.25">
      <c r="A20" t="s">
        <v>49</v>
      </c>
      <c r="B20">
        <v>2</v>
      </c>
      <c r="C20" t="s">
        <v>50</v>
      </c>
    </row>
    <row r="21" spans="1:9" x14ac:dyDescent="0.25">
      <c r="A21" t="s">
        <v>16</v>
      </c>
      <c r="B21">
        <f>(0.9-0.1)/0.1+1</f>
        <v>9</v>
      </c>
      <c r="C21" t="s">
        <v>22</v>
      </c>
    </row>
    <row r="24" spans="1:9" x14ac:dyDescent="0.25">
      <c r="A24" t="s">
        <v>38</v>
      </c>
      <c r="B24">
        <f>B15*B17*B18*B19*B20*B21</f>
        <v>6912</v>
      </c>
    </row>
    <row r="26" spans="1:9" x14ac:dyDescent="0.25">
      <c r="A26" s="4" t="s">
        <v>44</v>
      </c>
    </row>
    <row r="27" spans="1:9" x14ac:dyDescent="0.25">
      <c r="A27" s="4"/>
    </row>
    <row r="28" spans="1:9" x14ac:dyDescent="0.25">
      <c r="A28" s="6" t="s">
        <v>89</v>
      </c>
      <c r="B28" t="s">
        <v>170</v>
      </c>
    </row>
    <row r="29" spans="1:9" x14ac:dyDescent="0.25">
      <c r="A29" s="6" t="s">
        <v>90</v>
      </c>
    </row>
    <row r="30" spans="1:9" x14ac:dyDescent="0.25">
      <c r="A30" s="6" t="s">
        <v>135</v>
      </c>
    </row>
    <row r="31" spans="1:9" x14ac:dyDescent="0.25">
      <c r="A31" s="4"/>
    </row>
    <row r="32" spans="1:9" ht="60" x14ac:dyDescent="0.25">
      <c r="A32" t="s">
        <v>134</v>
      </c>
      <c r="D32" s="1" t="s">
        <v>91</v>
      </c>
      <c r="E32" s="1" t="s">
        <v>73</v>
      </c>
      <c r="F32" t="s">
        <v>92</v>
      </c>
      <c r="G32" t="s">
        <v>93</v>
      </c>
      <c r="H32" s="1" t="s">
        <v>94</v>
      </c>
      <c r="I32" s="1" t="s">
        <v>96</v>
      </c>
    </row>
    <row r="33" spans="1:9" ht="75" x14ac:dyDescent="0.25">
      <c r="A33">
        <v>1</v>
      </c>
      <c r="B33" s="27" t="s">
        <v>480</v>
      </c>
      <c r="C33" s="28"/>
      <c r="D33">
        <f>8*5</f>
        <v>40</v>
      </c>
      <c r="E33">
        <v>8</v>
      </c>
      <c r="F33" t="s">
        <v>74</v>
      </c>
      <c r="G33" s="1" t="s">
        <v>532</v>
      </c>
      <c r="H33" t="s">
        <v>95</v>
      </c>
      <c r="I33">
        <v>1</v>
      </c>
    </row>
    <row r="34" spans="1:9" ht="75" x14ac:dyDescent="0.25">
      <c r="A34">
        <v>2</v>
      </c>
      <c r="B34" s="27" t="s">
        <v>481</v>
      </c>
      <c r="C34" s="28"/>
      <c r="D34">
        <f>8*5</f>
        <v>40</v>
      </c>
      <c r="E34">
        <v>8</v>
      </c>
      <c r="F34" t="s">
        <v>74</v>
      </c>
      <c r="G34" s="1" t="s">
        <v>533</v>
      </c>
      <c r="H34" s="1" t="s">
        <v>97</v>
      </c>
      <c r="I34">
        <v>1</v>
      </c>
    </row>
    <row r="35" spans="1:9" ht="90" x14ac:dyDescent="0.25">
      <c r="A35">
        <v>3</v>
      </c>
      <c r="B35" s="27" t="s">
        <v>482</v>
      </c>
      <c r="C35" s="28"/>
      <c r="D35">
        <f>8*5*2</f>
        <v>80</v>
      </c>
      <c r="E35">
        <f>2*2</f>
        <v>4</v>
      </c>
      <c r="F35" s="1" t="s">
        <v>534</v>
      </c>
      <c r="G35" s="1" t="s">
        <v>535</v>
      </c>
      <c r="H35" s="1" t="s">
        <v>157</v>
      </c>
      <c r="I35">
        <f>2+1</f>
        <v>3</v>
      </c>
    </row>
    <row r="36" spans="1:9" ht="75" x14ac:dyDescent="0.25">
      <c r="A36">
        <v>7</v>
      </c>
      <c r="B36" s="27" t="s">
        <v>172</v>
      </c>
      <c r="C36" s="27"/>
      <c r="D36">
        <f>5*$B$17*$B$19</f>
        <v>120</v>
      </c>
      <c r="E36">
        <f>$B$17*$B$19</f>
        <v>24</v>
      </c>
      <c r="F36" s="1" t="s">
        <v>173</v>
      </c>
      <c r="G36" s="1" t="s">
        <v>174</v>
      </c>
      <c r="H36" s="1" t="s">
        <v>98</v>
      </c>
      <c r="I36">
        <v>1</v>
      </c>
    </row>
    <row r="37" spans="1:9" x14ac:dyDescent="0.25">
      <c r="B37" s="27" t="s">
        <v>75</v>
      </c>
      <c r="C37" s="28"/>
    </row>
    <row r="38" spans="1:9" ht="150" x14ac:dyDescent="0.25">
      <c r="A38">
        <v>4</v>
      </c>
      <c r="C38" s="1" t="s">
        <v>483</v>
      </c>
      <c r="D38">
        <f>8*5*$B$19*$B$17*$B$15</f>
        <v>7680</v>
      </c>
      <c r="E38">
        <f>2*$B$19*$B$17</f>
        <v>48</v>
      </c>
      <c r="F38" s="1" t="s">
        <v>536</v>
      </c>
      <c r="G38" s="1" t="s">
        <v>537</v>
      </c>
      <c r="H38" s="1" t="s">
        <v>98</v>
      </c>
      <c r="I38">
        <f>2+1</f>
        <v>3</v>
      </c>
    </row>
    <row r="39" spans="1:9" ht="90" x14ac:dyDescent="0.25">
      <c r="A39">
        <v>5</v>
      </c>
      <c r="B39" s="27" t="s">
        <v>68</v>
      </c>
      <c r="C39" s="28"/>
      <c r="D39">
        <f>2*2*5</f>
        <v>20</v>
      </c>
      <c r="E39">
        <f>2*2</f>
        <v>4</v>
      </c>
      <c r="F39" t="s">
        <v>74</v>
      </c>
      <c r="G39" s="1" t="s">
        <v>158</v>
      </c>
      <c r="H39" s="1" t="s">
        <v>98</v>
      </c>
      <c r="I39">
        <v>1</v>
      </c>
    </row>
    <row r="40" spans="1:9" x14ac:dyDescent="0.25">
      <c r="B40" t="s">
        <v>46</v>
      </c>
    </row>
    <row r="41" spans="1:9" ht="45" x14ac:dyDescent="0.25">
      <c r="A41">
        <v>6</v>
      </c>
      <c r="C41" s="1" t="s">
        <v>69</v>
      </c>
      <c r="D41">
        <f>2*$B$15*5</f>
        <v>80</v>
      </c>
      <c r="E41">
        <f>2*$B$15</f>
        <v>16</v>
      </c>
      <c r="F41" t="s">
        <v>74</v>
      </c>
    </row>
    <row r="42" spans="1:9" x14ac:dyDescent="0.25">
      <c r="C42" s="5" t="s">
        <v>76</v>
      </c>
      <c r="D42">
        <f>SUM(D33:D41)</f>
        <v>8060</v>
      </c>
      <c r="E42">
        <f>SUM(E33:E41)</f>
        <v>112</v>
      </c>
      <c r="I42">
        <f>SUM(I33:I41)</f>
        <v>10</v>
      </c>
    </row>
    <row r="43" spans="1:9" x14ac:dyDescent="0.25">
      <c r="A43" t="s">
        <v>47</v>
      </c>
    </row>
    <row r="44" spans="1:9" x14ac:dyDescent="0.25">
      <c r="B44" t="s">
        <v>484</v>
      </c>
    </row>
    <row r="45" spans="1:9" x14ac:dyDescent="0.25">
      <c r="B45" t="s">
        <v>51</v>
      </c>
    </row>
    <row r="48" spans="1:9" x14ac:dyDescent="0.25">
      <c r="A48" t="s">
        <v>25</v>
      </c>
      <c r="B48" t="s">
        <v>27</v>
      </c>
      <c r="C48" t="s">
        <v>28</v>
      </c>
      <c r="D48" t="s">
        <v>30</v>
      </c>
    </row>
    <row r="49" spans="1:4" x14ac:dyDescent="0.25">
      <c r="A49" t="s">
        <v>138</v>
      </c>
      <c r="B49">
        <f>50*$B$24*0.4</f>
        <v>138240</v>
      </c>
      <c r="C49" s="2">
        <f t="shared" ref="C49" si="0">B49/3600</f>
        <v>38.4</v>
      </c>
      <c r="D49">
        <f t="shared" ref="D49" si="1">ROUNDUP(2*C49/24,0)/2</f>
        <v>2</v>
      </c>
    </row>
    <row r="50" spans="1:4" ht="30" x14ac:dyDescent="0.25">
      <c r="A50" s="1" t="s">
        <v>139</v>
      </c>
      <c r="B50">
        <f>7*$B$24*0.1</f>
        <v>4838.4000000000005</v>
      </c>
      <c r="C50" s="2">
        <f>B50/3600</f>
        <v>1.3440000000000001</v>
      </c>
      <c r="D50">
        <f>ROUNDUP(2*C50/24,0)/2</f>
        <v>0.5</v>
      </c>
    </row>
    <row r="51" spans="1:4" ht="30" x14ac:dyDescent="0.25">
      <c r="A51" s="1" t="s">
        <v>140</v>
      </c>
      <c r="B51">
        <f>$D$42*0.2</f>
        <v>1612</v>
      </c>
      <c r="C51" s="2">
        <f>B51/3600</f>
        <v>0.44777777777777777</v>
      </c>
      <c r="D51">
        <f>ROUNDUP(4*C51/24,0)/4</f>
        <v>0.25</v>
      </c>
    </row>
    <row r="52" spans="1:4" ht="30" x14ac:dyDescent="0.25">
      <c r="A52" s="1" t="s">
        <v>116</v>
      </c>
      <c r="B52">
        <f>$E$42*12</f>
        <v>1344</v>
      </c>
      <c r="C52" s="2">
        <f>B52/3600</f>
        <v>0.37333333333333335</v>
      </c>
      <c r="D52">
        <f>ROUNDUP(4*C52/24,0)/4</f>
        <v>0.25</v>
      </c>
    </row>
    <row r="54" spans="1:4" ht="30" x14ac:dyDescent="0.25">
      <c r="A54" s="1" t="s">
        <v>120</v>
      </c>
      <c r="D54">
        <f>SUM(D49:D52)</f>
        <v>3</v>
      </c>
    </row>
    <row r="55" spans="1:4" ht="30" x14ac:dyDescent="0.25">
      <c r="A55" s="1" t="s">
        <v>123</v>
      </c>
      <c r="D55">
        <f>ROUNDUP(4*D54/'USAC-testing'!$B$141,0)/4</f>
        <v>0.25</v>
      </c>
    </row>
    <row r="57" spans="1:4" ht="30" x14ac:dyDescent="0.25">
      <c r="A57" s="1" t="s">
        <v>119</v>
      </c>
      <c r="B57">
        <v>2</v>
      </c>
      <c r="D57" s="3"/>
    </row>
    <row r="58" spans="1:4" x14ac:dyDescent="0.25">
      <c r="A58" s="1"/>
      <c r="D58" s="3"/>
    </row>
    <row r="59" spans="1:4" ht="30" x14ac:dyDescent="0.25">
      <c r="A59" s="1" t="s">
        <v>125</v>
      </c>
      <c r="D59" s="6">
        <v>0.5</v>
      </c>
    </row>
    <row r="60" spans="1:4" x14ac:dyDescent="0.25">
      <c r="A60" s="1"/>
      <c r="D60" s="3"/>
    </row>
    <row r="61" spans="1:4" x14ac:dyDescent="0.25">
      <c r="A61" s="1" t="s">
        <v>124</v>
      </c>
      <c r="D61" s="3">
        <f>(D55+D59)*B57</f>
        <v>1.5</v>
      </c>
    </row>
    <row r="63" spans="1:4" ht="30" x14ac:dyDescent="0.25">
      <c r="A63" s="1" t="s">
        <v>141</v>
      </c>
      <c r="C63">
        <v>2</v>
      </c>
      <c r="D63">
        <f>ROUNDUP(4*C63/8,0)/4</f>
        <v>0.25</v>
      </c>
    </row>
    <row r="64" spans="1:4" ht="30" x14ac:dyDescent="0.25">
      <c r="A64" s="1" t="s">
        <v>142</v>
      </c>
      <c r="B64">
        <f>$I$42*60*3</f>
        <v>1800</v>
      </c>
      <c r="C64" s="2">
        <f>B64/3600</f>
        <v>0.5</v>
      </c>
      <c r="D64">
        <f>ROUNDUP(4*C64/8,0)/4</f>
        <v>0.25</v>
      </c>
    </row>
    <row r="65" spans="1:4" x14ac:dyDescent="0.25">
      <c r="C65" s="11" t="s">
        <v>62</v>
      </c>
      <c r="D65" s="3">
        <f>SUM(D63:D64)</f>
        <v>0.5</v>
      </c>
    </row>
    <row r="66" spans="1:4" x14ac:dyDescent="0.25">
      <c r="C66" s="11"/>
      <c r="D66" s="3"/>
    </row>
    <row r="67" spans="1:4" ht="30" x14ac:dyDescent="0.25">
      <c r="A67" s="1" t="s">
        <v>143</v>
      </c>
      <c r="C67">
        <f>MIN((B57+1),ROUNDDOWN($D$61,0))*15</f>
        <v>15</v>
      </c>
      <c r="D67">
        <f>ROUNDUP(4*C67/24,0)/4</f>
        <v>0.75</v>
      </c>
    </row>
    <row r="68" spans="1:4" x14ac:dyDescent="0.25">
      <c r="A68" s="1"/>
    </row>
    <row r="69" spans="1:4" x14ac:dyDescent="0.25">
      <c r="A69" t="s">
        <v>126</v>
      </c>
      <c r="D69">
        <f>D61+D65+D67</f>
        <v>2.75</v>
      </c>
    </row>
    <row r="70" spans="1:4" ht="30" x14ac:dyDescent="0.25">
      <c r="A70" s="10" t="s">
        <v>127</v>
      </c>
      <c r="D70" s="9">
        <f>ROUNDDOWN(D69/5,0)*7+(D69-ROUNDDOWN(D69/5,0)*5)</f>
        <v>2.75</v>
      </c>
    </row>
    <row r="72" spans="1:4" x14ac:dyDescent="0.25">
      <c r="A72" t="s">
        <v>254</v>
      </c>
      <c r="B72">
        <f>50*$B$24*(5*8*20+3*20+2*20+2*20+200)/(10^9)</f>
        <v>0.393984</v>
      </c>
    </row>
    <row r="73" spans="1:4" x14ac:dyDescent="0.25">
      <c r="A73" s="1" t="s">
        <v>260</v>
      </c>
      <c r="B73">
        <f>6*$B$24*(5*8*20+10*20+200)/(10^9)</f>
        <v>4.9766400000000002E-2</v>
      </c>
    </row>
    <row r="74" spans="1:4" x14ac:dyDescent="0.25">
      <c r="A74" t="s">
        <v>255</v>
      </c>
      <c r="B74">
        <f>$D$42*250/(10^6)</f>
        <v>2.0150000000000001</v>
      </c>
    </row>
    <row r="75" spans="1:4" x14ac:dyDescent="0.25">
      <c r="A75" t="s">
        <v>256</v>
      </c>
      <c r="B75">
        <f>$E$42/1000</f>
        <v>0.112</v>
      </c>
    </row>
    <row r="76" spans="1:4" x14ac:dyDescent="0.25">
      <c r="A76" s="8" t="s">
        <v>144</v>
      </c>
      <c r="B76" s="8">
        <f>ROUNDUP(SUM(B72:B75)/5,0)*5</f>
        <v>5</v>
      </c>
    </row>
  </sheetData>
  <mergeCells count="6">
    <mergeCell ref="B33:C33"/>
    <mergeCell ref="B34:C34"/>
    <mergeCell ref="B35:C35"/>
    <mergeCell ref="B37:C37"/>
    <mergeCell ref="B39:C39"/>
    <mergeCell ref="B36:C3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3" workbookViewId="0">
      <selection activeCell="C55" sqref="C55"/>
    </sheetView>
  </sheetViews>
  <sheetFormatPr baseColWidth="10" defaultRowHeight="15" x14ac:dyDescent="0.25"/>
  <cols>
    <col min="1" max="1" width="26.28515625" customWidth="1"/>
    <col min="2" max="2" width="19.7109375" customWidth="1"/>
    <col min="3" max="3" width="75.140625" customWidth="1"/>
    <col min="4" max="4" width="14.28515625" customWidth="1"/>
    <col min="6" max="6" width="36.140625" customWidth="1"/>
    <col min="7" max="7" width="96.42578125" customWidth="1"/>
    <col min="8" max="8" width="28.140625" customWidth="1"/>
  </cols>
  <sheetData>
    <row r="1" spans="1:3" x14ac:dyDescent="0.25">
      <c r="A1" s="3" t="s">
        <v>145</v>
      </c>
    </row>
    <row r="3" spans="1:3" x14ac:dyDescent="0.25">
      <c r="A3" t="s">
        <v>146</v>
      </c>
    </row>
    <row r="4" spans="1:3" x14ac:dyDescent="0.25">
      <c r="A4" t="s">
        <v>147</v>
      </c>
    </row>
    <row r="5" spans="1:3" x14ac:dyDescent="0.25">
      <c r="A5" t="s">
        <v>2</v>
      </c>
    </row>
    <row r="6" spans="1:3" x14ac:dyDescent="0.25">
      <c r="A6" t="s">
        <v>48</v>
      </c>
    </row>
    <row r="7" spans="1:3" x14ac:dyDescent="0.25">
      <c r="A7" t="s">
        <v>26</v>
      </c>
    </row>
    <row r="8" spans="1:3" x14ac:dyDescent="0.25">
      <c r="A8" t="s">
        <v>133</v>
      </c>
    </row>
    <row r="10" spans="1:3" x14ac:dyDescent="0.25">
      <c r="A10" t="s">
        <v>359</v>
      </c>
    </row>
    <row r="11" spans="1:3" x14ac:dyDescent="0.25">
      <c r="A11" t="s">
        <v>360</v>
      </c>
    </row>
    <row r="14" spans="1:3" x14ac:dyDescent="0.25">
      <c r="B14" t="s">
        <v>4</v>
      </c>
    </row>
    <row r="15" spans="1:3" x14ac:dyDescent="0.25">
      <c r="A15" t="s">
        <v>149</v>
      </c>
      <c r="B15">
        <v>13</v>
      </c>
      <c r="C15" t="s">
        <v>594</v>
      </c>
    </row>
    <row r="16" spans="1:3" x14ac:dyDescent="0.25">
      <c r="A16" t="s">
        <v>150</v>
      </c>
      <c r="B16">
        <v>3</v>
      </c>
      <c r="C16" t="s">
        <v>151</v>
      </c>
    </row>
    <row r="18" spans="1:3" ht="30" x14ac:dyDescent="0.25">
      <c r="A18" s="1" t="s">
        <v>23</v>
      </c>
      <c r="B18">
        <f>(4-0.5)/0.5+1</f>
        <v>8</v>
      </c>
    </row>
    <row r="19" spans="1:3" ht="30" x14ac:dyDescent="0.25">
      <c r="A19" s="1" t="s">
        <v>13</v>
      </c>
      <c r="B19">
        <v>2</v>
      </c>
      <c r="C19" t="s">
        <v>262</v>
      </c>
    </row>
    <row r="20" spans="1:3" x14ac:dyDescent="0.25">
      <c r="A20" t="s">
        <v>14</v>
      </c>
      <c r="B20">
        <v>3</v>
      </c>
      <c r="C20" t="s">
        <v>15</v>
      </c>
    </row>
    <row r="21" spans="1:3" x14ac:dyDescent="0.25">
      <c r="A21" t="s">
        <v>49</v>
      </c>
      <c r="B21">
        <v>2</v>
      </c>
      <c r="C21" t="s">
        <v>50</v>
      </c>
    </row>
    <row r="22" spans="1:3" x14ac:dyDescent="0.25">
      <c r="A22" t="s">
        <v>16</v>
      </c>
      <c r="B22">
        <f>(0.9-0.1)/0.1+1</f>
        <v>9</v>
      </c>
      <c r="C22" t="s">
        <v>22</v>
      </c>
    </row>
    <row r="23" spans="1:3" x14ac:dyDescent="0.25">
      <c r="A23" t="s">
        <v>152</v>
      </c>
      <c r="B23">
        <v>2</v>
      </c>
      <c r="C23" t="s">
        <v>153</v>
      </c>
    </row>
    <row r="26" spans="1:3" x14ac:dyDescent="0.25">
      <c r="A26" t="s">
        <v>38</v>
      </c>
      <c r="B26">
        <f>(B15*B16-1)*B18*B19*B20*B22+(B16+1)*B18*B19*B20*B22</f>
        <v>18144</v>
      </c>
    </row>
    <row r="28" spans="1:3" x14ac:dyDescent="0.25">
      <c r="A28" s="4" t="s">
        <v>44</v>
      </c>
    </row>
    <row r="29" spans="1:3" x14ac:dyDescent="0.25">
      <c r="A29" s="4"/>
    </row>
    <row r="30" spans="1:3" x14ac:dyDescent="0.25">
      <c r="A30" s="6" t="s">
        <v>89</v>
      </c>
      <c r="B30" t="s">
        <v>170</v>
      </c>
    </row>
    <row r="31" spans="1:3" x14ac:dyDescent="0.25">
      <c r="A31" s="6" t="s">
        <v>90</v>
      </c>
    </row>
    <row r="32" spans="1:3" x14ac:dyDescent="0.25">
      <c r="A32" s="4"/>
    </row>
    <row r="33" spans="1:9" ht="75" x14ac:dyDescent="0.25">
      <c r="A33" s="1" t="s">
        <v>155</v>
      </c>
      <c r="D33" s="1" t="s">
        <v>91</v>
      </c>
      <c r="E33" s="1" t="s">
        <v>73</v>
      </c>
      <c r="F33" t="s">
        <v>92</v>
      </c>
      <c r="G33" t="s">
        <v>93</v>
      </c>
      <c r="H33" s="1" t="s">
        <v>94</v>
      </c>
      <c r="I33" s="1" t="s">
        <v>96</v>
      </c>
    </row>
    <row r="34" spans="1:9" ht="120" x14ac:dyDescent="0.25">
      <c r="A34">
        <v>1</v>
      </c>
      <c r="B34" s="27" t="s">
        <v>485</v>
      </c>
      <c r="C34" s="28"/>
      <c r="D34">
        <f>8*5+5*5</f>
        <v>65</v>
      </c>
      <c r="E34">
        <f>8+5</f>
        <v>13</v>
      </c>
      <c r="F34" t="s">
        <v>74</v>
      </c>
      <c r="G34" s="1" t="s">
        <v>549</v>
      </c>
      <c r="H34" s="1" t="s">
        <v>167</v>
      </c>
      <c r="I34">
        <v>2</v>
      </c>
    </row>
    <row r="35" spans="1:9" x14ac:dyDescent="0.25">
      <c r="B35" s="27" t="s">
        <v>154</v>
      </c>
      <c r="C35" s="28"/>
    </row>
    <row r="36" spans="1:9" ht="330" x14ac:dyDescent="0.25">
      <c r="A36">
        <v>2</v>
      </c>
      <c r="C36" s="1" t="s">
        <v>486</v>
      </c>
      <c r="D36">
        <f>(8*5+5*5)*$B$18*$B$20</f>
        <v>1560</v>
      </c>
      <c r="E36">
        <f>(2+1)*$B$18*$B$20</f>
        <v>72</v>
      </c>
      <c r="F36" s="1" t="s">
        <v>550</v>
      </c>
      <c r="G36" s="1" t="s">
        <v>551</v>
      </c>
      <c r="H36" s="1" t="s">
        <v>98</v>
      </c>
      <c r="I36">
        <v>6</v>
      </c>
    </row>
    <row r="37" spans="1:9" ht="60" x14ac:dyDescent="0.25">
      <c r="A37">
        <v>3</v>
      </c>
      <c r="B37" s="27" t="s">
        <v>156</v>
      </c>
      <c r="C37" s="28"/>
      <c r="D37">
        <v>2</v>
      </c>
      <c r="E37">
        <v>2</v>
      </c>
      <c r="F37" s="1" t="s">
        <v>169</v>
      </c>
      <c r="G37" s="1" t="s">
        <v>209</v>
      </c>
      <c r="H37" s="1" t="s">
        <v>98</v>
      </c>
      <c r="I37">
        <v>1</v>
      </c>
    </row>
    <row r="38" spans="1:9" x14ac:dyDescent="0.25">
      <c r="C38" s="11" t="s">
        <v>62</v>
      </c>
      <c r="D38">
        <f>SUM(D34:D37)</f>
        <v>1627</v>
      </c>
      <c r="E38">
        <f>SUM(E34:E37)</f>
        <v>87</v>
      </c>
      <c r="I38">
        <f>SUM(I34:I37)</f>
        <v>9</v>
      </c>
    </row>
    <row r="40" spans="1:9" x14ac:dyDescent="0.25">
      <c r="A40" t="s">
        <v>47</v>
      </c>
    </row>
    <row r="41" spans="1:9" x14ac:dyDescent="0.25">
      <c r="B41" t="s">
        <v>487</v>
      </c>
    </row>
    <row r="42" spans="1:9" x14ac:dyDescent="0.25">
      <c r="B42" t="s">
        <v>171</v>
      </c>
    </row>
    <row r="43" spans="1:9" x14ac:dyDescent="0.25">
      <c r="B43" t="s">
        <v>51</v>
      </c>
    </row>
    <row r="46" spans="1:9" x14ac:dyDescent="0.25">
      <c r="A46" t="s">
        <v>25</v>
      </c>
      <c r="B46" t="s">
        <v>27</v>
      </c>
      <c r="C46" t="s">
        <v>28</v>
      </c>
      <c r="D46" t="s">
        <v>30</v>
      </c>
    </row>
    <row r="47" spans="1:9" ht="30" x14ac:dyDescent="0.25">
      <c r="A47" s="1" t="s">
        <v>176</v>
      </c>
      <c r="B47">
        <f>50*$B$26*0.3</f>
        <v>272160</v>
      </c>
      <c r="C47" s="2">
        <f t="shared" ref="C47" si="0">B47/3600</f>
        <v>75.599999999999994</v>
      </c>
      <c r="D47">
        <f t="shared" ref="D47" si="1">ROUNDUP(2*C47/24,0)/2</f>
        <v>3.5</v>
      </c>
    </row>
    <row r="48" spans="1:9" x14ac:dyDescent="0.25">
      <c r="A48" s="1" t="s">
        <v>177</v>
      </c>
      <c r="B48">
        <f>3*$B$26*0.1</f>
        <v>5443.2000000000007</v>
      </c>
      <c r="C48" s="2">
        <f>B48/3600</f>
        <v>1.5120000000000002</v>
      </c>
      <c r="D48">
        <f>ROUNDUP(2*C48/24,0)/2</f>
        <v>0.5</v>
      </c>
    </row>
    <row r="49" spans="1:4" x14ac:dyDescent="0.25">
      <c r="A49" s="1" t="s">
        <v>178</v>
      </c>
      <c r="B49">
        <f>$D$38*0.2</f>
        <v>325.40000000000003</v>
      </c>
      <c r="C49" s="2">
        <f>B49/3600</f>
        <v>9.0388888888888894E-2</v>
      </c>
      <c r="D49">
        <f>ROUNDUP(4*C49/24,0)/4</f>
        <v>0.25</v>
      </c>
    </row>
    <row r="50" spans="1:4" x14ac:dyDescent="0.25">
      <c r="A50" s="1" t="s">
        <v>179</v>
      </c>
      <c r="B50">
        <f>$E$38*12</f>
        <v>1044</v>
      </c>
      <c r="C50" s="2">
        <f>B50/3600</f>
        <v>0.28999999999999998</v>
      </c>
      <c r="D50">
        <f>ROUNDUP(4*C50/24,0)/4</f>
        <v>0.25</v>
      </c>
    </row>
    <row r="52" spans="1:4" ht="30" x14ac:dyDescent="0.25">
      <c r="A52" s="1" t="s">
        <v>120</v>
      </c>
      <c r="D52">
        <f>SUM(D47:D50)</f>
        <v>4.5</v>
      </c>
    </row>
    <row r="53" spans="1:4" ht="30" x14ac:dyDescent="0.25">
      <c r="A53" s="1" t="s">
        <v>123</v>
      </c>
      <c r="D53">
        <f>ROUNDUP(4*D52/'USAC-testing'!$B$141,0)/4</f>
        <v>0.25</v>
      </c>
    </row>
    <row r="55" spans="1:4" ht="30" x14ac:dyDescent="0.25">
      <c r="A55" s="1" t="s">
        <v>119</v>
      </c>
      <c r="B55">
        <v>3</v>
      </c>
      <c r="D55" s="3"/>
    </row>
    <row r="56" spans="1:4" x14ac:dyDescent="0.25">
      <c r="A56" s="1"/>
      <c r="D56" s="3"/>
    </row>
    <row r="57" spans="1:4" ht="30" x14ac:dyDescent="0.25">
      <c r="A57" s="1" t="s">
        <v>125</v>
      </c>
      <c r="D57" s="6">
        <v>0.5</v>
      </c>
    </row>
    <row r="58" spans="1:4" x14ac:dyDescent="0.25">
      <c r="A58" s="1"/>
      <c r="D58" s="3"/>
    </row>
    <row r="59" spans="1:4" x14ac:dyDescent="0.25">
      <c r="A59" s="1" t="s">
        <v>124</v>
      </c>
      <c r="D59" s="3">
        <f>(D53+D57)*B55</f>
        <v>2.25</v>
      </c>
    </row>
    <row r="61" spans="1:4" x14ac:dyDescent="0.25">
      <c r="A61" s="1" t="s">
        <v>180</v>
      </c>
      <c r="C61">
        <v>2</v>
      </c>
      <c r="D61">
        <f>ROUNDUP(4*C61/8,0)/4</f>
        <v>0.25</v>
      </c>
    </row>
    <row r="62" spans="1:4" x14ac:dyDescent="0.25">
      <c r="A62" s="1" t="s">
        <v>181</v>
      </c>
      <c r="B62">
        <f>$I$38*60*3</f>
        <v>1620</v>
      </c>
      <c r="C62" s="2">
        <f>B62/3600</f>
        <v>0.45</v>
      </c>
      <c r="D62">
        <f>ROUNDUP(4*C62/8,0)/4</f>
        <v>0.25</v>
      </c>
    </row>
    <row r="63" spans="1:4" x14ac:dyDescent="0.25">
      <c r="C63" s="11" t="s">
        <v>62</v>
      </c>
      <c r="D63" s="3">
        <f>SUM(D61:D62)</f>
        <v>0.5</v>
      </c>
    </row>
    <row r="64" spans="1:4" x14ac:dyDescent="0.25">
      <c r="C64" s="11"/>
      <c r="D64" s="3"/>
    </row>
    <row r="65" spans="1:4" ht="30" x14ac:dyDescent="0.25">
      <c r="A65" s="1" t="s">
        <v>143</v>
      </c>
      <c r="C65">
        <f>MIN((B55+1),ROUNDDOWN($D$59,0))*15</f>
        <v>30</v>
      </c>
      <c r="D65">
        <f>ROUNDUP(4*C65/24,0)/4</f>
        <v>1.25</v>
      </c>
    </row>
    <row r="66" spans="1:4" x14ac:dyDescent="0.25">
      <c r="A66" s="1"/>
    </row>
    <row r="67" spans="1:4" x14ac:dyDescent="0.25">
      <c r="A67" t="s">
        <v>126</v>
      </c>
      <c r="D67">
        <f>D59+D63+D65</f>
        <v>4</v>
      </c>
    </row>
    <row r="68" spans="1:4" ht="30" x14ac:dyDescent="0.25">
      <c r="A68" s="10" t="s">
        <v>127</v>
      </c>
      <c r="D68" s="9">
        <f>ROUNDDOWN(D67/5,0)*7+(D67-ROUNDDOWN(D67/5,0)*5)</f>
        <v>4</v>
      </c>
    </row>
    <row r="70" spans="1:4" x14ac:dyDescent="0.25">
      <c r="A70" t="s">
        <v>254</v>
      </c>
      <c r="B70">
        <f>50*$B$26*(5*8*20+3*20+2*20+2*20+200)/(10^9)</f>
        <v>1.034208</v>
      </c>
    </row>
    <row r="71" spans="1:4" x14ac:dyDescent="0.25">
      <c r="A71" s="1" t="s">
        <v>260</v>
      </c>
      <c r="B71">
        <f>3*$B$26*(5*8*20+10*20+200)/(10^9)</f>
        <v>6.5318399999999999E-2</v>
      </c>
    </row>
    <row r="72" spans="1:4" x14ac:dyDescent="0.25">
      <c r="A72" t="s">
        <v>255</v>
      </c>
      <c r="B72">
        <f>$D$38*250/(10^6)</f>
        <v>0.40675</v>
      </c>
    </row>
    <row r="73" spans="1:4" x14ac:dyDescent="0.25">
      <c r="A73" t="s">
        <v>256</v>
      </c>
      <c r="B73">
        <f>$E$38/1000</f>
        <v>8.6999999999999994E-2</v>
      </c>
    </row>
    <row r="74" spans="1:4" x14ac:dyDescent="0.25">
      <c r="A74" s="8" t="s">
        <v>144</v>
      </c>
      <c r="B74" s="8">
        <f>ROUNDUP(SUM(B70:B73)/5,0)*5</f>
        <v>5</v>
      </c>
    </row>
  </sheetData>
  <mergeCells count="3">
    <mergeCell ref="B34:C34"/>
    <mergeCell ref="B35:C35"/>
    <mergeCell ref="B37:C3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21" workbookViewId="0">
      <selection activeCell="B35" sqref="B35:C35"/>
    </sheetView>
  </sheetViews>
  <sheetFormatPr baseColWidth="10" defaultRowHeight="15" x14ac:dyDescent="0.25"/>
  <cols>
    <col min="1" max="1" width="26" customWidth="1"/>
    <col min="2" max="2" width="20.5703125" customWidth="1"/>
    <col min="3" max="3" width="71.42578125" customWidth="1"/>
    <col min="6" max="6" width="29" customWidth="1"/>
    <col min="7" max="7" width="98.28515625" customWidth="1"/>
    <col min="8" max="8" width="17" customWidth="1"/>
  </cols>
  <sheetData>
    <row r="1" spans="1:3" x14ac:dyDescent="0.25">
      <c r="A1" s="3" t="s">
        <v>148</v>
      </c>
    </row>
    <row r="3" spans="1:3" x14ac:dyDescent="0.25">
      <c r="A3" t="s">
        <v>182</v>
      </c>
    </row>
    <row r="5" spans="1:3" x14ac:dyDescent="0.25">
      <c r="A5" t="s">
        <v>183</v>
      </c>
    </row>
    <row r="6" spans="1:3" x14ac:dyDescent="0.25">
      <c r="A6" t="s">
        <v>189</v>
      </c>
    </row>
    <row r="7" spans="1:3" x14ac:dyDescent="0.25">
      <c r="A7" t="s">
        <v>48</v>
      </c>
    </row>
    <row r="8" spans="1:3" x14ac:dyDescent="0.25">
      <c r="A8" t="s">
        <v>26</v>
      </c>
    </row>
    <row r="9" spans="1:3" x14ac:dyDescent="0.25">
      <c r="A9" t="s">
        <v>133</v>
      </c>
    </row>
    <row r="11" spans="1:3" x14ac:dyDescent="0.25">
      <c r="A11" t="s">
        <v>359</v>
      </c>
    </row>
    <row r="12" spans="1:3" x14ac:dyDescent="0.25">
      <c r="A12" t="s">
        <v>360</v>
      </c>
    </row>
    <row r="15" spans="1:3" x14ac:dyDescent="0.25">
      <c r="B15" t="s">
        <v>4</v>
      </c>
    </row>
    <row r="16" spans="1:3" x14ac:dyDescent="0.25">
      <c r="A16" t="s">
        <v>184</v>
      </c>
      <c r="B16">
        <v>2</v>
      </c>
      <c r="C16" t="s">
        <v>185</v>
      </c>
    </row>
    <row r="17" spans="1:3" x14ac:dyDescent="0.25">
      <c r="A17" t="s">
        <v>186</v>
      </c>
      <c r="B17">
        <v>2</v>
      </c>
      <c r="C17" t="s">
        <v>185</v>
      </c>
    </row>
    <row r="18" spans="1:3" x14ac:dyDescent="0.25">
      <c r="A18" t="s">
        <v>187</v>
      </c>
      <c r="B18">
        <v>2</v>
      </c>
      <c r="C18" t="s">
        <v>185</v>
      </c>
    </row>
    <row r="20" spans="1:3" ht="60" x14ac:dyDescent="0.25">
      <c r="A20" s="1" t="s">
        <v>23</v>
      </c>
      <c r="B20">
        <f>(4-0.5)/0.5+1</f>
        <v>8</v>
      </c>
    </row>
    <row r="21" spans="1:3" ht="45" x14ac:dyDescent="0.25">
      <c r="A21" s="1" t="s">
        <v>13</v>
      </c>
      <c r="B21">
        <v>2</v>
      </c>
      <c r="C21" t="s">
        <v>262</v>
      </c>
    </row>
    <row r="22" spans="1:3" x14ac:dyDescent="0.25">
      <c r="A22" t="s">
        <v>14</v>
      </c>
      <c r="B22">
        <v>3</v>
      </c>
      <c r="C22" t="s">
        <v>15</v>
      </c>
    </row>
    <row r="23" spans="1:3" x14ac:dyDescent="0.25">
      <c r="A23" t="s">
        <v>49</v>
      </c>
      <c r="B23">
        <v>2</v>
      </c>
      <c r="C23" t="s">
        <v>50</v>
      </c>
    </row>
    <row r="24" spans="1:3" x14ac:dyDescent="0.25">
      <c r="A24" t="s">
        <v>16</v>
      </c>
      <c r="B24">
        <f>(0.9-0.1)/0.1+1</f>
        <v>9</v>
      </c>
      <c r="C24" t="s">
        <v>22</v>
      </c>
    </row>
    <row r="27" spans="1:3" x14ac:dyDescent="0.25">
      <c r="A27" t="s">
        <v>38</v>
      </c>
      <c r="B27">
        <f>3*B20*B21*B22*B24</f>
        <v>1296</v>
      </c>
    </row>
    <row r="29" spans="1:3" x14ac:dyDescent="0.25">
      <c r="A29" s="4" t="s">
        <v>44</v>
      </c>
    </row>
    <row r="30" spans="1:3" x14ac:dyDescent="0.25">
      <c r="A30" s="4"/>
    </row>
    <row r="31" spans="1:3" x14ac:dyDescent="0.25">
      <c r="A31" s="6" t="s">
        <v>89</v>
      </c>
      <c r="B31" t="s">
        <v>170</v>
      </c>
    </row>
    <row r="32" spans="1:3" x14ac:dyDescent="0.25">
      <c r="A32" s="6" t="s">
        <v>90</v>
      </c>
    </row>
    <row r="34" spans="1:9" ht="75" x14ac:dyDescent="0.25">
      <c r="A34" s="1" t="s">
        <v>188</v>
      </c>
      <c r="D34" s="1" t="s">
        <v>91</v>
      </c>
      <c r="E34" s="1" t="s">
        <v>73</v>
      </c>
      <c r="F34" t="s">
        <v>92</v>
      </c>
      <c r="G34" t="s">
        <v>93</v>
      </c>
      <c r="H34" s="1" t="s">
        <v>94</v>
      </c>
      <c r="I34" s="1" t="s">
        <v>96</v>
      </c>
    </row>
    <row r="35" spans="1:9" ht="75" x14ac:dyDescent="0.25">
      <c r="A35">
        <v>1</v>
      </c>
      <c r="B35" s="27" t="s">
        <v>488</v>
      </c>
      <c r="C35" s="28"/>
      <c r="D35">
        <f>8*5</f>
        <v>40</v>
      </c>
      <c r="E35">
        <f>8</f>
        <v>8</v>
      </c>
      <c r="F35" t="s">
        <v>74</v>
      </c>
      <c r="G35" s="1" t="s">
        <v>552</v>
      </c>
      <c r="H35" s="1" t="s">
        <v>97</v>
      </c>
      <c r="I35">
        <v>2</v>
      </c>
    </row>
    <row r="36" spans="1:9" ht="45" x14ac:dyDescent="0.25">
      <c r="A36">
        <v>2</v>
      </c>
      <c r="B36" s="27" t="s">
        <v>191</v>
      </c>
      <c r="C36" s="27"/>
      <c r="D36">
        <f>5+$B$21*$B$22</f>
        <v>11</v>
      </c>
      <c r="E36">
        <f>5+$B$21*$B$22</f>
        <v>11</v>
      </c>
      <c r="F36" s="1" t="s">
        <v>173</v>
      </c>
      <c r="G36" s="1" t="s">
        <v>192</v>
      </c>
      <c r="H36" s="1" t="s">
        <v>98</v>
      </c>
      <c r="I36">
        <v>1</v>
      </c>
    </row>
    <row r="37" spans="1:9" x14ac:dyDescent="0.25">
      <c r="B37" s="27" t="s">
        <v>190</v>
      </c>
      <c r="C37" s="28"/>
    </row>
    <row r="38" spans="1:9" ht="255" x14ac:dyDescent="0.25">
      <c r="A38">
        <v>3</v>
      </c>
      <c r="C38" s="1" t="s">
        <v>489</v>
      </c>
      <c r="D38">
        <f>8*5*$B$21*$B$20*$B$22</f>
        <v>1920</v>
      </c>
      <c r="E38">
        <f>2*$B$21*$B$20*$B$22</f>
        <v>96</v>
      </c>
      <c r="F38" s="1" t="s">
        <v>538</v>
      </c>
      <c r="G38" s="1" t="s">
        <v>553</v>
      </c>
      <c r="H38" s="1" t="s">
        <v>98</v>
      </c>
      <c r="I38">
        <v>4</v>
      </c>
    </row>
    <row r="39" spans="1:9" ht="60" x14ac:dyDescent="0.25">
      <c r="A39">
        <v>4</v>
      </c>
      <c r="B39" s="27" t="s">
        <v>194</v>
      </c>
      <c r="C39" s="28"/>
      <c r="D39">
        <v>2</v>
      </c>
      <c r="E39">
        <v>2</v>
      </c>
      <c r="F39" s="1" t="s">
        <v>193</v>
      </c>
      <c r="G39" s="1" t="s">
        <v>195</v>
      </c>
      <c r="H39" s="1" t="s">
        <v>98</v>
      </c>
      <c r="I39">
        <v>1</v>
      </c>
    </row>
    <row r="40" spans="1:9" x14ac:dyDescent="0.25">
      <c r="C40" s="11" t="s">
        <v>62</v>
      </c>
      <c r="D40">
        <f>SUM(D35:D39)</f>
        <v>1973</v>
      </c>
      <c r="E40">
        <f>SUM(E35:E39)</f>
        <v>117</v>
      </c>
      <c r="I40">
        <f>SUM(I35:I39)</f>
        <v>8</v>
      </c>
    </row>
    <row r="42" spans="1:9" x14ac:dyDescent="0.25">
      <c r="A42" t="s">
        <v>47</v>
      </c>
    </row>
    <row r="43" spans="1:9" x14ac:dyDescent="0.25">
      <c r="B43" t="s">
        <v>490</v>
      </c>
    </row>
    <row r="44" spans="1:9" x14ac:dyDescent="0.25">
      <c r="B44" t="s">
        <v>51</v>
      </c>
    </row>
    <row r="47" spans="1:9" x14ac:dyDescent="0.25">
      <c r="A47" t="s">
        <v>25</v>
      </c>
      <c r="B47" t="s">
        <v>27</v>
      </c>
      <c r="C47" t="s">
        <v>28</v>
      </c>
      <c r="D47" t="s">
        <v>30</v>
      </c>
    </row>
    <row r="48" spans="1:9" ht="30" x14ac:dyDescent="0.25">
      <c r="A48" s="1" t="s">
        <v>196</v>
      </c>
      <c r="B48">
        <f>50*$B$27*0.3</f>
        <v>19440</v>
      </c>
      <c r="C48" s="2">
        <f t="shared" ref="C48" si="0">B48/3600</f>
        <v>5.4</v>
      </c>
      <c r="D48">
        <f t="shared" ref="D48" si="1">ROUNDUP(2*C48/24,0)/2</f>
        <v>0.5</v>
      </c>
    </row>
    <row r="49" spans="1:4" x14ac:dyDescent="0.25">
      <c r="A49" s="1" t="s">
        <v>177</v>
      </c>
      <c r="B49">
        <f>3*$B$27*0.1</f>
        <v>388.8</v>
      </c>
      <c r="C49" s="2">
        <f>B49/3600</f>
        <v>0.108</v>
      </c>
      <c r="D49">
        <f>ROUNDUP(2*C49/24,0)/2</f>
        <v>0.5</v>
      </c>
    </row>
    <row r="50" spans="1:4" x14ac:dyDescent="0.25">
      <c r="A50" s="1" t="s">
        <v>178</v>
      </c>
      <c r="B50">
        <f>$D$40*0.2</f>
        <v>394.6</v>
      </c>
      <c r="C50" s="2">
        <f>B50/3600</f>
        <v>0.10961111111111112</v>
      </c>
      <c r="D50">
        <f>ROUNDUP(4*C50/24,0)/4</f>
        <v>0.25</v>
      </c>
    </row>
    <row r="51" spans="1:4" x14ac:dyDescent="0.25">
      <c r="A51" s="1" t="s">
        <v>179</v>
      </c>
      <c r="B51">
        <f>$E$40*12</f>
        <v>1404</v>
      </c>
      <c r="C51" s="2">
        <f>B51/3600</f>
        <v>0.39</v>
      </c>
      <c r="D51">
        <f>ROUNDUP(4*C51/24,0)/4</f>
        <v>0.25</v>
      </c>
    </row>
    <row r="53" spans="1:4" ht="30" x14ac:dyDescent="0.25">
      <c r="A53" s="1" t="s">
        <v>120</v>
      </c>
      <c r="D53">
        <f>SUM(D48:D51)</f>
        <v>1.5</v>
      </c>
    </row>
    <row r="54" spans="1:4" ht="30" x14ac:dyDescent="0.25">
      <c r="A54" s="1" t="s">
        <v>123</v>
      </c>
      <c r="D54">
        <f>ROUNDUP(4*D53/'USAC-testing'!$B$141,0)/4</f>
        <v>0.25</v>
      </c>
    </row>
    <row r="56" spans="1:4" ht="30" x14ac:dyDescent="0.25">
      <c r="A56" s="1" t="s">
        <v>119</v>
      </c>
      <c r="B56">
        <v>2</v>
      </c>
      <c r="D56" s="3"/>
    </row>
    <row r="57" spans="1:4" x14ac:dyDescent="0.25">
      <c r="A57" s="1"/>
      <c r="D57" s="3"/>
    </row>
    <row r="58" spans="1:4" ht="30" x14ac:dyDescent="0.25">
      <c r="A58" s="1" t="s">
        <v>125</v>
      </c>
      <c r="D58" s="6">
        <v>0.25</v>
      </c>
    </row>
    <row r="59" spans="1:4" x14ac:dyDescent="0.25">
      <c r="A59" s="1"/>
      <c r="D59" s="3"/>
    </row>
    <row r="60" spans="1:4" x14ac:dyDescent="0.25">
      <c r="A60" s="1" t="s">
        <v>124</v>
      </c>
      <c r="D60" s="3">
        <f>(D54+D58)*B56</f>
        <v>1</v>
      </c>
    </row>
    <row r="62" spans="1:4" x14ac:dyDescent="0.25">
      <c r="A62" s="1" t="s">
        <v>180</v>
      </c>
      <c r="C62">
        <v>2</v>
      </c>
      <c r="D62">
        <f>ROUNDUP(4*C62/8,0)/4</f>
        <v>0.25</v>
      </c>
    </row>
    <row r="63" spans="1:4" x14ac:dyDescent="0.25">
      <c r="A63" s="1" t="s">
        <v>181</v>
      </c>
      <c r="B63">
        <f>$I$40*60*3</f>
        <v>1440</v>
      </c>
      <c r="C63" s="2">
        <f>B63/3600</f>
        <v>0.4</v>
      </c>
      <c r="D63">
        <f>ROUNDUP(4*C63/8,0)/4</f>
        <v>0.25</v>
      </c>
    </row>
    <row r="64" spans="1:4" x14ac:dyDescent="0.25">
      <c r="C64" s="11" t="s">
        <v>62</v>
      </c>
      <c r="D64" s="3">
        <f>SUM(D62:D63)</f>
        <v>0.5</v>
      </c>
    </row>
    <row r="65" spans="1:4" x14ac:dyDescent="0.25">
      <c r="C65" s="11"/>
      <c r="D65" s="3"/>
    </row>
    <row r="66" spans="1:4" ht="30" x14ac:dyDescent="0.25">
      <c r="A66" s="1" t="s">
        <v>143</v>
      </c>
      <c r="C66">
        <f>MIN((B56+1),ROUNDDOWN($D$60,0))*15</f>
        <v>15</v>
      </c>
      <c r="D66">
        <f>ROUNDUP(4*C66/24,0)/4</f>
        <v>0.75</v>
      </c>
    </row>
    <row r="67" spans="1:4" x14ac:dyDescent="0.25">
      <c r="A67" s="1"/>
    </row>
    <row r="68" spans="1:4" x14ac:dyDescent="0.25">
      <c r="A68" t="s">
        <v>126</v>
      </c>
      <c r="D68">
        <f>D60+D64+D66</f>
        <v>2.25</v>
      </c>
    </row>
    <row r="69" spans="1:4" ht="30" x14ac:dyDescent="0.25">
      <c r="A69" s="10" t="s">
        <v>127</v>
      </c>
      <c r="D69" s="9">
        <f>ROUNDDOWN(D68/5,0)*7+(D68-ROUNDDOWN(D68/5,0)*5)</f>
        <v>2.25</v>
      </c>
    </row>
    <row r="71" spans="1:4" x14ac:dyDescent="0.25">
      <c r="A71" t="s">
        <v>254</v>
      </c>
      <c r="B71">
        <f>50*$B$27*(5*8*20+3*20+2*20+2*20+200)/(10^9)</f>
        <v>7.3871999999999993E-2</v>
      </c>
    </row>
    <row r="72" spans="1:4" x14ac:dyDescent="0.25">
      <c r="A72" s="1" t="s">
        <v>260</v>
      </c>
      <c r="B72">
        <f>4*$B$27*(5*8*20+10*20+200)/(10^9)</f>
        <v>6.2208000000000003E-3</v>
      </c>
    </row>
    <row r="73" spans="1:4" x14ac:dyDescent="0.25">
      <c r="A73" t="s">
        <v>255</v>
      </c>
      <c r="B73">
        <f>$D$40*250/(10^6)</f>
        <v>0.49325000000000002</v>
      </c>
    </row>
    <row r="74" spans="1:4" x14ac:dyDescent="0.25">
      <c r="A74" t="s">
        <v>256</v>
      </c>
      <c r="B74">
        <f>$E$40/1000</f>
        <v>0.11700000000000001</v>
      </c>
    </row>
    <row r="75" spans="1:4" x14ac:dyDescent="0.25">
      <c r="A75" s="8" t="s">
        <v>144</v>
      </c>
      <c r="B75" s="8">
        <f>ROUNDUP(SUM(B71:B74)/5,0)*5</f>
        <v>5</v>
      </c>
    </row>
  </sheetData>
  <mergeCells count="4">
    <mergeCell ref="B35:C35"/>
    <mergeCell ref="B37:C37"/>
    <mergeCell ref="B39:C39"/>
    <mergeCell ref="B36:C3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43" workbookViewId="0">
      <selection activeCell="A29" sqref="A29:C29"/>
    </sheetView>
  </sheetViews>
  <sheetFormatPr baseColWidth="10" defaultRowHeight="15" x14ac:dyDescent="0.25"/>
  <cols>
    <col min="1" max="1" width="31.140625" customWidth="1"/>
    <col min="2" max="2" width="24.42578125" customWidth="1"/>
    <col min="3" max="3" width="65.140625" customWidth="1"/>
    <col min="4" max="4" width="15" customWidth="1"/>
    <col min="6" max="6" width="28.5703125" customWidth="1"/>
    <col min="7" max="7" width="105.42578125" customWidth="1"/>
    <col min="8" max="8" width="16.7109375" customWidth="1"/>
  </cols>
  <sheetData>
    <row r="1" spans="1:1" x14ac:dyDescent="0.25">
      <c r="A1" s="3" t="s">
        <v>197</v>
      </c>
    </row>
    <row r="3" spans="1:1" x14ac:dyDescent="0.25">
      <c r="A3" t="s">
        <v>146</v>
      </c>
    </row>
    <row r="4" spans="1:1" x14ac:dyDescent="0.25">
      <c r="A4" t="s">
        <v>199</v>
      </c>
    </row>
    <row r="5" spans="1:1" x14ac:dyDescent="0.25">
      <c r="A5" t="s">
        <v>198</v>
      </c>
    </row>
    <row r="6" spans="1:1" x14ac:dyDescent="0.25">
      <c r="A6" t="s">
        <v>2</v>
      </c>
    </row>
    <row r="7" spans="1:1" x14ac:dyDescent="0.25">
      <c r="A7" t="s">
        <v>280</v>
      </c>
    </row>
    <row r="8" spans="1:1" x14ac:dyDescent="0.25">
      <c r="A8" t="s">
        <v>200</v>
      </c>
    </row>
    <row r="9" spans="1:1" x14ac:dyDescent="0.25">
      <c r="A9" t="s">
        <v>26</v>
      </c>
    </row>
    <row r="10" spans="1:1" x14ac:dyDescent="0.25">
      <c r="A10" t="s">
        <v>133</v>
      </c>
    </row>
    <row r="11" spans="1:1" x14ac:dyDescent="0.25">
      <c r="A11" t="s">
        <v>201</v>
      </c>
    </row>
    <row r="12" spans="1:1" x14ac:dyDescent="0.25">
      <c r="A12" t="s">
        <v>202</v>
      </c>
    </row>
    <row r="13" spans="1:1" x14ac:dyDescent="0.25">
      <c r="A13" t="s">
        <v>204</v>
      </c>
    </row>
    <row r="14" spans="1:1" x14ac:dyDescent="0.25">
      <c r="A14" t="s">
        <v>211</v>
      </c>
    </row>
    <row r="15" spans="1:1" x14ac:dyDescent="0.25">
      <c r="A15" t="s">
        <v>203</v>
      </c>
    </row>
    <row r="17" spans="1:3" x14ac:dyDescent="0.25">
      <c r="A17" t="s">
        <v>359</v>
      </c>
    </row>
    <row r="18" spans="1:3" x14ac:dyDescent="0.25">
      <c r="A18" t="s">
        <v>360</v>
      </c>
    </row>
    <row r="21" spans="1:3" x14ac:dyDescent="0.25">
      <c r="B21" t="s">
        <v>4</v>
      </c>
    </row>
    <row r="22" spans="1:3" x14ac:dyDescent="0.25">
      <c r="A22" t="s">
        <v>205</v>
      </c>
      <c r="B22">
        <v>12</v>
      </c>
      <c r="C22" t="s">
        <v>595</v>
      </c>
    </row>
    <row r="23" spans="1:3" x14ac:dyDescent="0.25">
      <c r="A23" t="s">
        <v>206</v>
      </c>
      <c r="B23">
        <v>3</v>
      </c>
      <c r="C23" t="s">
        <v>151</v>
      </c>
    </row>
    <row r="25" spans="1:3" ht="75" x14ac:dyDescent="0.25">
      <c r="A25" s="1" t="s">
        <v>23</v>
      </c>
      <c r="B25">
        <f>(4-0.5)/0.5+1</f>
        <v>8</v>
      </c>
    </row>
    <row r="26" spans="1:3" ht="60" x14ac:dyDescent="0.25">
      <c r="A26" s="1" t="s">
        <v>13</v>
      </c>
      <c r="B26">
        <v>2</v>
      </c>
      <c r="C26" t="s">
        <v>262</v>
      </c>
    </row>
    <row r="27" spans="1:3" x14ac:dyDescent="0.25">
      <c r="A27" t="s">
        <v>14</v>
      </c>
      <c r="B27">
        <v>3</v>
      </c>
      <c r="C27" t="s">
        <v>15</v>
      </c>
    </row>
    <row r="28" spans="1:3" x14ac:dyDescent="0.25">
      <c r="A28" t="s">
        <v>49</v>
      </c>
      <c r="B28">
        <v>1</v>
      </c>
      <c r="C28" t="s">
        <v>103</v>
      </c>
    </row>
    <row r="29" spans="1:3" x14ac:dyDescent="0.25">
      <c r="A29" t="s">
        <v>16</v>
      </c>
      <c r="B29">
        <f>(0.9-0.1)/0.1+1</f>
        <v>9</v>
      </c>
      <c r="C29" t="s">
        <v>22</v>
      </c>
    </row>
    <row r="30" spans="1:3" x14ac:dyDescent="0.25">
      <c r="A30" t="s">
        <v>152</v>
      </c>
      <c r="B30">
        <v>2</v>
      </c>
      <c r="C30" t="s">
        <v>153</v>
      </c>
    </row>
    <row r="33" spans="1:9" x14ac:dyDescent="0.25">
      <c r="A33" t="s">
        <v>38</v>
      </c>
      <c r="B33">
        <f>(B22*B23-1)*B25*B26*B27*B29+(B23+1)*B25*B26*B27*B29</f>
        <v>16848</v>
      </c>
    </row>
    <row r="35" spans="1:9" x14ac:dyDescent="0.25">
      <c r="A35" s="4" t="s">
        <v>44</v>
      </c>
    </row>
    <row r="36" spans="1:9" x14ac:dyDescent="0.25">
      <c r="A36" s="4"/>
    </row>
    <row r="37" spans="1:9" x14ac:dyDescent="0.25">
      <c r="A37" s="6" t="s">
        <v>89</v>
      </c>
      <c r="B37" t="s">
        <v>170</v>
      </c>
    </row>
    <row r="38" spans="1:9" x14ac:dyDescent="0.25">
      <c r="A38" s="6" t="s">
        <v>90</v>
      </c>
    </row>
    <row r="39" spans="1:9" x14ac:dyDescent="0.25">
      <c r="A39" s="4"/>
    </row>
    <row r="40" spans="1:9" ht="75" x14ac:dyDescent="0.25">
      <c r="A40" s="1" t="s">
        <v>207</v>
      </c>
      <c r="D40" s="1" t="s">
        <v>91</v>
      </c>
      <c r="E40" s="1" t="s">
        <v>73</v>
      </c>
      <c r="F40" t="s">
        <v>92</v>
      </c>
      <c r="G40" t="s">
        <v>93</v>
      </c>
      <c r="H40" s="1" t="s">
        <v>94</v>
      </c>
      <c r="I40" s="1" t="s">
        <v>96</v>
      </c>
    </row>
    <row r="41" spans="1:9" ht="120" x14ac:dyDescent="0.25">
      <c r="A41">
        <v>1</v>
      </c>
      <c r="B41" s="27" t="s">
        <v>485</v>
      </c>
      <c r="C41" s="28"/>
      <c r="D41">
        <f>8*5+5*5</f>
        <v>65</v>
      </c>
      <c r="E41">
        <f>8+5</f>
        <v>13</v>
      </c>
      <c r="F41" t="s">
        <v>74</v>
      </c>
      <c r="G41" s="1" t="s">
        <v>554</v>
      </c>
      <c r="H41" s="1" t="s">
        <v>167</v>
      </c>
      <c r="I41">
        <v>2</v>
      </c>
    </row>
    <row r="42" spans="1:9" x14ac:dyDescent="0.25">
      <c r="B42" s="27" t="s">
        <v>154</v>
      </c>
      <c r="C42" s="28"/>
    </row>
    <row r="43" spans="1:9" ht="330" x14ac:dyDescent="0.25">
      <c r="A43">
        <v>2</v>
      </c>
      <c r="C43" s="1" t="s">
        <v>486</v>
      </c>
      <c r="D43">
        <f>(8*5+5*5)*$B$25*$B$27</f>
        <v>1560</v>
      </c>
      <c r="E43">
        <f>(2+1)*$B$25*$B$27</f>
        <v>72</v>
      </c>
      <c r="F43" s="1" t="s">
        <v>550</v>
      </c>
      <c r="G43" s="1" t="s">
        <v>555</v>
      </c>
      <c r="H43" s="1" t="s">
        <v>98</v>
      </c>
      <c r="I43">
        <v>6</v>
      </c>
    </row>
    <row r="44" spans="1:9" ht="30" x14ac:dyDescent="0.25">
      <c r="A44">
        <v>3</v>
      </c>
      <c r="B44" s="27" t="s">
        <v>208</v>
      </c>
      <c r="C44" s="28"/>
      <c r="D44">
        <v>1</v>
      </c>
      <c r="E44">
        <v>1</v>
      </c>
      <c r="F44" s="1" t="s">
        <v>168</v>
      </c>
      <c r="G44" s="1" t="s">
        <v>210</v>
      </c>
      <c r="H44" s="1" t="s">
        <v>98</v>
      </c>
      <c r="I44">
        <v>1</v>
      </c>
    </row>
    <row r="45" spans="1:9" x14ac:dyDescent="0.25">
      <c r="C45" s="11" t="s">
        <v>62</v>
      </c>
      <c r="D45">
        <f>SUM(D41:D44)</f>
        <v>1626</v>
      </c>
      <c r="E45">
        <f>SUM(E41:E44)</f>
        <v>86</v>
      </c>
      <c r="I45">
        <f>SUM(I41:I44)</f>
        <v>9</v>
      </c>
    </row>
    <row r="47" spans="1:9" x14ac:dyDescent="0.25">
      <c r="A47" t="s">
        <v>47</v>
      </c>
    </row>
    <row r="48" spans="1:9" x14ac:dyDescent="0.25">
      <c r="B48" t="s">
        <v>487</v>
      </c>
    </row>
    <row r="49" spans="1:4" x14ac:dyDescent="0.25">
      <c r="B49" t="s">
        <v>171</v>
      </c>
    </row>
    <row r="50" spans="1:4" x14ac:dyDescent="0.25">
      <c r="B50" t="s">
        <v>51</v>
      </c>
    </row>
    <row r="53" spans="1:4" x14ac:dyDescent="0.25">
      <c r="A53" t="s">
        <v>25</v>
      </c>
      <c r="B53" t="s">
        <v>27</v>
      </c>
      <c r="C53" t="s">
        <v>28</v>
      </c>
      <c r="D53" t="s">
        <v>30</v>
      </c>
    </row>
    <row r="54" spans="1:4" ht="45" x14ac:dyDescent="0.25">
      <c r="A54" s="1" t="s">
        <v>212</v>
      </c>
      <c r="B54">
        <f>50*$B$33*0.4</f>
        <v>336960</v>
      </c>
      <c r="C54" s="2">
        <f t="shared" ref="C54" si="0">B54/3600</f>
        <v>93.6</v>
      </c>
      <c r="D54">
        <f t="shared" ref="D54" si="1">ROUNDUP(2*C54/24,0)/2</f>
        <v>4</v>
      </c>
    </row>
    <row r="55" spans="1:4" x14ac:dyDescent="0.25">
      <c r="A55" s="1" t="s">
        <v>177</v>
      </c>
      <c r="B55">
        <f>3*$B$33*0.1</f>
        <v>5054.4000000000005</v>
      </c>
      <c r="C55" s="2">
        <f>B55/3600</f>
        <v>1.4040000000000001</v>
      </c>
      <c r="D55">
        <f>ROUNDUP(2*C55/24,0)/2</f>
        <v>0.5</v>
      </c>
    </row>
    <row r="56" spans="1:4" x14ac:dyDescent="0.25">
      <c r="A56" s="1" t="s">
        <v>178</v>
      </c>
      <c r="B56">
        <f>$D$45*0.2</f>
        <v>325.20000000000005</v>
      </c>
      <c r="C56" s="2">
        <f>B56/3600</f>
        <v>9.0333333333333349E-2</v>
      </c>
      <c r="D56">
        <f>ROUNDUP(4*C56/24,0)/4</f>
        <v>0.25</v>
      </c>
    </row>
    <row r="57" spans="1:4" x14ac:dyDescent="0.25">
      <c r="A57" s="1" t="s">
        <v>179</v>
      </c>
      <c r="B57">
        <f>$E$45*12</f>
        <v>1032</v>
      </c>
      <c r="C57" s="2">
        <f>B57/3600</f>
        <v>0.28666666666666668</v>
      </c>
      <c r="D57">
        <f>ROUNDUP(4*C57/24,0)/4</f>
        <v>0.25</v>
      </c>
    </row>
    <row r="59" spans="1:4" x14ac:dyDescent="0.25">
      <c r="A59" s="1" t="s">
        <v>120</v>
      </c>
      <c r="D59">
        <f>SUM(D54:D57)</f>
        <v>5</v>
      </c>
    </row>
    <row r="60" spans="1:4" x14ac:dyDescent="0.25">
      <c r="A60" s="1" t="s">
        <v>123</v>
      </c>
      <c r="D60">
        <f>ROUNDUP(4*D59/'USAC-testing'!$B$141,0)/4</f>
        <v>0.25</v>
      </c>
    </row>
    <row r="62" spans="1:4" x14ac:dyDescent="0.25">
      <c r="A62" s="1" t="s">
        <v>119</v>
      </c>
      <c r="B62">
        <v>3</v>
      </c>
      <c r="D62" s="3"/>
    </row>
    <row r="63" spans="1:4" x14ac:dyDescent="0.25">
      <c r="A63" s="1"/>
      <c r="D63" s="3"/>
    </row>
    <row r="64" spans="1:4" ht="30" x14ac:dyDescent="0.25">
      <c r="A64" s="1" t="s">
        <v>125</v>
      </c>
      <c r="D64" s="6">
        <v>0.5</v>
      </c>
    </row>
    <row r="65" spans="1:4" x14ac:dyDescent="0.25">
      <c r="A65" s="1"/>
      <c r="D65" s="3"/>
    </row>
    <row r="66" spans="1:4" x14ac:dyDescent="0.25">
      <c r="A66" s="1" t="s">
        <v>124</v>
      </c>
      <c r="D66" s="3">
        <f>(D60+D64)*B62</f>
        <v>2.25</v>
      </c>
    </row>
    <row r="68" spans="1:4" x14ac:dyDescent="0.25">
      <c r="A68" s="1" t="s">
        <v>180</v>
      </c>
      <c r="C68">
        <v>2</v>
      </c>
      <c r="D68">
        <f>ROUNDUP(4*C68/8,0)/4</f>
        <v>0.25</v>
      </c>
    </row>
    <row r="69" spans="1:4" x14ac:dyDescent="0.25">
      <c r="A69" s="1" t="s">
        <v>181</v>
      </c>
      <c r="B69">
        <f>$I$45*60*3</f>
        <v>1620</v>
      </c>
      <c r="C69" s="2">
        <f>B69/3600</f>
        <v>0.45</v>
      </c>
      <c r="D69">
        <f>ROUNDUP(4*C69/8,0)/4</f>
        <v>0.25</v>
      </c>
    </row>
    <row r="70" spans="1:4" x14ac:dyDescent="0.25">
      <c r="C70" s="11" t="s">
        <v>62</v>
      </c>
      <c r="D70" s="3">
        <f>SUM(D68:D69)</f>
        <v>0.5</v>
      </c>
    </row>
    <row r="71" spans="1:4" x14ac:dyDescent="0.25">
      <c r="C71" s="11"/>
      <c r="D71" s="3"/>
    </row>
    <row r="72" spans="1:4" x14ac:dyDescent="0.25">
      <c r="A72" s="1" t="s">
        <v>143</v>
      </c>
      <c r="C72">
        <f>MIN((B62+1),ROUNDDOWN($D$66,0))*15</f>
        <v>30</v>
      </c>
      <c r="D72">
        <f>ROUNDUP(4*C72/24,0)/4</f>
        <v>1.25</v>
      </c>
    </row>
    <row r="73" spans="1:4" x14ac:dyDescent="0.25">
      <c r="A73" s="1"/>
    </row>
    <row r="74" spans="1:4" x14ac:dyDescent="0.25">
      <c r="A74" t="s">
        <v>126</v>
      </c>
      <c r="D74">
        <f>D66+D70+D72</f>
        <v>4</v>
      </c>
    </row>
    <row r="75" spans="1:4" ht="30" x14ac:dyDescent="0.25">
      <c r="A75" s="10" t="s">
        <v>127</v>
      </c>
      <c r="D75" s="9">
        <f>ROUNDDOWN(D74/5,0)*7+(D74-ROUNDDOWN(D74/5,0)*5)</f>
        <v>4</v>
      </c>
    </row>
    <row r="77" spans="1:4" x14ac:dyDescent="0.25">
      <c r="A77" t="s">
        <v>254</v>
      </c>
      <c r="B77">
        <f>50*$B$33*(5*8*20+3*20+2*20+2*20+200)/(10^9)</f>
        <v>0.96033599999999997</v>
      </c>
    </row>
    <row r="78" spans="1:4" x14ac:dyDescent="0.25">
      <c r="A78" s="1" t="s">
        <v>260</v>
      </c>
      <c r="B78">
        <f>3*$B$33*(5*8*20+10*20+200)/(10^9)</f>
        <v>6.06528E-2</v>
      </c>
    </row>
    <row r="79" spans="1:4" x14ac:dyDescent="0.25">
      <c r="A79" t="s">
        <v>255</v>
      </c>
      <c r="B79">
        <f>$D$45*250/(10^6)</f>
        <v>0.40649999999999997</v>
      </c>
    </row>
    <row r="80" spans="1:4" x14ac:dyDescent="0.25">
      <c r="A80" t="s">
        <v>256</v>
      </c>
      <c r="B80">
        <f>$E$45/1000</f>
        <v>8.5999999999999993E-2</v>
      </c>
    </row>
    <row r="81" spans="1:2" x14ac:dyDescent="0.25">
      <c r="A81" s="8" t="s">
        <v>144</v>
      </c>
      <c r="B81" s="8">
        <f>ROUNDUP(SUM(B77:B80)/5,0)*5</f>
        <v>5</v>
      </c>
    </row>
  </sheetData>
  <mergeCells count="3">
    <mergeCell ref="B41:C41"/>
    <mergeCell ref="B42:C42"/>
    <mergeCell ref="B44:C4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opLeftCell="A71" workbookViewId="0">
      <selection activeCell="B96" sqref="B96"/>
    </sheetView>
  </sheetViews>
  <sheetFormatPr baseColWidth="10" defaultRowHeight="15" x14ac:dyDescent="0.25"/>
  <cols>
    <col min="1" max="1" width="30.140625" customWidth="1"/>
    <col min="2" max="2" width="23" customWidth="1"/>
    <col min="3" max="3" width="61.7109375" customWidth="1"/>
    <col min="4" max="4" width="18" customWidth="1"/>
    <col min="6" max="6" width="28.5703125" customWidth="1"/>
    <col min="7" max="7" width="99" customWidth="1"/>
    <col min="8" max="8" width="24.7109375" customWidth="1"/>
  </cols>
  <sheetData>
    <row r="1" spans="1:1" x14ac:dyDescent="0.25">
      <c r="A1" t="s">
        <v>213</v>
      </c>
    </row>
    <row r="3" spans="1:1" x14ac:dyDescent="0.25">
      <c r="A3" t="s">
        <v>146</v>
      </c>
    </row>
    <row r="4" spans="1:1" x14ac:dyDescent="0.25">
      <c r="A4" t="s">
        <v>199</v>
      </c>
    </row>
    <row r="5" spans="1:1" x14ac:dyDescent="0.25">
      <c r="A5" t="s">
        <v>198</v>
      </c>
    </row>
    <row r="6" spans="1:1" x14ac:dyDescent="0.25">
      <c r="A6" t="s">
        <v>214</v>
      </c>
    </row>
    <row r="7" spans="1:1" x14ac:dyDescent="0.25">
      <c r="A7" t="s">
        <v>2</v>
      </c>
    </row>
    <row r="8" spans="1:1" x14ac:dyDescent="0.25">
      <c r="A8" t="s">
        <v>280</v>
      </c>
    </row>
    <row r="9" spans="1:1" x14ac:dyDescent="0.25">
      <c r="A9" t="s">
        <v>590</v>
      </c>
    </row>
    <row r="10" spans="1:1" x14ac:dyDescent="0.25">
      <c r="A10" t="s">
        <v>216</v>
      </c>
    </row>
    <row r="11" spans="1:1" x14ac:dyDescent="0.25">
      <c r="A11" t="s">
        <v>301</v>
      </c>
    </row>
    <row r="12" spans="1:1" x14ac:dyDescent="0.25">
      <c r="A12" t="s">
        <v>338</v>
      </c>
    </row>
    <row r="13" spans="1:1" x14ac:dyDescent="0.25">
      <c r="A13" t="s">
        <v>219</v>
      </c>
    </row>
    <row r="14" spans="1:1" x14ac:dyDescent="0.25">
      <c r="A14" t="s">
        <v>217</v>
      </c>
    </row>
    <row r="15" spans="1:1" x14ac:dyDescent="0.25">
      <c r="A15" t="s">
        <v>218</v>
      </c>
    </row>
    <row r="16" spans="1:1" x14ac:dyDescent="0.25">
      <c r="A16" t="s">
        <v>201</v>
      </c>
    </row>
    <row r="17" spans="1:3" x14ac:dyDescent="0.25">
      <c r="A17" t="s">
        <v>202</v>
      </c>
    </row>
    <row r="18" spans="1:3" x14ac:dyDescent="0.25">
      <c r="A18" t="s">
        <v>204</v>
      </c>
    </row>
    <row r="19" spans="1:3" x14ac:dyDescent="0.25">
      <c r="A19" t="s">
        <v>203</v>
      </c>
    </row>
    <row r="20" spans="1:3" x14ac:dyDescent="0.25">
      <c r="A20" t="s">
        <v>229</v>
      </c>
    </row>
    <row r="21" spans="1:3" x14ac:dyDescent="0.25">
      <c r="A21" t="s">
        <v>228</v>
      </c>
    </row>
    <row r="22" spans="1:3" ht="45" customHeight="1" x14ac:dyDescent="0.25">
      <c r="A22" s="33" t="s">
        <v>263</v>
      </c>
      <c r="B22" s="34"/>
      <c r="C22" s="34"/>
    </row>
    <row r="23" spans="1:3" x14ac:dyDescent="0.25">
      <c r="A23" s="13"/>
      <c r="B23" s="14"/>
      <c r="C23" s="14"/>
    </row>
    <row r="24" spans="1:3" x14ac:dyDescent="0.25">
      <c r="A24" t="s">
        <v>359</v>
      </c>
      <c r="B24" s="14"/>
      <c r="C24" s="14"/>
    </row>
    <row r="25" spans="1:3" x14ac:dyDescent="0.25">
      <c r="A25" t="s">
        <v>360</v>
      </c>
      <c r="B25" s="14"/>
      <c r="C25" s="14"/>
    </row>
    <row r="26" spans="1:3" x14ac:dyDescent="0.25">
      <c r="A26" s="13"/>
      <c r="B26" s="14"/>
      <c r="C26" s="14"/>
    </row>
    <row r="28" spans="1:3" x14ac:dyDescent="0.25">
      <c r="B28" t="s">
        <v>4</v>
      </c>
    </row>
    <row r="29" spans="1:3" x14ac:dyDescent="0.25">
      <c r="A29" t="s">
        <v>220</v>
      </c>
      <c r="B29">
        <f>(15-1)/2+1</f>
        <v>8</v>
      </c>
      <c r="C29" s="12" t="s">
        <v>221</v>
      </c>
    </row>
    <row r="30" spans="1:3" ht="45" x14ac:dyDescent="0.25">
      <c r="A30" t="s">
        <v>222</v>
      </c>
      <c r="B30">
        <f>(1000-200)/100+1+(2000-1000)/200+(5000-2000)/500+(10000-5000)/1000+(20000-10000)/2000+(30000-20000)/5000</f>
        <v>32</v>
      </c>
      <c r="C30" s="1" t="s">
        <v>261</v>
      </c>
    </row>
    <row r="31" spans="1:3" x14ac:dyDescent="0.25">
      <c r="A31" t="s">
        <v>223</v>
      </c>
      <c r="B31">
        <f>(0.8-0.1)/0.1+1</f>
        <v>8</v>
      </c>
      <c r="C31" t="s">
        <v>224</v>
      </c>
    </row>
    <row r="32" spans="1:3" x14ac:dyDescent="0.25">
      <c r="A32" t="s">
        <v>225</v>
      </c>
      <c r="B32">
        <f>(300-20)/20+1</f>
        <v>15</v>
      </c>
      <c r="C32" t="s">
        <v>226</v>
      </c>
    </row>
    <row r="34" spans="1:3" ht="30" x14ac:dyDescent="0.25">
      <c r="A34" s="1" t="s">
        <v>23</v>
      </c>
      <c r="B34">
        <f>(4-0.5)/0.5+1</f>
        <v>8</v>
      </c>
    </row>
    <row r="35" spans="1:3" ht="30" x14ac:dyDescent="0.25">
      <c r="A35" s="1" t="s">
        <v>13</v>
      </c>
      <c r="B35">
        <v>1</v>
      </c>
      <c r="C35" t="s">
        <v>234</v>
      </c>
    </row>
    <row r="36" spans="1:3" x14ac:dyDescent="0.25">
      <c r="A36" t="s">
        <v>14</v>
      </c>
      <c r="B36">
        <v>3</v>
      </c>
      <c r="C36" t="s">
        <v>15</v>
      </c>
    </row>
    <row r="37" spans="1:3" x14ac:dyDescent="0.25">
      <c r="A37" t="s">
        <v>49</v>
      </c>
      <c r="B37">
        <v>1</v>
      </c>
      <c r="C37" t="s">
        <v>103</v>
      </c>
    </row>
    <row r="38" spans="1:3" x14ac:dyDescent="0.25">
      <c r="A38" t="s">
        <v>16</v>
      </c>
      <c r="B38">
        <f>(0.9-0.1)/0.1+1</f>
        <v>9</v>
      </c>
      <c r="C38" t="s">
        <v>22</v>
      </c>
    </row>
    <row r="41" spans="1:3" ht="45" x14ac:dyDescent="0.25">
      <c r="A41" s="1" t="s">
        <v>227</v>
      </c>
      <c r="B41">
        <f>$B$29*$B$30*$B$34*$B$36*$B$38</f>
        <v>55296</v>
      </c>
    </row>
    <row r="42" spans="1:3" ht="45" x14ac:dyDescent="0.25">
      <c r="A42" s="1" t="s">
        <v>243</v>
      </c>
      <c r="B42">
        <f>$B$31*$B$32*$B$34*$B$36*$B$38</f>
        <v>25920</v>
      </c>
    </row>
    <row r="43" spans="1:3" ht="45" x14ac:dyDescent="0.25">
      <c r="A43" s="1" t="s">
        <v>267</v>
      </c>
      <c r="B43">
        <f>$B$34*3</f>
        <v>24</v>
      </c>
    </row>
    <row r="45" spans="1:3" x14ac:dyDescent="0.25">
      <c r="A45" s="4" t="s">
        <v>44</v>
      </c>
    </row>
    <row r="46" spans="1:3" x14ac:dyDescent="0.25">
      <c r="A46" s="4"/>
    </row>
    <row r="47" spans="1:3" x14ac:dyDescent="0.25">
      <c r="A47" s="6" t="s">
        <v>89</v>
      </c>
      <c r="B47" t="s">
        <v>170</v>
      </c>
    </row>
    <row r="48" spans="1:3" x14ac:dyDescent="0.25">
      <c r="A48" s="6" t="s">
        <v>90</v>
      </c>
    </row>
    <row r="49" spans="1:9" x14ac:dyDescent="0.25">
      <c r="A49" s="4"/>
    </row>
    <row r="50" spans="1:9" ht="45" x14ac:dyDescent="0.25">
      <c r="A50" s="1" t="s">
        <v>230</v>
      </c>
      <c r="D50" s="1" t="s">
        <v>91</v>
      </c>
      <c r="E50" s="1" t="s">
        <v>73</v>
      </c>
      <c r="F50" t="s">
        <v>92</v>
      </c>
      <c r="G50" t="s">
        <v>93</v>
      </c>
      <c r="H50" s="1" t="s">
        <v>94</v>
      </c>
      <c r="I50" s="1" t="s">
        <v>96</v>
      </c>
    </row>
    <row r="51" spans="1:9" ht="75" x14ac:dyDescent="0.25">
      <c r="A51">
        <v>1</v>
      </c>
      <c r="B51" s="27" t="s">
        <v>491</v>
      </c>
      <c r="C51" s="28"/>
      <c r="D51">
        <f>8*5</f>
        <v>40</v>
      </c>
      <c r="E51">
        <f>8</f>
        <v>8</v>
      </c>
      <c r="F51" s="1" t="s">
        <v>538</v>
      </c>
      <c r="G51" s="1" t="s">
        <v>533</v>
      </c>
      <c r="H51" s="1" t="s">
        <v>97</v>
      </c>
      <c r="I51">
        <v>1</v>
      </c>
    </row>
    <row r="52" spans="1:9" x14ac:dyDescent="0.25">
      <c r="B52" s="27" t="s">
        <v>231</v>
      </c>
      <c r="C52" s="28"/>
    </row>
    <row r="53" spans="1:9" ht="165" x14ac:dyDescent="0.25">
      <c r="A53">
        <v>2</v>
      </c>
      <c r="C53" s="1" t="s">
        <v>492</v>
      </c>
      <c r="D53">
        <f>8*5*$B$34*$B$36</f>
        <v>960</v>
      </c>
      <c r="E53">
        <f>2*$B$34*$B$36</f>
        <v>48</v>
      </c>
      <c r="F53" s="1" t="s">
        <v>538</v>
      </c>
      <c r="G53" s="1" t="s">
        <v>556</v>
      </c>
      <c r="H53" s="1" t="s">
        <v>98</v>
      </c>
      <c r="I53">
        <v>3</v>
      </c>
    </row>
    <row r="54" spans="1:9" ht="165" x14ac:dyDescent="0.25">
      <c r="A54">
        <v>3</v>
      </c>
      <c r="C54" s="1" t="s">
        <v>493</v>
      </c>
      <c r="D54">
        <f>8*5*$B$34*$B$36</f>
        <v>960</v>
      </c>
      <c r="E54">
        <f>2*$B$34*$B$36</f>
        <v>48</v>
      </c>
      <c r="F54" s="1" t="s">
        <v>538</v>
      </c>
      <c r="G54" s="1" t="s">
        <v>556</v>
      </c>
      <c r="H54" s="1" t="s">
        <v>98</v>
      </c>
      <c r="I54">
        <v>3</v>
      </c>
    </row>
    <row r="55" spans="1:9" ht="60" x14ac:dyDescent="0.25">
      <c r="A55">
        <v>4</v>
      </c>
      <c r="C55" s="1" t="s">
        <v>232</v>
      </c>
      <c r="D55">
        <f>8*$B$34*$B$36*$B$29</f>
        <v>1536</v>
      </c>
      <c r="E55">
        <f>2*$B$34*$B$36</f>
        <v>48</v>
      </c>
      <c r="F55" s="1" t="s">
        <v>557</v>
      </c>
    </row>
    <row r="56" spans="1:9" ht="300" x14ac:dyDescent="0.25">
      <c r="A56">
        <v>5</v>
      </c>
      <c r="C56" s="1" t="s">
        <v>233</v>
      </c>
      <c r="D56">
        <f>8*$B$34*$B$36*$B$29</f>
        <v>1536</v>
      </c>
      <c r="E56">
        <f>2*$B$34*$B$36</f>
        <v>48</v>
      </c>
      <c r="F56" s="1" t="s">
        <v>557</v>
      </c>
      <c r="G56" s="1" t="s">
        <v>558</v>
      </c>
      <c r="H56" t="s">
        <v>98</v>
      </c>
      <c r="I56">
        <v>4</v>
      </c>
    </row>
    <row r="57" spans="1:9" ht="75.75" customHeight="1" x14ac:dyDescent="0.25">
      <c r="A57">
        <v>6</v>
      </c>
      <c r="B57" s="27" t="s">
        <v>494</v>
      </c>
      <c r="C57" s="28"/>
      <c r="D57">
        <f>5*8*$B$29</f>
        <v>320</v>
      </c>
      <c r="E57">
        <f>2</f>
        <v>2</v>
      </c>
      <c r="F57" s="1" t="s">
        <v>559</v>
      </c>
    </row>
    <row r="58" spans="1:9" ht="49.5" customHeight="1" x14ac:dyDescent="0.25">
      <c r="A58">
        <v>7</v>
      </c>
      <c r="B58" s="27" t="s">
        <v>495</v>
      </c>
      <c r="C58" s="28"/>
      <c r="D58">
        <f>5*8</f>
        <v>40</v>
      </c>
      <c r="E58">
        <v>2</v>
      </c>
      <c r="F58" s="1" t="s">
        <v>560</v>
      </c>
    </row>
    <row r="59" spans="1:9" ht="213" customHeight="1" x14ac:dyDescent="0.25">
      <c r="A59">
        <v>8</v>
      </c>
      <c r="B59" s="27" t="s">
        <v>496</v>
      </c>
      <c r="C59" s="27"/>
      <c r="D59">
        <f>5*8</f>
        <v>40</v>
      </c>
      <c r="E59">
        <v>2</v>
      </c>
      <c r="F59" s="1" t="s">
        <v>560</v>
      </c>
      <c r="G59" s="1" t="s">
        <v>561</v>
      </c>
      <c r="H59" t="s">
        <v>98</v>
      </c>
      <c r="I59">
        <v>1</v>
      </c>
    </row>
    <row r="60" spans="1:9" ht="61.5" customHeight="1" x14ac:dyDescent="0.25">
      <c r="A60">
        <v>9</v>
      </c>
      <c r="B60" s="27" t="s">
        <v>235</v>
      </c>
      <c r="C60" s="28"/>
      <c r="D60">
        <f>5*$B$29*$B$30</f>
        <v>1280</v>
      </c>
      <c r="E60">
        <f>$B$29*$B$30</f>
        <v>256</v>
      </c>
      <c r="F60" s="1" t="s">
        <v>236</v>
      </c>
    </row>
    <row r="61" spans="1:9" ht="30.75" customHeight="1" x14ac:dyDescent="0.25">
      <c r="A61">
        <v>10</v>
      </c>
      <c r="B61" s="27" t="s">
        <v>237</v>
      </c>
      <c r="C61" s="28"/>
      <c r="D61">
        <f>5*$B$29*$B$30</f>
        <v>1280</v>
      </c>
      <c r="E61">
        <f>$B$29*$B$30</f>
        <v>256</v>
      </c>
      <c r="F61" s="1" t="s">
        <v>238</v>
      </c>
      <c r="G61" s="1" t="s">
        <v>239</v>
      </c>
      <c r="H61" t="s">
        <v>98</v>
      </c>
      <c r="I61">
        <v>1</v>
      </c>
    </row>
    <row r="62" spans="1:9" x14ac:dyDescent="0.25">
      <c r="C62" s="11" t="s">
        <v>62</v>
      </c>
      <c r="D62">
        <f>SUM(D51:D61)</f>
        <v>7992</v>
      </c>
      <c r="E62">
        <f>SUM(E51:E61)</f>
        <v>718</v>
      </c>
      <c r="I62">
        <f>SUM(I51:I61)</f>
        <v>13</v>
      </c>
    </row>
    <row r="63" spans="1:9" x14ac:dyDescent="0.25">
      <c r="A63" t="s">
        <v>47</v>
      </c>
    </row>
    <row r="64" spans="1:9" x14ac:dyDescent="0.25">
      <c r="B64" t="s">
        <v>497</v>
      </c>
    </row>
    <row r="65" spans="1:9" x14ac:dyDescent="0.25">
      <c r="B65" t="s">
        <v>240</v>
      </c>
    </row>
    <row r="66" spans="1:9" x14ac:dyDescent="0.25">
      <c r="B66" t="s">
        <v>51</v>
      </c>
    </row>
    <row r="68" spans="1:9" ht="135" customHeight="1" x14ac:dyDescent="0.25">
      <c r="A68" s="27" t="s">
        <v>241</v>
      </c>
      <c r="B68" s="27"/>
      <c r="C68" s="27"/>
      <c r="D68" s="1" t="s">
        <v>91</v>
      </c>
      <c r="E68" s="1" t="s">
        <v>73</v>
      </c>
      <c r="F68" t="s">
        <v>92</v>
      </c>
      <c r="G68" t="s">
        <v>93</v>
      </c>
      <c r="H68" s="1" t="s">
        <v>94</v>
      </c>
      <c r="I68" s="1" t="s">
        <v>96</v>
      </c>
    </row>
    <row r="69" spans="1:9" ht="75" x14ac:dyDescent="0.25">
      <c r="A69">
        <v>11</v>
      </c>
      <c r="B69" s="27" t="s">
        <v>491</v>
      </c>
      <c r="C69" s="28"/>
      <c r="D69">
        <f>8*5</f>
        <v>40</v>
      </c>
      <c r="E69">
        <f>8</f>
        <v>8</v>
      </c>
      <c r="F69" t="s">
        <v>74</v>
      </c>
      <c r="G69" s="1" t="s">
        <v>533</v>
      </c>
      <c r="H69" s="1" t="s">
        <v>97</v>
      </c>
      <c r="I69">
        <v>1</v>
      </c>
    </row>
    <row r="70" spans="1:9" x14ac:dyDescent="0.25">
      <c r="B70" s="27" t="s">
        <v>231</v>
      </c>
      <c r="C70" s="28"/>
    </row>
    <row r="71" spans="1:9" ht="165" x14ac:dyDescent="0.25">
      <c r="A71">
        <v>12</v>
      </c>
      <c r="C71" s="1" t="s">
        <v>489</v>
      </c>
      <c r="D71">
        <f>8*5*$B$34*$B$36</f>
        <v>960</v>
      </c>
      <c r="E71">
        <f>2*$B$34*$B$36</f>
        <v>48</v>
      </c>
      <c r="F71" s="1" t="s">
        <v>538</v>
      </c>
      <c r="G71" s="1" t="s">
        <v>556</v>
      </c>
      <c r="H71" s="1" t="s">
        <v>98</v>
      </c>
      <c r="I71">
        <v>3</v>
      </c>
    </row>
    <row r="72" spans="1:9" ht="75" x14ac:dyDescent="0.25">
      <c r="A72">
        <v>13</v>
      </c>
      <c r="B72" s="27" t="s">
        <v>237</v>
      </c>
      <c r="C72" s="28"/>
      <c r="D72">
        <f>5*$B$31*$B$32</f>
        <v>600</v>
      </c>
      <c r="E72">
        <f>$B$31*$B$32</f>
        <v>120</v>
      </c>
      <c r="F72" s="1" t="s">
        <v>238</v>
      </c>
      <c r="G72" s="1" t="s">
        <v>242</v>
      </c>
      <c r="H72" s="1" t="s">
        <v>98</v>
      </c>
      <c r="I72">
        <v>2</v>
      </c>
    </row>
    <row r="73" spans="1:9" x14ac:dyDescent="0.25">
      <c r="C73" s="11" t="s">
        <v>62</v>
      </c>
      <c r="D73">
        <f>SUM(D69:D72)</f>
        <v>1600</v>
      </c>
      <c r="E73">
        <f>SUM(E69:E72)</f>
        <v>176</v>
      </c>
      <c r="I73">
        <f>SUM(I69:I72)</f>
        <v>6</v>
      </c>
    </row>
    <row r="74" spans="1:9" x14ac:dyDescent="0.25">
      <c r="A74" t="s">
        <v>47</v>
      </c>
    </row>
    <row r="75" spans="1:9" x14ac:dyDescent="0.25">
      <c r="B75" t="s">
        <v>498</v>
      </c>
    </row>
    <row r="76" spans="1:9" x14ac:dyDescent="0.25">
      <c r="B76" t="s">
        <v>51</v>
      </c>
    </row>
    <row r="78" spans="1:9" ht="60" customHeight="1" x14ac:dyDescent="0.25">
      <c r="A78" s="27" t="s">
        <v>264</v>
      </c>
      <c r="B78" s="27"/>
      <c r="C78" s="27"/>
      <c r="D78" s="1" t="s">
        <v>91</v>
      </c>
      <c r="E78" s="1" t="s">
        <v>73</v>
      </c>
      <c r="F78" t="s">
        <v>92</v>
      </c>
      <c r="G78" t="s">
        <v>93</v>
      </c>
      <c r="H78" s="1" t="s">
        <v>94</v>
      </c>
      <c r="I78" s="1" t="s">
        <v>96</v>
      </c>
    </row>
    <row r="79" spans="1:9" ht="132.75" customHeight="1" x14ac:dyDescent="0.25">
      <c r="A79">
        <v>14</v>
      </c>
      <c r="B79" s="27" t="s">
        <v>499</v>
      </c>
      <c r="C79" s="28"/>
      <c r="D79">
        <f>$B$34*8*5</f>
        <v>320</v>
      </c>
      <c r="E79">
        <f>$B$34*2</f>
        <v>16</v>
      </c>
      <c r="F79" s="1" t="s">
        <v>538</v>
      </c>
      <c r="G79" s="1" t="s">
        <v>562</v>
      </c>
      <c r="H79" s="1" t="s">
        <v>265</v>
      </c>
      <c r="I79">
        <v>1</v>
      </c>
    </row>
    <row r="80" spans="1:9" ht="30" customHeight="1" x14ac:dyDescent="0.25">
      <c r="A80">
        <v>15</v>
      </c>
      <c r="B80" s="27" t="s">
        <v>266</v>
      </c>
      <c r="C80" s="28"/>
      <c r="D80">
        <v>1</v>
      </c>
      <c r="E80">
        <v>1</v>
      </c>
    </row>
    <row r="81" spans="1:9" x14ac:dyDescent="0.25">
      <c r="C81" s="11" t="s">
        <v>62</v>
      </c>
      <c r="D81">
        <f>SUM(D79:D80)</f>
        <v>321</v>
      </c>
      <c r="E81">
        <f>SUM(E79:E80)</f>
        <v>17</v>
      </c>
      <c r="I81">
        <f>SUM(I79:I80)</f>
        <v>1</v>
      </c>
    </row>
    <row r="82" spans="1:9" x14ac:dyDescent="0.25">
      <c r="A82" t="s">
        <v>47</v>
      </c>
    </row>
    <row r="83" spans="1:9" x14ac:dyDescent="0.25">
      <c r="B83" t="s">
        <v>500</v>
      </c>
    </row>
    <row r="84" spans="1:9" x14ac:dyDescent="0.25">
      <c r="B84" t="s">
        <v>51</v>
      </c>
    </row>
    <row r="89" spans="1:9" x14ac:dyDescent="0.25">
      <c r="A89" t="s">
        <v>25</v>
      </c>
      <c r="B89" t="s">
        <v>27</v>
      </c>
      <c r="C89" t="s">
        <v>28</v>
      </c>
      <c r="D89" t="s">
        <v>30</v>
      </c>
    </row>
    <row r="90" spans="1:9" x14ac:dyDescent="0.25">
      <c r="A90" t="s">
        <v>39</v>
      </c>
      <c r="B90">
        <f>150*30*$B$36*$B$38</f>
        <v>121500</v>
      </c>
      <c r="C90" s="2">
        <f>B90/3600</f>
        <v>33.75</v>
      </c>
      <c r="D90">
        <f>ROUNDUP(2*C90/24,0)/2</f>
        <v>1.5</v>
      </c>
    </row>
    <row r="91" spans="1:9" x14ac:dyDescent="0.25">
      <c r="A91" t="s">
        <v>40</v>
      </c>
      <c r="B91">
        <f>150*20*$B$36*$B$38*$B$34</f>
        <v>648000</v>
      </c>
      <c r="C91" s="2">
        <f>B91/3600</f>
        <v>180</v>
      </c>
      <c r="D91">
        <f t="shared" ref="D91:D94" si="0">ROUNDUP(2*C91/24,0)/2</f>
        <v>7.5</v>
      </c>
    </row>
    <row r="92" spans="1:9" ht="45" x14ac:dyDescent="0.25">
      <c r="A92" s="1" t="s">
        <v>227</v>
      </c>
      <c r="B92">
        <f>150*$B$41*1</f>
        <v>8294400</v>
      </c>
      <c r="C92" s="2">
        <f t="shared" ref="C92:C94" si="1">B92/3600</f>
        <v>2304</v>
      </c>
      <c r="D92">
        <f t="shared" si="0"/>
        <v>96</v>
      </c>
    </row>
    <row r="93" spans="1:9" ht="45" x14ac:dyDescent="0.25">
      <c r="A93" s="1" t="s">
        <v>243</v>
      </c>
      <c r="B93">
        <f>150*$B$42*1</f>
        <v>3888000</v>
      </c>
      <c r="C93" s="2">
        <f t="shared" si="1"/>
        <v>1080</v>
      </c>
      <c r="D93">
        <f t="shared" si="0"/>
        <v>45</v>
      </c>
    </row>
    <row r="94" spans="1:9" ht="45" x14ac:dyDescent="0.25">
      <c r="A94" s="1" t="s">
        <v>267</v>
      </c>
      <c r="B94">
        <f>50*$B$34*2</f>
        <v>800</v>
      </c>
      <c r="C94" s="2">
        <f t="shared" si="1"/>
        <v>0.22222222222222221</v>
      </c>
      <c r="D94">
        <f t="shared" si="0"/>
        <v>0.5</v>
      </c>
    </row>
    <row r="96" spans="1:9" ht="45" x14ac:dyDescent="0.25">
      <c r="A96" s="1" t="s">
        <v>244</v>
      </c>
      <c r="B96">
        <f>10*$B$41*0.1</f>
        <v>55296</v>
      </c>
      <c r="C96" s="2">
        <f>B96/3600</f>
        <v>15.36</v>
      </c>
      <c r="D96">
        <f>ROUNDUP(2*C96/24,0)/2</f>
        <v>1</v>
      </c>
    </row>
    <row r="97" spans="1:4" ht="45" x14ac:dyDescent="0.25">
      <c r="A97" s="1" t="s">
        <v>245</v>
      </c>
      <c r="B97">
        <f>3*$B$42*0.1</f>
        <v>7776</v>
      </c>
      <c r="C97" s="2">
        <f t="shared" ref="C97:C99" si="2">B97/3600</f>
        <v>2.16</v>
      </c>
      <c r="D97">
        <f>ROUNDUP(2*C97/24,0)/2</f>
        <v>0.5</v>
      </c>
    </row>
    <row r="98" spans="1:4" ht="45" x14ac:dyDescent="0.25">
      <c r="A98" s="1" t="s">
        <v>268</v>
      </c>
      <c r="B98">
        <f>2*$B$43*0.1</f>
        <v>4.8000000000000007</v>
      </c>
      <c r="C98" s="2">
        <f t="shared" si="2"/>
        <v>1.3333333333333335E-3</v>
      </c>
      <c r="D98">
        <f t="shared" ref="D98:D104" si="3">ROUNDUP(4*C98/24,0)/4</f>
        <v>0.25</v>
      </c>
    </row>
    <row r="99" spans="1:4" ht="45" x14ac:dyDescent="0.25">
      <c r="A99" s="1" t="s">
        <v>247</v>
      </c>
      <c r="B99">
        <f>$D$62*0.2</f>
        <v>1598.4</v>
      </c>
      <c r="C99" s="2">
        <f t="shared" si="2"/>
        <v>0.44400000000000001</v>
      </c>
      <c r="D99">
        <f t="shared" si="3"/>
        <v>0.25</v>
      </c>
    </row>
    <row r="100" spans="1:4" ht="45" x14ac:dyDescent="0.25">
      <c r="A100" s="1" t="s">
        <v>246</v>
      </c>
      <c r="B100">
        <f>$D$73*0.2</f>
        <v>320</v>
      </c>
      <c r="C100" s="2">
        <f>B100/3600</f>
        <v>8.8888888888888892E-2</v>
      </c>
      <c r="D100">
        <f t="shared" si="3"/>
        <v>0.25</v>
      </c>
    </row>
    <row r="101" spans="1:4" ht="45" x14ac:dyDescent="0.25">
      <c r="A101" s="1" t="s">
        <v>269</v>
      </c>
      <c r="B101">
        <f>$D$81*0.2</f>
        <v>64.2</v>
      </c>
      <c r="C101" s="2">
        <f>B101/3600</f>
        <v>1.7833333333333333E-2</v>
      </c>
      <c r="D101">
        <f t="shared" si="3"/>
        <v>0.25</v>
      </c>
    </row>
    <row r="102" spans="1:4" ht="45" x14ac:dyDescent="0.25">
      <c r="A102" s="1" t="s">
        <v>248</v>
      </c>
      <c r="B102">
        <f>$E$62*12</f>
        <v>8616</v>
      </c>
      <c r="C102" s="2">
        <f>B102/3600</f>
        <v>2.3933333333333335</v>
      </c>
      <c r="D102">
        <f t="shared" si="3"/>
        <v>0.25</v>
      </c>
    </row>
    <row r="103" spans="1:4" ht="45" x14ac:dyDescent="0.25">
      <c r="A103" s="1" t="s">
        <v>249</v>
      </c>
      <c r="B103">
        <f>$E$73*12</f>
        <v>2112</v>
      </c>
      <c r="C103" s="2">
        <f>B103/3600</f>
        <v>0.58666666666666667</v>
      </c>
      <c r="D103">
        <f t="shared" si="3"/>
        <v>0.25</v>
      </c>
    </row>
    <row r="104" spans="1:4" ht="45" x14ac:dyDescent="0.25">
      <c r="A104" s="1" t="s">
        <v>270</v>
      </c>
      <c r="B104">
        <f>$E$81*12</f>
        <v>204</v>
      </c>
      <c r="C104" s="2">
        <f>B104/3600</f>
        <v>5.6666666666666664E-2</v>
      </c>
      <c r="D104">
        <f t="shared" si="3"/>
        <v>0.25</v>
      </c>
    </row>
    <row r="106" spans="1:4" ht="30" x14ac:dyDescent="0.25">
      <c r="A106" s="1" t="s">
        <v>120</v>
      </c>
      <c r="D106">
        <f>SUM(D90:D104)</f>
        <v>153.75</v>
      </c>
    </row>
    <row r="107" spans="1:4" x14ac:dyDescent="0.25">
      <c r="A107" s="1" t="s">
        <v>123</v>
      </c>
      <c r="D107">
        <f>ROUNDUP(4*D106/'USAC-testing'!$B$141,0)/4</f>
        <v>2.25</v>
      </c>
    </row>
    <row r="109" spans="1:4" ht="30" x14ac:dyDescent="0.25">
      <c r="A109" s="1" t="s">
        <v>119</v>
      </c>
      <c r="B109">
        <v>1.5</v>
      </c>
      <c r="D109" s="3"/>
    </row>
    <row r="110" spans="1:4" x14ac:dyDescent="0.25">
      <c r="A110" s="1"/>
      <c r="D110" s="3"/>
    </row>
    <row r="111" spans="1:4" ht="30" x14ac:dyDescent="0.25">
      <c r="A111" s="1" t="s">
        <v>125</v>
      </c>
      <c r="D111" s="6">
        <v>0.5</v>
      </c>
    </row>
    <row r="112" spans="1:4" x14ac:dyDescent="0.25">
      <c r="A112" s="1"/>
      <c r="D112" s="3"/>
    </row>
    <row r="113" spans="1:4" x14ac:dyDescent="0.25">
      <c r="A113" s="1" t="s">
        <v>124</v>
      </c>
      <c r="D113" s="3">
        <f>(D107+D111)*B109</f>
        <v>4.125</v>
      </c>
    </row>
    <row r="115" spans="1:4" x14ac:dyDescent="0.25">
      <c r="A115" s="1" t="s">
        <v>180</v>
      </c>
      <c r="C115">
        <v>4</v>
      </c>
      <c r="D115">
        <f>ROUNDUP(4*C115/8,0)/4</f>
        <v>0.5</v>
      </c>
    </row>
    <row r="116" spans="1:4" x14ac:dyDescent="0.25">
      <c r="A116" s="1" t="s">
        <v>181</v>
      </c>
      <c r="B116">
        <f>($I$62+$I$73+$I$81)*60*5</f>
        <v>6000</v>
      </c>
      <c r="C116" s="2">
        <f>B116/3600</f>
        <v>1.6666666666666667</v>
      </c>
      <c r="D116">
        <f>ROUNDUP(4*C116/8,0)/4</f>
        <v>0.25</v>
      </c>
    </row>
    <row r="117" spans="1:4" x14ac:dyDescent="0.25">
      <c r="C117" s="11" t="s">
        <v>62</v>
      </c>
      <c r="D117" s="3">
        <f>SUM(D115:D116)</f>
        <v>0.75</v>
      </c>
    </row>
    <row r="118" spans="1:4" x14ac:dyDescent="0.25">
      <c r="C118" s="11"/>
      <c r="D118" s="3"/>
    </row>
    <row r="119" spans="1:4" x14ac:dyDescent="0.25">
      <c r="A119" s="1" t="s">
        <v>143</v>
      </c>
      <c r="C119">
        <f>MIN((B109+1),ROUNDDOWN($D$71,0))*15</f>
        <v>37.5</v>
      </c>
      <c r="D119">
        <f>ROUNDUP(4*C119/24,0)/4</f>
        <v>1.75</v>
      </c>
    </row>
    <row r="120" spans="1:4" x14ac:dyDescent="0.25">
      <c r="A120" s="1"/>
    </row>
    <row r="121" spans="1:4" x14ac:dyDescent="0.25">
      <c r="A121" t="s">
        <v>126</v>
      </c>
      <c r="D121">
        <f>D113+D117+D119</f>
        <v>6.625</v>
      </c>
    </row>
    <row r="122" spans="1:4" ht="30" x14ac:dyDescent="0.25">
      <c r="A122" s="10" t="s">
        <v>127</v>
      </c>
      <c r="D122" s="9">
        <f>ROUNDDOWN(D121/5,0)*7+(D121-ROUNDDOWN(D121/5,0)*5)</f>
        <v>8.625</v>
      </c>
    </row>
    <row r="124" spans="1:4" ht="30" x14ac:dyDescent="0.25">
      <c r="A124" s="1" t="s">
        <v>252</v>
      </c>
      <c r="B124">
        <f>((150*$B$35*$B$36*$B$38*$B$37)*(3380+130*0.5*500+22*0.5*500))/(10^9)+(150*$B$35*$B$36*$B$38*$B$37)*5/(10^6)</f>
        <v>0.18783899999999998</v>
      </c>
    </row>
    <row r="125" spans="1:4" ht="45" x14ac:dyDescent="0.25">
      <c r="A125" s="1" t="s">
        <v>257</v>
      </c>
      <c r="B125">
        <f>((150*$B$35*$B$36*$B$38*$B$37)*(120+45*0.5*500))/(10^9)</f>
        <v>4.6048499999999999E-2</v>
      </c>
    </row>
    <row r="126" spans="1:4" ht="45" x14ac:dyDescent="0.25">
      <c r="A126" s="1" t="s">
        <v>258</v>
      </c>
      <c r="B126">
        <f>150*2*B35*B36*B37*B38*(120+45*0.2*500)/(10^9)</f>
        <v>3.7421999999999997E-2</v>
      </c>
    </row>
    <row r="127" spans="1:4" ht="30" x14ac:dyDescent="0.25">
      <c r="A127" s="1" t="s">
        <v>253</v>
      </c>
      <c r="B127">
        <f>(150*$B$38*$B$36*$B$35*$B$34*$B$37)*(1180+554*500)/(10^9)+(150*$B$38*$B$36*$B$35*$B$34*$B$37)*5/(10^6)</f>
        <v>9.1750320000000016</v>
      </c>
    </row>
    <row r="128" spans="1:4" x14ac:dyDescent="0.25">
      <c r="A128" t="s">
        <v>259</v>
      </c>
      <c r="B128">
        <f>(150*$B$38*$B$36*$B$35*$B$34*$B$37)*(115+500*(6+(2*5+10)+2*(2*8+12+8+5+3+4)))/(10^9)</f>
        <v>1.9801260000000001</v>
      </c>
    </row>
    <row r="129" spans="1:2" x14ac:dyDescent="0.25">
      <c r="A129" t="s">
        <v>254</v>
      </c>
      <c r="B129">
        <f>(150*$B$41+150*$B$42+50*$B$34)*(5*8*20+3*20+2*20+2*20+200)/(10^9)</f>
        <v>13.888392</v>
      </c>
    </row>
    <row r="130" spans="1:2" x14ac:dyDescent="0.25">
      <c r="A130" s="1" t="s">
        <v>260</v>
      </c>
      <c r="B130">
        <f>(10*$B$41+3*$B$42+2*$B$43)*(5*8*20+10*20+200)/(10^9)</f>
        <v>0.75692159999999997</v>
      </c>
    </row>
    <row r="131" spans="1:2" x14ac:dyDescent="0.25">
      <c r="A131" t="s">
        <v>255</v>
      </c>
      <c r="B131">
        <f>($D$73+$D$62+$D$81)*250/(10^6)</f>
        <v>2.4782500000000001</v>
      </c>
    </row>
    <row r="132" spans="1:2" x14ac:dyDescent="0.25">
      <c r="A132" t="s">
        <v>256</v>
      </c>
      <c r="B132">
        <f>($E$62+$E$73+$E$81)/1000</f>
        <v>0.91100000000000003</v>
      </c>
    </row>
    <row r="133" spans="1:2" x14ac:dyDescent="0.25">
      <c r="A133" s="8" t="s">
        <v>144</v>
      </c>
      <c r="B133" s="8">
        <f>ROUNDUP(SUM(B124:B132)/5,0)*5</f>
        <v>30</v>
      </c>
    </row>
  </sheetData>
  <mergeCells count="15">
    <mergeCell ref="B59:C59"/>
    <mergeCell ref="B60:C60"/>
    <mergeCell ref="A22:C22"/>
    <mergeCell ref="B51:C51"/>
    <mergeCell ref="B52:C52"/>
    <mergeCell ref="B57:C57"/>
    <mergeCell ref="B58:C58"/>
    <mergeCell ref="A78:C78"/>
    <mergeCell ref="B79:C79"/>
    <mergeCell ref="B80:C80"/>
    <mergeCell ref="B61:C61"/>
    <mergeCell ref="B69:C69"/>
    <mergeCell ref="B70:C70"/>
    <mergeCell ref="A68:C68"/>
    <mergeCell ref="B72:C7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190" workbookViewId="0">
      <selection activeCell="C33" sqref="C33:D33"/>
    </sheetView>
  </sheetViews>
  <sheetFormatPr baseColWidth="10" defaultRowHeight="15" x14ac:dyDescent="0.25"/>
  <cols>
    <col min="1" max="1" width="29.7109375" customWidth="1"/>
    <col min="2" max="2" width="28.42578125" customWidth="1"/>
    <col min="3" max="3" width="90.7109375" customWidth="1"/>
    <col min="4" max="4" width="25.28515625" customWidth="1"/>
    <col min="6" max="6" width="27.5703125" customWidth="1"/>
    <col min="7" max="7" width="127.140625" customWidth="1"/>
    <col min="8" max="8" width="70.85546875" customWidth="1"/>
  </cols>
  <sheetData>
    <row r="1" spans="1:2" x14ac:dyDescent="0.25">
      <c r="A1" s="3" t="s">
        <v>271</v>
      </c>
    </row>
    <row r="3" spans="1:2" x14ac:dyDescent="0.25">
      <c r="A3" t="s">
        <v>146</v>
      </c>
    </row>
    <row r="4" spans="1:2" x14ac:dyDescent="0.25">
      <c r="A4" t="s">
        <v>199</v>
      </c>
    </row>
    <row r="5" spans="1:2" x14ac:dyDescent="0.25">
      <c r="A5" t="s">
        <v>198</v>
      </c>
    </row>
    <row r="6" spans="1:2" x14ac:dyDescent="0.25">
      <c r="A6" t="s">
        <v>214</v>
      </c>
    </row>
    <row r="7" spans="1:2" x14ac:dyDescent="0.25">
      <c r="A7" t="s">
        <v>272</v>
      </c>
    </row>
    <row r="8" spans="1:2" x14ac:dyDescent="0.25">
      <c r="A8" t="s">
        <v>2</v>
      </c>
    </row>
    <row r="9" spans="1:2" x14ac:dyDescent="0.25">
      <c r="A9" t="s">
        <v>310</v>
      </c>
    </row>
    <row r="10" spans="1:2" x14ac:dyDescent="0.25">
      <c r="A10" t="s">
        <v>278</v>
      </c>
    </row>
    <row r="11" spans="1:2" x14ac:dyDescent="0.25">
      <c r="B11" t="s">
        <v>279</v>
      </c>
    </row>
    <row r="12" spans="1:2" x14ac:dyDescent="0.25">
      <c r="A12" t="s">
        <v>281</v>
      </c>
    </row>
    <row r="13" spans="1:2" x14ac:dyDescent="0.25">
      <c r="A13" t="s">
        <v>298</v>
      </c>
    </row>
    <row r="14" spans="1:2" x14ac:dyDescent="0.25">
      <c r="A14" t="s">
        <v>299</v>
      </c>
    </row>
    <row r="15" spans="1:2" x14ac:dyDescent="0.25">
      <c r="A15" t="s">
        <v>358</v>
      </c>
    </row>
    <row r="17" spans="1:4" x14ac:dyDescent="0.25">
      <c r="A17" t="s">
        <v>275</v>
      </c>
    </row>
    <row r="18" spans="1:4" x14ac:dyDescent="0.25">
      <c r="A18" t="s">
        <v>217</v>
      </c>
    </row>
    <row r="19" spans="1:4" x14ac:dyDescent="0.25">
      <c r="A19" t="s">
        <v>301</v>
      </c>
    </row>
    <row r="20" spans="1:4" x14ac:dyDescent="0.25">
      <c r="A20" t="s">
        <v>338</v>
      </c>
    </row>
    <row r="22" spans="1:4" x14ac:dyDescent="0.25">
      <c r="A22" t="s">
        <v>359</v>
      </c>
    </row>
    <row r="23" spans="1:4" x14ac:dyDescent="0.25">
      <c r="A23" t="s">
        <v>360</v>
      </c>
    </row>
    <row r="26" spans="1:4" x14ac:dyDescent="0.25">
      <c r="B26" t="s">
        <v>4</v>
      </c>
    </row>
    <row r="27" spans="1:4" ht="30" x14ac:dyDescent="0.25">
      <c r="A27" s="1" t="s">
        <v>307</v>
      </c>
      <c r="B27">
        <f>(3.5-0.5)/1+1</f>
        <v>4</v>
      </c>
    </row>
    <row r="28" spans="1:4" ht="30" x14ac:dyDescent="0.25">
      <c r="A28" s="1" t="s">
        <v>13</v>
      </c>
      <c r="B28">
        <v>1</v>
      </c>
      <c r="C28" t="s">
        <v>274</v>
      </c>
    </row>
    <row r="29" spans="1:4" x14ac:dyDescent="0.25">
      <c r="A29" t="s">
        <v>14</v>
      </c>
      <c r="B29">
        <v>2</v>
      </c>
      <c r="C29" t="s">
        <v>273</v>
      </c>
    </row>
    <row r="30" spans="1:4" x14ac:dyDescent="0.25">
      <c r="A30" t="s">
        <v>49</v>
      </c>
      <c r="B30">
        <v>2</v>
      </c>
      <c r="C30" t="s">
        <v>591</v>
      </c>
    </row>
    <row r="31" spans="1:4" x14ac:dyDescent="0.25">
      <c r="A31" t="s">
        <v>16</v>
      </c>
      <c r="B31">
        <f>(0.7-0.1)/0.15+1+1</f>
        <v>6</v>
      </c>
      <c r="C31" t="s">
        <v>305</v>
      </c>
    </row>
    <row r="32" spans="1:4" ht="138" customHeight="1" x14ac:dyDescent="0.25">
      <c r="A32" s="1" t="s">
        <v>276</v>
      </c>
      <c r="B32">
        <v>4</v>
      </c>
      <c r="C32" s="27" t="s">
        <v>306</v>
      </c>
      <c r="D32" s="27"/>
    </row>
    <row r="33" spans="1:4" ht="213.75" customHeight="1" x14ac:dyDescent="0.25">
      <c r="A33" s="1" t="s">
        <v>277</v>
      </c>
      <c r="B33">
        <v>14</v>
      </c>
      <c r="C33" s="27" t="s">
        <v>308</v>
      </c>
      <c r="D33" s="27"/>
    </row>
    <row r="35" spans="1:4" x14ac:dyDescent="0.25">
      <c r="A35" t="s">
        <v>282</v>
      </c>
      <c r="B35">
        <f>(0.5-0.1)/0.1+1</f>
        <v>5</v>
      </c>
      <c r="C35" t="s">
        <v>285</v>
      </c>
    </row>
    <row r="36" spans="1:4" x14ac:dyDescent="0.25">
      <c r="A36" t="s">
        <v>283</v>
      </c>
      <c r="B36">
        <f>(0.55-0.05)/0.1+1</f>
        <v>6</v>
      </c>
      <c r="C36" t="s">
        <v>286</v>
      </c>
    </row>
    <row r="37" spans="1:4" x14ac:dyDescent="0.25">
      <c r="A37" t="s">
        <v>284</v>
      </c>
      <c r="B37">
        <f>(0.55-0.1)/0.075+1</f>
        <v>7.0000000000000009</v>
      </c>
      <c r="C37" t="s">
        <v>287</v>
      </c>
    </row>
    <row r="38" spans="1:4" x14ac:dyDescent="0.25">
      <c r="A38" t="s">
        <v>288</v>
      </c>
      <c r="B38">
        <f>(0.8-0.3)/0.1+1</f>
        <v>6</v>
      </c>
      <c r="C38" t="s">
        <v>289</v>
      </c>
    </row>
    <row r="39" spans="1:4" x14ac:dyDescent="0.25">
      <c r="A39" t="s">
        <v>592</v>
      </c>
      <c r="B39">
        <f>(0.8-0.4)/0.1+1</f>
        <v>5</v>
      </c>
      <c r="C39" t="s">
        <v>593</v>
      </c>
    </row>
    <row r="41" spans="1:4" x14ac:dyDescent="0.25">
      <c r="A41" t="s">
        <v>328</v>
      </c>
    </row>
    <row r="42" spans="1:4" x14ac:dyDescent="0.25">
      <c r="A42" t="s">
        <v>292</v>
      </c>
      <c r="B42">
        <v>6</v>
      </c>
      <c r="C42" s="12" t="s">
        <v>336</v>
      </c>
    </row>
    <row r="43" spans="1:4" x14ac:dyDescent="0.25">
      <c r="C43" s="12"/>
    </row>
    <row r="44" spans="1:4" x14ac:dyDescent="0.25">
      <c r="A44" t="s">
        <v>342</v>
      </c>
      <c r="C44" s="12"/>
    </row>
    <row r="46" spans="1:4" x14ac:dyDescent="0.25">
      <c r="A46" t="s">
        <v>300</v>
      </c>
    </row>
    <row r="47" spans="1:4" x14ac:dyDescent="0.25">
      <c r="A47" t="s">
        <v>290</v>
      </c>
      <c r="B47">
        <v>3</v>
      </c>
      <c r="C47" s="12" t="s">
        <v>291</v>
      </c>
    </row>
    <row r="48" spans="1:4" x14ac:dyDescent="0.25">
      <c r="A48" t="s">
        <v>293</v>
      </c>
      <c r="B48">
        <f>(0.75-0.25)/0.1+1</f>
        <v>6</v>
      </c>
      <c r="C48" t="s">
        <v>294</v>
      </c>
    </row>
    <row r="49" spans="1:3" x14ac:dyDescent="0.25">
      <c r="A49" t="s">
        <v>295</v>
      </c>
      <c r="B49">
        <f>(0.5-0.05)/0.075+1</f>
        <v>7</v>
      </c>
      <c r="C49" t="s">
        <v>350</v>
      </c>
    </row>
    <row r="52" spans="1:3" x14ac:dyDescent="0.25">
      <c r="A52" t="s">
        <v>296</v>
      </c>
    </row>
    <row r="53" spans="1:3" x14ac:dyDescent="0.25">
      <c r="A53" t="s">
        <v>297</v>
      </c>
      <c r="B53">
        <v>2</v>
      </c>
      <c r="C53" t="s">
        <v>185</v>
      </c>
    </row>
    <row r="56" spans="1:3" ht="30" x14ac:dyDescent="0.25">
      <c r="A56" s="1" t="s">
        <v>302</v>
      </c>
      <c r="B56">
        <f>$B$35*$B$36*$B$37*$B$38*$B$27*$B$29*$B$31*$B$32*$B$39</f>
        <v>1209600.0000000002</v>
      </c>
    </row>
    <row r="57" spans="1:3" ht="30" x14ac:dyDescent="0.25">
      <c r="A57" s="1" t="s">
        <v>329</v>
      </c>
      <c r="B57">
        <f>$B$42*$B$27*$B$29*$B$31*$B$32</f>
        <v>1152</v>
      </c>
    </row>
    <row r="58" spans="1:3" ht="30" x14ac:dyDescent="0.25">
      <c r="A58" s="1" t="s">
        <v>343</v>
      </c>
      <c r="B58">
        <f>$B$27*$B$29*$B$31*$B$32</f>
        <v>192</v>
      </c>
    </row>
    <row r="59" spans="1:3" ht="30" x14ac:dyDescent="0.25">
      <c r="A59" s="1" t="s">
        <v>303</v>
      </c>
      <c r="B59">
        <f>$B$47*$B$48*$B$49*$B$27*$B$29*$B$31*$B$32</f>
        <v>24192</v>
      </c>
    </row>
    <row r="60" spans="1:3" ht="30" x14ac:dyDescent="0.25">
      <c r="A60" s="1" t="s">
        <v>304</v>
      </c>
      <c r="B60">
        <f>$B$53*$B$27*$B$29*$B$31*$B$32</f>
        <v>384</v>
      </c>
    </row>
    <row r="61" spans="1:3" ht="30" x14ac:dyDescent="0.25">
      <c r="A61" s="1" t="s">
        <v>309</v>
      </c>
      <c r="B61">
        <f>$B$27*$B$29*$B$31*$B$33</f>
        <v>672</v>
      </c>
    </row>
    <row r="62" spans="1:3" x14ac:dyDescent="0.25">
      <c r="A62" s="1"/>
    </row>
    <row r="63" spans="1:3" x14ac:dyDescent="0.25">
      <c r="A63" s="1"/>
    </row>
    <row r="64" spans="1:3" x14ac:dyDescent="0.25">
      <c r="A64" s="4" t="s">
        <v>44</v>
      </c>
    </row>
    <row r="65" spans="1:9" x14ac:dyDescent="0.25">
      <c r="A65" s="4"/>
    </row>
    <row r="66" spans="1:9" x14ac:dyDescent="0.25">
      <c r="A66" s="6" t="s">
        <v>89</v>
      </c>
      <c r="B66" t="s">
        <v>170</v>
      </c>
    </row>
    <row r="67" spans="1:9" x14ac:dyDescent="0.25">
      <c r="A67" s="6" t="s">
        <v>90</v>
      </c>
    </row>
    <row r="68" spans="1:9" x14ac:dyDescent="0.25">
      <c r="A68" s="4"/>
    </row>
    <row r="69" spans="1:9" ht="45" x14ac:dyDescent="0.25">
      <c r="A69" s="1" t="s">
        <v>311</v>
      </c>
      <c r="D69" s="1" t="s">
        <v>91</v>
      </c>
      <c r="E69" s="1" t="s">
        <v>73</v>
      </c>
      <c r="F69" t="s">
        <v>92</v>
      </c>
      <c r="G69" t="s">
        <v>93</v>
      </c>
      <c r="H69" s="1" t="s">
        <v>94</v>
      </c>
      <c r="I69" s="1" t="s">
        <v>96</v>
      </c>
    </row>
    <row r="70" spans="1:9" ht="30" x14ac:dyDescent="0.25">
      <c r="B70" s="1" t="s">
        <v>312</v>
      </c>
      <c r="C70" s="15"/>
    </row>
    <row r="71" spans="1:9" ht="105" x14ac:dyDescent="0.25">
      <c r="A71">
        <v>1</v>
      </c>
      <c r="C71" s="1" t="s">
        <v>521</v>
      </c>
      <c r="D71">
        <v>0</v>
      </c>
      <c r="E71">
        <v>0</v>
      </c>
      <c r="F71" s="1" t="s">
        <v>313</v>
      </c>
      <c r="G71" s="1" t="s">
        <v>563</v>
      </c>
      <c r="H71" s="1" t="s">
        <v>314</v>
      </c>
      <c r="I71">
        <f>$B$32+1</f>
        <v>5</v>
      </c>
    </row>
    <row r="72" spans="1:9" ht="120" x14ac:dyDescent="0.25">
      <c r="A72">
        <v>2</v>
      </c>
      <c r="C72" s="1" t="s">
        <v>522</v>
      </c>
      <c r="D72">
        <v>0</v>
      </c>
      <c r="E72">
        <v>0</v>
      </c>
      <c r="F72" s="1" t="s">
        <v>313</v>
      </c>
      <c r="G72" s="1" t="s">
        <v>564</v>
      </c>
      <c r="H72" s="1" t="s">
        <v>315</v>
      </c>
      <c r="I72">
        <f>$B$29*$B$32+$B$29</f>
        <v>10</v>
      </c>
    </row>
    <row r="73" spans="1:9" ht="120" x14ac:dyDescent="0.25">
      <c r="A73">
        <v>3</v>
      </c>
      <c r="C73" s="1" t="s">
        <v>523</v>
      </c>
      <c r="D73">
        <v>0</v>
      </c>
      <c r="E73">
        <v>0</v>
      </c>
      <c r="F73" s="1" t="s">
        <v>313</v>
      </c>
      <c r="G73" s="1" t="s">
        <v>565</v>
      </c>
      <c r="H73" s="1" t="s">
        <v>316</v>
      </c>
      <c r="I73">
        <f>$B$27*$B$32+$B$27+1</f>
        <v>21</v>
      </c>
    </row>
    <row r="74" spans="1:9" ht="30" x14ac:dyDescent="0.25">
      <c r="B74" s="1" t="s">
        <v>317</v>
      </c>
      <c r="C74" s="1"/>
      <c r="F74" s="1"/>
    </row>
    <row r="75" spans="1:9" ht="225" x14ac:dyDescent="0.25">
      <c r="A75">
        <v>4</v>
      </c>
      <c r="C75" s="1" t="s">
        <v>319</v>
      </c>
      <c r="D75">
        <v>0</v>
      </c>
      <c r="E75">
        <v>0</v>
      </c>
      <c r="F75" s="1" t="s">
        <v>313</v>
      </c>
      <c r="G75" s="1" t="s">
        <v>321</v>
      </c>
      <c r="H75" s="1" t="s">
        <v>322</v>
      </c>
      <c r="I75">
        <v>3</v>
      </c>
    </row>
    <row r="76" spans="1:9" ht="30" x14ac:dyDescent="0.25">
      <c r="B76" s="1" t="s">
        <v>318</v>
      </c>
      <c r="C76" s="1"/>
    </row>
    <row r="77" spans="1:9" ht="255" x14ac:dyDescent="0.25">
      <c r="A77">
        <v>5</v>
      </c>
      <c r="C77" s="1" t="s">
        <v>320</v>
      </c>
      <c r="D77">
        <v>0</v>
      </c>
      <c r="E77">
        <v>0</v>
      </c>
      <c r="F77" s="1" t="s">
        <v>313</v>
      </c>
      <c r="G77" s="1" t="s">
        <v>566</v>
      </c>
      <c r="H77" s="1" t="s">
        <v>322</v>
      </c>
      <c r="I77">
        <v>3</v>
      </c>
    </row>
    <row r="78" spans="1:9" x14ac:dyDescent="0.25">
      <c r="C78" s="1" t="s">
        <v>62</v>
      </c>
      <c r="D78">
        <f>SUM(D71:D77)</f>
        <v>0</v>
      </c>
      <c r="E78">
        <f>SUM(E71:E77)</f>
        <v>0</v>
      </c>
      <c r="I78">
        <f>SUM(I71:I77)</f>
        <v>42</v>
      </c>
    </row>
    <row r="80" spans="1:9" x14ac:dyDescent="0.25">
      <c r="A80" t="s">
        <v>47</v>
      </c>
    </row>
    <row r="81" spans="1:9" x14ac:dyDescent="0.25">
      <c r="B81" t="s">
        <v>501</v>
      </c>
    </row>
    <row r="82" spans="1:9" x14ac:dyDescent="0.25">
      <c r="B82" t="s">
        <v>326</v>
      </c>
    </row>
    <row r="83" spans="1:9" x14ac:dyDescent="0.25">
      <c r="B83" t="s">
        <v>327</v>
      </c>
    </row>
    <row r="84" spans="1:9" x14ac:dyDescent="0.25">
      <c r="B84" t="s">
        <v>51</v>
      </c>
    </row>
    <row r="87" spans="1:9" ht="75" x14ac:dyDescent="0.25">
      <c r="A87" s="1" t="s">
        <v>334</v>
      </c>
      <c r="D87" s="1" t="s">
        <v>91</v>
      </c>
      <c r="E87" s="1" t="s">
        <v>73</v>
      </c>
      <c r="F87" t="s">
        <v>92</v>
      </c>
      <c r="G87" t="s">
        <v>93</v>
      </c>
      <c r="H87" s="1" t="s">
        <v>94</v>
      </c>
      <c r="I87" s="1" t="s">
        <v>96</v>
      </c>
    </row>
    <row r="88" spans="1:9" ht="30" x14ac:dyDescent="0.25">
      <c r="B88" s="1" t="s">
        <v>312</v>
      </c>
      <c r="C88" s="15"/>
    </row>
    <row r="89" spans="1:9" ht="135" x14ac:dyDescent="0.25">
      <c r="A89">
        <v>6</v>
      </c>
      <c r="C89" s="1" t="s">
        <v>502</v>
      </c>
      <c r="D89">
        <f>$B$32*5*8</f>
        <v>160</v>
      </c>
      <c r="E89">
        <f>$B$32*2</f>
        <v>8</v>
      </c>
      <c r="F89" s="1" t="s">
        <v>538</v>
      </c>
      <c r="G89" s="1" t="s">
        <v>567</v>
      </c>
      <c r="H89" s="1" t="s">
        <v>330</v>
      </c>
      <c r="I89">
        <f>$B$32+1</f>
        <v>5</v>
      </c>
    </row>
    <row r="90" spans="1:9" ht="165" x14ac:dyDescent="0.25">
      <c r="A90">
        <v>7</v>
      </c>
      <c r="C90" s="1" t="s">
        <v>503</v>
      </c>
      <c r="D90">
        <f>5*8*$B$42*$B$32</f>
        <v>960</v>
      </c>
      <c r="E90">
        <f>2*$B$42*$B$32</f>
        <v>48</v>
      </c>
      <c r="F90" s="1" t="s">
        <v>538</v>
      </c>
      <c r="G90" s="1" t="s">
        <v>568</v>
      </c>
      <c r="H90" s="1" t="s">
        <v>331</v>
      </c>
      <c r="I90">
        <f>$B$29*$B$32+1</f>
        <v>9</v>
      </c>
    </row>
    <row r="91" spans="1:9" ht="195" x14ac:dyDescent="0.25">
      <c r="A91">
        <v>8</v>
      </c>
      <c r="C91" s="1" t="s">
        <v>504</v>
      </c>
      <c r="D91">
        <f>5*8*$B$42*$B$32</f>
        <v>960</v>
      </c>
      <c r="E91">
        <f>2*$B$42*$B$32</f>
        <v>48</v>
      </c>
      <c r="F91" s="1" t="s">
        <v>538</v>
      </c>
      <c r="G91" s="1" t="s">
        <v>569</v>
      </c>
      <c r="H91" s="1" t="s">
        <v>332</v>
      </c>
      <c r="I91">
        <f>$B$27*$B$32+2</f>
        <v>18</v>
      </c>
    </row>
    <row r="92" spans="1:9" ht="240" x14ac:dyDescent="0.25">
      <c r="A92">
        <v>9</v>
      </c>
      <c r="C92" s="1" t="s">
        <v>505</v>
      </c>
      <c r="D92">
        <f>5*8*$B$42*$B$32</f>
        <v>960</v>
      </c>
      <c r="E92">
        <f>2*$B$42*$B$32</f>
        <v>48</v>
      </c>
      <c r="F92" s="1" t="s">
        <v>538</v>
      </c>
      <c r="G92" s="1" t="s">
        <v>570</v>
      </c>
      <c r="H92" s="1" t="s">
        <v>333</v>
      </c>
      <c r="I92">
        <f>$B$29*$B$32+3</f>
        <v>11</v>
      </c>
    </row>
    <row r="93" spans="1:9" ht="30" x14ac:dyDescent="0.25">
      <c r="A93">
        <v>10</v>
      </c>
      <c r="C93" s="1" t="s">
        <v>337</v>
      </c>
      <c r="D93">
        <v>1</v>
      </c>
      <c r="E93">
        <v>1</v>
      </c>
      <c r="F93" s="1"/>
      <c r="G93" s="1"/>
      <c r="H93" s="1"/>
    </row>
    <row r="94" spans="1:9" x14ac:dyDescent="0.25">
      <c r="C94" s="5" t="s">
        <v>62</v>
      </c>
      <c r="D94">
        <f>SUM(D89:D93)</f>
        <v>3041</v>
      </c>
      <c r="E94">
        <f>SUM(E89:E93)</f>
        <v>153</v>
      </c>
      <c r="I94">
        <f>SUM(I89:I93)</f>
        <v>43</v>
      </c>
    </row>
    <row r="95" spans="1:9" x14ac:dyDescent="0.25">
      <c r="A95" t="s">
        <v>47</v>
      </c>
    </row>
    <row r="96" spans="1:9" x14ac:dyDescent="0.25">
      <c r="B96" t="s">
        <v>506</v>
      </c>
    </row>
    <row r="97" spans="1:9" x14ac:dyDescent="0.25">
      <c r="B97" t="s">
        <v>326</v>
      </c>
    </row>
    <row r="98" spans="1:9" x14ac:dyDescent="0.25">
      <c r="B98" t="s">
        <v>327</v>
      </c>
    </row>
    <row r="99" spans="1:9" x14ac:dyDescent="0.25">
      <c r="B99" t="s">
        <v>51</v>
      </c>
    </row>
    <row r="101" spans="1:9" ht="105" x14ac:dyDescent="0.25">
      <c r="A101" s="1" t="s">
        <v>349</v>
      </c>
      <c r="D101" s="1" t="s">
        <v>91</v>
      </c>
      <c r="E101" s="1" t="s">
        <v>73</v>
      </c>
      <c r="F101" t="s">
        <v>92</v>
      </c>
      <c r="G101" t="s">
        <v>93</v>
      </c>
      <c r="H101" s="1" t="s">
        <v>94</v>
      </c>
      <c r="I101" s="1" t="s">
        <v>96</v>
      </c>
    </row>
    <row r="102" spans="1:9" ht="225" x14ac:dyDescent="0.25">
      <c r="A102">
        <v>11</v>
      </c>
      <c r="B102" s="27" t="s">
        <v>507</v>
      </c>
      <c r="C102" s="27"/>
      <c r="D102">
        <f>5*8*$B$32</f>
        <v>160</v>
      </c>
      <c r="E102">
        <f>2*$B$32</f>
        <v>8</v>
      </c>
      <c r="F102" s="1" t="s">
        <v>538</v>
      </c>
      <c r="G102" s="1" t="s">
        <v>571</v>
      </c>
      <c r="H102" s="1" t="s">
        <v>344</v>
      </c>
      <c r="I102">
        <v>4</v>
      </c>
    </row>
    <row r="103" spans="1:9" ht="165" x14ac:dyDescent="0.25">
      <c r="A103">
        <v>12</v>
      </c>
      <c r="B103" s="27" t="s">
        <v>508</v>
      </c>
      <c r="C103" s="27"/>
      <c r="D103">
        <f>5*8*$B$42*$B$32</f>
        <v>960</v>
      </c>
      <c r="E103">
        <f>2*$B$42*$B$32</f>
        <v>48</v>
      </c>
      <c r="F103" s="1" t="s">
        <v>538</v>
      </c>
      <c r="G103" s="1" t="s">
        <v>572</v>
      </c>
      <c r="H103" s="1" t="s">
        <v>345</v>
      </c>
      <c r="I103">
        <v>2</v>
      </c>
    </row>
    <row r="104" spans="1:9" ht="165" x14ac:dyDescent="0.25">
      <c r="A104">
        <v>13</v>
      </c>
      <c r="B104" s="27" t="s">
        <v>509</v>
      </c>
      <c r="C104" s="27"/>
      <c r="D104">
        <f>5*8*$B$42*$B$32</f>
        <v>960</v>
      </c>
      <c r="E104">
        <f>2*$B$42*$B$32</f>
        <v>48</v>
      </c>
      <c r="F104" s="1" t="s">
        <v>538</v>
      </c>
      <c r="G104" s="1" t="s">
        <v>573</v>
      </c>
      <c r="H104" s="1" t="s">
        <v>346</v>
      </c>
      <c r="I104">
        <v>2</v>
      </c>
    </row>
    <row r="105" spans="1:9" ht="60" customHeight="1" x14ac:dyDescent="0.25">
      <c r="A105">
        <v>14</v>
      </c>
      <c r="B105" s="27" t="s">
        <v>510</v>
      </c>
      <c r="C105" s="27"/>
      <c r="D105">
        <f>5*8*$B$42*$B$32</f>
        <v>960</v>
      </c>
      <c r="E105">
        <f>2*$B$42*$B$32</f>
        <v>48</v>
      </c>
      <c r="F105" s="1" t="s">
        <v>538</v>
      </c>
      <c r="G105" s="1"/>
      <c r="H105" s="1"/>
    </row>
    <row r="106" spans="1:9" x14ac:dyDescent="0.25">
      <c r="C106" s="5" t="s">
        <v>62</v>
      </c>
      <c r="D106">
        <f>SUM(D102:D105)</f>
        <v>3040</v>
      </c>
      <c r="E106">
        <f>SUM(E102:E105)</f>
        <v>152</v>
      </c>
      <c r="I106">
        <f>SUM(I102:I105)</f>
        <v>8</v>
      </c>
    </row>
    <row r="107" spans="1:9" x14ac:dyDescent="0.25">
      <c r="A107" t="s">
        <v>47</v>
      </c>
    </row>
    <row r="108" spans="1:9" x14ac:dyDescent="0.25">
      <c r="B108" t="s">
        <v>511</v>
      </c>
    </row>
    <row r="109" spans="1:9" x14ac:dyDescent="0.25">
      <c r="B109" t="s">
        <v>326</v>
      </c>
    </row>
    <row r="110" spans="1:9" x14ac:dyDescent="0.25">
      <c r="B110" t="s">
        <v>327</v>
      </c>
    </row>
    <row r="111" spans="1:9" x14ac:dyDescent="0.25">
      <c r="B111" t="s">
        <v>51</v>
      </c>
    </row>
    <row r="114" spans="1:9" ht="105" x14ac:dyDescent="0.25">
      <c r="A114" s="1" t="s">
        <v>335</v>
      </c>
      <c r="D114" s="1" t="s">
        <v>91</v>
      </c>
      <c r="E114" s="1" t="s">
        <v>73</v>
      </c>
      <c r="F114" t="s">
        <v>92</v>
      </c>
      <c r="G114" t="s">
        <v>93</v>
      </c>
      <c r="H114" s="1" t="s">
        <v>94</v>
      </c>
      <c r="I114" s="1" t="s">
        <v>96</v>
      </c>
    </row>
    <row r="115" spans="1:9" ht="30" x14ac:dyDescent="0.25">
      <c r="B115" s="1" t="s">
        <v>312</v>
      </c>
      <c r="C115" s="15"/>
    </row>
    <row r="116" spans="1:9" ht="165" x14ac:dyDescent="0.25">
      <c r="A116">
        <v>15</v>
      </c>
      <c r="B116" s="1"/>
      <c r="C116" s="1" t="s">
        <v>351</v>
      </c>
      <c r="D116">
        <f>5*$B$32</f>
        <v>20</v>
      </c>
      <c r="E116">
        <f>$B$32</f>
        <v>4</v>
      </c>
      <c r="F116" t="s">
        <v>347</v>
      </c>
      <c r="G116" s="1" t="s">
        <v>589</v>
      </c>
      <c r="H116" s="1" t="s">
        <v>348</v>
      </c>
      <c r="I116">
        <f>$B$32+$B$32*2+$B$32</f>
        <v>16</v>
      </c>
    </row>
    <row r="117" spans="1:9" ht="409.5" x14ac:dyDescent="0.25">
      <c r="A117">
        <v>16</v>
      </c>
      <c r="C117" s="1" t="s">
        <v>524</v>
      </c>
      <c r="D117">
        <f>5*8*$B$32</f>
        <v>160</v>
      </c>
      <c r="E117">
        <f>2*$B$32</f>
        <v>8</v>
      </c>
      <c r="F117" s="1" t="s">
        <v>538</v>
      </c>
      <c r="G117" s="1" t="s">
        <v>585</v>
      </c>
      <c r="H117" s="1" t="s">
        <v>339</v>
      </c>
      <c r="I117">
        <f>2*$B$32+2*$B$31+4</f>
        <v>24</v>
      </c>
    </row>
    <row r="118" spans="1:9" ht="285" x14ac:dyDescent="0.25">
      <c r="A118">
        <v>17</v>
      </c>
      <c r="C118" s="1" t="s">
        <v>525</v>
      </c>
      <c r="D118">
        <f>5*8*$B$42*$B$32</f>
        <v>960</v>
      </c>
      <c r="E118">
        <f>2*$B$42*$B$32</f>
        <v>48</v>
      </c>
      <c r="F118" s="1" t="s">
        <v>538</v>
      </c>
      <c r="G118" s="1" t="s">
        <v>574</v>
      </c>
      <c r="H118" s="1" t="s">
        <v>341</v>
      </c>
      <c r="I118">
        <f>2*$B$29+2</f>
        <v>6</v>
      </c>
    </row>
    <row r="119" spans="1:9" ht="300" x14ac:dyDescent="0.25">
      <c r="A119">
        <v>18</v>
      </c>
      <c r="C119" s="1" t="s">
        <v>526</v>
      </c>
      <c r="D119">
        <f>5*8*$B$42*$B$32</f>
        <v>960</v>
      </c>
      <c r="E119">
        <f>2*$B$42*$B$32</f>
        <v>48</v>
      </c>
      <c r="F119" s="1" t="s">
        <v>538</v>
      </c>
      <c r="G119" s="1" t="s">
        <v>586</v>
      </c>
      <c r="H119" s="1" t="s">
        <v>340</v>
      </c>
      <c r="I119">
        <f>2*$B$27+2</f>
        <v>10</v>
      </c>
    </row>
    <row r="120" spans="1:9" ht="60" x14ac:dyDescent="0.25">
      <c r="A120">
        <v>19</v>
      </c>
      <c r="C120" s="1" t="s">
        <v>527</v>
      </c>
      <c r="D120">
        <f>5*8*$B$42*$B$32</f>
        <v>960</v>
      </c>
      <c r="E120">
        <f>2*$B$42*$B$32</f>
        <v>48</v>
      </c>
      <c r="F120" s="1" t="s">
        <v>538</v>
      </c>
      <c r="G120" s="1"/>
      <c r="H120" s="1"/>
    </row>
    <row r="121" spans="1:9" ht="165" x14ac:dyDescent="0.25">
      <c r="A121">
        <v>20</v>
      </c>
      <c r="C121" s="1" t="s">
        <v>352</v>
      </c>
      <c r="D121">
        <f>5*$B$32</f>
        <v>20</v>
      </c>
      <c r="E121">
        <f>$B$32</f>
        <v>4</v>
      </c>
      <c r="F121" t="s">
        <v>347</v>
      </c>
      <c r="G121" s="1" t="s">
        <v>589</v>
      </c>
      <c r="H121" s="1" t="s">
        <v>348</v>
      </c>
      <c r="I121">
        <f>$B$32+$B$32*2+$B$32</f>
        <v>16</v>
      </c>
    </row>
    <row r="122" spans="1:9" ht="409.5" x14ac:dyDescent="0.25">
      <c r="A122">
        <v>21</v>
      </c>
      <c r="C122" s="1" t="s">
        <v>528</v>
      </c>
      <c r="D122">
        <f>5*8*$B$32</f>
        <v>160</v>
      </c>
      <c r="E122">
        <f>2*$B$32</f>
        <v>8</v>
      </c>
      <c r="F122" s="1" t="s">
        <v>538</v>
      </c>
      <c r="G122" s="1" t="s">
        <v>587</v>
      </c>
      <c r="H122" s="1" t="s">
        <v>339</v>
      </c>
      <c r="I122">
        <f>2*$B$32+2*$B$31+4</f>
        <v>24</v>
      </c>
    </row>
    <row r="123" spans="1:9" ht="285" x14ac:dyDescent="0.25">
      <c r="A123">
        <v>22</v>
      </c>
      <c r="C123" s="1" t="s">
        <v>529</v>
      </c>
      <c r="D123">
        <f>5*8*$B$42*$B$32</f>
        <v>960</v>
      </c>
      <c r="E123">
        <f>2*$B$42*$B$32</f>
        <v>48</v>
      </c>
      <c r="F123" s="1" t="s">
        <v>538</v>
      </c>
      <c r="G123" s="1" t="s">
        <v>575</v>
      </c>
      <c r="H123" s="1" t="s">
        <v>341</v>
      </c>
      <c r="I123">
        <f>2*$B$29+2</f>
        <v>6</v>
      </c>
    </row>
    <row r="124" spans="1:9" ht="330" x14ac:dyDescent="0.25">
      <c r="A124">
        <v>23</v>
      </c>
      <c r="C124" s="1" t="s">
        <v>530</v>
      </c>
      <c r="D124">
        <f>5*8*$B$42*$B$32</f>
        <v>960</v>
      </c>
      <c r="E124">
        <f>2*$B$42*$B$32</f>
        <v>48</v>
      </c>
      <c r="F124" s="1" t="s">
        <v>538</v>
      </c>
      <c r="G124" s="1" t="s">
        <v>588</v>
      </c>
      <c r="H124" s="1" t="s">
        <v>340</v>
      </c>
      <c r="I124">
        <f>2*$B$27+2</f>
        <v>10</v>
      </c>
    </row>
    <row r="125" spans="1:9" ht="60" x14ac:dyDescent="0.25">
      <c r="A125">
        <v>24</v>
      </c>
      <c r="C125" s="1" t="s">
        <v>531</v>
      </c>
      <c r="D125">
        <f>5*8*$B$42*$B$32</f>
        <v>960</v>
      </c>
      <c r="E125">
        <f>2*$B$42*$B$32</f>
        <v>48</v>
      </c>
      <c r="F125" s="1" t="s">
        <v>538</v>
      </c>
      <c r="G125" s="1"/>
      <c r="H125" s="1"/>
    </row>
    <row r="126" spans="1:9" x14ac:dyDescent="0.25">
      <c r="C126" s="5" t="s">
        <v>62</v>
      </c>
      <c r="D126">
        <f>SUM(D116:D125)</f>
        <v>6120</v>
      </c>
      <c r="E126">
        <f>SUM(E116:E125)</f>
        <v>312</v>
      </c>
      <c r="I126">
        <f>SUM(I116:I125)</f>
        <v>112</v>
      </c>
    </row>
    <row r="127" spans="1:9" x14ac:dyDescent="0.25">
      <c r="A127" t="s">
        <v>47</v>
      </c>
    </row>
    <row r="128" spans="1:9" x14ac:dyDescent="0.25">
      <c r="B128" t="s">
        <v>512</v>
      </c>
    </row>
    <row r="129" spans="1:9" x14ac:dyDescent="0.25">
      <c r="B129" t="s">
        <v>326</v>
      </c>
    </row>
    <row r="130" spans="1:9" x14ac:dyDescent="0.25">
      <c r="B130" t="s">
        <v>327</v>
      </c>
    </row>
    <row r="131" spans="1:9" x14ac:dyDescent="0.25">
      <c r="B131" t="s">
        <v>51</v>
      </c>
    </row>
    <row r="134" spans="1:9" ht="150" x14ac:dyDescent="0.25">
      <c r="A134" s="1" t="s">
        <v>356</v>
      </c>
      <c r="D134" s="1" t="s">
        <v>91</v>
      </c>
      <c r="E134" s="1" t="s">
        <v>73</v>
      </c>
      <c r="F134" t="s">
        <v>92</v>
      </c>
      <c r="G134" t="s">
        <v>93</v>
      </c>
      <c r="H134" s="1" t="s">
        <v>94</v>
      </c>
      <c r="I134" s="1" t="s">
        <v>96</v>
      </c>
    </row>
    <row r="135" spans="1:9" ht="30" x14ac:dyDescent="0.25">
      <c r="B135" s="1" t="s">
        <v>312</v>
      </c>
      <c r="C135" s="15"/>
    </row>
    <row r="136" spans="1:9" ht="75" x14ac:dyDescent="0.25">
      <c r="A136">
        <v>25</v>
      </c>
      <c r="C136" s="1" t="s">
        <v>513</v>
      </c>
      <c r="D136">
        <f>5*8*$B$32</f>
        <v>160</v>
      </c>
      <c r="E136">
        <f>2*$B$32</f>
        <v>8</v>
      </c>
      <c r="F136" s="1" t="s">
        <v>538</v>
      </c>
      <c r="G136" s="1" t="s">
        <v>576</v>
      </c>
      <c r="H136" s="1" t="s">
        <v>354</v>
      </c>
      <c r="I136">
        <v>2</v>
      </c>
    </row>
    <row r="137" spans="1:9" ht="90" x14ac:dyDescent="0.25">
      <c r="A137">
        <v>26</v>
      </c>
      <c r="C137" s="1" t="s">
        <v>514</v>
      </c>
      <c r="D137">
        <f>2*5*8*$B$32</f>
        <v>320</v>
      </c>
      <c r="E137">
        <f>2*2*$B$32</f>
        <v>16</v>
      </c>
      <c r="F137" s="1" t="s">
        <v>538</v>
      </c>
      <c r="G137" s="1" t="s">
        <v>577</v>
      </c>
      <c r="H137" s="1" t="s">
        <v>353</v>
      </c>
      <c r="I137">
        <f>$B$29+1</f>
        <v>3</v>
      </c>
    </row>
    <row r="138" spans="1:9" ht="120" x14ac:dyDescent="0.25">
      <c r="A138">
        <v>27</v>
      </c>
      <c r="C138" s="1" t="s">
        <v>515</v>
      </c>
      <c r="D138">
        <f>2*5*8*$B$32</f>
        <v>320</v>
      </c>
      <c r="E138">
        <f>2*2*$B$32</f>
        <v>16</v>
      </c>
      <c r="F138" s="1" t="s">
        <v>538</v>
      </c>
      <c r="G138" s="1" t="s">
        <v>578</v>
      </c>
      <c r="H138" s="1" t="s">
        <v>355</v>
      </c>
      <c r="I138">
        <f>$B$32+$B$27</f>
        <v>8</v>
      </c>
    </row>
    <row r="139" spans="1:9" ht="30" x14ac:dyDescent="0.25">
      <c r="A139">
        <v>28</v>
      </c>
      <c r="C139" s="1" t="s">
        <v>337</v>
      </c>
      <c r="D139">
        <v>1</v>
      </c>
      <c r="E139">
        <v>1</v>
      </c>
    </row>
    <row r="140" spans="1:9" x14ac:dyDescent="0.25">
      <c r="C140" s="5" t="s">
        <v>62</v>
      </c>
      <c r="D140">
        <f>SUM(D136:D139)</f>
        <v>801</v>
      </c>
      <c r="E140">
        <f>SUM(E136:E139)</f>
        <v>41</v>
      </c>
      <c r="I140">
        <f>SUM(I136:I139)</f>
        <v>13</v>
      </c>
    </row>
    <row r="141" spans="1:9" x14ac:dyDescent="0.25">
      <c r="A141" t="s">
        <v>47</v>
      </c>
    </row>
    <row r="142" spans="1:9" x14ac:dyDescent="0.25">
      <c r="B142" t="s">
        <v>516</v>
      </c>
    </row>
    <row r="143" spans="1:9" x14ac:dyDescent="0.25">
      <c r="B143" t="s">
        <v>326</v>
      </c>
    </row>
    <row r="144" spans="1:9" x14ac:dyDescent="0.25">
      <c r="B144" t="s">
        <v>327</v>
      </c>
    </row>
    <row r="145" spans="1:9" x14ac:dyDescent="0.25">
      <c r="B145" t="s">
        <v>51</v>
      </c>
    </row>
    <row r="148" spans="1:9" ht="150" x14ac:dyDescent="0.25">
      <c r="A148" s="1" t="s">
        <v>357</v>
      </c>
      <c r="D148" s="1" t="s">
        <v>91</v>
      </c>
      <c r="E148" s="1" t="s">
        <v>73</v>
      </c>
      <c r="F148" t="s">
        <v>92</v>
      </c>
      <c r="G148" t="s">
        <v>93</v>
      </c>
      <c r="H148" s="1" t="s">
        <v>94</v>
      </c>
      <c r="I148" s="1" t="s">
        <v>96</v>
      </c>
    </row>
    <row r="149" spans="1:9" ht="135" customHeight="1" x14ac:dyDescent="0.25">
      <c r="A149">
        <v>29</v>
      </c>
      <c r="B149" s="27" t="s">
        <v>517</v>
      </c>
      <c r="C149" s="27"/>
      <c r="D149">
        <f>8*$B$33</f>
        <v>112</v>
      </c>
      <c r="E149">
        <v>2</v>
      </c>
      <c r="F149" s="1" t="s">
        <v>579</v>
      </c>
      <c r="G149" s="1" t="s">
        <v>580</v>
      </c>
      <c r="H149" s="1" t="s">
        <v>361</v>
      </c>
      <c r="I149">
        <v>1</v>
      </c>
    </row>
    <row r="150" spans="1:9" ht="120" customHeight="1" x14ac:dyDescent="0.25">
      <c r="A150">
        <v>30</v>
      </c>
      <c r="B150" s="27" t="s">
        <v>518</v>
      </c>
      <c r="C150" s="27"/>
      <c r="D150">
        <f>5*8*$B$33</f>
        <v>560</v>
      </c>
      <c r="E150">
        <f>2*$B$33</f>
        <v>28</v>
      </c>
      <c r="F150" s="1" t="s">
        <v>538</v>
      </c>
      <c r="G150" s="1" t="s">
        <v>581</v>
      </c>
      <c r="H150" s="1" t="s">
        <v>362</v>
      </c>
      <c r="I150">
        <f>$B$29</f>
        <v>2</v>
      </c>
    </row>
    <row r="151" spans="1:9" ht="135" customHeight="1" x14ac:dyDescent="0.25">
      <c r="A151">
        <v>31</v>
      </c>
      <c r="B151" s="27" t="s">
        <v>519</v>
      </c>
      <c r="C151" s="27"/>
      <c r="D151">
        <f>5*8*$B$33</f>
        <v>560</v>
      </c>
      <c r="E151">
        <f>2*$B$33</f>
        <v>28</v>
      </c>
      <c r="F151" s="1" t="s">
        <v>538</v>
      </c>
      <c r="G151" s="1" t="s">
        <v>582</v>
      </c>
      <c r="H151" s="1" t="s">
        <v>363</v>
      </c>
      <c r="I151">
        <f>$B$27</f>
        <v>4</v>
      </c>
    </row>
    <row r="152" spans="1:9" ht="30" x14ac:dyDescent="0.25">
      <c r="B152" s="1" t="s">
        <v>317</v>
      </c>
      <c r="C152" s="1"/>
      <c r="F152" s="1"/>
    </row>
    <row r="153" spans="1:9" ht="240" x14ac:dyDescent="0.25">
      <c r="A153">
        <v>32</v>
      </c>
      <c r="C153" s="1" t="s">
        <v>365</v>
      </c>
      <c r="D153">
        <v>0</v>
      </c>
      <c r="E153">
        <v>0</v>
      </c>
      <c r="F153" s="1" t="s">
        <v>313</v>
      </c>
      <c r="G153" s="1" t="s">
        <v>367</v>
      </c>
      <c r="H153" s="1" t="s">
        <v>364</v>
      </c>
      <c r="I153">
        <f>(3*3+3)*2</f>
        <v>24</v>
      </c>
    </row>
    <row r="154" spans="1:9" ht="30" x14ac:dyDescent="0.25">
      <c r="B154" s="1" t="s">
        <v>318</v>
      </c>
      <c r="C154" s="1"/>
    </row>
    <row r="155" spans="1:9" ht="240" x14ac:dyDescent="0.25">
      <c r="A155">
        <v>33</v>
      </c>
      <c r="C155" s="1" t="s">
        <v>320</v>
      </c>
      <c r="D155">
        <v>0</v>
      </c>
      <c r="E155">
        <v>0</v>
      </c>
      <c r="F155" s="1" t="s">
        <v>313</v>
      </c>
      <c r="G155" s="1" t="s">
        <v>583</v>
      </c>
      <c r="H155" s="1" t="s">
        <v>364</v>
      </c>
      <c r="I155">
        <f>(3*3+3)*2</f>
        <v>24</v>
      </c>
    </row>
    <row r="156" spans="1:9" ht="45" x14ac:dyDescent="0.25">
      <c r="B156" s="1" t="s">
        <v>366</v>
      </c>
      <c r="C156" s="1"/>
    </row>
    <row r="157" spans="1:9" ht="300" x14ac:dyDescent="0.25">
      <c r="A157">
        <v>34</v>
      </c>
      <c r="C157" s="1" t="s">
        <v>320</v>
      </c>
      <c r="D157">
        <v>0</v>
      </c>
      <c r="E157">
        <v>0</v>
      </c>
      <c r="F157" s="1" t="s">
        <v>313</v>
      </c>
      <c r="G157" s="1" t="s">
        <v>584</v>
      </c>
      <c r="H157" s="1" t="s">
        <v>364</v>
      </c>
      <c r="I157">
        <f>(3*3+3)*2</f>
        <v>24</v>
      </c>
    </row>
    <row r="158" spans="1:9" x14ac:dyDescent="0.25">
      <c r="C158" s="5" t="s">
        <v>62</v>
      </c>
      <c r="D158">
        <f>SUM(D149:D157)</f>
        <v>1232</v>
      </c>
      <c r="E158">
        <f>SUM(E149:E157)</f>
        <v>58</v>
      </c>
      <c r="I158">
        <f>SUM(I149:I157)</f>
        <v>79</v>
      </c>
    </row>
    <row r="159" spans="1:9" x14ac:dyDescent="0.25">
      <c r="A159" t="s">
        <v>47</v>
      </c>
    </row>
    <row r="160" spans="1:9" x14ac:dyDescent="0.25">
      <c r="B160" t="s">
        <v>520</v>
      </c>
    </row>
    <row r="161" spans="1:4" x14ac:dyDescent="0.25">
      <c r="B161" t="s">
        <v>326</v>
      </c>
    </row>
    <row r="162" spans="1:4" x14ac:dyDescent="0.25">
      <c r="B162" t="s">
        <v>327</v>
      </c>
    </row>
    <row r="163" spans="1:4" x14ac:dyDescent="0.25">
      <c r="B163" t="s">
        <v>51</v>
      </c>
    </row>
    <row r="166" spans="1:4" x14ac:dyDescent="0.25">
      <c r="A166" t="s">
        <v>25</v>
      </c>
      <c r="B166" t="s">
        <v>27</v>
      </c>
      <c r="C166" t="s">
        <v>28</v>
      </c>
      <c r="D166" t="s">
        <v>30</v>
      </c>
    </row>
    <row r="167" spans="1:4" x14ac:dyDescent="0.25">
      <c r="A167" t="s">
        <v>39</v>
      </c>
      <c r="B167">
        <f>(150*4+50*11+200*7)*30*$B$29*$B$31</f>
        <v>918000</v>
      </c>
      <c r="C167" s="7">
        <f>B167/3600</f>
        <v>255</v>
      </c>
      <c r="D167">
        <f>ROUNDUP(2*C167/24,0)/2</f>
        <v>11</v>
      </c>
    </row>
    <row r="168" spans="1:4" x14ac:dyDescent="0.25">
      <c r="A168" t="s">
        <v>40</v>
      </c>
      <c r="B168">
        <f>(150*4+50*11+200*7)*20*$B$29*$B$31*$B$27</f>
        <v>2448000</v>
      </c>
      <c r="C168" s="7">
        <f>B168/3600</f>
        <v>680</v>
      </c>
      <c r="D168">
        <f t="shared" ref="D168:D171" si="0">ROUNDUP(2*C168/24,0)/2</f>
        <v>28.5</v>
      </c>
    </row>
    <row r="169" spans="1:4" ht="30" x14ac:dyDescent="0.25">
      <c r="A169" s="1" t="s">
        <v>302</v>
      </c>
      <c r="B169">
        <f>((150+50)/2)*$B$56*0.6</f>
        <v>72576000.000000015</v>
      </c>
      <c r="C169" s="7">
        <f t="shared" ref="C169:C171" si="1">B169/3600</f>
        <v>20160.000000000004</v>
      </c>
      <c r="D169">
        <f t="shared" si="0"/>
        <v>840</v>
      </c>
    </row>
    <row r="170" spans="1:4" ht="30" x14ac:dyDescent="0.25">
      <c r="A170" s="1" t="s">
        <v>329</v>
      </c>
      <c r="B170">
        <f>((150+50)/2)*$B$57*2.5</f>
        <v>288000</v>
      </c>
      <c r="C170" s="7">
        <f t="shared" si="1"/>
        <v>80</v>
      </c>
      <c r="D170">
        <f t="shared" si="0"/>
        <v>3.5</v>
      </c>
    </row>
    <row r="171" spans="1:4" ht="30" x14ac:dyDescent="0.25">
      <c r="A171" s="1" t="s">
        <v>343</v>
      </c>
      <c r="B171">
        <f>((150+50)/2)*$B$58*0.6</f>
        <v>11520</v>
      </c>
      <c r="C171" s="7">
        <f t="shared" si="1"/>
        <v>3.2</v>
      </c>
      <c r="D171">
        <f t="shared" si="0"/>
        <v>0.5</v>
      </c>
    </row>
    <row r="172" spans="1:4" ht="30" x14ac:dyDescent="0.25">
      <c r="A172" s="1" t="s">
        <v>303</v>
      </c>
      <c r="B172">
        <f>((150+50)/2)*$B$59*0.6</f>
        <v>1451520</v>
      </c>
      <c r="C172" s="7">
        <f t="shared" ref="C172:C174" si="2">B172/3600</f>
        <v>403.2</v>
      </c>
      <c r="D172">
        <f t="shared" ref="D172:D174" si="3">ROUNDUP(2*C172/24,0)/2</f>
        <v>17</v>
      </c>
    </row>
    <row r="173" spans="1:4" ht="30" x14ac:dyDescent="0.25">
      <c r="A173" s="1" t="s">
        <v>304</v>
      </c>
      <c r="B173">
        <f>((150+50)/2)*$B$60*0.6</f>
        <v>23040</v>
      </c>
      <c r="C173" s="7">
        <f t="shared" si="2"/>
        <v>6.4</v>
      </c>
      <c r="D173">
        <f t="shared" si="3"/>
        <v>0.5</v>
      </c>
    </row>
    <row r="174" spans="1:4" ht="30" x14ac:dyDescent="0.25">
      <c r="A174" s="1" t="s">
        <v>309</v>
      </c>
      <c r="B174">
        <f>((150+50)/2)*$B$61*0.6</f>
        <v>40320</v>
      </c>
      <c r="C174" s="7">
        <f t="shared" si="2"/>
        <v>11.2</v>
      </c>
      <c r="D174">
        <f t="shared" si="3"/>
        <v>0.5</v>
      </c>
    </row>
    <row r="176" spans="1:4" ht="30" x14ac:dyDescent="0.25">
      <c r="A176" s="1" t="s">
        <v>368</v>
      </c>
      <c r="B176">
        <f>5*$B$56*0.1</f>
        <v>604800.00000000012</v>
      </c>
      <c r="C176" s="7">
        <f>B176/3600</f>
        <v>168.00000000000003</v>
      </c>
      <c r="D176">
        <f>ROUNDUP(2*C176/24,0)/2</f>
        <v>7</v>
      </c>
    </row>
    <row r="177" spans="1:4" ht="30" x14ac:dyDescent="0.25">
      <c r="A177" s="1" t="s">
        <v>369</v>
      </c>
      <c r="B177">
        <f>5*$B$57*0.1</f>
        <v>576</v>
      </c>
      <c r="C177" s="7">
        <f t="shared" ref="C177:C182" si="4">B177/3600</f>
        <v>0.16</v>
      </c>
      <c r="D177">
        <f>ROUNDUP(2*C177/24,0)/2</f>
        <v>0.5</v>
      </c>
    </row>
    <row r="178" spans="1:4" ht="30" x14ac:dyDescent="0.25">
      <c r="A178" s="1" t="s">
        <v>372</v>
      </c>
      <c r="B178">
        <f>4*$B$58*0.1</f>
        <v>76.800000000000011</v>
      </c>
      <c r="C178" s="7">
        <f t="shared" si="4"/>
        <v>2.1333333333333336E-2</v>
      </c>
      <c r="D178">
        <f t="shared" ref="D178:D193" si="5">ROUNDUP(4*C178/24,0)/4</f>
        <v>0.25</v>
      </c>
    </row>
    <row r="179" spans="1:4" ht="30" x14ac:dyDescent="0.25">
      <c r="A179" s="1" t="s">
        <v>377</v>
      </c>
      <c r="B179">
        <f>10*$B$59*0.1</f>
        <v>24192</v>
      </c>
      <c r="C179" s="7">
        <f t="shared" ref="C179:C181" si="6">B179/3600</f>
        <v>6.72</v>
      </c>
      <c r="D179">
        <f t="shared" si="5"/>
        <v>0.5</v>
      </c>
    </row>
    <row r="180" spans="1:4" ht="30" x14ac:dyDescent="0.25">
      <c r="A180" s="1" t="s">
        <v>380</v>
      </c>
      <c r="B180">
        <f>4*$B$60*0.1</f>
        <v>153.60000000000002</v>
      </c>
      <c r="C180" s="7">
        <f t="shared" si="6"/>
        <v>4.2666666666666672E-2</v>
      </c>
      <c r="D180">
        <f t="shared" si="5"/>
        <v>0.25</v>
      </c>
    </row>
    <row r="181" spans="1:4" ht="30" x14ac:dyDescent="0.25">
      <c r="A181" s="1" t="s">
        <v>383</v>
      </c>
      <c r="B181">
        <f>6*$B$61*0.1</f>
        <v>403.20000000000005</v>
      </c>
      <c r="C181" s="7">
        <f t="shared" si="6"/>
        <v>0.11200000000000002</v>
      </c>
      <c r="D181">
        <f t="shared" si="5"/>
        <v>0.25</v>
      </c>
    </row>
    <row r="182" spans="1:4" ht="30" x14ac:dyDescent="0.25">
      <c r="A182" s="1" t="s">
        <v>371</v>
      </c>
      <c r="B182">
        <f>$D$78*0.2</f>
        <v>0</v>
      </c>
      <c r="C182" s="7">
        <f t="shared" si="4"/>
        <v>0</v>
      </c>
      <c r="D182">
        <f t="shared" si="5"/>
        <v>0</v>
      </c>
    </row>
    <row r="183" spans="1:4" ht="30" x14ac:dyDescent="0.25">
      <c r="A183" s="1" t="s">
        <v>370</v>
      </c>
      <c r="B183">
        <f>$D$94*0.2</f>
        <v>608.20000000000005</v>
      </c>
      <c r="C183" s="7">
        <f>B183/3600</f>
        <v>0.16894444444444445</v>
      </c>
      <c r="D183">
        <f t="shared" si="5"/>
        <v>0.25</v>
      </c>
    </row>
    <row r="184" spans="1:4" ht="30" x14ac:dyDescent="0.25">
      <c r="A184" s="1" t="s">
        <v>373</v>
      </c>
      <c r="B184">
        <f>$D$106*0.2</f>
        <v>608</v>
      </c>
      <c r="C184" s="7">
        <f>B184/3600</f>
        <v>0.16888888888888889</v>
      </c>
      <c r="D184">
        <f t="shared" si="5"/>
        <v>0.25</v>
      </c>
    </row>
    <row r="185" spans="1:4" ht="30" x14ac:dyDescent="0.25">
      <c r="A185" s="1" t="s">
        <v>378</v>
      </c>
      <c r="B185">
        <f>$D$126*0.2</f>
        <v>1224</v>
      </c>
      <c r="C185" s="7">
        <f t="shared" ref="C185:C187" si="7">B185/3600</f>
        <v>0.34</v>
      </c>
      <c r="D185">
        <f t="shared" si="5"/>
        <v>0.25</v>
      </c>
    </row>
    <row r="186" spans="1:4" ht="30" x14ac:dyDescent="0.25">
      <c r="A186" s="1" t="s">
        <v>381</v>
      </c>
      <c r="B186">
        <f>$D$140*0.2</f>
        <v>160.20000000000002</v>
      </c>
      <c r="C186" s="7">
        <f t="shared" si="7"/>
        <v>4.4500000000000005E-2</v>
      </c>
      <c r="D186">
        <f t="shared" si="5"/>
        <v>0.25</v>
      </c>
    </row>
    <row r="187" spans="1:4" ht="30" x14ac:dyDescent="0.25">
      <c r="A187" s="1" t="s">
        <v>384</v>
      </c>
      <c r="B187">
        <f>$D$158*0.2</f>
        <v>246.4</v>
      </c>
      <c r="C187" s="7">
        <f t="shared" si="7"/>
        <v>6.8444444444444447E-2</v>
      </c>
      <c r="D187">
        <f t="shared" si="5"/>
        <v>0.25</v>
      </c>
    </row>
    <row r="188" spans="1:4" ht="30" x14ac:dyDescent="0.25">
      <c r="A188" s="1" t="s">
        <v>376</v>
      </c>
      <c r="B188">
        <f>$E$78*12</f>
        <v>0</v>
      </c>
      <c r="C188" s="7">
        <f>B188/3600</f>
        <v>0</v>
      </c>
      <c r="D188">
        <f t="shared" si="5"/>
        <v>0</v>
      </c>
    </row>
    <row r="189" spans="1:4" ht="30" x14ac:dyDescent="0.25">
      <c r="A189" s="1" t="s">
        <v>375</v>
      </c>
      <c r="B189">
        <f>$E$94*12</f>
        <v>1836</v>
      </c>
      <c r="C189" s="7">
        <f>B189/3600</f>
        <v>0.51</v>
      </c>
      <c r="D189">
        <f t="shared" si="5"/>
        <v>0.25</v>
      </c>
    </row>
    <row r="190" spans="1:4" ht="30" x14ac:dyDescent="0.25">
      <c r="A190" s="1" t="s">
        <v>374</v>
      </c>
      <c r="B190">
        <f>$E$106*12</f>
        <v>1824</v>
      </c>
      <c r="C190" s="7">
        <f>B190/3600</f>
        <v>0.50666666666666671</v>
      </c>
      <c r="D190">
        <f t="shared" si="5"/>
        <v>0.25</v>
      </c>
    </row>
    <row r="191" spans="1:4" ht="30" x14ac:dyDescent="0.25">
      <c r="A191" s="1" t="s">
        <v>379</v>
      </c>
      <c r="B191">
        <f>$E$126*12</f>
        <v>3744</v>
      </c>
      <c r="C191" s="7">
        <f t="shared" ref="C191:C193" si="8">B191/3600</f>
        <v>1.04</v>
      </c>
      <c r="D191">
        <f t="shared" si="5"/>
        <v>0.25</v>
      </c>
    </row>
    <row r="192" spans="1:4" ht="30" x14ac:dyDescent="0.25">
      <c r="A192" s="1" t="s">
        <v>382</v>
      </c>
      <c r="B192">
        <f>$E$140*12</f>
        <v>492</v>
      </c>
      <c r="C192" s="7">
        <f t="shared" si="8"/>
        <v>0.13666666666666666</v>
      </c>
      <c r="D192">
        <f t="shared" si="5"/>
        <v>0.25</v>
      </c>
    </row>
    <row r="193" spans="1:4" ht="30" x14ac:dyDescent="0.25">
      <c r="A193" s="1" t="s">
        <v>385</v>
      </c>
      <c r="B193">
        <f>$E$158*12</f>
        <v>696</v>
      </c>
      <c r="C193" s="7">
        <f t="shared" si="8"/>
        <v>0.19333333333333333</v>
      </c>
      <c r="D193">
        <f t="shared" si="5"/>
        <v>0.25</v>
      </c>
    </row>
    <row r="195" spans="1:4" ht="30" x14ac:dyDescent="0.25">
      <c r="A195" s="1" t="s">
        <v>120</v>
      </c>
      <c r="D195">
        <f>SUM(D167:D193)</f>
        <v>912.75</v>
      </c>
    </row>
    <row r="196" spans="1:4" x14ac:dyDescent="0.25">
      <c r="A196" s="1" t="s">
        <v>123</v>
      </c>
      <c r="D196">
        <f>ROUNDUP(4*D195/'USAC-testing'!$B$141,0)/4</f>
        <v>12.75</v>
      </c>
    </row>
    <row r="198" spans="1:4" ht="30" x14ac:dyDescent="0.25">
      <c r="A198" s="1" t="s">
        <v>119</v>
      </c>
      <c r="B198">
        <v>1.5</v>
      </c>
      <c r="D198" s="3"/>
    </row>
    <row r="199" spans="1:4" x14ac:dyDescent="0.25">
      <c r="A199" s="1"/>
      <c r="D199" s="3"/>
    </row>
    <row r="200" spans="1:4" ht="30" x14ac:dyDescent="0.25">
      <c r="A200" s="1" t="s">
        <v>125</v>
      </c>
      <c r="D200" s="6">
        <v>0.5</v>
      </c>
    </row>
    <row r="201" spans="1:4" x14ac:dyDescent="0.25">
      <c r="A201" s="1"/>
      <c r="D201" s="3"/>
    </row>
    <row r="202" spans="1:4" x14ac:dyDescent="0.25">
      <c r="A202" s="1" t="s">
        <v>124</v>
      </c>
      <c r="D202" s="3">
        <f>(D196+D200)*B198</f>
        <v>19.875</v>
      </c>
    </row>
    <row r="204" spans="1:4" x14ac:dyDescent="0.25">
      <c r="A204" s="1" t="s">
        <v>180</v>
      </c>
      <c r="C204">
        <v>4</v>
      </c>
      <c r="D204">
        <f>ROUNDUP(4*C204/8,0)/4</f>
        <v>0.5</v>
      </c>
    </row>
    <row r="205" spans="1:4" x14ac:dyDescent="0.25">
      <c r="A205" s="1" t="s">
        <v>181</v>
      </c>
      <c r="B205">
        <f>($I$78+$I$94+$I$106+$I$126+$I$140+$I$158)*60*3</f>
        <v>53460</v>
      </c>
      <c r="C205" s="7">
        <f>B205/3600</f>
        <v>14.85</v>
      </c>
      <c r="D205">
        <f>ROUNDUP(4*C205/8,0)/4</f>
        <v>2</v>
      </c>
    </row>
    <row r="206" spans="1:4" x14ac:dyDescent="0.25">
      <c r="C206" s="11" t="s">
        <v>62</v>
      </c>
      <c r="D206" s="3">
        <f>SUM(D204:D205)</f>
        <v>2.5</v>
      </c>
    </row>
    <row r="207" spans="1:4" x14ac:dyDescent="0.25">
      <c r="C207" s="11"/>
      <c r="D207" s="3"/>
    </row>
    <row r="208" spans="1:4" x14ac:dyDescent="0.25">
      <c r="A208" s="1" t="s">
        <v>143</v>
      </c>
      <c r="C208">
        <f>MIN((B198+1),ROUNDDOWN($D$196,0))*15</f>
        <v>37.5</v>
      </c>
      <c r="D208">
        <f>ROUNDUP(4*C208/24,0)/4</f>
        <v>1.75</v>
      </c>
    </row>
    <row r="209" spans="1:4" x14ac:dyDescent="0.25">
      <c r="A209" s="1"/>
    </row>
    <row r="210" spans="1:4" x14ac:dyDescent="0.25">
      <c r="A210" t="s">
        <v>126</v>
      </c>
      <c r="D210">
        <f>D202+D206+D208</f>
        <v>24.125</v>
      </c>
    </row>
    <row r="211" spans="1:4" ht="30" x14ac:dyDescent="0.25">
      <c r="A211" s="10" t="s">
        <v>127</v>
      </c>
      <c r="D211" s="9">
        <f>ROUNDDOWN(D210/5,0)*7+(D210-ROUNDDOWN(D210/5,0)*5)</f>
        <v>32.125</v>
      </c>
    </row>
    <row r="213" spans="1:4" ht="30" x14ac:dyDescent="0.25">
      <c r="A213" s="1" t="s">
        <v>252</v>
      </c>
      <c r="B213">
        <f>(((150*4+50*11+200*7)*$B$28*$B$29*$B$31)*(3380+130*0.5*500+22*0.5*500))/(10^9)+((150*4+50*11+200*7)*$B$28*$B$29*$B$31)*5/(10^6)</f>
        <v>1.4192279999999999</v>
      </c>
    </row>
    <row r="214" spans="1:4" ht="45" x14ac:dyDescent="0.25">
      <c r="A214" s="1" t="s">
        <v>257</v>
      </c>
      <c r="B214">
        <f>(((150*4+50*11+200*7)*$B$28*$B$29*$B$31)*(120+45*0.5*500))/(10^9)</f>
        <v>0.34792200000000001</v>
      </c>
    </row>
    <row r="215" spans="1:4" ht="45" x14ac:dyDescent="0.25">
      <c r="A215" s="1" t="s">
        <v>258</v>
      </c>
      <c r="B215">
        <f>2*(150*4+50*11+200*7)*$B$28*$B$29*$B$31*(120+45*0.2*500)/(10^9)</f>
        <v>0.282744</v>
      </c>
    </row>
    <row r="216" spans="1:4" ht="30" x14ac:dyDescent="0.25">
      <c r="A216" s="1" t="s">
        <v>253</v>
      </c>
      <c r="B216">
        <f>((150*4+50*11+200*7)*$B$28*$B$29*$B$31*$B$27)*(1180+554*500)/(10^9)+((150*4+50*11+200*7)*$B$28*$B$29*$B$31*$B$27)*5/(10^6)</f>
        <v>34.661232000000005</v>
      </c>
    </row>
    <row r="217" spans="1:4" x14ac:dyDescent="0.25">
      <c r="A217" t="s">
        <v>259</v>
      </c>
      <c r="B217">
        <f>((150*4+50*11+200*7)*$B$28*$B$29*$B$31*$B$27)*(115+500*(6+(2*5+10)+2*(2*8+12+8+5+3+4)))/(10^9)</f>
        <v>7.4804760000000003</v>
      </c>
    </row>
    <row r="218" spans="1:4" x14ac:dyDescent="0.25">
      <c r="A218" t="s">
        <v>254</v>
      </c>
      <c r="B218">
        <f>(((150+50)/2)*($B$56+$B$57+$B$58+$B$59+$B$60)+((7*200+7*50)/14)*$B$61)*(5*8*20+3*20+2*20+2*20+200)/(10^9)</f>
        <v>140.94504000000003</v>
      </c>
    </row>
    <row r="219" spans="1:4" x14ac:dyDescent="0.25">
      <c r="A219" s="1" t="s">
        <v>260</v>
      </c>
      <c r="B219">
        <f>(5*$B$56+5*$B$57+4*$B$58+10*$B$59+4*$B$60+6*$B$61)*(5*8*20+10*20+200)/(10^9)</f>
        <v>7.5624192000000008</v>
      </c>
    </row>
    <row r="220" spans="1:4" x14ac:dyDescent="0.25">
      <c r="A220" t="s">
        <v>255</v>
      </c>
      <c r="B220">
        <f>($D$78+$D$94+$D$106+$D$126+$D$140+$D$158)*250/(10^6)</f>
        <v>3.5585</v>
      </c>
    </row>
    <row r="221" spans="1:4" x14ac:dyDescent="0.25">
      <c r="A221" t="s">
        <v>256</v>
      </c>
      <c r="B221">
        <f>($E$78+$E$94+$E$106+$E$126+$E$140+$E$158)/1000</f>
        <v>0.71599999999999997</v>
      </c>
    </row>
    <row r="222" spans="1:4" x14ac:dyDescent="0.25">
      <c r="A222" s="8" t="s">
        <v>144</v>
      </c>
      <c r="B222" s="8">
        <f>ROUNDUP(SUM(B213:B221)/5,0)*5</f>
        <v>200</v>
      </c>
    </row>
  </sheetData>
  <mergeCells count="9">
    <mergeCell ref="B105:C105"/>
    <mergeCell ref="B149:C149"/>
    <mergeCell ref="B150:C150"/>
    <mergeCell ref="B151:C151"/>
    <mergeCell ref="C32:D32"/>
    <mergeCell ref="C33:D33"/>
    <mergeCell ref="B102:C102"/>
    <mergeCell ref="B103:C103"/>
    <mergeCell ref="B104:C104"/>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15" workbookViewId="0">
      <selection activeCell="C86" sqref="C86"/>
    </sheetView>
  </sheetViews>
  <sheetFormatPr baseColWidth="10" defaultRowHeight="15" x14ac:dyDescent="0.25"/>
  <cols>
    <col min="1" max="1" width="35" customWidth="1"/>
    <col min="2" max="2" width="32.28515625" customWidth="1"/>
    <col min="3" max="3" width="109.5703125" customWidth="1"/>
    <col min="4" max="4" width="10.28515625" customWidth="1"/>
    <col min="5" max="5" width="11.7109375" customWidth="1"/>
    <col min="6" max="6" width="28.85546875" customWidth="1"/>
    <col min="7" max="7" width="69.7109375" customWidth="1"/>
    <col min="8" max="8" width="25" customWidth="1"/>
  </cols>
  <sheetData>
    <row r="1" spans="1:1" x14ac:dyDescent="0.25">
      <c r="A1" s="3" t="s">
        <v>596</v>
      </c>
    </row>
    <row r="3" spans="1:1" x14ac:dyDescent="0.25">
      <c r="A3" t="s">
        <v>146</v>
      </c>
    </row>
    <row r="4" spans="1:1" x14ac:dyDescent="0.25">
      <c r="A4" t="s">
        <v>199</v>
      </c>
    </row>
    <row r="5" spans="1:1" x14ac:dyDescent="0.25">
      <c r="A5" t="s">
        <v>198</v>
      </c>
    </row>
    <row r="6" spans="1:1" x14ac:dyDescent="0.25">
      <c r="A6" t="s">
        <v>214</v>
      </c>
    </row>
    <row r="7" spans="1:1" x14ac:dyDescent="0.25">
      <c r="A7" t="s">
        <v>272</v>
      </c>
    </row>
    <row r="8" spans="1:1" x14ac:dyDescent="0.25">
      <c r="A8" t="s">
        <v>2</v>
      </c>
    </row>
    <row r="9" spans="1:1" x14ac:dyDescent="0.25">
      <c r="A9" t="s">
        <v>597</v>
      </c>
    </row>
    <row r="11" spans="1:1" x14ac:dyDescent="0.25">
      <c r="A11" t="s">
        <v>275</v>
      </c>
    </row>
    <row r="12" spans="1:1" x14ac:dyDescent="0.25">
      <c r="A12" t="s">
        <v>217</v>
      </c>
    </row>
    <row r="13" spans="1:1" x14ac:dyDescent="0.25">
      <c r="A13" t="s">
        <v>301</v>
      </c>
    </row>
    <row r="14" spans="1:1" x14ac:dyDescent="0.25">
      <c r="A14" t="s">
        <v>338</v>
      </c>
    </row>
    <row r="15" spans="1:1" x14ac:dyDescent="0.25">
      <c r="A15" t="s">
        <v>603</v>
      </c>
    </row>
    <row r="17" spans="1:4" x14ac:dyDescent="0.25">
      <c r="A17" t="s">
        <v>359</v>
      </c>
    </row>
    <row r="18" spans="1:4" x14ac:dyDescent="0.25">
      <c r="A18" t="s">
        <v>360</v>
      </c>
    </row>
    <row r="22" spans="1:4" x14ac:dyDescent="0.25">
      <c r="B22" t="s">
        <v>4</v>
      </c>
    </row>
    <row r="23" spans="1:4" ht="75" x14ac:dyDescent="0.25">
      <c r="A23" s="1" t="s">
        <v>307</v>
      </c>
      <c r="B23">
        <f>(3.5-0.5)/1+1</f>
        <v>4</v>
      </c>
    </row>
    <row r="24" spans="1:4" ht="60" x14ac:dyDescent="0.25">
      <c r="A24" s="1" t="s">
        <v>13</v>
      </c>
      <c r="B24">
        <v>1</v>
      </c>
      <c r="C24" t="s">
        <v>274</v>
      </c>
    </row>
    <row r="25" spans="1:4" x14ac:dyDescent="0.25">
      <c r="A25" t="s">
        <v>14</v>
      </c>
      <c r="B25">
        <v>2</v>
      </c>
      <c r="C25" t="s">
        <v>273</v>
      </c>
    </row>
    <row r="26" spans="1:4" x14ac:dyDescent="0.25">
      <c r="A26" t="s">
        <v>49</v>
      </c>
      <c r="B26">
        <v>1</v>
      </c>
      <c r="C26" t="s">
        <v>604</v>
      </c>
    </row>
    <row r="27" spans="1:4" x14ac:dyDescent="0.25">
      <c r="A27" t="s">
        <v>16</v>
      </c>
      <c r="B27">
        <f>(0.9-0.1)/0.2+1</f>
        <v>5</v>
      </c>
      <c r="C27" t="s">
        <v>602</v>
      </c>
    </row>
    <row r="28" spans="1:4" ht="76.5" customHeight="1" x14ac:dyDescent="0.25">
      <c r="A28" s="1" t="s">
        <v>598</v>
      </c>
      <c r="B28">
        <v>3</v>
      </c>
      <c r="C28" s="27" t="s">
        <v>619</v>
      </c>
      <c r="D28" s="27"/>
    </row>
    <row r="29" spans="1:4" ht="30" x14ac:dyDescent="0.25">
      <c r="A29" s="1" t="s">
        <v>599</v>
      </c>
      <c r="B29">
        <v>8</v>
      </c>
      <c r="C29" s="1" t="s">
        <v>620</v>
      </c>
    </row>
    <row r="31" spans="1:4" x14ac:dyDescent="0.25">
      <c r="A31" t="s">
        <v>600</v>
      </c>
      <c r="B31">
        <f>B23*B24*B25*B26*B27*B28*B29</f>
        <v>960</v>
      </c>
    </row>
    <row r="32" spans="1:4" x14ac:dyDescent="0.25">
      <c r="A32" t="s">
        <v>601</v>
      </c>
      <c r="B32">
        <f>B23*B24*B25*B26*B27*B28</f>
        <v>120</v>
      </c>
    </row>
    <row r="34" spans="1:9" x14ac:dyDescent="0.25">
      <c r="A34" t="s">
        <v>38</v>
      </c>
      <c r="B34">
        <f>B31+B32</f>
        <v>1080</v>
      </c>
    </row>
    <row r="37" spans="1:9" x14ac:dyDescent="0.25">
      <c r="A37" s="4" t="s">
        <v>44</v>
      </c>
    </row>
    <row r="38" spans="1:9" x14ac:dyDescent="0.25">
      <c r="A38" s="4"/>
    </row>
    <row r="39" spans="1:9" x14ac:dyDescent="0.25">
      <c r="A39" s="6" t="s">
        <v>89</v>
      </c>
      <c r="B39" t="s">
        <v>170</v>
      </c>
    </row>
    <row r="40" spans="1:9" x14ac:dyDescent="0.25">
      <c r="A40" s="6" t="s">
        <v>90</v>
      </c>
    </row>
    <row r="41" spans="1:9" x14ac:dyDescent="0.25">
      <c r="A41" s="4"/>
    </row>
    <row r="42" spans="1:9" ht="60" x14ac:dyDescent="0.25">
      <c r="A42" s="1" t="s">
        <v>608</v>
      </c>
      <c r="D42" s="1" t="s">
        <v>91</v>
      </c>
      <c r="E42" s="1" t="s">
        <v>73</v>
      </c>
      <c r="F42" t="s">
        <v>92</v>
      </c>
      <c r="G42" t="s">
        <v>93</v>
      </c>
      <c r="H42" s="1" t="s">
        <v>94</v>
      </c>
      <c r="I42" s="1" t="s">
        <v>96</v>
      </c>
    </row>
    <row r="43" spans="1:9" ht="60" x14ac:dyDescent="0.25">
      <c r="A43">
        <v>1</v>
      </c>
      <c r="B43" s="27" t="s">
        <v>607</v>
      </c>
      <c r="C43" s="28"/>
      <c r="D43">
        <f>9*5</f>
        <v>45</v>
      </c>
      <c r="E43">
        <v>4</v>
      </c>
      <c r="F43" t="s">
        <v>74</v>
      </c>
      <c r="G43" s="1" t="s">
        <v>605</v>
      </c>
      <c r="H43" s="1" t="s">
        <v>606</v>
      </c>
      <c r="I43">
        <v>2</v>
      </c>
    </row>
    <row r="44" spans="1:9" ht="60" x14ac:dyDescent="0.25">
      <c r="A44">
        <v>2</v>
      </c>
      <c r="B44" s="27" t="s">
        <v>614</v>
      </c>
      <c r="C44" s="28"/>
      <c r="D44">
        <f>9*5*($B$29+1)</f>
        <v>405</v>
      </c>
      <c r="E44">
        <f>2*2*($B$29+1)</f>
        <v>36</v>
      </c>
      <c r="F44" t="s">
        <v>74</v>
      </c>
      <c r="G44" s="1" t="s">
        <v>609</v>
      </c>
      <c r="H44" s="1" t="s">
        <v>610</v>
      </c>
      <c r="I44">
        <v>1</v>
      </c>
    </row>
    <row r="45" spans="1:9" ht="45" x14ac:dyDescent="0.25">
      <c r="A45">
        <v>3</v>
      </c>
      <c r="B45" s="27" t="s">
        <v>611</v>
      </c>
      <c r="C45" s="28"/>
      <c r="D45">
        <f>9*5</f>
        <v>45</v>
      </c>
      <c r="E45">
        <f>4</f>
        <v>4</v>
      </c>
      <c r="F45" t="s">
        <v>74</v>
      </c>
      <c r="G45" s="1" t="s">
        <v>612</v>
      </c>
      <c r="H45" s="1" t="s">
        <v>613</v>
      </c>
      <c r="I45">
        <v>1</v>
      </c>
    </row>
    <row r="46" spans="1:9" ht="60" x14ac:dyDescent="0.25">
      <c r="A46">
        <v>4</v>
      </c>
      <c r="B46" s="27" t="s">
        <v>618</v>
      </c>
      <c r="C46" s="28"/>
      <c r="D46">
        <f>9*5*$B$27</f>
        <v>225</v>
      </c>
      <c r="E46">
        <f>2*2*$B$27</f>
        <v>20</v>
      </c>
      <c r="F46" t="s">
        <v>74</v>
      </c>
      <c r="G46" s="1" t="s">
        <v>616</v>
      </c>
      <c r="H46" s="1" t="s">
        <v>617</v>
      </c>
      <c r="I46">
        <f>$B$27+1</f>
        <v>6</v>
      </c>
    </row>
    <row r="47" spans="1:9" x14ac:dyDescent="0.25">
      <c r="B47" t="s">
        <v>615</v>
      </c>
    </row>
    <row r="48" spans="1:9" ht="72.75" customHeight="1" x14ac:dyDescent="0.25">
      <c r="A48">
        <v>5</v>
      </c>
      <c r="C48" s="1" t="s">
        <v>621</v>
      </c>
      <c r="D48">
        <f>9*5*$B$27*2</f>
        <v>450</v>
      </c>
      <c r="E48">
        <f>2*2*$B$27*2</f>
        <v>40</v>
      </c>
      <c r="F48" t="s">
        <v>74</v>
      </c>
      <c r="G48" s="1" t="s">
        <v>623</v>
      </c>
      <c r="H48" s="1" t="s">
        <v>622</v>
      </c>
      <c r="I48">
        <f>$B$27*2+2</f>
        <v>12</v>
      </c>
    </row>
    <row r="49" spans="1:9" ht="75" x14ac:dyDescent="0.25">
      <c r="A49">
        <v>6</v>
      </c>
      <c r="B49" s="27" t="s">
        <v>624</v>
      </c>
      <c r="C49" s="28"/>
      <c r="D49">
        <v>3</v>
      </c>
      <c r="E49">
        <v>3</v>
      </c>
      <c r="F49" s="1"/>
      <c r="G49" s="1" t="s">
        <v>625</v>
      </c>
      <c r="H49" s="1" t="s">
        <v>98</v>
      </c>
      <c r="I49">
        <f>$B$27+1</f>
        <v>6</v>
      </c>
    </row>
    <row r="50" spans="1:9" ht="95.25" customHeight="1" x14ac:dyDescent="0.25">
      <c r="A50">
        <v>7</v>
      </c>
      <c r="B50" s="27" t="s">
        <v>626</v>
      </c>
      <c r="C50" s="28"/>
      <c r="D50">
        <f>3*($B$29+1)</f>
        <v>27</v>
      </c>
      <c r="E50">
        <f>2*($B$29+1)</f>
        <v>18</v>
      </c>
      <c r="G50" s="1" t="s">
        <v>628</v>
      </c>
      <c r="H50" s="1" t="s">
        <v>627</v>
      </c>
      <c r="I50">
        <f>$B$29+1+3</f>
        <v>12</v>
      </c>
    </row>
    <row r="51" spans="1:9" x14ac:dyDescent="0.25">
      <c r="C51" s="11" t="s">
        <v>62</v>
      </c>
      <c r="D51">
        <f>SUM(D43:D50)</f>
        <v>1200</v>
      </c>
      <c r="E51">
        <f>SUM(E43:E50)</f>
        <v>125</v>
      </c>
      <c r="I51">
        <f>SUM(I43:I50)</f>
        <v>40</v>
      </c>
    </row>
    <row r="53" spans="1:9" x14ac:dyDescent="0.25">
      <c r="A53" t="s">
        <v>47</v>
      </c>
    </row>
    <row r="54" spans="1:9" x14ac:dyDescent="0.25">
      <c r="B54" t="s">
        <v>487</v>
      </c>
    </row>
    <row r="55" spans="1:9" x14ac:dyDescent="0.25">
      <c r="B55" t="s">
        <v>51</v>
      </c>
    </row>
    <row r="58" spans="1:9" x14ac:dyDescent="0.25">
      <c r="A58" t="s">
        <v>25</v>
      </c>
      <c r="B58" t="s">
        <v>27</v>
      </c>
      <c r="C58" t="s">
        <v>28</v>
      </c>
      <c r="D58" t="s">
        <v>30</v>
      </c>
    </row>
    <row r="59" spans="1:9" x14ac:dyDescent="0.25">
      <c r="A59" s="1" t="s">
        <v>629</v>
      </c>
      <c r="B59">
        <f>(2*180+120)*$B$34*0.3</f>
        <v>155520</v>
      </c>
      <c r="C59" s="26">
        <f t="shared" ref="C59" si="0">B59/3600</f>
        <v>43.2</v>
      </c>
      <c r="D59">
        <f t="shared" ref="D59" si="1">ROUNDUP(2*C59/24,0)/2</f>
        <v>2</v>
      </c>
    </row>
    <row r="60" spans="1:9" x14ac:dyDescent="0.25">
      <c r="A60" s="1" t="s">
        <v>177</v>
      </c>
      <c r="B60">
        <f>7*$B$34*0.1</f>
        <v>756</v>
      </c>
      <c r="C60" s="26">
        <f>B60/3600</f>
        <v>0.21</v>
      </c>
      <c r="D60">
        <f>ROUNDUP(2*C60/24,0)/2</f>
        <v>0.5</v>
      </c>
    </row>
    <row r="61" spans="1:9" x14ac:dyDescent="0.25">
      <c r="A61" s="1" t="s">
        <v>178</v>
      </c>
      <c r="B61">
        <f>$D$51*0.2</f>
        <v>240</v>
      </c>
      <c r="C61" s="26">
        <f>B61/3600</f>
        <v>6.6666666666666666E-2</v>
      </c>
      <c r="D61">
        <f>ROUNDUP(4*C61/24,0)/4</f>
        <v>0.25</v>
      </c>
    </row>
    <row r="62" spans="1:9" x14ac:dyDescent="0.25">
      <c r="A62" s="1" t="s">
        <v>179</v>
      </c>
      <c r="B62">
        <f>$E$51*12</f>
        <v>1500</v>
      </c>
      <c r="C62" s="26">
        <f>B62/3600</f>
        <v>0.41666666666666669</v>
      </c>
      <c r="D62">
        <f>ROUNDUP(4*C62/24,0)/4</f>
        <v>0.25</v>
      </c>
    </row>
    <row r="64" spans="1:9" x14ac:dyDescent="0.25">
      <c r="A64" s="1" t="s">
        <v>120</v>
      </c>
      <c r="D64">
        <f>SUM(D59:D62)</f>
        <v>3</v>
      </c>
    </row>
    <row r="65" spans="1:4" x14ac:dyDescent="0.25">
      <c r="A65" s="1" t="s">
        <v>123</v>
      </c>
      <c r="D65">
        <f>ROUNDUP(4*D64/'USAC-testing'!$B$141,0)/4</f>
        <v>0.25</v>
      </c>
    </row>
    <row r="67" spans="1:4" x14ac:dyDescent="0.25">
      <c r="A67" s="1" t="s">
        <v>119</v>
      </c>
      <c r="B67">
        <v>1.5</v>
      </c>
      <c r="D67" s="3"/>
    </row>
    <row r="68" spans="1:4" x14ac:dyDescent="0.25">
      <c r="A68" s="1"/>
      <c r="D68" s="3"/>
    </row>
    <row r="69" spans="1:4" ht="30" x14ac:dyDescent="0.25">
      <c r="A69" s="1" t="s">
        <v>125</v>
      </c>
      <c r="D69" s="6">
        <v>0.5</v>
      </c>
    </row>
    <row r="70" spans="1:4" x14ac:dyDescent="0.25">
      <c r="A70" s="1"/>
      <c r="D70" s="3"/>
    </row>
    <row r="71" spans="1:4" x14ac:dyDescent="0.25">
      <c r="A71" s="1" t="s">
        <v>124</v>
      </c>
      <c r="D71" s="3">
        <f>(D65+D69)*B67</f>
        <v>1.125</v>
      </c>
    </row>
    <row r="73" spans="1:4" x14ac:dyDescent="0.25">
      <c r="A73" s="1" t="s">
        <v>180</v>
      </c>
      <c r="C73">
        <v>2</v>
      </c>
      <c r="D73">
        <f>ROUNDUP(4*C73/8,0)/4</f>
        <v>0.25</v>
      </c>
    </row>
    <row r="74" spans="1:4" x14ac:dyDescent="0.25">
      <c r="A74" s="1" t="s">
        <v>181</v>
      </c>
      <c r="B74">
        <f>$I$51*60*3</f>
        <v>7200</v>
      </c>
      <c r="C74" s="26">
        <f>B74/3600</f>
        <v>2</v>
      </c>
      <c r="D74">
        <f>ROUNDUP(4*C74/8,0)/4</f>
        <v>0.25</v>
      </c>
    </row>
    <row r="75" spans="1:4" x14ac:dyDescent="0.25">
      <c r="C75" s="11" t="s">
        <v>62</v>
      </c>
      <c r="D75" s="3">
        <f>SUM(D73:D74)</f>
        <v>0.5</v>
      </c>
    </row>
    <row r="76" spans="1:4" x14ac:dyDescent="0.25">
      <c r="C76" s="11"/>
      <c r="D76" s="3"/>
    </row>
    <row r="77" spans="1:4" x14ac:dyDescent="0.25">
      <c r="A77" s="1" t="s">
        <v>143</v>
      </c>
      <c r="C77">
        <f>MIN((B67+1),ROUNDDOWN($D$59,0))*15</f>
        <v>30</v>
      </c>
      <c r="D77">
        <f>ROUNDUP(4*C77/24,0)/4</f>
        <v>1.25</v>
      </c>
    </row>
    <row r="78" spans="1:4" x14ac:dyDescent="0.25">
      <c r="A78" s="1"/>
    </row>
    <row r="79" spans="1:4" x14ac:dyDescent="0.25">
      <c r="A79" t="s">
        <v>126</v>
      </c>
      <c r="D79">
        <f>D71+D75+D77</f>
        <v>2.875</v>
      </c>
    </row>
    <row r="80" spans="1:4" ht="30" x14ac:dyDescent="0.25">
      <c r="A80" s="10" t="s">
        <v>127</v>
      </c>
      <c r="D80" s="9">
        <f>ROUNDDOWN(D79/5,0)*7+(D79-ROUNDDOWN(D79/5,0)*5)</f>
        <v>2.875</v>
      </c>
    </row>
    <row r="82" spans="1:2" x14ac:dyDescent="0.25">
      <c r="A82" t="s">
        <v>254</v>
      </c>
      <c r="B82">
        <f>50*$B$34*(5*8*20+3*20+2*20+2*20+200)/(10^9)</f>
        <v>6.1559999999999997E-2</v>
      </c>
    </row>
    <row r="83" spans="1:2" x14ac:dyDescent="0.25">
      <c r="A83" s="1" t="s">
        <v>260</v>
      </c>
      <c r="B83">
        <f>3*$B$34*(5*8*20+10*20+200)/(10^9)</f>
        <v>3.888E-3</v>
      </c>
    </row>
    <row r="84" spans="1:2" x14ac:dyDescent="0.25">
      <c r="A84" t="s">
        <v>255</v>
      </c>
      <c r="B84">
        <f>$D$51*250/(10^6)</f>
        <v>0.3</v>
      </c>
    </row>
    <row r="85" spans="1:2" x14ac:dyDescent="0.25">
      <c r="A85" t="s">
        <v>256</v>
      </c>
      <c r="B85">
        <f>$E$51/1000</f>
        <v>0.125</v>
      </c>
    </row>
    <row r="86" spans="1:2" x14ac:dyDescent="0.25">
      <c r="A86" s="8" t="s">
        <v>144</v>
      </c>
      <c r="B86" s="8">
        <f>ROUNDUP(SUM(B82:B85)/5,0)*5</f>
        <v>5</v>
      </c>
    </row>
  </sheetData>
  <mergeCells count="7">
    <mergeCell ref="B49:C49"/>
    <mergeCell ref="B50:C50"/>
    <mergeCell ref="C28:D28"/>
    <mergeCell ref="B43:C43"/>
    <mergeCell ref="B44:C44"/>
    <mergeCell ref="B45:C45"/>
    <mergeCell ref="B46:C46"/>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B19" sqref="B19"/>
    </sheetView>
  </sheetViews>
  <sheetFormatPr baseColWidth="10" defaultRowHeight="15" x14ac:dyDescent="0.25"/>
  <cols>
    <col min="1" max="1" width="33.85546875" bestFit="1" customWidth="1"/>
  </cols>
  <sheetData>
    <row r="1" spans="1:5" x14ac:dyDescent="0.25">
      <c r="A1" s="3" t="s">
        <v>386</v>
      </c>
    </row>
    <row r="3" spans="1:5" x14ac:dyDescent="0.25">
      <c r="A3" s="8" t="s">
        <v>387</v>
      </c>
      <c r="B3" s="8">
        <f>'USAC-testing'!B141</f>
        <v>72</v>
      </c>
    </row>
    <row r="4" spans="1:5" x14ac:dyDescent="0.25">
      <c r="A4" s="8" t="s">
        <v>136</v>
      </c>
      <c r="B4" s="8">
        <f>'USAC-testing'!B143</f>
        <v>100</v>
      </c>
    </row>
    <row r="5" spans="1:5" x14ac:dyDescent="0.25">
      <c r="A5" s="8" t="s">
        <v>388</v>
      </c>
      <c r="B5" s="8">
        <f>'USAC-testing'!B170+USAC_vs_RANSAC!B76+Refinement_BA!B74+VFC_GMS_SOF!B75+Refinement_BA_stereo!B81+Correspondence_Pool!B133+Robustness!B222+USAC_vs_Autocalib!B86</f>
        <v>325</v>
      </c>
    </row>
    <row r="7" spans="1:5" x14ac:dyDescent="0.25">
      <c r="B7" t="s">
        <v>30</v>
      </c>
      <c r="C7" t="s">
        <v>28</v>
      </c>
      <c r="D7" t="s">
        <v>392</v>
      </c>
      <c r="E7" t="s">
        <v>391</v>
      </c>
    </row>
    <row r="8" spans="1:5" x14ac:dyDescent="0.25">
      <c r="A8" t="s">
        <v>390</v>
      </c>
      <c r="B8">
        <f>'USAC-testing'!D207+USAC_vs_RANSAC!D69+Refinement_BA!D67+VFC_GMS_SOF!D68+Refinement_BA_stereo!D74+Correspondence_Pool!D121+Robustness!D210+USAC_vs_Autocalib!D79</f>
        <v>54.375</v>
      </c>
      <c r="C8">
        <f>B8*24</f>
        <v>1305</v>
      </c>
      <c r="D8">
        <f>B8/7</f>
        <v>7.7678571428571432</v>
      </c>
      <c r="E8">
        <f>D8/4.33</f>
        <v>1.7939623886506104</v>
      </c>
    </row>
    <row r="9" spans="1:5" ht="30" x14ac:dyDescent="0.25">
      <c r="A9" s="1" t="s">
        <v>127</v>
      </c>
      <c r="B9">
        <f>ROUNDDOWN(B8/5,0)*7+(B8-ROUNDDOWN(B8/5,0)*5)</f>
        <v>74.375</v>
      </c>
      <c r="C9">
        <f t="shared" ref="C9:C10" si="0">B9*24</f>
        <v>1785</v>
      </c>
      <c r="D9">
        <f t="shared" ref="D9:D10" si="1">B9/7</f>
        <v>10.625</v>
      </c>
      <c r="E9">
        <f t="shared" ref="E9:E10" si="2">D9/4.33</f>
        <v>2.4538106235565817</v>
      </c>
    </row>
    <row r="10" spans="1:5" ht="30" x14ac:dyDescent="0.25">
      <c r="A10" s="23" t="s">
        <v>389</v>
      </c>
      <c r="B10" s="8">
        <f>ROUNDUP(B8+(B9-B8)/2,0)</f>
        <v>65</v>
      </c>
      <c r="C10" s="8">
        <f t="shared" si="0"/>
        <v>1560</v>
      </c>
      <c r="D10">
        <f t="shared" si="1"/>
        <v>9.2857142857142865</v>
      </c>
      <c r="E10">
        <f t="shared" si="2"/>
        <v>2.1445067634444079</v>
      </c>
    </row>
    <row r="13" spans="1:5" x14ac:dyDescent="0.25">
      <c r="A13" t="s">
        <v>393</v>
      </c>
      <c r="B13">
        <f>'USAC-testing'!B33+'USAC-testing'!B37+USAC_vs_RANSAC!B24+Refinement_BA!B26+VFC_GMS_SOF!B27+Refinement_BA_stereo!B33+Correspondence_Pool!B41+Correspondence_Pool!B42+Correspondence_Pool!B43+Robustness!B56+Robustness!B57+Robustness!B58+Robustness!B59+Robustness!B60+Robustness!B61+USAC_vs_Autocalib!B34</f>
        <v>1536816.0000000002</v>
      </c>
    </row>
    <row r="15" spans="1:5" x14ac:dyDescent="0.25">
      <c r="A15" t="s">
        <v>396</v>
      </c>
      <c r="B15">
        <f>C10*3.492*0.89</f>
        <v>4848.2928000000002</v>
      </c>
      <c r="C15" t="s">
        <v>630</v>
      </c>
      <c r="D15" t="s">
        <v>631</v>
      </c>
    </row>
    <row r="16" spans="1:5" x14ac:dyDescent="0.25">
      <c r="A16" t="s">
        <v>394</v>
      </c>
      <c r="B16">
        <f>B5*0.119*0.89*ROUNDUP(E10,0)</f>
        <v>103.26224999999999</v>
      </c>
    </row>
    <row r="17" spans="1:2" x14ac:dyDescent="0.25">
      <c r="A17" t="s">
        <v>632</v>
      </c>
      <c r="B17">
        <f>B5*0.09*0.89</f>
        <v>26.032499999999999</v>
      </c>
    </row>
    <row r="18" spans="1:2" x14ac:dyDescent="0.25">
      <c r="A18" t="s">
        <v>395</v>
      </c>
      <c r="B18">
        <f>SUM(B15:B17)</f>
        <v>4977.5875500000002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USAC-testing</vt:lpstr>
      <vt:lpstr>USAC_vs_RANSAC</vt:lpstr>
      <vt:lpstr>Refinement_BA</vt:lpstr>
      <vt:lpstr>VFC_GMS_SOF</vt:lpstr>
      <vt:lpstr>Refinement_BA_stereo</vt:lpstr>
      <vt:lpstr>Correspondence_Pool</vt:lpstr>
      <vt:lpstr>Robustness</vt:lpstr>
      <vt:lpstr>USAC_vs_Autocalib</vt:lpstr>
      <vt:lpstr>Overview</vt:lpstr>
      <vt:lpstr>Zeitplan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Maier Josef</dc:creator>
  <cp:lastModifiedBy>Maier Josef</cp:lastModifiedBy>
  <dcterms:created xsi:type="dcterms:W3CDTF">2019-03-20T16:43:05Z</dcterms:created>
  <dcterms:modified xsi:type="dcterms:W3CDTF">2019-09-05T13:31:53Z</dcterms:modified>
</cp:coreProperties>
</file>